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'Sheet1'!$A$1:$P$997</definedName>
  </definedNames>
  <calcPr fullCalcOnLoad="1"/>
</workbook>
</file>

<file path=xl/sharedStrings.xml><?xml version="1.0" encoding="utf-8"?>
<sst xmlns="http://schemas.openxmlformats.org/spreadsheetml/2006/main" count="1011" uniqueCount="565">
  <si>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</si>
  <si>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</si>
  <si>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</si>
  <si>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</si>
  <si>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</si>
  <si>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</si>
  <si>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</si>
  <si>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</si>
  <si>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</si>
  <si>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</si>
  <si>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</si>
  <si>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</si>
  <si>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</si>
  <si>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</si>
  <si>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</si>
  <si>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</si>
  <si>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</si>
  <si>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</si>
  <si>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</si>
  <si>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</si>
  <si>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</si>
  <si>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</si>
  <si>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</si>
  <si>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</si>
  <si>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</si>
  <si>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</si>
  <si>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</si>
  <si>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</si>
  <si>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</si>
  <si>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</si>
  <si>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</si>
  <si>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</si>
  <si>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</si>
  <si>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</si>
  <si>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</si>
  <si>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</si>
  <si>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</si>
  <si>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</si>
  <si>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</si>
  <si>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</si>
  <si>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</si>
  <si>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</si>
  <si>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</si>
  <si>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</si>
  <si>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</si>
  <si>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</si>
  <si>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</si>
  <si>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</si>
  <si>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</si>
  <si>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</si>
  <si>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</si>
  <si>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</si>
  <si>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</si>
  <si>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</si>
  <si>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</si>
  <si>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</si>
  <si>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</si>
  <si>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</si>
  <si>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</si>
  <si>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</si>
  <si>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</si>
  <si>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</si>
  <si>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</si>
  <si>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</si>
  <si>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</si>
  <si>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</si>
  <si>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</si>
  <si>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</si>
  <si>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</si>
  <si>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</si>
  <si>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</si>
  <si>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</si>
  <si>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</si>
  <si>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</si>
  <si>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</si>
  <si>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</si>
  <si>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</si>
  <si>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</si>
  <si>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</si>
  <si>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</si>
  <si>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</si>
  <si>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</si>
  <si>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</si>
  <si>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</si>
  <si>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</si>
  <si>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</si>
  <si>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</si>
  <si>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</si>
  <si>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</si>
  <si>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</si>
  <si>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</si>
  <si>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</si>
  <si>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</si>
  <si>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</si>
  <si>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</si>
  <si>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</si>
  <si>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</si>
  <si>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</si>
  <si>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</si>
  <si>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</si>
  <si>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</si>
  <si>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</si>
  <si>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</si>
  <si>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</si>
  <si>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</si>
  <si>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</si>
  <si>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</si>
  <si>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</si>
  <si>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</si>
  <si>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</si>
  <si>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</si>
  <si>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</si>
  <si>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</si>
  <si>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</si>
  <si>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</si>
  <si>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</si>
  <si>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</si>
  <si>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</si>
  <si>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</si>
  <si>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</si>
  <si>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</si>
  <si>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</si>
  <si>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</si>
  <si>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</si>
  <si>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</si>
  <si>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</si>
  <si>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</si>
  <si>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</si>
  <si>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</si>
  <si>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</si>
  <si>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</si>
  <si>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</si>
  <si>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</si>
  <si>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</si>
  <si>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</si>
  <si>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</si>
  <si>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</si>
  <si>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</si>
  <si>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</si>
  <si>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</si>
  <si>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</si>
  <si>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</si>
  <si>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</si>
  <si>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</si>
  <si>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</si>
  <si>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</si>
  <si>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</si>
  <si>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</si>
  <si>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</si>
  <si>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</si>
  <si>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</si>
  <si>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</si>
  <si>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</si>
  <si>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</si>
  <si>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</si>
  <si>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</si>
  <si>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</si>
  <si>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</si>
  <si>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</si>
  <si>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</si>
  <si>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</si>
  <si>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</si>
  <si>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</si>
  <si>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</si>
  <si>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</si>
  <si>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</si>
  <si>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</si>
  <si>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</si>
  <si>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</si>
  <si>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</si>
  <si>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</si>
  <si>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</si>
  <si>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</si>
  <si>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</si>
  <si>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</si>
  <si>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</si>
  <si>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</si>
  <si>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</si>
  <si>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</si>
  <si>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</si>
  <si>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</si>
  <si>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</si>
  <si>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</si>
  <si>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</si>
  <si>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</si>
  <si>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</si>
  <si>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</si>
  <si>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</si>
  <si>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</si>
  <si>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</si>
  <si>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</si>
  <si>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</si>
  <si>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</si>
  <si>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</si>
  <si>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</si>
  <si>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</si>
  <si>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</si>
  <si>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</si>
  <si>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</si>
  <si>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</si>
  <si>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</si>
  <si>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</si>
  <si>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</si>
  <si>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</si>
  <si>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</si>
  <si>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</si>
  <si>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</si>
  <si>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</si>
  <si>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</si>
  <si>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</si>
  <si>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</si>
  <si>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</si>
  <si>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</si>
  <si>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</si>
  <si>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</si>
  <si>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</si>
  <si>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</si>
  <si>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</si>
  <si>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</si>
  <si>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</si>
  <si>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</si>
  <si>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</si>
  <si>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</si>
  <si>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</si>
  <si>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</si>
  <si>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</si>
  <si>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</si>
  <si>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</si>
  <si>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</si>
  <si>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</si>
  <si>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</si>
  <si>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</si>
  <si>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</si>
  <si>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</si>
  <si>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</si>
  <si>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</si>
  <si>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</si>
  <si>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</si>
  <si>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</si>
  <si>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</si>
  <si>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</si>
  <si>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</si>
  <si>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</si>
  <si>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</si>
  <si>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</si>
  <si>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</si>
  <si>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</si>
  <si>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</si>
  <si>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</si>
  <si>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</si>
  <si>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</si>
  <si>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</si>
  <si>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</si>
  <si>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</si>
  <si>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</si>
  <si>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</si>
  <si>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</si>
  <si>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</si>
  <si>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</si>
  <si>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</si>
  <si>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</si>
  <si>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</si>
  <si>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</si>
  <si>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</si>
  <si>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</si>
  <si>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</si>
  <si>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</si>
  <si>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</si>
  <si>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</si>
  <si>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</si>
  <si>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</si>
  <si>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</si>
  <si>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</si>
  <si>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</si>
  <si>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</si>
  <si>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</si>
  <si>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</si>
  <si>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</si>
  <si>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</si>
  <si>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</si>
  <si>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</si>
  <si>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</si>
  <si>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</si>
  <si>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</si>
  <si>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</si>
  <si>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</si>
  <si>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</si>
  <si>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</si>
  <si>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</si>
  <si>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</si>
  <si>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</si>
  <si>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</si>
  <si>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</si>
  <si>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</si>
  <si>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</si>
  <si>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</si>
  <si>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</si>
  <si>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</si>
  <si>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</si>
  <si>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</si>
  <si>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</si>
  <si>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</si>
  <si>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</si>
  <si>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</si>
  <si>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</si>
  <si>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</si>
  <si>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</si>
  <si>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</si>
  <si>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</si>
  <si>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</si>
  <si>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</si>
  <si>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</si>
  <si>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</si>
  <si>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</si>
  <si>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</si>
  <si>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</si>
  <si>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</si>
  <si>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</si>
  <si>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</si>
  <si>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</si>
  <si>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</si>
  <si>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</si>
  <si>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</si>
  <si>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</si>
  <si>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</si>
  <si>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</si>
  <si>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</si>
  <si>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</si>
  <si>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</si>
  <si>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</si>
  <si>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</si>
  <si>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</si>
  <si>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</si>
  <si>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</si>
  <si>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</si>
  <si>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</si>
  <si>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</si>
  <si>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</si>
  <si>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</si>
  <si>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</si>
  <si>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</si>
  <si>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</si>
  <si>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</si>
  <si>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</si>
  <si>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</si>
  <si>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</si>
  <si>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</si>
  <si>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</si>
  <si>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</si>
  <si>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</si>
  <si>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</si>
  <si>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</si>
  <si>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</si>
  <si>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</si>
  <si>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</si>
  <si>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</si>
  <si>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</si>
  <si>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</si>
  <si>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</si>
  <si>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</si>
  <si>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</si>
  <si>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</si>
  <si>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</si>
  <si>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</si>
  <si>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</si>
  <si>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</si>
  <si>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</si>
  <si>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</si>
  <si>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</si>
  <si>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</si>
  <si>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</si>
  <si>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</si>
  <si>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</si>
  <si>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</si>
  <si>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</si>
  <si>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</si>
  <si>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</si>
  <si>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</si>
  <si>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</si>
  <si>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</si>
  <si>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</si>
  <si>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</si>
  <si>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</si>
  <si>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</si>
  <si>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</si>
  <si>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</si>
  <si>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</si>
  <si>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</si>
  <si>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</si>
  <si>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</si>
  <si>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</si>
  <si>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</si>
  <si>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</si>
  <si>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</si>
  <si>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</si>
  <si>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</si>
  <si>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</si>
  <si>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</si>
  <si>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</si>
  <si>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</si>
  <si>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</si>
  <si>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</si>
  <si>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</si>
  <si>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</si>
  <si>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</si>
  <si>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</si>
  <si>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</si>
  <si>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</si>
  <si>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</si>
  <si>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</si>
  <si>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</si>
  <si>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</si>
  <si>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</si>
  <si>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</si>
  <si>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</si>
  <si>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</si>
  <si>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</si>
  <si>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</si>
  <si>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</si>
  <si>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</si>
  <si>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</si>
  <si>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</si>
  <si>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</si>
  <si>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</si>
  <si>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</si>
  <si>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</si>
  <si>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</si>
  <si>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</si>
  <si>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</si>
  <si>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</si>
  <si>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</si>
  <si>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</si>
  <si>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</si>
  <si>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</si>
  <si>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</si>
  <si>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</si>
  <si>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</si>
  <si>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</si>
  <si>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</si>
  <si>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</si>
  <si>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</si>
  <si>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</si>
  <si>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</si>
  <si>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</si>
  <si>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</si>
  <si>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</si>
  <si>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</si>
  <si>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</si>
  <si>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</si>
  <si>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</si>
  <si>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</si>
  <si>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</si>
  <si>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</si>
  <si>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</si>
  <si>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</si>
  <si>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</si>
  <si>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</si>
  <si>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</si>
  <si>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</si>
  <si>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</si>
  <si>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</si>
  <si>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</si>
  <si>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</si>
  <si>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</si>
  <si>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</si>
  <si>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</si>
  <si>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</si>
  <si>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</si>
  <si>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</si>
  <si>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</si>
  <si>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</si>
  <si>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</si>
  <si>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</si>
  <si>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</si>
  <si>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</si>
  <si>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</si>
  <si>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</si>
  <si>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</si>
  <si>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</si>
  <si>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</si>
  <si>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</si>
  <si>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</si>
  <si>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</si>
  <si>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</si>
  <si>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</si>
  <si>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</si>
  <si>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</si>
  <si>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</si>
  <si>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</si>
  <si>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</si>
  <si>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</si>
  <si>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</si>
  <si>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</si>
  <si>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</si>
  <si>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</si>
  <si>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</si>
  <si>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</si>
  <si>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</si>
  <si>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</si>
  <si>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</si>
  <si>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</si>
  <si>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</si>
  <si>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</si>
  <si>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</si>
  <si>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</si>
  <si>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</si>
  <si>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</si>
  <si>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</si>
  <si>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</si>
  <si>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</si>
  <si>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</si>
  <si>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</si>
  <si>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</si>
  <si>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</si>
  <si>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</si>
  <si>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</si>
  <si>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</si>
  <si>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</si>
  <si>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</si>
  <si>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</si>
  <si>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</si>
  <si>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</si>
  <si>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</si>
  <si>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</si>
  <si>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</si>
  <si>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</si>
  <si>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</si>
  <si>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</si>
  <si>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</si>
  <si>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</si>
  <si>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</si>
  <si>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</si>
  <si>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</si>
  <si>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</si>
  <si>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</si>
  <si>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</si>
  <si>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</si>
  <si>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</si>
  <si>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</si>
  <si>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</si>
  <si>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</si>
  <si>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</si>
  <si>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</si>
  <si>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</si>
  <si>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</si>
  <si>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</si>
  <si>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</si>
  <si>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</si>
  <si>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 xml:space="preserve">від                     2021 року №         - МР </t>
  </si>
  <si>
    <t>Показник: кількість місяців передбачених для безперебійної роботи насосних станцій по вул. Тихорецька та вул. Кругова, міс.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</si>
  <si>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</si>
  <si>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середні витрати на утримання 1 туалету на  місяць, грн.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</si>
  <si>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</si>
  <si>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   Показник: обсяг видатків на поточний та капітальний ремонт, грн.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</si>
  <si>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 (програма "Енергодім")</t>
  </si>
  <si>
    <t>Показник: кількість місяців, що планується утримувати майданчик для складування відходів по вул. М.Лукаша, міс</t>
  </si>
  <si>
    <t>Показник: кількість місяців передбачених для технічного обслуговування камер відеоспостереження,міс</t>
  </si>
  <si>
    <t>Виконавець: Олександр Журба</t>
  </si>
  <si>
    <t>Олександр ЛИСЕНКО</t>
  </si>
  <si>
    <t>Додаток 21</t>
  </si>
  <si>
    <t>5</t>
  </si>
  <si>
    <t xml:space="preserve">    Показник: площа території дитячого парку "Казка", на якій планується косіння та прибирання трави, га</t>
  </si>
  <si>
    <t xml:space="preserve">    Показник: площа території дитячого парку "Казка", яка підлягає викашуванню та прибиранню трави, га</t>
  </si>
  <si>
    <t xml:space="preserve">    Показник: середні витрати на косіння та прибирання трави на  території дитячого парку "Казка",  грн.</t>
  </si>
  <si>
    <t>Завдання: 16.6. Проведення капітального та поточного ремонту колекторів та каналізаційних мереж (водопостачання), каналізаційних колодязів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</si>
</sst>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94"/>
  <sheetViews>
    <sheetView tabSelected="1" view="pageBreakPreview" zoomScale="106" zoomScaleNormal="85" zoomScaleSheetLayoutView="106" workbookViewId="0" topLeftCell="A1">
      <pane ySplit="17" topLeftCell="A916" activePane="bottomLeft" state="frozen"/>
      <selection pane="topLeft" activeCell="A2" sqref="A2"/>
      <selection pane="bottomLeft" activeCell="E885" sqref="E885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3"/>
      <c r="K2" s="293"/>
      <c r="L2" s="293"/>
      <c r="M2" s="58"/>
      <c r="N2" s="293" t="s">
        <v>559</v>
      </c>
      <c r="O2" s="293"/>
      <c r="P2" s="293"/>
      <c r="Q2" s="58"/>
      <c r="R2" s="58"/>
      <c r="S2" s="58"/>
    </row>
    <row r="3" spans="1:19" ht="14.25" customHeight="1">
      <c r="A3" s="62"/>
      <c r="B3" s="62"/>
      <c r="C3" s="62"/>
      <c r="D3" s="294"/>
      <c r="E3" s="294"/>
      <c r="F3" s="294"/>
      <c r="G3" s="294"/>
      <c r="H3" s="67"/>
      <c r="I3" s="67"/>
      <c r="J3" s="58"/>
      <c r="K3" s="58"/>
      <c r="L3" s="58"/>
      <c r="M3" s="58"/>
      <c r="N3" s="58" t="s">
        <v>164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4"/>
      <c r="E4" s="294"/>
      <c r="F4" s="294"/>
      <c r="G4" s="294"/>
      <c r="H4" s="67"/>
      <c r="I4" s="67"/>
      <c r="J4" s="58"/>
      <c r="K4" s="58"/>
      <c r="L4" s="58"/>
      <c r="M4" s="58"/>
      <c r="N4" s="58" t="s">
        <v>476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4"/>
      <c r="E5" s="294"/>
      <c r="F5" s="294"/>
      <c r="G5" s="294"/>
      <c r="H5" s="69"/>
      <c r="I5" s="69"/>
      <c r="J5" s="58"/>
      <c r="K5" s="58"/>
      <c r="L5" s="58"/>
      <c r="M5" s="58"/>
      <c r="N5" s="58" t="s">
        <v>471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4"/>
      <c r="E6" s="294"/>
      <c r="F6" s="294"/>
      <c r="G6" s="294"/>
      <c r="H6" s="69"/>
      <c r="I6" s="69"/>
      <c r="J6" s="58"/>
      <c r="K6" s="58"/>
      <c r="L6" s="58"/>
      <c r="M6" s="58"/>
      <c r="N6" s="58" t="s">
        <v>185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4"/>
      <c r="E7" s="294"/>
      <c r="F7" s="294"/>
      <c r="G7" s="294"/>
      <c r="H7" s="69"/>
      <c r="I7" s="69"/>
      <c r="J7" s="58"/>
      <c r="K7" s="58"/>
      <c r="L7" s="58"/>
      <c r="M7" s="58"/>
      <c r="N7" s="58" t="s">
        <v>472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4"/>
      <c r="E8" s="294"/>
      <c r="F8" s="294"/>
      <c r="G8" s="294"/>
      <c r="H8" s="69"/>
      <c r="I8" s="69"/>
      <c r="J8" s="58"/>
      <c r="K8" s="58"/>
      <c r="L8" s="58"/>
      <c r="M8" s="58"/>
      <c r="N8" s="58" t="s">
        <v>477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4"/>
      <c r="E9" s="294"/>
      <c r="F9" s="294"/>
      <c r="G9" s="294"/>
      <c r="H9" s="69"/>
      <c r="I9" s="69"/>
      <c r="J9" s="58"/>
      <c r="K9" s="58"/>
      <c r="L9" s="58"/>
      <c r="M9" s="58"/>
      <c r="N9" s="58" t="s">
        <v>506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548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6" t="s">
        <v>473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16" ht="16.5" customHeight="1">
      <c r="A13" s="70"/>
      <c r="B13" s="70"/>
      <c r="C13" s="70"/>
      <c r="D13" s="71"/>
      <c r="E13" s="71"/>
      <c r="F13" s="295" t="s">
        <v>186</v>
      </c>
      <c r="G13" s="295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301"/>
      <c r="B14" s="304" t="s">
        <v>17</v>
      </c>
      <c r="C14" s="304" t="s">
        <v>18</v>
      </c>
      <c r="D14" s="283">
        <v>2021</v>
      </c>
      <c r="E14" s="284"/>
      <c r="F14" s="285"/>
      <c r="G14" s="298">
        <v>2022</v>
      </c>
      <c r="H14" s="298"/>
      <c r="I14" s="298"/>
      <c r="J14" s="298"/>
      <c r="K14" s="21"/>
      <c r="L14" s="21"/>
      <c r="M14" s="21"/>
      <c r="N14" s="283">
        <v>2023</v>
      </c>
      <c r="O14" s="284"/>
      <c r="P14" s="285"/>
      <c r="EB14" s="15"/>
      <c r="EC14" s="15"/>
      <c r="ED14" s="15"/>
      <c r="EE14" s="15"/>
      <c r="EF14" s="15"/>
      <c r="EG14" s="15"/>
    </row>
    <row r="15" spans="1:137" ht="15.75" customHeight="1">
      <c r="A15" s="302"/>
      <c r="B15" s="302"/>
      <c r="C15" s="302"/>
      <c r="D15" s="286" t="s">
        <v>19</v>
      </c>
      <c r="E15" s="287"/>
      <c r="F15" s="288" t="s">
        <v>16</v>
      </c>
      <c r="G15" s="300" t="s">
        <v>19</v>
      </c>
      <c r="H15" s="300"/>
      <c r="I15" s="300"/>
      <c r="J15" s="297" t="s">
        <v>16</v>
      </c>
      <c r="K15" s="290" t="s">
        <v>15</v>
      </c>
      <c r="L15" s="291"/>
      <c r="M15" s="292"/>
      <c r="N15" s="286" t="s">
        <v>19</v>
      </c>
      <c r="O15" s="287"/>
      <c r="P15" s="288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3"/>
      <c r="B16" s="303"/>
      <c r="C16" s="303"/>
      <c r="D16" s="21" t="s">
        <v>0</v>
      </c>
      <c r="E16" s="21" t="s">
        <v>1</v>
      </c>
      <c r="F16" s="289"/>
      <c r="G16" s="21" t="s">
        <v>0</v>
      </c>
      <c r="H16" s="21" t="s">
        <v>1</v>
      </c>
      <c r="I16" s="21" t="s">
        <v>103</v>
      </c>
      <c r="J16" s="297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9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D23+D458+D478+D691+D708+D717+D855+D880+D889+D907+D917+D925+D934+D943+D952+D961+D683+D970+D986</f>
        <v>316549510.13036317</v>
      </c>
      <c r="E18" s="21">
        <f>E23+E458+E478+E691+E708+E717+E855+E880+E889+E907+E917+E925+E934+E943+E952+E961+E683+E970+E986</f>
        <v>110420338.00793</v>
      </c>
      <c r="F18" s="21">
        <f>F23+F458+F478+F691+F708+F717+F855+F880+F889+F907+F917+F925+F934+F943+F952+F961+F683+F970+F986</f>
        <v>426969848.1382932</v>
      </c>
      <c r="G18" s="21">
        <f>G23+G458+G478+G691+G708+G717+G855+G880+G889+G907+G917+G925+G934+G943+G952+G961</f>
        <v>438019494.0068245</v>
      </c>
      <c r="H18" s="21">
        <f>H23+H458+H478+H691+H708+H717+H855+H880+H889+H907+H917+H925+H934+H943+H952+H961</f>
        <v>219714200.0013</v>
      </c>
      <c r="I18" s="21" t="e">
        <f>I23+I458+I478+I691+I708+I717+I855+I880+I889+I907+I917+I925+I934+I943+I952+I961</f>
        <v>#REF!</v>
      </c>
      <c r="J18" s="21">
        <f>G18+H18</f>
        <v>657733694.0081245</v>
      </c>
      <c r="K18" s="21" t="e">
        <f>K23+K458+K478+K691+K708+K717+K855+K880+K889+K907+K917+K925+K934+K943+K952+K961</f>
        <v>#REF!</v>
      </c>
      <c r="L18" s="21" t="e">
        <f>L23+L458+L478+L691+L708+L717+L855+L880+L889+L907+L917+L925+L934+L943+L952+L961</f>
        <v>#REF!</v>
      </c>
      <c r="M18" s="21" t="e">
        <f>M23+M458+M478+M691+M708+M717+M855+M880+M889+M907+M917+M925+M934+M943+M952+M961</f>
        <v>#REF!</v>
      </c>
      <c r="N18" s="21">
        <f>N23+N458+N478+N691+N708+N717+N855+N880+N889+N907+N917+N925+N934+N943+N952+N961</f>
        <v>475117608.0026548</v>
      </c>
      <c r="O18" s="21">
        <f>O23+O458+O478+O691+O708+O717+O855+O880+O889+O907+O917+O925+O934+O943+O952+O961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61000000</v>
      </c>
      <c r="F19" s="21">
        <f>F24</f>
        <v>61000000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D479</f>
        <v>177740</v>
      </c>
      <c r="E20" s="21">
        <f aca="true" t="shared" si="1" ref="E20:Q20">E479</f>
        <v>223400</v>
      </c>
      <c r="F20" s="21">
        <f>F479</f>
        <v>401140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316727250.13036317</v>
      </c>
      <c r="E21" s="250">
        <f>E18+E19+E20</f>
        <v>171643738.00792998</v>
      </c>
      <c r="F21" s="250">
        <f>F18+F19+F20</f>
        <v>488370988.1382932</v>
      </c>
      <c r="G21" s="250">
        <f>G18+G19+G20</f>
        <v>438333224.0068245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754707794.0081245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422</v>
      </c>
      <c r="B22" s="189"/>
      <c r="C22" s="189"/>
      <c r="D22" s="201">
        <f>D25+D156+D180+D253+D310+D353+D443+D451</f>
        <v>256430005.13036397</v>
      </c>
      <c r="E22" s="201">
        <f>E25+E156+E180+E253+E310+E353+E443+E451</f>
        <v>105837000.00793</v>
      </c>
      <c r="F22" s="201">
        <f>D22+E22</f>
        <v>362267005.138294</v>
      </c>
      <c r="G22" s="201">
        <f>G25+G156+G180+G253+G310+G353+G443+G451</f>
        <v>422737565.0068245</v>
      </c>
      <c r="H22" s="201">
        <f>H25+H156+H180+H253+H310+H353+H443+H451</f>
        <v>192440000.0013</v>
      </c>
      <c r="I22" s="201">
        <f>I25+I156+I180+I253+I310+I353+I443+I451</f>
        <v>0</v>
      </c>
      <c r="J22" s="201">
        <f>G22+H22</f>
        <v>615177565.0081245</v>
      </c>
      <c r="K22" s="201" t="e">
        <f>K25+K156+K180+K253+K310+K353+K443+K451</f>
        <v>#REF!</v>
      </c>
      <c r="L22" s="201" t="e">
        <f>L25+L156+L180+L253+L310+L353+L443+L451</f>
        <v>#REF!</v>
      </c>
      <c r="M22" s="201" t="e">
        <f>M25+M156+M180+M253+M310+M353+M443+M451</f>
        <v>#REF!</v>
      </c>
      <c r="N22" s="201">
        <f>N25+N156+N180+N253+N310+N353+N443+N451</f>
        <v>459088100.0026548</v>
      </c>
      <c r="O22" s="201">
        <f>O25+O156+O180+O253+O310+O353+O443+O451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256430005.13036397</v>
      </c>
      <c r="E23" s="80">
        <f>E22-E24</f>
        <v>44837000.007929996</v>
      </c>
      <c r="F23" s="80">
        <f>D23+E23</f>
        <v>301267005.138294</v>
      </c>
      <c r="G23" s="80">
        <f>G22-G24</f>
        <v>422737565.0068245</v>
      </c>
      <c r="H23" s="80">
        <f>H22-H24</f>
        <v>96410000.0013</v>
      </c>
      <c r="I23" s="80" t="e">
        <f>I92+#REF!+I108+#REF!+I156+I181+#REF!+#REF!+#REF!+I443+I451</f>
        <v>#REF!</v>
      </c>
      <c r="J23" s="80">
        <f>G23+H23</f>
        <v>519147565.0081245</v>
      </c>
      <c r="K23" s="80" t="e">
        <f>K92+#REF!+K108+#REF!+K156+K181+#REF!+#REF!+#REF!+K443+K451</f>
        <v>#REF!</v>
      </c>
      <c r="L23" s="80" t="e">
        <f>L92+#REF!+L108+#REF!+L156+L181+#REF!+#REF!+#REF!+L443+L451</f>
        <v>#REF!</v>
      </c>
      <c r="M23" s="80" t="e">
        <f>M92+#REF!+M108+#REF!+M156+M181+#REF!+#REF!+#REF!+M443+M451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E26-7000000</f>
        <v>61000000</v>
      </c>
      <c r="F24" s="80">
        <f>SUM(D24)+E24</f>
        <v>61000000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518</v>
      </c>
      <c r="B25" s="82"/>
      <c r="C25" s="82"/>
      <c r="D25" s="191">
        <f>D26+D35+D45+D62+D69+D76+D85+D92+D101+D108+D121+D128+D135+D142+D149</f>
        <v>148599100.0048</v>
      </c>
      <c r="E25" s="191">
        <f>E26+E35+E45+E62+E69+E76+E85+E92+E101+E108+E121+E128+E135+E142+E149</f>
        <v>81137000.00453</v>
      </c>
      <c r="F25" s="191">
        <f>F26+F35+F45+F62+F69+F76+F85+F92+F101+F108+F121+F128+F135+F142+F149-0.01</f>
        <v>229736099.99933</v>
      </c>
      <c r="G25" s="191">
        <f aca="true" t="shared" si="3" ref="G25:P25">G26+G35+G45+G62+G69+G76+G85+G92+G101+G108+G121+G128+G135+G142+G149</f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519</v>
      </c>
      <c r="B26" s="79"/>
      <c r="C26" s="79"/>
      <c r="D26" s="83"/>
      <c r="E26" s="83">
        <f>90000000-29000000+7000000</f>
        <v>68000000</v>
      </c>
      <c r="F26" s="83">
        <f>SUM(D26)+E26</f>
        <v>68000000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55915.07486864068</v>
      </c>
      <c r="F30" s="76">
        <f>E30</f>
        <v>55915.07486864068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20.709286988385436</v>
      </c>
      <c r="F34" s="5">
        <f>F30/F28*100</f>
        <v>20.709286988385436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520</v>
      </c>
      <c r="B35" s="79"/>
      <c r="C35" s="79"/>
      <c r="D35" s="83">
        <f>156000000+25000000-63000000-25000000</f>
        <v>93000000</v>
      </c>
      <c r="E35" s="83"/>
      <c r="F35" s="83">
        <f>F41*F39</f>
        <v>93000000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57343.692193858675</v>
      </c>
      <c r="E39" s="76"/>
      <c r="F39" s="76">
        <f>D39</f>
        <v>57343.692193858675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19.638250751321465</v>
      </c>
      <c r="E43" s="5"/>
      <c r="F43" s="5">
        <f>F39/F37*100</f>
        <v>19.638250751321465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>
      <c r="A45" s="87" t="s">
        <v>521</v>
      </c>
      <c r="B45" s="79"/>
      <c r="C45" s="79"/>
      <c r="D45" s="83">
        <f>(D49*D51)+(D59*D57)+5.05</f>
        <v>51000000.0048</v>
      </c>
      <c r="E45" s="83"/>
      <c r="F45" s="83">
        <f>D45</f>
        <v>51000000.0048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>
      <c r="A51" s="6" t="s">
        <v>11</v>
      </c>
      <c r="B51" s="4"/>
      <c r="C51" s="4"/>
      <c r="D51" s="5">
        <v>22.87849</v>
      </c>
      <c r="E51" s="5"/>
      <c r="F51" s="5">
        <f>D51</f>
        <v>22.87849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>
      <c r="A55" s="6" t="s">
        <v>143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>
      <c r="A57" s="6" t="s">
        <v>142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>
      <c r="A62" s="87" t="s">
        <v>441</v>
      </c>
      <c r="B62" s="79"/>
      <c r="C62" s="79"/>
      <c r="D62" s="83">
        <f>1000000-600000</f>
        <v>400000</v>
      </c>
      <c r="E62" s="83"/>
      <c r="F62" s="83">
        <f>D62</f>
        <v>400000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>
      <c r="A64" s="6" t="s">
        <v>289</v>
      </c>
      <c r="B64" s="4"/>
      <c r="C64" s="4"/>
      <c r="D64" s="5">
        <f>D62</f>
        <v>400000</v>
      </c>
      <c r="E64" s="5"/>
      <c r="F64" s="5">
        <f>D64</f>
        <v>400000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>
      <c r="A65" s="3" t="s">
        <v>231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>
      <c r="A66" s="50" t="s">
        <v>290</v>
      </c>
      <c r="B66" s="4"/>
      <c r="C66" s="4"/>
      <c r="D66" s="5">
        <f>D64/D68</f>
        <v>2</v>
      </c>
      <c r="E66" s="5"/>
      <c r="F66" s="5">
        <f>D66</f>
        <v>2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>
      <c r="A67" s="3" t="s">
        <v>226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>
      <c r="A68" s="6" t="s">
        <v>291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>
      <c r="A69" s="87" t="s">
        <v>442</v>
      </c>
      <c r="B69" s="79"/>
      <c r="C69" s="79"/>
      <c r="D69" s="83">
        <f>D71</f>
        <v>395000</v>
      </c>
      <c r="E69" s="83">
        <f aca="true" t="shared" si="4" ref="E69:O69">E71</f>
        <v>2327000</v>
      </c>
      <c r="F69" s="83">
        <f t="shared" si="4"/>
        <v>2722000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>
      <c r="A71" s="6" t="s">
        <v>292</v>
      </c>
      <c r="B71" s="4"/>
      <c r="C71" s="4"/>
      <c r="D71" s="5">
        <f>1495000-1100000</f>
        <v>395000</v>
      </c>
      <c r="E71" s="5">
        <f>7327400-5000400</f>
        <v>2327000</v>
      </c>
      <c r="F71" s="5">
        <f>D71+E71</f>
        <v>2722000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11.25">
      <c r="A72" s="3" t="s">
        <v>231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11.25">
      <c r="A73" s="50" t="s">
        <v>293</v>
      </c>
      <c r="B73" s="4"/>
      <c r="C73" s="4"/>
      <c r="D73" s="91">
        <f>D71/D75</f>
        <v>2.6333333333333333</v>
      </c>
      <c r="E73" s="91">
        <v>4</v>
      </c>
      <c r="F73" s="91">
        <f>D73+E73</f>
        <v>6.633333333333333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11.25">
      <c r="A74" s="3" t="s">
        <v>226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>
      <c r="A75" s="6" t="s">
        <v>294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>
      <c r="A76" s="87" t="s">
        <v>443</v>
      </c>
      <c r="B76" s="79"/>
      <c r="C76" s="79"/>
      <c r="D76" s="83">
        <f>D78</f>
        <v>3000000</v>
      </c>
      <c r="E76" s="83"/>
      <c r="F76" s="83">
        <f>D76</f>
        <v>3000000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2.5">
      <c r="A78" s="6" t="s">
        <v>433</v>
      </c>
      <c r="B78" s="4"/>
      <c r="C78" s="4"/>
      <c r="D78" s="5">
        <f>9000000+6000000-12000000</f>
        <v>3000000</v>
      </c>
      <c r="E78" s="5"/>
      <c r="F78" s="5">
        <f>D78</f>
        <v>3000000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>
      <c r="A80" s="6" t="s">
        <v>434</v>
      </c>
      <c r="B80" s="4"/>
      <c r="C80" s="4"/>
      <c r="D80" s="5">
        <f>D78/D82</f>
        <v>3703.703703703704</v>
      </c>
      <c r="E80" s="5"/>
      <c r="F80" s="5">
        <f>D80</f>
        <v>3703.703703703704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>
      <c r="A82" s="6" t="s">
        <v>435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>
      <c r="A84" s="6" t="s">
        <v>436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>
      <c r="A85" s="87" t="s">
        <v>444</v>
      </c>
      <c r="B85" s="75"/>
      <c r="C85" s="75"/>
      <c r="D85" s="83">
        <f>D87</f>
        <v>0</v>
      </c>
      <c r="E85" s="83"/>
      <c r="F85" s="83">
        <f>D85</f>
        <v>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11.25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>
      <c r="A87" s="6" t="s">
        <v>310</v>
      </c>
      <c r="B87" s="4"/>
      <c r="C87" s="4"/>
      <c r="D87" s="5">
        <f>851000-851000</f>
        <v>0</v>
      </c>
      <c r="E87" s="5"/>
      <c r="F87" s="5">
        <f>D87</f>
        <v>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1.25">
      <c r="A88" s="3" t="s">
        <v>231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1.25">
      <c r="A89" s="50" t="s">
        <v>312</v>
      </c>
      <c r="B89" s="4"/>
      <c r="C89" s="4"/>
      <c r="D89" s="91"/>
      <c r="E89" s="91"/>
      <c r="F89" s="91">
        <f>D89</f>
        <v>0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11.25">
      <c r="A90" s="3" t="s">
        <v>226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>
      <c r="A91" s="6" t="s">
        <v>311</v>
      </c>
      <c r="B91" s="4"/>
      <c r="C91" s="4"/>
      <c r="D91" s="5"/>
      <c r="E91" s="5"/>
      <c r="F91" s="5">
        <f>D91</f>
        <v>0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>
      <c r="A92" s="87" t="s">
        <v>445</v>
      </c>
      <c r="B92" s="79"/>
      <c r="C92" s="79"/>
      <c r="D92" s="83">
        <f>2754100-2200000</f>
        <v>554100</v>
      </c>
      <c r="E92" s="83">
        <f>20000000-20000000</f>
        <v>0</v>
      </c>
      <c r="F92" s="83">
        <f>E92+D92</f>
        <v>554100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>
      <c r="A96" s="6" t="s">
        <v>288</v>
      </c>
      <c r="B96" s="4"/>
      <c r="C96" s="4"/>
      <c r="D96" s="5">
        <v>3</v>
      </c>
      <c r="E96" s="5"/>
      <c r="F96" s="5">
        <f>E96+D96</f>
        <v>3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>
      <c r="A98" s="74" t="s">
        <v>107</v>
      </c>
      <c r="B98" s="75"/>
      <c r="C98" s="75"/>
      <c r="D98" s="76">
        <f>D92/D96</f>
        <v>184700</v>
      </c>
      <c r="E98" s="76" t="e">
        <f>E92/E96</f>
        <v>#DIV/0!</v>
      </c>
      <c r="F98" s="76" t="e">
        <f>E98+D98</f>
        <v>#DIV/0!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>
      <c r="A100" s="74" t="s">
        <v>117</v>
      </c>
      <c r="B100" s="75"/>
      <c r="C100" s="75"/>
      <c r="D100" s="76">
        <f>D96/D94*100</f>
        <v>60</v>
      </c>
      <c r="E100" s="76">
        <f>E96/E94*100</f>
        <v>0</v>
      </c>
      <c r="F100" s="76">
        <f>F96/F94*100</f>
        <v>42.857142857142854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>
      <c r="A101" s="87" t="s">
        <v>446</v>
      </c>
      <c r="B101" s="75"/>
      <c r="C101" s="75"/>
      <c r="D101" s="83">
        <f>D103</f>
        <v>250000</v>
      </c>
      <c r="E101" s="83">
        <f aca="true" t="shared" si="5" ref="E101:P101">E103</f>
        <v>0</v>
      </c>
      <c r="F101" s="83">
        <f t="shared" si="5"/>
        <v>250000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>
      <c r="A103" s="6" t="s">
        <v>307</v>
      </c>
      <c r="B103" s="4"/>
      <c r="C103" s="4"/>
      <c r="D103" s="5">
        <f>1000000-750000</f>
        <v>250000</v>
      </c>
      <c r="E103" s="5">
        <f>2500000-2500000</f>
        <v>0</v>
      </c>
      <c r="F103" s="5">
        <f>D103+E103</f>
        <v>250000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>
      <c r="A104" s="3" t="s">
        <v>231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>
      <c r="A105" s="50" t="s">
        <v>308</v>
      </c>
      <c r="B105" s="4"/>
      <c r="C105" s="4"/>
      <c r="D105" s="5">
        <f>D103/D107</f>
        <v>8</v>
      </c>
      <c r="E105" s="5"/>
      <c r="F105" s="5">
        <f>D105+E105</f>
        <v>8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>
      <c r="A106" s="3" t="s">
        <v>226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>
      <c r="A107" s="6" t="s">
        <v>309</v>
      </c>
      <c r="B107" s="4"/>
      <c r="C107" s="4"/>
      <c r="D107" s="5">
        <v>31250</v>
      </c>
      <c r="E107" s="5"/>
      <c r="F107" s="5">
        <f>D107</f>
        <v>31250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>
      <c r="A108" s="87" t="s">
        <v>447</v>
      </c>
      <c r="B108" s="79"/>
      <c r="C108" s="79"/>
      <c r="D108" s="83"/>
      <c r="E108" s="83">
        <f>(E113*E116)+(E114*E117)-0.27</f>
        <v>10050000.004530001</v>
      </c>
      <c r="F108" s="83">
        <f>E108</f>
        <v>10050000.004530001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>
      <c r="A110" s="6" t="s">
        <v>437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2.5">
      <c r="A113" s="6" t="s">
        <v>438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>
      <c r="A114" s="6" t="s">
        <v>71</v>
      </c>
      <c r="B114" s="4"/>
      <c r="C114" s="4"/>
      <c r="D114" s="5"/>
      <c r="E114" s="5">
        <v>11867.22561</v>
      </c>
      <c r="F114" s="5">
        <f>E114</f>
        <v>11867.22561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>
      <c r="A116" s="6" t="s">
        <v>439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>
      <c r="A119" s="6" t="s">
        <v>440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3.75">
      <c r="A120" s="6" t="s">
        <v>72</v>
      </c>
      <c r="B120" s="4"/>
      <c r="C120" s="4"/>
      <c r="D120" s="5"/>
      <c r="E120" s="5">
        <f>E114/E111*100</f>
        <v>15.614770539473682</v>
      </c>
      <c r="F120" s="5">
        <f aca="true" t="shared" si="9" ref="F120:P120">F114/F111*100</f>
        <v>15.614770539473682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>
      <c r="A121" s="87" t="s">
        <v>448</v>
      </c>
      <c r="B121" s="75"/>
      <c r="C121" s="75"/>
      <c r="D121" s="83">
        <f>D123</f>
        <v>0</v>
      </c>
      <c r="E121" s="83"/>
      <c r="F121" s="83">
        <f>D121</f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>
      <c r="A123" s="6" t="s">
        <v>295</v>
      </c>
      <c r="B123" s="4"/>
      <c r="C123" s="4"/>
      <c r="D123" s="5">
        <f>2000000-2000000</f>
        <v>0</v>
      </c>
      <c r="E123" s="5"/>
      <c r="F123" s="5">
        <f>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>
      <c r="A124" s="3" t="s">
        <v>231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>
      <c r="A125" s="50" t="s">
        <v>296</v>
      </c>
      <c r="B125" s="4"/>
      <c r="C125" s="4"/>
      <c r="D125" s="5" t="e">
        <f>D123/D127</f>
        <v>#DIV/0!</v>
      </c>
      <c r="E125" s="5"/>
      <c r="F125" s="5" t="e">
        <f>D125</f>
        <v>#DIV/0!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11.25">
      <c r="A126" s="3" t="s">
        <v>226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22.5">
      <c r="A127" s="6" t="s">
        <v>297</v>
      </c>
      <c r="B127" s="4"/>
      <c r="C127" s="4"/>
      <c r="D127" s="5"/>
      <c r="E127" s="5"/>
      <c r="F127" s="5">
        <f>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>
      <c r="A128" s="87" t="s">
        <v>449</v>
      </c>
      <c r="B128" s="75"/>
      <c r="C128" s="75"/>
      <c r="D128" s="83">
        <f>D130</f>
        <v>0</v>
      </c>
      <c r="E128" s="83"/>
      <c r="F128" s="83">
        <f>D128</f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11.25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3.75">
      <c r="A130" s="6" t="s">
        <v>298</v>
      </c>
      <c r="B130" s="4"/>
      <c r="C130" s="4"/>
      <c r="D130" s="5">
        <f>5000000-5000000</f>
        <v>0</v>
      </c>
      <c r="E130" s="5"/>
      <c r="F130" s="5">
        <f>D130</f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11.25">
      <c r="A131" s="3" t="s">
        <v>231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>
      <c r="A132" s="50" t="s">
        <v>299</v>
      </c>
      <c r="B132" s="4"/>
      <c r="C132" s="4"/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11.25">
      <c r="A133" s="3" t="s">
        <v>226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11.25">
      <c r="A134" s="6" t="s">
        <v>300</v>
      </c>
      <c r="B134" s="4"/>
      <c r="C134" s="4"/>
      <c r="D134" s="5" t="e">
        <f>D130/D132</f>
        <v>#DIV/0!</v>
      </c>
      <c r="E134" s="5"/>
      <c r="F134" s="5" t="e">
        <f>D134</f>
        <v>#DIV/0!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22.5">
      <c r="A135" s="87" t="s">
        <v>450</v>
      </c>
      <c r="B135" s="75"/>
      <c r="C135" s="75"/>
      <c r="D135" s="83">
        <f>D137</f>
        <v>0</v>
      </c>
      <c r="E135" s="83"/>
      <c r="F135" s="83">
        <f>D135</f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11.25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>
      <c r="A137" s="6" t="s">
        <v>301</v>
      </c>
      <c r="B137" s="4"/>
      <c r="C137" s="4"/>
      <c r="D137" s="5">
        <f>5000000-5000000</f>
        <v>0</v>
      </c>
      <c r="E137" s="5"/>
      <c r="F137" s="5">
        <f>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1.25">
      <c r="A138" s="3" t="s">
        <v>231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1.25">
      <c r="A139" s="50" t="s">
        <v>299</v>
      </c>
      <c r="B139" s="4"/>
      <c r="C139" s="4"/>
      <c r="D139" s="5" t="e">
        <f>D137/D141</f>
        <v>#DIV/0!</v>
      </c>
      <c r="E139" s="5"/>
      <c r="F139" s="5" t="e">
        <f>D139</f>
        <v>#DIV/0!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11.25">
      <c r="A140" s="3" t="s">
        <v>226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>
      <c r="A141" s="6" t="s">
        <v>302</v>
      </c>
      <c r="B141" s="4"/>
      <c r="C141" s="4"/>
      <c r="D141" s="5"/>
      <c r="E141" s="5"/>
      <c r="F141" s="5">
        <f>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>
      <c r="A142" s="87" t="s">
        <v>451</v>
      </c>
      <c r="B142" s="75"/>
      <c r="C142" s="75"/>
      <c r="D142" s="83">
        <f>D144</f>
        <v>0</v>
      </c>
      <c r="E142" s="83"/>
      <c r="F142" s="83">
        <f>D142</f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1.25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>
      <c r="A144" s="6" t="s">
        <v>303</v>
      </c>
      <c r="B144" s="4"/>
      <c r="C144" s="4"/>
      <c r="D144" s="5">
        <f>1000000-1000000</f>
        <v>0</v>
      </c>
      <c r="E144" s="5"/>
      <c r="F144" s="5">
        <f>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11.25">
      <c r="A145" s="3" t="s">
        <v>231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1.25">
      <c r="A146" s="50" t="s">
        <v>299</v>
      </c>
      <c r="B146" s="4"/>
      <c r="C146" s="4"/>
      <c r="D146" s="5"/>
      <c r="E146" s="5"/>
      <c r="F146" s="5">
        <f>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11.25">
      <c r="A147" s="3" t="s">
        <v>226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>
      <c r="A148" s="6" t="s">
        <v>304</v>
      </c>
      <c r="B148" s="4"/>
      <c r="C148" s="4"/>
      <c r="D148" s="5" t="e">
        <f>D144/D146</f>
        <v>#DIV/0!</v>
      </c>
      <c r="E148" s="5"/>
      <c r="F148" s="5" t="e">
        <f>D148</f>
        <v>#DIV/0!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>
      <c r="A149" s="87" t="s">
        <v>399</v>
      </c>
      <c r="B149" s="75"/>
      <c r="C149" s="75"/>
      <c r="D149" s="76"/>
      <c r="E149" s="83">
        <f>600000+1200000+3500000-2800000-600000-1200000-700000+760000</f>
        <v>760000</v>
      </c>
      <c r="F149" s="83">
        <f>E149</f>
        <v>760000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11.25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>
      <c r="A151" s="6" t="s">
        <v>305</v>
      </c>
      <c r="B151" s="4"/>
      <c r="C151" s="4"/>
      <c r="D151" s="5"/>
      <c r="E151" s="5">
        <f>E149</f>
        <v>760000</v>
      </c>
      <c r="F151" s="5">
        <f>E151</f>
        <v>760000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11.25">
      <c r="A152" s="3" t="s">
        <v>231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>
      <c r="A153" s="50" t="s">
        <v>306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11.25">
      <c r="A154" s="3" t="s">
        <v>226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>
      <c r="A155" s="6" t="s">
        <v>313</v>
      </c>
      <c r="B155" s="4"/>
      <c r="C155" s="4"/>
      <c r="D155" s="5"/>
      <c r="E155" s="5">
        <f>E151/E153</f>
        <v>253333.33333333334</v>
      </c>
      <c r="F155" s="5">
        <f>F151/F153</f>
        <v>253333.33333333334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>
      <c r="A156" s="196" t="s">
        <v>517</v>
      </c>
      <c r="B156" s="197"/>
      <c r="C156" s="197"/>
      <c r="D156" s="195">
        <f>(D162*D175)+(D165*D171)+(D167*D173)+(D168*D174)-2.94</f>
        <v>48478200.00395236</v>
      </c>
      <c r="E156" s="195">
        <f>E166*E172-2.77</f>
        <v>3700000.0034</v>
      </c>
      <c r="F156" s="195">
        <f>D156+E156</f>
        <v>52178200.00735236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3" customFormat="1" ht="21" customHeight="1">
      <c r="A157" s="271" t="s">
        <v>34</v>
      </c>
      <c r="B157" s="266"/>
      <c r="C157" s="266"/>
      <c r="D157" s="272">
        <v>664.71</v>
      </c>
      <c r="E157" s="272"/>
      <c r="F157" s="272">
        <f>D157</f>
        <v>664.71</v>
      </c>
      <c r="G157" s="272">
        <v>664.71</v>
      </c>
      <c r="H157" s="272"/>
      <c r="I157" s="272"/>
      <c r="J157" s="272">
        <f>G157</f>
        <v>664.71</v>
      </c>
      <c r="K157" s="272"/>
      <c r="L157" s="272"/>
      <c r="M157" s="272"/>
      <c r="N157" s="272">
        <v>664.71</v>
      </c>
      <c r="O157" s="272"/>
      <c r="P157" s="272">
        <f>N157</f>
        <v>664.71</v>
      </c>
      <c r="EB157" s="270"/>
      <c r="EC157" s="270"/>
      <c r="ED157" s="270"/>
      <c r="EE157" s="270"/>
      <c r="EF157" s="270"/>
      <c r="EG157" s="270"/>
    </row>
    <row r="158" spans="1:137" s="15" customFormat="1" ht="27" customHeight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>
      <c r="A162" s="6" t="s">
        <v>39</v>
      </c>
      <c r="B162" s="4"/>
      <c r="C162" s="4"/>
      <c r="D162" s="76">
        <f>8922454.63+1851851.8518-10987.6543209</f>
        <v>10763318.827479102</v>
      </c>
      <c r="E162" s="76"/>
      <c r="F162" s="76">
        <f>D162</f>
        <v>10763318.827479102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>
      <c r="A164" s="6" t="s">
        <v>260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>
      <c r="A165" s="6" t="s">
        <v>40</v>
      </c>
      <c r="B165" s="4"/>
      <c r="C165" s="4"/>
      <c r="D165" s="76">
        <v>33.701</v>
      </c>
      <c r="E165" s="76"/>
      <c r="F165" s="76">
        <f>D165</f>
        <v>33.701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>
      <c r="A166" s="6" t="s">
        <v>41</v>
      </c>
      <c r="B166" s="4"/>
      <c r="C166" s="4"/>
      <c r="D166" s="76"/>
      <c r="E166" s="76">
        <v>10.41</v>
      </c>
      <c r="F166" s="76">
        <f>E166</f>
        <v>10.41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>
      <c r="A168" s="6" t="s">
        <v>42</v>
      </c>
      <c r="B168" s="4"/>
      <c r="C168" s="4"/>
      <c r="D168" s="76">
        <v>1000</v>
      </c>
      <c r="E168" s="76"/>
      <c r="F168" s="76">
        <f>D168</f>
        <v>1000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>
      <c r="A171" s="6" t="s">
        <v>44</v>
      </c>
      <c r="B171" s="4"/>
      <c r="C171" s="4"/>
      <c r="D171" s="76">
        <v>121042.829565</v>
      </c>
      <c r="E171" s="76"/>
      <c r="F171" s="76">
        <f>D171</f>
        <v>121042.829565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>
      <c r="A172" s="6" t="s">
        <v>45</v>
      </c>
      <c r="B172" s="4"/>
      <c r="C172" s="4"/>
      <c r="D172" s="76"/>
      <c r="E172" s="76">
        <v>355427.74</v>
      </c>
      <c r="F172" s="76">
        <f>E172</f>
        <v>355427.74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>
      <c r="A173" s="6" t="s">
        <v>46</v>
      </c>
      <c r="B173" s="4"/>
      <c r="C173" s="4"/>
      <c r="D173" s="76">
        <v>375.64125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>
      <c r="A174" s="6" t="s">
        <v>47</v>
      </c>
      <c r="B174" s="4"/>
      <c r="C174" s="4"/>
      <c r="D174" s="76">
        <v>2390.48</v>
      </c>
      <c r="E174" s="76"/>
      <c r="F174" s="76">
        <f>D174</f>
        <v>2390.48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>
      <c r="A175" s="6" t="s">
        <v>121</v>
      </c>
      <c r="B175" s="4"/>
      <c r="C175" s="4"/>
      <c r="D175" s="76">
        <v>3.24</v>
      </c>
      <c r="E175" s="76"/>
      <c r="F175" s="76">
        <f>D175</f>
        <v>3.24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>
      <c r="A177" s="6" t="s">
        <v>49</v>
      </c>
      <c r="B177" s="4"/>
      <c r="C177" s="4"/>
      <c r="D177" s="5"/>
      <c r="E177" s="5">
        <f>E166/E158*100</f>
        <v>2.252612901131716</v>
      </c>
      <c r="F177" s="5">
        <f>E177</f>
        <v>2.252612901131716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>
      <c r="A178" s="6" t="s">
        <v>48</v>
      </c>
      <c r="B178" s="4"/>
      <c r="C178" s="4"/>
      <c r="D178" s="5">
        <f>D165/D159*100</f>
        <v>31.8444675422848</v>
      </c>
      <c r="E178" s="5"/>
      <c r="F178" s="5">
        <f>D178</f>
        <v>31.8444675422848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>
      <c r="A179" s="6" t="s">
        <v>50</v>
      </c>
      <c r="B179" s="4"/>
      <c r="C179" s="4"/>
      <c r="D179" s="5">
        <f>D168/D161*100</f>
        <v>12.5</v>
      </c>
      <c r="E179" s="5"/>
      <c r="F179" s="5">
        <f>D179</f>
        <v>12.5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>
      <c r="A180" s="190" t="s">
        <v>522</v>
      </c>
      <c r="B180" s="4"/>
      <c r="C180" s="4"/>
      <c r="D180" s="191">
        <f>D181+D225+D232+D239+D246</f>
        <v>20354205.12161162</v>
      </c>
      <c r="E180" s="191">
        <f>E181+E225+E232+E239+E246</f>
        <v>17000000</v>
      </c>
      <c r="F180" s="191">
        <f>D180+E180</f>
        <v>37354205.121611625</v>
      </c>
      <c r="G180" s="191">
        <f aca="true" t="shared" si="10" ref="G180:O180">G181+G225+G232+G239+G246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>
      <c r="A181" s="87" t="s">
        <v>523</v>
      </c>
      <c r="B181" s="79"/>
      <c r="C181" s="79"/>
      <c r="D181" s="83">
        <f>D193*D208+D194*D209+D195*D210+D196*D211+D197*D212+D198*D213+D199*D214+D200*D215+D201*D216+D202*D217+D203*D218+D204*D220+D206*D221+D205*D219-10</f>
        <v>18744205.12161162</v>
      </c>
      <c r="E181" s="83">
        <f aca="true" t="shared" si="11" ref="E181:O181">E193*E208+E194*E209+E195*E210+E196*E211+E197*E212+E198*E213+E199*E214+E200*E215+E201*E216+E202*E217+E203*E218+E204*E220+E206*E221</f>
        <v>0</v>
      </c>
      <c r="F181" s="83">
        <f>D181+E181</f>
        <v>18744205.12161162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>
      <c r="A183" s="6" t="s">
        <v>343</v>
      </c>
      <c r="B183" s="4"/>
      <c r="C183" s="4"/>
      <c r="D183" s="5">
        <v>175</v>
      </c>
      <c r="E183" s="5"/>
      <c r="F183" s="5">
        <f aca="true" t="shared" si="12" ref="F183:F190">D183</f>
        <v>175</v>
      </c>
      <c r="G183" s="5">
        <v>180</v>
      </c>
      <c r="H183" s="76"/>
      <c r="I183" s="5"/>
      <c r="J183" s="5">
        <f aca="true" t="shared" si="13" ref="J183:J191">G183</f>
        <v>180</v>
      </c>
      <c r="K183" s="5"/>
      <c r="L183" s="5"/>
      <c r="M183" s="5"/>
      <c r="N183" s="5">
        <v>187</v>
      </c>
      <c r="O183" s="5"/>
      <c r="P183" s="5">
        <f aca="true" t="shared" si="14" ref="P183:P191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>
      <c r="A184" s="6" t="s">
        <v>344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>
      <c r="A185" s="6" t="s">
        <v>122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>
      <c r="A187" s="6" t="s">
        <v>348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>
      <c r="A188" s="6" t="s">
        <v>347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>
      <c r="A189" s="74" t="s">
        <v>562</v>
      </c>
      <c r="B189" s="4"/>
      <c r="C189" s="4"/>
      <c r="D189" s="5">
        <v>10.714</v>
      </c>
      <c r="E189" s="5"/>
      <c r="F189" s="5">
        <f t="shared" si="12"/>
        <v>10.714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EB189" s="116"/>
      <c r="EC189" s="116"/>
      <c r="ED189" s="116"/>
      <c r="EE189" s="116"/>
      <c r="EF189" s="116"/>
      <c r="EG189" s="116"/>
    </row>
    <row r="190" spans="1:137" s="115" customFormat="1" ht="29.25" customHeight="1">
      <c r="A190" s="6" t="s">
        <v>349</v>
      </c>
      <c r="B190" s="4"/>
      <c r="C190" s="4"/>
      <c r="D190" s="5">
        <v>9</v>
      </c>
      <c r="E190" s="5"/>
      <c r="F190" s="5">
        <f t="shared" si="12"/>
        <v>9</v>
      </c>
      <c r="G190" s="5">
        <v>9</v>
      </c>
      <c r="H190" s="5"/>
      <c r="I190" s="5"/>
      <c r="J190" s="5">
        <f t="shared" si="13"/>
        <v>9</v>
      </c>
      <c r="K190" s="5"/>
      <c r="L190" s="5"/>
      <c r="M190" s="5"/>
      <c r="N190" s="5">
        <v>9</v>
      </c>
      <c r="O190" s="5"/>
      <c r="P190" s="5">
        <f t="shared" si="14"/>
        <v>9</v>
      </c>
      <c r="EB190" s="116"/>
      <c r="EC190" s="116"/>
      <c r="ED190" s="116"/>
      <c r="EE190" s="116"/>
      <c r="EF190" s="116"/>
      <c r="EG190" s="116"/>
    </row>
    <row r="191" spans="1:137" s="15" customFormat="1" ht="26.25" customHeight="1">
      <c r="A191" s="6" t="s">
        <v>350</v>
      </c>
      <c r="B191" s="4"/>
      <c r="C191" s="4"/>
      <c r="D191" s="5">
        <v>62620</v>
      </c>
      <c r="E191" s="5"/>
      <c r="F191" s="5">
        <f>D191</f>
        <v>62620</v>
      </c>
      <c r="G191" s="5">
        <v>62633</v>
      </c>
      <c r="H191" s="5"/>
      <c r="I191" s="5"/>
      <c r="J191" s="5">
        <f t="shared" si="13"/>
        <v>62633</v>
      </c>
      <c r="K191" s="5"/>
      <c r="L191" s="5"/>
      <c r="M191" s="5"/>
      <c r="N191" s="5">
        <v>62625</v>
      </c>
      <c r="O191" s="5"/>
      <c r="P191" s="5">
        <f t="shared" si="14"/>
        <v>62625</v>
      </c>
      <c r="EB191" s="34"/>
      <c r="EC191" s="34"/>
      <c r="ED191" s="34"/>
      <c r="EE191" s="34"/>
      <c r="EF191" s="34"/>
      <c r="EG191" s="34"/>
    </row>
    <row r="192" spans="1:137" s="15" customFormat="1" ht="11.25">
      <c r="A192" s="3" t="s">
        <v>3</v>
      </c>
      <c r="B192" s="25"/>
      <c r="C192" s="25"/>
      <c r="D192" s="18"/>
      <c r="E192" s="18"/>
      <c r="F192" s="18"/>
      <c r="G192" s="18"/>
      <c r="H192" s="18"/>
      <c r="I192" s="18"/>
      <c r="J192" s="5"/>
      <c r="K192" s="5"/>
      <c r="L192" s="5"/>
      <c r="M192" s="5"/>
      <c r="N192" s="18"/>
      <c r="O192" s="18"/>
      <c r="P192" s="5"/>
      <c r="EB192" s="34"/>
      <c r="EC192" s="34"/>
      <c r="ED192" s="34"/>
      <c r="EE192" s="34"/>
      <c r="EF192" s="34"/>
      <c r="EG192" s="34"/>
    </row>
    <row r="193" spans="1:137" s="115" customFormat="1" ht="28.5" customHeight="1">
      <c r="A193" s="6" t="s">
        <v>320</v>
      </c>
      <c r="B193" s="4"/>
      <c r="C193" s="4"/>
      <c r="D193" s="5">
        <v>175</v>
      </c>
      <c r="E193" s="5"/>
      <c r="F193" s="5">
        <f>D193</f>
        <v>175</v>
      </c>
      <c r="G193" s="5">
        <v>180</v>
      </c>
      <c r="H193" s="5"/>
      <c r="I193" s="5"/>
      <c r="J193" s="5">
        <f aca="true" t="shared" si="15" ref="J193:J198">G193</f>
        <v>180</v>
      </c>
      <c r="K193" s="5"/>
      <c r="L193" s="5"/>
      <c r="M193" s="5"/>
      <c r="N193" s="5">
        <v>187</v>
      </c>
      <c r="O193" s="5"/>
      <c r="P193" s="5">
        <f aca="true" t="shared" si="16" ref="P193:P198">N193</f>
        <v>187</v>
      </c>
      <c r="EB193" s="116"/>
      <c r="EC193" s="116"/>
      <c r="ED193" s="116"/>
      <c r="EE193" s="116"/>
      <c r="EF193" s="116"/>
      <c r="EG193" s="116"/>
    </row>
    <row r="194" spans="1:137" s="115" customFormat="1" ht="22.5">
      <c r="A194" s="6" t="s">
        <v>318</v>
      </c>
      <c r="B194" s="4"/>
      <c r="C194" s="4"/>
      <c r="D194" s="76">
        <v>1628</v>
      </c>
      <c r="E194" s="5"/>
      <c r="F194" s="5">
        <f aca="true" t="shared" si="17" ref="F194:F206">D194</f>
        <v>1628</v>
      </c>
      <c r="G194" s="5">
        <v>1556</v>
      </c>
      <c r="H194" s="5"/>
      <c r="I194" s="5"/>
      <c r="J194" s="5">
        <f t="shared" si="15"/>
        <v>1556</v>
      </c>
      <c r="K194" s="5"/>
      <c r="L194" s="5"/>
      <c r="M194" s="5"/>
      <c r="N194" s="5">
        <v>1583</v>
      </c>
      <c r="O194" s="5"/>
      <c r="P194" s="5">
        <f t="shared" si="16"/>
        <v>1583</v>
      </c>
      <c r="EB194" s="116"/>
      <c r="EC194" s="116"/>
      <c r="ED194" s="116"/>
      <c r="EE194" s="116"/>
      <c r="EF194" s="116"/>
      <c r="EG194" s="116"/>
    </row>
    <row r="195" spans="1:137" s="115" customFormat="1" ht="22.5">
      <c r="A195" s="6" t="s">
        <v>341</v>
      </c>
      <c r="B195" s="4"/>
      <c r="C195" s="4"/>
      <c r="D195" s="76">
        <v>0</v>
      </c>
      <c r="E195" s="5"/>
      <c r="F195" s="5">
        <f>D195</f>
        <v>0</v>
      </c>
      <c r="G195" s="5">
        <v>7.33</v>
      </c>
      <c r="H195" s="5"/>
      <c r="I195" s="5"/>
      <c r="J195" s="5">
        <f>G195</f>
        <v>7.33</v>
      </c>
      <c r="K195" s="5"/>
      <c r="L195" s="5"/>
      <c r="M195" s="5"/>
      <c r="N195" s="5">
        <v>7.77</v>
      </c>
      <c r="O195" s="5"/>
      <c r="P195" s="5">
        <f>N195</f>
        <v>7.77</v>
      </c>
      <c r="EB195" s="116"/>
      <c r="EC195" s="116"/>
      <c r="ED195" s="116"/>
      <c r="EE195" s="116"/>
      <c r="EF195" s="116"/>
      <c r="EG195" s="116"/>
    </row>
    <row r="196" spans="1:137" s="115" customFormat="1" ht="26.25" customHeight="1">
      <c r="A196" s="6" t="s">
        <v>351</v>
      </c>
      <c r="B196" s="4"/>
      <c r="C196" s="4"/>
      <c r="D196" s="76">
        <v>200</v>
      </c>
      <c r="E196" s="5"/>
      <c r="F196" s="5">
        <f>D196</f>
        <v>200</v>
      </c>
      <c r="G196" s="5">
        <v>620</v>
      </c>
      <c r="H196" s="5"/>
      <c r="I196" s="5"/>
      <c r="J196" s="5">
        <f>G196</f>
        <v>620</v>
      </c>
      <c r="K196" s="5"/>
      <c r="L196" s="5"/>
      <c r="M196" s="5"/>
      <c r="N196" s="5">
        <v>645</v>
      </c>
      <c r="O196" s="5"/>
      <c r="P196" s="5">
        <f>N196</f>
        <v>645</v>
      </c>
      <c r="EB196" s="116"/>
      <c r="EC196" s="116"/>
      <c r="ED196" s="116"/>
      <c r="EE196" s="116"/>
      <c r="EF196" s="116"/>
      <c r="EG196" s="116"/>
    </row>
    <row r="197" spans="1:137" s="115" customFormat="1" ht="22.5">
      <c r="A197" s="6" t="s">
        <v>52</v>
      </c>
      <c r="B197" s="4"/>
      <c r="C197" s="4"/>
      <c r="D197" s="76">
        <v>458</v>
      </c>
      <c r="E197" s="5"/>
      <c r="F197" s="5">
        <f t="shared" si="17"/>
        <v>458</v>
      </c>
      <c r="G197" s="5">
        <v>472</v>
      </c>
      <c r="H197" s="5"/>
      <c r="I197" s="5"/>
      <c r="J197" s="5">
        <f t="shared" si="15"/>
        <v>472</v>
      </c>
      <c r="K197" s="5"/>
      <c r="L197" s="5"/>
      <c r="M197" s="5"/>
      <c r="N197" s="5">
        <v>490</v>
      </c>
      <c r="O197" s="5"/>
      <c r="P197" s="5">
        <f t="shared" si="16"/>
        <v>490</v>
      </c>
      <c r="EB197" s="116"/>
      <c r="EC197" s="116"/>
      <c r="ED197" s="116"/>
      <c r="EE197" s="116"/>
      <c r="EF197" s="116"/>
      <c r="EG197" s="116"/>
    </row>
    <row r="198" spans="1:137" s="115" customFormat="1" ht="22.5">
      <c r="A198" s="6" t="s">
        <v>321</v>
      </c>
      <c r="B198" s="4"/>
      <c r="C198" s="4"/>
      <c r="D198" s="76">
        <v>76.26</v>
      </c>
      <c r="E198" s="5"/>
      <c r="F198" s="5">
        <f t="shared" si="17"/>
        <v>76.26</v>
      </c>
      <c r="G198" s="5">
        <v>76.26</v>
      </c>
      <c r="H198" s="5"/>
      <c r="I198" s="5"/>
      <c r="J198" s="5">
        <f t="shared" si="15"/>
        <v>76.26</v>
      </c>
      <c r="K198" s="5"/>
      <c r="L198" s="5"/>
      <c r="M198" s="5"/>
      <c r="N198" s="5">
        <f>J198</f>
        <v>76.26</v>
      </c>
      <c r="O198" s="5"/>
      <c r="P198" s="5">
        <f t="shared" si="16"/>
        <v>76.26</v>
      </c>
      <c r="EB198" s="116"/>
      <c r="EC198" s="116"/>
      <c r="ED198" s="116"/>
      <c r="EE198" s="116"/>
      <c r="EF198" s="116"/>
      <c r="EG198" s="116"/>
    </row>
    <row r="199" spans="1:137" s="115" customFormat="1" ht="22.5">
      <c r="A199" s="6" t="s">
        <v>331</v>
      </c>
      <c r="B199" s="4"/>
      <c r="C199" s="4"/>
      <c r="D199" s="76">
        <v>11000</v>
      </c>
      <c r="E199" s="5"/>
      <c r="F199" s="5">
        <f>D199</f>
        <v>11000</v>
      </c>
      <c r="G199" s="5">
        <v>11000</v>
      </c>
      <c r="H199" s="5"/>
      <c r="I199" s="5"/>
      <c r="J199" s="5">
        <f>G199</f>
        <v>11000</v>
      </c>
      <c r="K199" s="5"/>
      <c r="L199" s="5"/>
      <c r="M199" s="5"/>
      <c r="N199" s="5">
        <v>11000</v>
      </c>
      <c r="O199" s="5"/>
      <c r="P199" s="5">
        <f>N199</f>
        <v>11000</v>
      </c>
      <c r="EB199" s="116"/>
      <c r="EC199" s="116"/>
      <c r="ED199" s="116"/>
      <c r="EE199" s="116"/>
      <c r="EF199" s="116"/>
      <c r="EG199" s="116"/>
    </row>
    <row r="200" spans="1:137" s="115" customFormat="1" ht="22.5">
      <c r="A200" s="6" t="s">
        <v>333</v>
      </c>
      <c r="B200" s="4"/>
      <c r="C200" s="4"/>
      <c r="D200" s="76">
        <v>1</v>
      </c>
      <c r="E200" s="5"/>
      <c r="F200" s="5">
        <f>D200</f>
        <v>1</v>
      </c>
      <c r="G200" s="5">
        <v>1</v>
      </c>
      <c r="H200" s="5"/>
      <c r="I200" s="5"/>
      <c r="J200" s="5">
        <f>G200</f>
        <v>1</v>
      </c>
      <c r="K200" s="5"/>
      <c r="L200" s="5"/>
      <c r="M200" s="5"/>
      <c r="N200" s="5">
        <v>1</v>
      </c>
      <c r="O200" s="5"/>
      <c r="P200" s="5">
        <f>N200</f>
        <v>1</v>
      </c>
      <c r="EB200" s="116"/>
      <c r="EC200" s="116"/>
      <c r="ED200" s="116"/>
      <c r="EE200" s="116"/>
      <c r="EF200" s="116"/>
      <c r="EG200" s="116"/>
    </row>
    <row r="201" spans="1:137" s="115" customFormat="1" ht="22.5">
      <c r="A201" s="6" t="s">
        <v>74</v>
      </c>
      <c r="B201" s="4"/>
      <c r="C201" s="4"/>
      <c r="D201" s="76">
        <v>11.549</v>
      </c>
      <c r="E201" s="5"/>
      <c r="F201" s="5">
        <f t="shared" si="17"/>
        <v>11.549</v>
      </c>
      <c r="G201" s="5">
        <v>11.549</v>
      </c>
      <c r="H201" s="5"/>
      <c r="I201" s="5"/>
      <c r="J201" s="5">
        <v>11.55</v>
      </c>
      <c r="K201" s="5"/>
      <c r="L201" s="5"/>
      <c r="M201" s="5"/>
      <c r="N201" s="5">
        <v>11.549</v>
      </c>
      <c r="O201" s="5"/>
      <c r="P201" s="5">
        <v>11.55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>
      <c r="A202" s="6" t="s">
        <v>336</v>
      </c>
      <c r="B202" s="4"/>
      <c r="C202" s="4"/>
      <c r="D202" s="76">
        <v>26</v>
      </c>
      <c r="E202" s="5"/>
      <c r="F202" s="5">
        <f t="shared" si="17"/>
        <v>26</v>
      </c>
      <c r="G202" s="5">
        <v>14</v>
      </c>
      <c r="H202" s="5"/>
      <c r="I202" s="5"/>
      <c r="J202" s="5">
        <f>G202</f>
        <v>14</v>
      </c>
      <c r="K202" s="5"/>
      <c r="L202" s="5"/>
      <c r="M202" s="5"/>
      <c r="N202" s="5">
        <v>12</v>
      </c>
      <c r="O202" s="5"/>
      <c r="P202" s="5">
        <f>N202</f>
        <v>12</v>
      </c>
      <c r="EB202" s="116"/>
      <c r="EC202" s="116"/>
      <c r="ED202" s="116"/>
      <c r="EE202" s="116"/>
      <c r="EF202" s="116"/>
      <c r="EG202" s="116"/>
    </row>
    <row r="203" spans="1:137" s="115" customFormat="1" ht="22.5">
      <c r="A203" s="6" t="s">
        <v>337</v>
      </c>
      <c r="B203" s="4"/>
      <c r="C203" s="4"/>
      <c r="D203" s="76">
        <v>20</v>
      </c>
      <c r="E203" s="5"/>
      <c r="F203" s="5">
        <f t="shared" si="17"/>
        <v>20</v>
      </c>
      <c r="G203" s="5">
        <v>19</v>
      </c>
      <c r="H203" s="5"/>
      <c r="I203" s="5"/>
      <c r="J203" s="5">
        <f>G203</f>
        <v>19</v>
      </c>
      <c r="K203" s="5"/>
      <c r="L203" s="5"/>
      <c r="M203" s="5"/>
      <c r="N203" s="5">
        <v>18</v>
      </c>
      <c r="O203" s="5"/>
      <c r="P203" s="5">
        <f>N203</f>
        <v>18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>
      <c r="A204" s="6" t="s">
        <v>339</v>
      </c>
      <c r="B204" s="4"/>
      <c r="C204" s="4"/>
      <c r="D204" s="76">
        <v>132.8</v>
      </c>
      <c r="E204" s="5"/>
      <c r="F204" s="5">
        <f t="shared" si="17"/>
        <v>132.8</v>
      </c>
      <c r="G204" s="5">
        <v>9298</v>
      </c>
      <c r="H204" s="5"/>
      <c r="I204" s="5"/>
      <c r="J204" s="5">
        <f>G204</f>
        <v>9298</v>
      </c>
      <c r="K204" s="5"/>
      <c r="L204" s="5"/>
      <c r="M204" s="5"/>
      <c r="N204" s="5">
        <v>9298</v>
      </c>
      <c r="O204" s="5"/>
      <c r="P204" s="5">
        <f>N204</f>
        <v>9298</v>
      </c>
      <c r="EB204" s="116"/>
      <c r="EC204" s="116"/>
      <c r="ED204" s="116"/>
      <c r="EE204" s="116"/>
      <c r="EF204" s="116"/>
      <c r="EG204" s="116"/>
    </row>
    <row r="205" spans="1:137" s="115" customFormat="1" ht="28.5" customHeight="1">
      <c r="A205" s="74" t="s">
        <v>561</v>
      </c>
      <c r="B205" s="4"/>
      <c r="C205" s="4"/>
      <c r="D205" s="76">
        <v>10.714</v>
      </c>
      <c r="E205" s="5"/>
      <c r="F205" s="5">
        <f t="shared" si="17"/>
        <v>10.714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EB205" s="116"/>
      <c r="EC205" s="116"/>
      <c r="ED205" s="116"/>
      <c r="EE205" s="116"/>
      <c r="EF205" s="116"/>
      <c r="EG205" s="116"/>
    </row>
    <row r="206" spans="1:137" s="115" customFormat="1" ht="28.5" customHeight="1">
      <c r="A206" s="6" t="s">
        <v>118</v>
      </c>
      <c r="B206" s="4"/>
      <c r="C206" s="4"/>
      <c r="D206" s="76">
        <v>9</v>
      </c>
      <c r="E206" s="5"/>
      <c r="F206" s="5">
        <f t="shared" si="17"/>
        <v>9</v>
      </c>
      <c r="G206" s="5">
        <v>9</v>
      </c>
      <c r="H206" s="5"/>
      <c r="I206" s="5"/>
      <c r="J206" s="5">
        <f>G206</f>
        <v>9</v>
      </c>
      <c r="K206" s="5"/>
      <c r="L206" s="5"/>
      <c r="M206" s="5"/>
      <c r="N206" s="5">
        <v>9</v>
      </c>
      <c r="O206" s="5"/>
      <c r="P206" s="5">
        <f>N206</f>
        <v>9</v>
      </c>
      <c r="EB206" s="116"/>
      <c r="EC206" s="116"/>
      <c r="ED206" s="116"/>
      <c r="EE206" s="116"/>
      <c r="EF206" s="116"/>
      <c r="EG206" s="116"/>
    </row>
    <row r="207" spans="1:137" s="15" customFormat="1" ht="11.25">
      <c r="A207" s="3" t="s">
        <v>5</v>
      </c>
      <c r="B207" s="25"/>
      <c r="C207" s="25"/>
      <c r="D207" s="18"/>
      <c r="E207" s="18"/>
      <c r="F207" s="5"/>
      <c r="G207" s="18"/>
      <c r="H207" s="18"/>
      <c r="I207" s="18"/>
      <c r="J207" s="5"/>
      <c r="K207" s="5"/>
      <c r="L207" s="5"/>
      <c r="M207" s="5"/>
      <c r="N207" s="18"/>
      <c r="O207" s="18"/>
      <c r="P207" s="5"/>
      <c r="EB207" s="34"/>
      <c r="EC207" s="34"/>
      <c r="ED207" s="34"/>
      <c r="EE207" s="34"/>
      <c r="EF207" s="34"/>
      <c r="EG207" s="34"/>
    </row>
    <row r="208" spans="1:137" s="115" customFormat="1" ht="22.5">
      <c r="A208" s="6" t="s">
        <v>319</v>
      </c>
      <c r="B208" s="25"/>
      <c r="C208" s="25"/>
      <c r="D208" s="76">
        <v>24000</v>
      </c>
      <c r="E208" s="18"/>
      <c r="F208" s="5">
        <f>D208</f>
        <v>24000</v>
      </c>
      <c r="G208" s="5">
        <v>62328</v>
      </c>
      <c r="H208" s="18"/>
      <c r="I208" s="18"/>
      <c r="J208" s="5">
        <f aca="true" t="shared" si="18" ref="J208:J215">G208</f>
        <v>62328</v>
      </c>
      <c r="K208" s="5"/>
      <c r="L208" s="5"/>
      <c r="M208" s="5"/>
      <c r="N208" s="5">
        <v>65750.26</v>
      </c>
      <c r="O208" s="18"/>
      <c r="P208" s="5">
        <f aca="true" t="shared" si="19" ref="P208:P221">N208</f>
        <v>65750.26</v>
      </c>
      <c r="EB208" s="116"/>
      <c r="EC208" s="116"/>
      <c r="ED208" s="116"/>
      <c r="EE208" s="116"/>
      <c r="EF208" s="116"/>
      <c r="EG208" s="116"/>
    </row>
    <row r="209" spans="1:137" s="115" customFormat="1" ht="22.5">
      <c r="A209" s="6" t="s">
        <v>317</v>
      </c>
      <c r="B209" s="4"/>
      <c r="C209" s="4"/>
      <c r="D209" s="76">
        <v>2183.66</v>
      </c>
      <c r="E209" s="5"/>
      <c r="F209" s="5">
        <f>D209</f>
        <v>2183.66</v>
      </c>
      <c r="G209" s="5">
        <v>2249.68</v>
      </c>
      <c r="H209" s="5"/>
      <c r="I209" s="5"/>
      <c r="J209" s="5">
        <f t="shared" si="18"/>
        <v>2249.68</v>
      </c>
      <c r="K209" s="5"/>
      <c r="L209" s="5"/>
      <c r="M209" s="5"/>
      <c r="N209" s="5">
        <v>2385.34</v>
      </c>
      <c r="O209" s="5"/>
      <c r="P209" s="5">
        <f t="shared" si="19"/>
        <v>2385.34</v>
      </c>
      <c r="EB209" s="116"/>
      <c r="EC209" s="116"/>
      <c r="ED209" s="116"/>
      <c r="EE209" s="116"/>
      <c r="EF209" s="116"/>
      <c r="EG209" s="116"/>
    </row>
    <row r="210" spans="1:137" s="115" customFormat="1" ht="22.5" customHeight="1">
      <c r="A210" s="6" t="s">
        <v>342</v>
      </c>
      <c r="B210" s="4"/>
      <c r="C210" s="4"/>
      <c r="D210" s="76">
        <v>0</v>
      </c>
      <c r="E210" s="5"/>
      <c r="F210" s="5">
        <f>D210</f>
        <v>0</v>
      </c>
      <c r="G210" s="5">
        <v>62633</v>
      </c>
      <c r="H210" s="5"/>
      <c r="I210" s="5"/>
      <c r="J210" s="5">
        <f t="shared" si="18"/>
        <v>62633</v>
      </c>
      <c r="K210" s="5"/>
      <c r="L210" s="5"/>
      <c r="M210" s="5"/>
      <c r="N210" s="5">
        <v>62625</v>
      </c>
      <c r="O210" s="5"/>
      <c r="P210" s="5">
        <f t="shared" si="19"/>
        <v>62625</v>
      </c>
      <c r="EB210" s="116"/>
      <c r="EC210" s="116"/>
      <c r="ED210" s="116"/>
      <c r="EE210" s="116"/>
      <c r="EF210" s="116"/>
      <c r="EG210" s="116"/>
    </row>
    <row r="211" spans="1:137" s="115" customFormat="1" ht="27" customHeight="1">
      <c r="A211" s="6" t="s">
        <v>156</v>
      </c>
      <c r="B211" s="4"/>
      <c r="C211" s="4"/>
      <c r="D211" s="76">
        <v>2500</v>
      </c>
      <c r="E211" s="5"/>
      <c r="F211" s="5">
        <f>D211</f>
        <v>2500</v>
      </c>
      <c r="G211" s="5">
        <v>2661.29</v>
      </c>
      <c r="H211" s="5"/>
      <c r="I211" s="5"/>
      <c r="J211" s="5">
        <f>G211</f>
        <v>2661.29</v>
      </c>
      <c r="K211" s="5"/>
      <c r="L211" s="5"/>
      <c r="M211" s="5"/>
      <c r="N211" s="5">
        <v>2813.95</v>
      </c>
      <c r="O211" s="5"/>
      <c r="P211" s="5">
        <f>N211</f>
        <v>2813.95</v>
      </c>
      <c r="EB211" s="116"/>
      <c r="EC211" s="116"/>
      <c r="ED211" s="116"/>
      <c r="EE211" s="116"/>
      <c r="EF211" s="116"/>
      <c r="EG211" s="116"/>
    </row>
    <row r="212" spans="1:137" s="115" customFormat="1" ht="22.5">
      <c r="A212" s="6" t="s">
        <v>51</v>
      </c>
      <c r="B212" s="4"/>
      <c r="C212" s="4"/>
      <c r="D212" s="76">
        <v>5021.83</v>
      </c>
      <c r="E212" s="5"/>
      <c r="F212" s="5">
        <f aca="true" t="shared" si="20" ref="F212:F221">D212</f>
        <v>5021.83</v>
      </c>
      <c r="G212" s="5">
        <v>8034.75</v>
      </c>
      <c r="H212" s="5"/>
      <c r="I212" s="5"/>
      <c r="J212" s="5">
        <f t="shared" si="18"/>
        <v>8034.75</v>
      </c>
      <c r="K212" s="5"/>
      <c r="L212" s="5"/>
      <c r="M212" s="5"/>
      <c r="N212" s="5">
        <v>8513.67</v>
      </c>
      <c r="O212" s="5"/>
      <c r="P212" s="5">
        <f t="shared" si="19"/>
        <v>8513.67</v>
      </c>
      <c r="EB212" s="116"/>
      <c r="EC212" s="116"/>
      <c r="ED212" s="116"/>
      <c r="EE212" s="116"/>
      <c r="EF212" s="116"/>
      <c r="EG212" s="116"/>
    </row>
    <row r="213" spans="1:137" s="115" customFormat="1" ht="22.5">
      <c r="A213" s="6" t="s">
        <v>352</v>
      </c>
      <c r="B213" s="4"/>
      <c r="C213" s="4"/>
      <c r="D213" s="76">
        <v>89299.76</v>
      </c>
      <c r="E213" s="5"/>
      <c r="F213" s="5">
        <f t="shared" si="20"/>
        <v>89299.76</v>
      </c>
      <c r="G213" s="5">
        <v>82987.15</v>
      </c>
      <c r="H213" s="5"/>
      <c r="I213" s="5"/>
      <c r="J213" s="5">
        <f t="shared" si="18"/>
        <v>82987.15</v>
      </c>
      <c r="K213" s="5"/>
      <c r="L213" s="5"/>
      <c r="M213" s="5"/>
      <c r="N213" s="5">
        <v>91252.29</v>
      </c>
      <c r="O213" s="5"/>
      <c r="P213" s="5">
        <f t="shared" si="19"/>
        <v>91252.29</v>
      </c>
      <c r="EB213" s="116"/>
      <c r="EC213" s="116"/>
      <c r="ED213" s="116"/>
      <c r="EE213" s="116"/>
      <c r="EF213" s="116"/>
      <c r="EG213" s="116"/>
    </row>
    <row r="214" spans="1:137" s="115" customFormat="1" ht="11.25">
      <c r="A214" s="6" t="s">
        <v>327</v>
      </c>
      <c r="B214" s="4"/>
      <c r="C214" s="4"/>
      <c r="D214" s="5">
        <v>22.73</v>
      </c>
      <c r="E214" s="5"/>
      <c r="F214" s="5">
        <f t="shared" si="20"/>
        <v>22.73</v>
      </c>
      <c r="G214" s="5">
        <v>48.109</v>
      </c>
      <c r="H214" s="5"/>
      <c r="I214" s="5"/>
      <c r="J214" s="5">
        <f t="shared" si="18"/>
        <v>48.109</v>
      </c>
      <c r="K214" s="5"/>
      <c r="L214" s="5"/>
      <c r="M214" s="5"/>
      <c r="N214" s="5">
        <v>52.918</v>
      </c>
      <c r="O214" s="5"/>
      <c r="P214" s="5">
        <f t="shared" si="19"/>
        <v>52.918</v>
      </c>
      <c r="EB214" s="116"/>
      <c r="EC214" s="116"/>
      <c r="ED214" s="116"/>
      <c r="EE214" s="116"/>
      <c r="EF214" s="116"/>
      <c r="EG214" s="116"/>
    </row>
    <row r="215" spans="1:137" s="115" customFormat="1" ht="22.5">
      <c r="A215" s="6" t="s">
        <v>332</v>
      </c>
      <c r="B215" s="4"/>
      <c r="C215" s="4"/>
      <c r="D215" s="76">
        <v>88200</v>
      </c>
      <c r="E215" s="5"/>
      <c r="F215" s="5">
        <f t="shared" si="20"/>
        <v>88200</v>
      </c>
      <c r="G215" s="5">
        <v>117400</v>
      </c>
      <c r="H215" s="5"/>
      <c r="I215" s="5"/>
      <c r="J215" s="5">
        <f t="shared" si="18"/>
        <v>117400</v>
      </c>
      <c r="K215" s="5"/>
      <c r="L215" s="5"/>
      <c r="M215" s="5"/>
      <c r="N215" s="5">
        <v>125700</v>
      </c>
      <c r="O215" s="5"/>
      <c r="P215" s="5">
        <f t="shared" si="19"/>
        <v>125700</v>
      </c>
      <c r="EB215" s="116"/>
      <c r="EC215" s="116"/>
      <c r="ED215" s="116"/>
      <c r="EE215" s="116"/>
      <c r="EF215" s="116"/>
      <c r="EG215" s="116"/>
    </row>
    <row r="216" spans="1:137" s="115" customFormat="1" ht="22.5">
      <c r="A216" s="6" t="s">
        <v>334</v>
      </c>
      <c r="B216" s="4"/>
      <c r="C216" s="4"/>
      <c r="D216" s="76">
        <v>11255.41</v>
      </c>
      <c r="E216" s="5"/>
      <c r="F216" s="5">
        <f t="shared" si="20"/>
        <v>11255.41</v>
      </c>
      <c r="G216" s="5">
        <v>21142.86</v>
      </c>
      <c r="H216" s="5"/>
      <c r="I216" s="5"/>
      <c r="J216" s="5">
        <f>G216</f>
        <v>21142.86</v>
      </c>
      <c r="K216" s="5"/>
      <c r="L216" s="5"/>
      <c r="M216" s="5"/>
      <c r="N216" s="5">
        <v>22415.58</v>
      </c>
      <c r="O216" s="5"/>
      <c r="P216" s="5">
        <f t="shared" si="19"/>
        <v>22415.58</v>
      </c>
      <c r="EB216" s="116"/>
      <c r="EC216" s="116"/>
      <c r="ED216" s="116"/>
      <c r="EE216" s="116"/>
      <c r="EF216" s="116"/>
      <c r="EG216" s="116"/>
    </row>
    <row r="217" spans="1:137" s="115" customFormat="1" ht="22.5">
      <c r="A217" s="6" t="s">
        <v>335</v>
      </c>
      <c r="B217" s="4"/>
      <c r="C217" s="4"/>
      <c r="D217" s="76">
        <v>7692.31</v>
      </c>
      <c r="E217" s="5"/>
      <c r="F217" s="5">
        <f t="shared" si="20"/>
        <v>7692.31</v>
      </c>
      <c r="G217" s="5">
        <v>2285.71</v>
      </c>
      <c r="H217" s="5"/>
      <c r="I217" s="5"/>
      <c r="J217" s="5">
        <f>G217</f>
        <v>2285.71</v>
      </c>
      <c r="K217" s="5"/>
      <c r="L217" s="5"/>
      <c r="M217" s="5"/>
      <c r="N217" s="5">
        <v>2825</v>
      </c>
      <c r="O217" s="5"/>
      <c r="P217" s="5">
        <f t="shared" si="19"/>
        <v>2825</v>
      </c>
      <c r="EB217" s="116"/>
      <c r="EC217" s="116"/>
      <c r="ED217" s="116"/>
      <c r="EE217" s="116"/>
      <c r="EF217" s="116"/>
      <c r="EG217" s="116"/>
    </row>
    <row r="218" spans="1:137" s="115" customFormat="1" ht="22.5">
      <c r="A218" s="6" t="s">
        <v>338</v>
      </c>
      <c r="B218" s="4"/>
      <c r="C218" s="4"/>
      <c r="D218" s="76">
        <v>2500</v>
      </c>
      <c r="E218" s="5"/>
      <c r="F218" s="5">
        <f t="shared" si="20"/>
        <v>2500</v>
      </c>
      <c r="G218" s="5">
        <v>2631.58</v>
      </c>
      <c r="H218" s="5"/>
      <c r="I218" s="5"/>
      <c r="J218" s="5">
        <f>G218</f>
        <v>2631.58</v>
      </c>
      <c r="K218" s="5"/>
      <c r="L218" s="5"/>
      <c r="M218" s="5"/>
      <c r="N218" s="5">
        <v>2777.78</v>
      </c>
      <c r="O218" s="5"/>
      <c r="P218" s="5">
        <f t="shared" si="19"/>
        <v>2777.78</v>
      </c>
      <c r="EB218" s="116"/>
      <c r="EC218" s="116"/>
      <c r="ED218" s="116"/>
      <c r="EE218" s="116"/>
      <c r="EF218" s="116"/>
      <c r="EG218" s="116"/>
    </row>
    <row r="219" spans="1:137" s="115" customFormat="1" ht="22.5">
      <c r="A219" s="74" t="s">
        <v>563</v>
      </c>
      <c r="B219" s="4"/>
      <c r="C219" s="4"/>
      <c r="D219" s="76">
        <v>5600.14933</v>
      </c>
      <c r="E219" s="5"/>
      <c r="F219" s="5">
        <f t="shared" si="20"/>
        <v>5600.14933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EB219" s="116"/>
      <c r="EC219" s="116"/>
      <c r="ED219" s="116"/>
      <c r="EE219" s="116"/>
      <c r="EF219" s="116"/>
      <c r="EG219" s="116"/>
    </row>
    <row r="220" spans="1:137" s="115" customFormat="1" ht="33.75" customHeight="1">
      <c r="A220" s="6" t="s">
        <v>340</v>
      </c>
      <c r="B220" s="4"/>
      <c r="C220" s="4"/>
      <c r="D220" s="76">
        <v>7.53</v>
      </c>
      <c r="E220" s="5"/>
      <c r="F220" s="5">
        <f t="shared" si="20"/>
        <v>7.53</v>
      </c>
      <c r="G220" s="5">
        <v>8.03</v>
      </c>
      <c r="H220" s="5"/>
      <c r="I220" s="5"/>
      <c r="J220" s="5">
        <f>G220</f>
        <v>8.03</v>
      </c>
      <c r="K220" s="5"/>
      <c r="L220" s="5"/>
      <c r="M220" s="5"/>
      <c r="N220" s="5">
        <v>8.52</v>
      </c>
      <c r="O220" s="5"/>
      <c r="P220" s="5">
        <f t="shared" si="19"/>
        <v>8.52</v>
      </c>
      <c r="EB220" s="116"/>
      <c r="EC220" s="116"/>
      <c r="ED220" s="116"/>
      <c r="EE220" s="116"/>
      <c r="EF220" s="116"/>
      <c r="EG220" s="116"/>
    </row>
    <row r="221" spans="1:137" s="115" customFormat="1" ht="22.5">
      <c r="A221" s="6" t="s">
        <v>119</v>
      </c>
      <c r="B221" s="4"/>
      <c r="C221" s="4"/>
      <c r="D221" s="76">
        <v>66666.67</v>
      </c>
      <c r="E221" s="5"/>
      <c r="F221" s="5">
        <f t="shared" si="20"/>
        <v>66666.67</v>
      </c>
      <c r="G221" s="5">
        <v>115368.376</v>
      </c>
      <c r="H221" s="5"/>
      <c r="I221" s="5"/>
      <c r="J221" s="5">
        <f>G221</f>
        <v>115368.376</v>
      </c>
      <c r="K221" s="5"/>
      <c r="L221" s="5"/>
      <c r="M221" s="5"/>
      <c r="N221" s="5">
        <v>122269.0765</v>
      </c>
      <c r="O221" s="5"/>
      <c r="P221" s="5">
        <f t="shared" si="19"/>
        <v>122269.0765</v>
      </c>
      <c r="EB221" s="116"/>
      <c r="EC221" s="116"/>
      <c r="ED221" s="116"/>
      <c r="EE221" s="116"/>
      <c r="EF221" s="116"/>
      <c r="EG221" s="116"/>
    </row>
    <row r="222" spans="1:137" s="15" customFormat="1" ht="11.25">
      <c r="A222" s="3" t="s">
        <v>4</v>
      </c>
      <c r="B222" s="25"/>
      <c r="C222" s="25"/>
      <c r="D222" s="18"/>
      <c r="E222" s="18"/>
      <c r="F222" s="5"/>
      <c r="G222" s="18"/>
      <c r="H222" s="18"/>
      <c r="I222" s="18"/>
      <c r="J222" s="5"/>
      <c r="K222" s="5"/>
      <c r="L222" s="5"/>
      <c r="M222" s="5"/>
      <c r="N222" s="18"/>
      <c r="O222" s="18"/>
      <c r="P222" s="5"/>
      <c r="EB222" s="34"/>
      <c r="EC222" s="34"/>
      <c r="ED222" s="34"/>
      <c r="EE222" s="34"/>
      <c r="EF222" s="34"/>
      <c r="EG222" s="34"/>
    </row>
    <row r="223" spans="1:137" s="15" customFormat="1" ht="22.5">
      <c r="A223" s="6" t="s">
        <v>345</v>
      </c>
      <c r="B223" s="4"/>
      <c r="C223" s="4"/>
      <c r="D223" s="5">
        <f>D193/D183*100</f>
        <v>100</v>
      </c>
      <c r="E223" s="5"/>
      <c r="F223" s="5">
        <f>F193/F183*100</f>
        <v>100</v>
      </c>
      <c r="G223" s="5">
        <f>G193/G183*100</f>
        <v>100</v>
      </c>
      <c r="H223" s="5"/>
      <c r="I223" s="5"/>
      <c r="J223" s="5">
        <f aca="true" t="shared" si="21" ref="J223:N224">J193/J183*100</f>
        <v>100</v>
      </c>
      <c r="K223" s="5" t="e">
        <f t="shared" si="21"/>
        <v>#DIV/0!</v>
      </c>
      <c r="L223" s="5" t="e">
        <f t="shared" si="21"/>
        <v>#DIV/0!</v>
      </c>
      <c r="M223" s="5" t="e">
        <f t="shared" si="21"/>
        <v>#DIV/0!</v>
      </c>
      <c r="N223" s="5">
        <f t="shared" si="21"/>
        <v>100</v>
      </c>
      <c r="O223" s="5"/>
      <c r="P223" s="5">
        <f>P193/P183*100</f>
        <v>100</v>
      </c>
      <c r="EB223" s="34"/>
      <c r="EC223" s="34"/>
      <c r="ED223" s="34"/>
      <c r="EE223" s="34"/>
      <c r="EF223" s="34"/>
      <c r="EG223" s="34"/>
    </row>
    <row r="224" spans="1:137" s="15" customFormat="1" ht="22.5">
      <c r="A224" s="6" t="s">
        <v>346</v>
      </c>
      <c r="B224" s="4"/>
      <c r="C224" s="4"/>
      <c r="D224" s="5">
        <f>D194/D184*100</f>
        <v>12.465543644716693</v>
      </c>
      <c r="E224" s="5"/>
      <c r="F224" s="5">
        <f>F194/F184*100</f>
        <v>12.465543644716693</v>
      </c>
      <c r="G224" s="5">
        <f>G194/G184*100</f>
        <v>11.914241960183768</v>
      </c>
      <c r="H224" s="5"/>
      <c r="I224" s="5"/>
      <c r="J224" s="5">
        <f t="shared" si="21"/>
        <v>11.914241960183768</v>
      </c>
      <c r="K224" s="5" t="e">
        <f t="shared" si="21"/>
        <v>#DIV/0!</v>
      </c>
      <c r="L224" s="5" t="e">
        <f t="shared" si="21"/>
        <v>#DIV/0!</v>
      </c>
      <c r="M224" s="5" t="e">
        <f t="shared" si="21"/>
        <v>#DIV/0!</v>
      </c>
      <c r="N224" s="5">
        <f t="shared" si="21"/>
        <v>12.120980091883613</v>
      </c>
      <c r="O224" s="5"/>
      <c r="P224" s="5">
        <f>P194/P184*100</f>
        <v>12.120980091883613</v>
      </c>
      <c r="EB224" s="34"/>
      <c r="EC224" s="34"/>
      <c r="ED224" s="34"/>
      <c r="EE224" s="34"/>
      <c r="EF224" s="34"/>
      <c r="EG224" s="34"/>
    </row>
    <row r="225" spans="1:137" s="118" customFormat="1" ht="41.25" customHeight="1">
      <c r="A225" s="87" t="s">
        <v>400</v>
      </c>
      <c r="B225" s="79"/>
      <c r="C225" s="79"/>
      <c r="D225" s="83">
        <f>D227</f>
        <v>650000</v>
      </c>
      <c r="E225" s="83"/>
      <c r="F225" s="83">
        <f>D225</f>
        <v>650000</v>
      </c>
      <c r="G225" s="83">
        <f>G227</f>
        <v>693600</v>
      </c>
      <c r="H225" s="83"/>
      <c r="I225" s="83"/>
      <c r="J225" s="83">
        <f>G225</f>
        <v>693600</v>
      </c>
      <c r="K225" s="83"/>
      <c r="L225" s="83"/>
      <c r="M225" s="83"/>
      <c r="N225" s="83">
        <f>N227</f>
        <v>735200</v>
      </c>
      <c r="O225" s="83"/>
      <c r="P225" s="83">
        <f>N225</f>
        <v>735200</v>
      </c>
      <c r="EB225" s="119"/>
      <c r="EC225" s="119"/>
      <c r="ED225" s="119"/>
      <c r="EE225" s="119"/>
      <c r="EF225" s="119"/>
      <c r="EG225" s="119"/>
    </row>
    <row r="226" spans="1:137" s="15" customFormat="1" ht="15.75" customHeight="1">
      <c r="A226" s="3" t="s">
        <v>77</v>
      </c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EB226" s="34"/>
      <c r="EC226" s="34"/>
      <c r="ED226" s="34"/>
      <c r="EE226" s="34"/>
      <c r="EF226" s="34"/>
      <c r="EG226" s="34"/>
    </row>
    <row r="227" spans="1:137" s="15" customFormat="1" ht="35.25" customHeight="1">
      <c r="A227" s="6" t="s">
        <v>322</v>
      </c>
      <c r="B227" s="4"/>
      <c r="C227" s="4"/>
      <c r="D227" s="5">
        <v>650000</v>
      </c>
      <c r="E227" s="5"/>
      <c r="F227" s="5">
        <f>D227</f>
        <v>650000</v>
      </c>
      <c r="G227" s="5">
        <v>693600</v>
      </c>
      <c r="H227" s="5"/>
      <c r="I227" s="5"/>
      <c r="J227" s="5">
        <f>G227</f>
        <v>693600</v>
      </c>
      <c r="K227" s="5"/>
      <c r="L227" s="5"/>
      <c r="M227" s="5"/>
      <c r="N227" s="5">
        <v>735200</v>
      </c>
      <c r="O227" s="5"/>
      <c r="P227" s="5">
        <f>N227</f>
        <v>735200</v>
      </c>
      <c r="EB227" s="34"/>
      <c r="EC227" s="34"/>
      <c r="ED227" s="34"/>
      <c r="EE227" s="34"/>
      <c r="EF227" s="34"/>
      <c r="EG227" s="34"/>
    </row>
    <row r="228" spans="1:137" s="15" customFormat="1" ht="11.25">
      <c r="A228" s="3" t="s">
        <v>231</v>
      </c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EB228" s="34"/>
      <c r="EC228" s="34"/>
      <c r="ED228" s="34"/>
      <c r="EE228" s="34"/>
      <c r="EF228" s="34"/>
      <c r="EG228" s="34"/>
    </row>
    <row r="229" spans="1:137" s="15" customFormat="1" ht="33.75">
      <c r="A229" s="50" t="s">
        <v>323</v>
      </c>
      <c r="B229" s="4"/>
      <c r="C229" s="4"/>
      <c r="D229" s="5">
        <v>13</v>
      </c>
      <c r="E229" s="5"/>
      <c r="F229" s="5">
        <f>D229</f>
        <v>13</v>
      </c>
      <c r="G229" s="5">
        <v>13</v>
      </c>
      <c r="H229" s="5"/>
      <c r="I229" s="5"/>
      <c r="J229" s="5">
        <f>G229</f>
        <v>13</v>
      </c>
      <c r="K229" s="5"/>
      <c r="L229" s="5"/>
      <c r="M229" s="5"/>
      <c r="N229" s="5">
        <v>13</v>
      </c>
      <c r="O229" s="5"/>
      <c r="P229" s="5">
        <f>N229</f>
        <v>13</v>
      </c>
      <c r="EB229" s="34"/>
      <c r="EC229" s="34"/>
      <c r="ED229" s="34"/>
      <c r="EE229" s="34"/>
      <c r="EF229" s="34"/>
      <c r="EG229" s="34"/>
    </row>
    <row r="230" spans="1:137" s="15" customFormat="1" ht="11.25">
      <c r="A230" s="3" t="s">
        <v>226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>
      <c r="A231" s="6" t="s">
        <v>324</v>
      </c>
      <c r="B231" s="4"/>
      <c r="C231" s="4"/>
      <c r="D231" s="5">
        <f>D227/D229</f>
        <v>50000</v>
      </c>
      <c r="E231" s="5"/>
      <c r="F231" s="5">
        <f>D231</f>
        <v>50000</v>
      </c>
      <c r="G231" s="5">
        <f>G227/G229</f>
        <v>53353.846153846156</v>
      </c>
      <c r="H231" s="5"/>
      <c r="I231" s="5"/>
      <c r="J231" s="5">
        <f>G231</f>
        <v>53353.846153846156</v>
      </c>
      <c r="K231" s="5"/>
      <c r="L231" s="5"/>
      <c r="M231" s="5"/>
      <c r="N231" s="5">
        <f>N227/N229</f>
        <v>56553.846153846156</v>
      </c>
      <c r="O231" s="5"/>
      <c r="P231" s="5">
        <f>N231</f>
        <v>56553.846153846156</v>
      </c>
      <c r="EB231" s="34"/>
      <c r="EC231" s="34"/>
      <c r="ED231" s="34"/>
      <c r="EE231" s="34"/>
      <c r="EF231" s="34"/>
      <c r="EG231" s="34"/>
    </row>
    <row r="232" spans="1:137" s="15" customFormat="1" ht="35.25" customHeight="1">
      <c r="A232" s="87" t="s">
        <v>401</v>
      </c>
      <c r="B232" s="75"/>
      <c r="C232" s="75"/>
      <c r="D232" s="83">
        <f>D234</f>
        <v>900000</v>
      </c>
      <c r="E232" s="83"/>
      <c r="F232" s="83">
        <f>D232</f>
        <v>900000</v>
      </c>
      <c r="G232" s="83">
        <f>G234</f>
        <v>760000</v>
      </c>
      <c r="H232" s="83"/>
      <c r="I232" s="83"/>
      <c r="J232" s="83">
        <f>G232</f>
        <v>760000</v>
      </c>
      <c r="K232" s="83"/>
      <c r="L232" s="83"/>
      <c r="M232" s="83"/>
      <c r="N232" s="83">
        <f>N234</f>
        <v>850000</v>
      </c>
      <c r="O232" s="83"/>
      <c r="P232" s="83">
        <f>N232</f>
        <v>850000</v>
      </c>
      <c r="EB232" s="34"/>
      <c r="EC232" s="34"/>
      <c r="ED232" s="34"/>
      <c r="EE232" s="34"/>
      <c r="EF232" s="34"/>
      <c r="EG232" s="34"/>
    </row>
    <row r="233" spans="1:137" s="15" customFormat="1" ht="11.25">
      <c r="A233" s="3" t="s">
        <v>77</v>
      </c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EB233" s="34"/>
      <c r="EC233" s="34"/>
      <c r="ED233" s="34"/>
      <c r="EE233" s="34"/>
      <c r="EF233" s="34"/>
      <c r="EG233" s="34"/>
    </row>
    <row r="234" spans="1:137" s="15" customFormat="1" ht="33.75">
      <c r="A234" s="6" t="s">
        <v>325</v>
      </c>
      <c r="B234" s="4"/>
      <c r="C234" s="4"/>
      <c r="D234" s="5">
        <f>640000+260000</f>
        <v>900000</v>
      </c>
      <c r="E234" s="5"/>
      <c r="F234" s="5">
        <f>D234</f>
        <v>900000</v>
      </c>
      <c r="G234" s="5">
        <v>760000</v>
      </c>
      <c r="H234" s="5"/>
      <c r="I234" s="5"/>
      <c r="J234" s="5">
        <f>G234</f>
        <v>760000</v>
      </c>
      <c r="K234" s="5"/>
      <c r="L234" s="5"/>
      <c r="M234" s="5"/>
      <c r="N234" s="5">
        <v>850000</v>
      </c>
      <c r="O234" s="5"/>
      <c r="P234" s="5">
        <f>N234</f>
        <v>850000</v>
      </c>
      <c r="EB234" s="34"/>
      <c r="EC234" s="34"/>
      <c r="ED234" s="34"/>
      <c r="EE234" s="34"/>
      <c r="EF234" s="34"/>
      <c r="EG234" s="34"/>
    </row>
    <row r="235" spans="1:137" s="15" customFormat="1" ht="11.25">
      <c r="A235" s="3" t="s">
        <v>231</v>
      </c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EB235" s="34"/>
      <c r="EC235" s="34"/>
      <c r="ED235" s="34"/>
      <c r="EE235" s="34"/>
      <c r="EF235" s="34"/>
      <c r="EG235" s="34"/>
    </row>
    <row r="236" spans="1:137" s="15" customFormat="1" ht="22.5">
      <c r="A236" s="50" t="s">
        <v>555</v>
      </c>
      <c r="B236" s="4"/>
      <c r="C236" s="4"/>
      <c r="D236" s="5">
        <v>12</v>
      </c>
      <c r="E236" s="5"/>
      <c r="F236" s="5">
        <f>D236</f>
        <v>12</v>
      </c>
      <c r="G236" s="5">
        <v>12</v>
      </c>
      <c r="H236" s="5"/>
      <c r="I236" s="5"/>
      <c r="J236" s="5">
        <f>G236</f>
        <v>12</v>
      </c>
      <c r="K236" s="5"/>
      <c r="L236" s="5"/>
      <c r="M236" s="5"/>
      <c r="N236" s="5">
        <v>12</v>
      </c>
      <c r="O236" s="5"/>
      <c r="P236" s="5">
        <f>N236</f>
        <v>12</v>
      </c>
      <c r="EB236" s="34"/>
      <c r="EC236" s="34"/>
      <c r="ED236" s="34"/>
      <c r="EE236" s="34"/>
      <c r="EF236" s="34"/>
      <c r="EG236" s="34"/>
    </row>
    <row r="237" spans="1:137" s="15" customFormat="1" ht="11.25">
      <c r="A237" s="3" t="s">
        <v>226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3.75">
      <c r="A238" s="6" t="s">
        <v>326</v>
      </c>
      <c r="B238" s="4"/>
      <c r="C238" s="4"/>
      <c r="D238" s="5">
        <f>D234/D236</f>
        <v>75000</v>
      </c>
      <c r="E238" s="5"/>
      <c r="F238" s="5">
        <f>D238</f>
        <v>75000</v>
      </c>
      <c r="G238" s="5">
        <f>G234/G236</f>
        <v>63333.333333333336</v>
      </c>
      <c r="H238" s="5"/>
      <c r="I238" s="5"/>
      <c r="J238" s="5">
        <f>G238</f>
        <v>63333.333333333336</v>
      </c>
      <c r="K238" s="5"/>
      <c r="L238" s="5"/>
      <c r="M238" s="5"/>
      <c r="N238" s="5">
        <f>N234/N236</f>
        <v>70833.33333333333</v>
      </c>
      <c r="O238" s="5"/>
      <c r="P238" s="5">
        <f>N238</f>
        <v>70833.33333333333</v>
      </c>
      <c r="EB238" s="34"/>
      <c r="EC238" s="34"/>
      <c r="ED238" s="34"/>
      <c r="EE238" s="34"/>
      <c r="EF238" s="34"/>
      <c r="EG238" s="34"/>
    </row>
    <row r="239" spans="1:137" s="115" customFormat="1" ht="22.5">
      <c r="A239" s="87" t="s">
        <v>402</v>
      </c>
      <c r="B239" s="75"/>
      <c r="C239" s="75"/>
      <c r="D239" s="83">
        <f>D241</f>
        <v>60000</v>
      </c>
      <c r="E239" s="83"/>
      <c r="F239" s="83">
        <f>D239</f>
        <v>60000</v>
      </c>
      <c r="G239" s="83">
        <f>G241</f>
        <v>128000</v>
      </c>
      <c r="H239" s="83"/>
      <c r="I239" s="83"/>
      <c r="J239" s="83">
        <f>G239</f>
        <v>128000</v>
      </c>
      <c r="K239" s="83"/>
      <c r="L239" s="83"/>
      <c r="M239" s="83"/>
      <c r="N239" s="83">
        <f>N241</f>
        <v>135700</v>
      </c>
      <c r="O239" s="83"/>
      <c r="P239" s="83">
        <f>N239</f>
        <v>135700</v>
      </c>
      <c r="EB239" s="116"/>
      <c r="EC239" s="116"/>
      <c r="ED239" s="116"/>
      <c r="EE239" s="116"/>
      <c r="EF239" s="116"/>
      <c r="EG239" s="116"/>
    </row>
    <row r="240" spans="1:137" s="15" customFormat="1" ht="23.25" customHeight="1">
      <c r="A240" s="3" t="s">
        <v>77</v>
      </c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EB240" s="34"/>
      <c r="EC240" s="34"/>
      <c r="ED240" s="34"/>
      <c r="EE240" s="34"/>
      <c r="EF240" s="34"/>
      <c r="EG240" s="34"/>
    </row>
    <row r="241" spans="1:137" s="15" customFormat="1" ht="22.5">
      <c r="A241" s="6" t="s">
        <v>328</v>
      </c>
      <c r="B241" s="4"/>
      <c r="C241" s="4"/>
      <c r="D241" s="5">
        <f>120000-60000</f>
        <v>60000</v>
      </c>
      <c r="E241" s="5"/>
      <c r="F241" s="5">
        <f>D241</f>
        <v>60000</v>
      </c>
      <c r="G241" s="5">
        <v>128000</v>
      </c>
      <c r="H241" s="5"/>
      <c r="I241" s="5"/>
      <c r="J241" s="5">
        <f>G241</f>
        <v>128000</v>
      </c>
      <c r="K241" s="5"/>
      <c r="L241" s="5"/>
      <c r="M241" s="5"/>
      <c r="N241" s="5">
        <v>135700</v>
      </c>
      <c r="O241" s="5"/>
      <c r="P241" s="5">
        <f>N241</f>
        <v>135700</v>
      </c>
      <c r="EB241" s="34"/>
      <c r="EC241" s="34"/>
      <c r="ED241" s="34"/>
      <c r="EE241" s="34"/>
      <c r="EF241" s="34"/>
      <c r="EG241" s="34"/>
    </row>
    <row r="242" spans="1:137" s="15" customFormat="1" ht="15.75" customHeight="1">
      <c r="A242" s="3" t="s">
        <v>231</v>
      </c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EB242" s="34"/>
      <c r="EC242" s="34"/>
      <c r="ED242" s="34"/>
      <c r="EE242" s="34"/>
      <c r="EF242" s="34"/>
      <c r="EG242" s="34"/>
    </row>
    <row r="243" spans="1:137" s="15" customFormat="1" ht="22.5">
      <c r="A243" s="50" t="s">
        <v>329</v>
      </c>
      <c r="B243" s="4"/>
      <c r="C243" s="4"/>
      <c r="D243" s="5">
        <v>15</v>
      </c>
      <c r="E243" s="5"/>
      <c r="F243" s="5">
        <f>D243</f>
        <v>15</v>
      </c>
      <c r="G243" s="5">
        <v>21</v>
      </c>
      <c r="H243" s="5"/>
      <c r="I243" s="5"/>
      <c r="J243" s="5">
        <f>G243</f>
        <v>21</v>
      </c>
      <c r="K243" s="5"/>
      <c r="L243" s="5"/>
      <c r="M243" s="5"/>
      <c r="N243" s="5">
        <v>21</v>
      </c>
      <c r="O243" s="5"/>
      <c r="P243" s="5">
        <f>N243</f>
        <v>21</v>
      </c>
      <c r="EB243" s="34"/>
      <c r="EC243" s="34"/>
      <c r="ED243" s="34"/>
      <c r="EE243" s="34"/>
      <c r="EF243" s="34"/>
      <c r="EG243" s="34"/>
    </row>
    <row r="244" spans="1:137" s="15" customFormat="1" ht="16.5" customHeight="1">
      <c r="A244" s="3" t="s">
        <v>226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22.5">
      <c r="A245" s="6" t="s">
        <v>330</v>
      </c>
      <c r="B245" s="4"/>
      <c r="C245" s="4"/>
      <c r="D245" s="5">
        <f>D241/D243</f>
        <v>4000</v>
      </c>
      <c r="E245" s="5"/>
      <c r="F245" s="5">
        <f>D245</f>
        <v>4000</v>
      </c>
      <c r="G245" s="5">
        <f>G241/G243</f>
        <v>6095.238095238095</v>
      </c>
      <c r="H245" s="5"/>
      <c r="I245" s="5"/>
      <c r="J245" s="5">
        <f>J241/J243</f>
        <v>6095.238095238095</v>
      </c>
      <c r="K245" s="5"/>
      <c r="L245" s="5"/>
      <c r="M245" s="5"/>
      <c r="N245" s="5">
        <f>N241/N243</f>
        <v>6461.9047619047615</v>
      </c>
      <c r="O245" s="5"/>
      <c r="P245" s="5">
        <f>N245</f>
        <v>6461.9047619047615</v>
      </c>
      <c r="EB245" s="34"/>
      <c r="EC245" s="34"/>
      <c r="ED245" s="34"/>
      <c r="EE245" s="34"/>
      <c r="EF245" s="34"/>
      <c r="EG245" s="34"/>
    </row>
    <row r="246" spans="1:137" s="115" customFormat="1" ht="22.5">
      <c r="A246" s="87" t="s">
        <v>403</v>
      </c>
      <c r="B246" s="75"/>
      <c r="C246" s="75"/>
      <c r="D246" s="76"/>
      <c r="E246" s="83">
        <f>E248</f>
        <v>17000000</v>
      </c>
      <c r="F246" s="83">
        <f>E246</f>
        <v>17000000</v>
      </c>
      <c r="G246" s="83"/>
      <c r="H246" s="83">
        <f>H248</f>
        <v>10000000</v>
      </c>
      <c r="I246" s="83"/>
      <c r="J246" s="83">
        <f>H246</f>
        <v>10000000</v>
      </c>
      <c r="K246" s="83"/>
      <c r="L246" s="83"/>
      <c r="M246" s="83"/>
      <c r="N246" s="83"/>
      <c r="O246" s="83">
        <f>O248</f>
        <v>10000000</v>
      </c>
      <c r="P246" s="83">
        <f>O246</f>
        <v>10000000</v>
      </c>
      <c r="EB246" s="116"/>
      <c r="EC246" s="116"/>
      <c r="ED246" s="116"/>
      <c r="EE246" s="116"/>
      <c r="EF246" s="116"/>
      <c r="EG246" s="116"/>
    </row>
    <row r="247" spans="1:137" s="15" customFormat="1" ht="20.25" customHeight="1">
      <c r="A247" s="3" t="s">
        <v>77</v>
      </c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EB247" s="34"/>
      <c r="EC247" s="34"/>
      <c r="ED247" s="34"/>
      <c r="EE247" s="34"/>
      <c r="EF247" s="34"/>
      <c r="EG247" s="34"/>
    </row>
    <row r="248" spans="1:137" s="15" customFormat="1" ht="22.5">
      <c r="A248" s="6" t="s">
        <v>314</v>
      </c>
      <c r="B248" s="4"/>
      <c r="C248" s="4"/>
      <c r="D248" s="5"/>
      <c r="E248" s="5">
        <f>32410000-15410000</f>
        <v>17000000</v>
      </c>
      <c r="F248" s="5">
        <f>E248</f>
        <v>17000000</v>
      </c>
      <c r="G248" s="5"/>
      <c r="H248" s="5">
        <v>10000000</v>
      </c>
      <c r="I248" s="5"/>
      <c r="J248" s="5">
        <f>H248</f>
        <v>10000000</v>
      </c>
      <c r="K248" s="5"/>
      <c r="L248" s="5"/>
      <c r="M248" s="5"/>
      <c r="N248" s="5"/>
      <c r="O248" s="5">
        <v>10000000</v>
      </c>
      <c r="P248" s="5">
        <f>O248</f>
        <v>10000000</v>
      </c>
      <c r="EB248" s="34"/>
      <c r="EC248" s="34"/>
      <c r="ED248" s="34"/>
      <c r="EE248" s="34"/>
      <c r="EF248" s="34"/>
      <c r="EG248" s="34"/>
    </row>
    <row r="249" spans="1:137" s="15" customFormat="1" ht="21" customHeight="1">
      <c r="A249" s="3" t="s">
        <v>231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EB249" s="34"/>
      <c r="EC249" s="34"/>
      <c r="ED249" s="34"/>
      <c r="EE249" s="34"/>
      <c r="EF249" s="34"/>
      <c r="EG249" s="34"/>
    </row>
    <row r="250" spans="1:137" s="15" customFormat="1" ht="22.5">
      <c r="A250" s="50" t="s">
        <v>315</v>
      </c>
      <c r="B250" s="4"/>
      <c r="C250" s="4"/>
      <c r="D250" s="5"/>
      <c r="E250" s="5">
        <v>2</v>
      </c>
      <c r="F250" s="5">
        <f>E250</f>
        <v>2</v>
      </c>
      <c r="G250" s="5"/>
      <c r="H250" s="5">
        <v>1</v>
      </c>
      <c r="I250" s="5"/>
      <c r="J250" s="5">
        <f>H250</f>
        <v>1</v>
      </c>
      <c r="K250" s="5"/>
      <c r="L250" s="5"/>
      <c r="M250" s="5"/>
      <c r="N250" s="5"/>
      <c r="O250" s="5">
        <v>1</v>
      </c>
      <c r="P250" s="5">
        <v>1</v>
      </c>
      <c r="EB250" s="34"/>
      <c r="EC250" s="34"/>
      <c r="ED250" s="34"/>
      <c r="EE250" s="34"/>
      <c r="EF250" s="34"/>
      <c r="EG250" s="34"/>
    </row>
    <row r="251" spans="1:137" s="15" customFormat="1" ht="21.75" customHeight="1">
      <c r="A251" s="3" t="s">
        <v>226</v>
      </c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EB251" s="34"/>
      <c r="EC251" s="34"/>
      <c r="ED251" s="34"/>
      <c r="EE251" s="34"/>
      <c r="EF251" s="34"/>
      <c r="EG251" s="34"/>
    </row>
    <row r="252" spans="1:137" s="15" customFormat="1" ht="22.5">
      <c r="A252" s="6" t="s">
        <v>316</v>
      </c>
      <c r="B252" s="4"/>
      <c r="C252" s="4"/>
      <c r="D252" s="5"/>
      <c r="E252" s="5">
        <f>E248/E250</f>
        <v>8500000</v>
      </c>
      <c r="F252" s="5">
        <f>E252</f>
        <v>8500000</v>
      </c>
      <c r="G252" s="5"/>
      <c r="H252" s="5">
        <f>H248/H250</f>
        <v>10000000</v>
      </c>
      <c r="I252" s="5"/>
      <c r="J252" s="5">
        <f>H252</f>
        <v>10000000</v>
      </c>
      <c r="K252" s="5"/>
      <c r="L252" s="5"/>
      <c r="M252" s="5"/>
      <c r="N252" s="5"/>
      <c r="O252" s="5">
        <f>O248/O250</f>
        <v>10000000</v>
      </c>
      <c r="P252" s="5">
        <f>O252</f>
        <v>10000000</v>
      </c>
      <c r="EB252" s="34"/>
      <c r="EC252" s="34"/>
      <c r="ED252" s="34"/>
      <c r="EE252" s="34"/>
      <c r="EF252" s="34"/>
      <c r="EG252" s="34"/>
    </row>
    <row r="253" spans="1:137" s="193" customFormat="1" ht="66" customHeight="1">
      <c r="A253" s="196" t="s">
        <v>404</v>
      </c>
      <c r="B253" s="192"/>
      <c r="C253" s="192"/>
      <c r="D253" s="195">
        <f>D254+D268+D261+D275+D282+D289+D303+D296</f>
        <v>15929400</v>
      </c>
      <c r="E253" s="195">
        <f aca="true" t="shared" si="22" ref="E253:O253">E254+E268+E261+E275+E282+E289+E303</f>
        <v>0</v>
      </c>
      <c r="F253" s="195">
        <f>D253+E253</f>
        <v>15929400</v>
      </c>
      <c r="G253" s="195">
        <f t="shared" si="22"/>
        <v>27723400</v>
      </c>
      <c r="H253" s="195">
        <f t="shared" si="22"/>
        <v>0</v>
      </c>
      <c r="I253" s="195">
        <f t="shared" si="22"/>
        <v>0</v>
      </c>
      <c r="J253" s="195">
        <f>G253+H253</f>
        <v>27723400</v>
      </c>
      <c r="K253" s="195">
        <f t="shared" si="22"/>
        <v>0</v>
      </c>
      <c r="L253" s="195">
        <f t="shared" si="22"/>
        <v>0</v>
      </c>
      <c r="M253" s="195">
        <f t="shared" si="22"/>
        <v>0</v>
      </c>
      <c r="N253" s="195">
        <f t="shared" si="22"/>
        <v>29970800</v>
      </c>
      <c r="O253" s="195">
        <f t="shared" si="22"/>
        <v>0</v>
      </c>
      <c r="P253" s="195">
        <f>N253+O253</f>
        <v>29970800</v>
      </c>
      <c r="EB253" s="194"/>
      <c r="EC253" s="194"/>
      <c r="ED253" s="194"/>
      <c r="EE253" s="194"/>
      <c r="EF253" s="194"/>
      <c r="EG253" s="194"/>
    </row>
    <row r="254" spans="1:137" s="115" customFormat="1" ht="11.25">
      <c r="A254" s="87" t="s">
        <v>405</v>
      </c>
      <c r="B254" s="75"/>
      <c r="C254" s="75"/>
      <c r="D254" s="83">
        <f>D256</f>
        <v>9715300</v>
      </c>
      <c r="E254" s="83"/>
      <c r="F254" s="83">
        <f>D254</f>
        <v>9715300</v>
      </c>
      <c r="G254" s="83">
        <f>G256</f>
        <v>16498100</v>
      </c>
      <c r="H254" s="83"/>
      <c r="I254" s="83"/>
      <c r="J254" s="83">
        <f>G254</f>
        <v>16498100</v>
      </c>
      <c r="K254" s="83"/>
      <c r="L254" s="83"/>
      <c r="M254" s="83"/>
      <c r="N254" s="83">
        <f>N256</f>
        <v>17435000</v>
      </c>
      <c r="O254" s="83"/>
      <c r="P254" s="83">
        <f>N254</f>
        <v>17435000</v>
      </c>
      <c r="EB254" s="116"/>
      <c r="EC254" s="116"/>
      <c r="ED254" s="116"/>
      <c r="EE254" s="116"/>
      <c r="EF254" s="116"/>
      <c r="EG254" s="116"/>
    </row>
    <row r="255" spans="1:137" s="15" customFormat="1" ht="18.75" customHeight="1">
      <c r="A255" s="3" t="s">
        <v>77</v>
      </c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EB255" s="34"/>
      <c r="EC255" s="34"/>
      <c r="ED255" s="34"/>
      <c r="EE255" s="34"/>
      <c r="EF255" s="34"/>
      <c r="EG255" s="34"/>
    </row>
    <row r="256" spans="1:137" s="15" customFormat="1" ht="11.25">
      <c r="A256" s="6" t="s">
        <v>261</v>
      </c>
      <c r="B256" s="4"/>
      <c r="C256" s="4"/>
      <c r="D256" s="5">
        <f>15415300+50000-5750000</f>
        <v>9715300</v>
      </c>
      <c r="E256" s="5"/>
      <c r="F256" s="5">
        <f>D256</f>
        <v>9715300</v>
      </c>
      <c r="G256" s="5">
        <f>16448100+50000</f>
        <v>16498100</v>
      </c>
      <c r="H256" s="5"/>
      <c r="I256" s="5"/>
      <c r="J256" s="5">
        <f>G256</f>
        <v>16498100</v>
      </c>
      <c r="K256" s="5"/>
      <c r="L256" s="5"/>
      <c r="M256" s="5"/>
      <c r="N256" s="5">
        <v>17435000</v>
      </c>
      <c r="O256" s="5"/>
      <c r="P256" s="5">
        <f>N256</f>
        <v>17435000</v>
      </c>
      <c r="EB256" s="34"/>
      <c r="EC256" s="34"/>
      <c r="ED256" s="34"/>
      <c r="EE256" s="34"/>
      <c r="EF256" s="34"/>
      <c r="EG256" s="34"/>
    </row>
    <row r="257" spans="1:137" s="15" customFormat="1" ht="17.25" customHeight="1">
      <c r="A257" s="3" t="s">
        <v>231</v>
      </c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EB257" s="34"/>
      <c r="EC257" s="34"/>
      <c r="ED257" s="34"/>
      <c r="EE257" s="34"/>
      <c r="EF257" s="34"/>
      <c r="EG257" s="34"/>
    </row>
    <row r="258" spans="1:137" s="15" customFormat="1" ht="22.5">
      <c r="A258" s="50" t="s">
        <v>262</v>
      </c>
      <c r="B258" s="4"/>
      <c r="C258" s="4"/>
      <c r="D258" s="5">
        <v>36</v>
      </c>
      <c r="E258" s="5"/>
      <c r="F258" s="5">
        <f>D258</f>
        <v>36</v>
      </c>
      <c r="G258" s="5">
        <f>D258</f>
        <v>36</v>
      </c>
      <c r="H258" s="5"/>
      <c r="I258" s="5"/>
      <c r="J258" s="5">
        <f>G258</f>
        <v>36</v>
      </c>
      <c r="K258" s="5"/>
      <c r="L258" s="5"/>
      <c r="M258" s="5"/>
      <c r="N258" s="5">
        <f>J258</f>
        <v>36</v>
      </c>
      <c r="O258" s="5"/>
      <c r="P258" s="5">
        <f>N258</f>
        <v>36</v>
      </c>
      <c r="EB258" s="34"/>
      <c r="EC258" s="34"/>
      <c r="ED258" s="34"/>
      <c r="EE258" s="34"/>
      <c r="EF258" s="34"/>
      <c r="EG258" s="34"/>
    </row>
    <row r="259" spans="1:137" s="15" customFormat="1" ht="18.75" customHeight="1">
      <c r="A259" s="3" t="s">
        <v>226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>
      <c r="A260" s="6" t="s">
        <v>263</v>
      </c>
      <c r="B260" s="4"/>
      <c r="C260" s="4"/>
      <c r="D260" s="5">
        <f>D256/D258</f>
        <v>269869.44444444444</v>
      </c>
      <c r="E260" s="5"/>
      <c r="F260" s="5">
        <f>D260</f>
        <v>269869.44444444444</v>
      </c>
      <c r="G260" s="5">
        <f>G256/G258</f>
        <v>458280.55555555556</v>
      </c>
      <c r="H260" s="5"/>
      <c r="I260" s="5"/>
      <c r="J260" s="5">
        <f>G260</f>
        <v>458280.55555555556</v>
      </c>
      <c r="K260" s="5"/>
      <c r="L260" s="5"/>
      <c r="M260" s="5"/>
      <c r="N260" s="5">
        <f>N256/N258</f>
        <v>484305.55555555556</v>
      </c>
      <c r="O260" s="5"/>
      <c r="P260" s="5">
        <f>N260</f>
        <v>484305.55555555556</v>
      </c>
      <c r="EB260" s="34"/>
      <c r="EC260" s="34"/>
      <c r="ED260" s="34"/>
      <c r="EE260" s="34"/>
      <c r="EF260" s="34"/>
      <c r="EG260" s="34"/>
    </row>
    <row r="261" spans="1:137" s="115" customFormat="1" ht="27.75" customHeight="1">
      <c r="A261" s="87" t="s">
        <v>406</v>
      </c>
      <c r="B261" s="75"/>
      <c r="C261" s="75"/>
      <c r="D261" s="76">
        <f>D263</f>
        <v>1674800</v>
      </c>
      <c r="E261" s="76"/>
      <c r="F261" s="76">
        <f>D261</f>
        <v>1674800</v>
      </c>
      <c r="G261" s="76">
        <f>G263</f>
        <v>4826500</v>
      </c>
      <c r="H261" s="76"/>
      <c r="I261" s="76"/>
      <c r="J261" s="76">
        <f>G261</f>
        <v>4826500</v>
      </c>
      <c r="K261" s="76"/>
      <c r="L261" s="76"/>
      <c r="M261" s="76"/>
      <c r="N261" s="76">
        <f>N263</f>
        <v>5385700</v>
      </c>
      <c r="O261" s="76"/>
      <c r="P261" s="76">
        <f>N261</f>
        <v>5385700</v>
      </c>
      <c r="EB261" s="116"/>
      <c r="EC261" s="116"/>
      <c r="ED261" s="116"/>
      <c r="EE261" s="116"/>
      <c r="EF261" s="116"/>
      <c r="EG261" s="116"/>
    </row>
    <row r="262" spans="1:137" s="15" customFormat="1" ht="19.5" customHeight="1">
      <c r="A262" s="3" t="s">
        <v>77</v>
      </c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EB262" s="34"/>
      <c r="EC262" s="34"/>
      <c r="ED262" s="34"/>
      <c r="EE262" s="34"/>
      <c r="EF262" s="34"/>
      <c r="EG262" s="34"/>
    </row>
    <row r="263" spans="1:137" s="15" customFormat="1" ht="22.5">
      <c r="A263" s="6" t="s">
        <v>264</v>
      </c>
      <c r="B263" s="4"/>
      <c r="C263" s="4"/>
      <c r="D263" s="5">
        <f>4674800-3000000</f>
        <v>1674800</v>
      </c>
      <c r="E263" s="5"/>
      <c r="F263" s="5">
        <f>D263</f>
        <v>1674800</v>
      </c>
      <c r="G263" s="5">
        <v>4826500</v>
      </c>
      <c r="H263" s="5"/>
      <c r="I263" s="5"/>
      <c r="J263" s="5">
        <f>G263</f>
        <v>4826500</v>
      </c>
      <c r="K263" s="5"/>
      <c r="L263" s="5"/>
      <c r="M263" s="5"/>
      <c r="N263" s="5">
        <v>5385700</v>
      </c>
      <c r="O263" s="5"/>
      <c r="P263" s="5">
        <f>N263</f>
        <v>5385700</v>
      </c>
      <c r="EB263" s="34"/>
      <c r="EC263" s="34"/>
      <c r="ED263" s="34"/>
      <c r="EE263" s="34"/>
      <c r="EF263" s="34"/>
      <c r="EG263" s="34"/>
    </row>
    <row r="264" spans="1:137" s="15" customFormat="1" ht="11.25">
      <c r="A264" s="3" t="s">
        <v>231</v>
      </c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EB264" s="34"/>
      <c r="EC264" s="34"/>
      <c r="ED264" s="34"/>
      <c r="EE264" s="34"/>
      <c r="EF264" s="34"/>
      <c r="EG264" s="34"/>
    </row>
    <row r="265" spans="1:137" s="15" customFormat="1" ht="33.75">
      <c r="A265" s="50" t="s">
        <v>265</v>
      </c>
      <c r="B265" s="4"/>
      <c r="C265" s="4"/>
      <c r="D265" s="5">
        <v>36</v>
      </c>
      <c r="E265" s="5"/>
      <c r="F265" s="5">
        <f>D265</f>
        <v>36</v>
      </c>
      <c r="G265" s="5">
        <f>F265</f>
        <v>36</v>
      </c>
      <c r="H265" s="5"/>
      <c r="I265" s="5"/>
      <c r="J265" s="5">
        <f>G265</f>
        <v>36</v>
      </c>
      <c r="K265" s="5"/>
      <c r="L265" s="5"/>
      <c r="M265" s="5"/>
      <c r="N265" s="5">
        <v>36</v>
      </c>
      <c r="O265" s="5"/>
      <c r="P265" s="5">
        <f>N265</f>
        <v>36</v>
      </c>
      <c r="EB265" s="34"/>
      <c r="EC265" s="34"/>
      <c r="ED265" s="34"/>
      <c r="EE265" s="34"/>
      <c r="EF265" s="34"/>
      <c r="EG265" s="34"/>
    </row>
    <row r="266" spans="1:137" s="15" customFormat="1" ht="18" customHeight="1">
      <c r="A266" s="3" t="s">
        <v>226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33.75">
      <c r="A267" s="6" t="s">
        <v>266</v>
      </c>
      <c r="B267" s="4"/>
      <c r="C267" s="4"/>
      <c r="D267" s="5">
        <f>D263/D265</f>
        <v>46522.22222222222</v>
      </c>
      <c r="E267" s="5"/>
      <c r="F267" s="5">
        <f>F263/F265</f>
        <v>46522.22222222222</v>
      </c>
      <c r="G267" s="5">
        <f>G263/G265</f>
        <v>134069.44444444444</v>
      </c>
      <c r="H267" s="5"/>
      <c r="I267" s="5"/>
      <c r="J267" s="5">
        <f>G267</f>
        <v>134069.44444444444</v>
      </c>
      <c r="K267" s="5"/>
      <c r="L267" s="5"/>
      <c r="M267" s="5"/>
      <c r="N267" s="5">
        <f>N263/N265</f>
        <v>149602.77777777778</v>
      </c>
      <c r="O267" s="5"/>
      <c r="P267" s="5">
        <f>N267</f>
        <v>149602.77777777778</v>
      </c>
      <c r="EB267" s="34"/>
      <c r="EC267" s="34"/>
      <c r="ED267" s="34"/>
      <c r="EE267" s="34"/>
      <c r="EF267" s="34"/>
      <c r="EG267" s="34"/>
    </row>
    <row r="268" spans="1:137" s="118" customFormat="1" ht="11.25">
      <c r="A268" s="87" t="s">
        <v>407</v>
      </c>
      <c r="B268" s="79"/>
      <c r="C268" s="79"/>
      <c r="D268" s="83">
        <f>D270</f>
        <v>4230300</v>
      </c>
      <c r="E268" s="83"/>
      <c r="F268" s="83">
        <f>D268</f>
        <v>4230300</v>
      </c>
      <c r="G268" s="83">
        <f>G270</f>
        <v>5928700</v>
      </c>
      <c r="H268" s="83"/>
      <c r="I268" s="83"/>
      <c r="J268" s="83">
        <f>G268</f>
        <v>5928700</v>
      </c>
      <c r="K268" s="83"/>
      <c r="L268" s="83"/>
      <c r="M268" s="83"/>
      <c r="N268" s="83">
        <f>N270</f>
        <v>6628300</v>
      </c>
      <c r="O268" s="83"/>
      <c r="P268" s="83">
        <f>N268</f>
        <v>6628300</v>
      </c>
      <c r="EB268" s="119"/>
      <c r="EC268" s="119"/>
      <c r="ED268" s="119"/>
      <c r="EE268" s="119"/>
      <c r="EF268" s="119"/>
      <c r="EG268" s="119"/>
    </row>
    <row r="269" spans="1:137" s="15" customFormat="1" ht="11.25">
      <c r="A269" s="3" t="s">
        <v>77</v>
      </c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EB269" s="34"/>
      <c r="EC269" s="34"/>
      <c r="ED269" s="34"/>
      <c r="EE269" s="34"/>
      <c r="EF269" s="34"/>
      <c r="EG269" s="34"/>
    </row>
    <row r="270" spans="1:137" s="15" customFormat="1" ht="22.5">
      <c r="A270" s="6" t="s">
        <v>267</v>
      </c>
      <c r="B270" s="4"/>
      <c r="C270" s="4"/>
      <c r="D270" s="5">
        <f>5251300-1021000</f>
        <v>4230300</v>
      </c>
      <c r="E270" s="5"/>
      <c r="F270" s="5">
        <f>D270</f>
        <v>4230300</v>
      </c>
      <c r="G270" s="5">
        <v>5928700</v>
      </c>
      <c r="H270" s="5"/>
      <c r="I270" s="5"/>
      <c r="J270" s="5">
        <f>G270</f>
        <v>5928700</v>
      </c>
      <c r="K270" s="5"/>
      <c r="L270" s="5"/>
      <c r="M270" s="5"/>
      <c r="N270" s="5">
        <v>6628300</v>
      </c>
      <c r="O270" s="5"/>
      <c r="P270" s="5">
        <f>N270</f>
        <v>6628300</v>
      </c>
      <c r="EB270" s="34"/>
      <c r="EC270" s="34"/>
      <c r="ED270" s="34"/>
      <c r="EE270" s="34"/>
      <c r="EF270" s="34"/>
      <c r="EG270" s="34"/>
    </row>
    <row r="271" spans="1:137" s="15" customFormat="1" ht="11.25">
      <c r="A271" s="3" t="s">
        <v>231</v>
      </c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EB271" s="34"/>
      <c r="EC271" s="34"/>
      <c r="ED271" s="34"/>
      <c r="EE271" s="34"/>
      <c r="EF271" s="34"/>
      <c r="EG271" s="34"/>
    </row>
    <row r="272" spans="1:137" s="15" customFormat="1" ht="11.25">
      <c r="A272" s="6" t="s">
        <v>101</v>
      </c>
      <c r="B272" s="4"/>
      <c r="C272" s="4"/>
      <c r="D272" s="5">
        <v>1600</v>
      </c>
      <c r="E272" s="5"/>
      <c r="F272" s="5">
        <f>D272</f>
        <v>1600</v>
      </c>
      <c r="G272" s="5">
        <v>1600</v>
      </c>
      <c r="H272" s="5"/>
      <c r="I272" s="5"/>
      <c r="J272" s="5">
        <f>G272</f>
        <v>1600</v>
      </c>
      <c r="K272" s="5"/>
      <c r="L272" s="5"/>
      <c r="M272" s="5"/>
      <c r="N272" s="5">
        <f>J272</f>
        <v>1600</v>
      </c>
      <c r="O272" s="5"/>
      <c r="P272" s="5">
        <f>N272</f>
        <v>1600</v>
      </c>
      <c r="EB272" s="34"/>
      <c r="EC272" s="34"/>
      <c r="ED272" s="34"/>
      <c r="EE272" s="34"/>
      <c r="EF272" s="34"/>
      <c r="EG272" s="34"/>
    </row>
    <row r="273" spans="1:137" s="15" customFormat="1" ht="11.25">
      <c r="A273" s="3" t="s">
        <v>226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11.25">
      <c r="A274" s="6" t="s">
        <v>268</v>
      </c>
      <c r="B274" s="4"/>
      <c r="C274" s="4"/>
      <c r="D274" s="5">
        <f>D270/D272</f>
        <v>2643.9375</v>
      </c>
      <c r="E274" s="5"/>
      <c r="F274" s="5">
        <f>D274</f>
        <v>2643.9375</v>
      </c>
      <c r="G274" s="5">
        <f>G270/G272</f>
        <v>3705.4375</v>
      </c>
      <c r="H274" s="5"/>
      <c r="I274" s="5"/>
      <c r="J274" s="5">
        <f>G274</f>
        <v>3705.4375</v>
      </c>
      <c r="K274" s="5"/>
      <c r="L274" s="5"/>
      <c r="M274" s="5"/>
      <c r="N274" s="5">
        <f>N270/N272</f>
        <v>4142.6875</v>
      </c>
      <c r="O274" s="5"/>
      <c r="P274" s="5">
        <f>N274</f>
        <v>4142.6875</v>
      </c>
      <c r="EB274" s="34"/>
      <c r="EC274" s="34"/>
      <c r="ED274" s="34"/>
      <c r="EE274" s="34"/>
      <c r="EF274" s="34"/>
      <c r="EG274" s="34"/>
    </row>
    <row r="275" spans="1:137" s="118" customFormat="1" ht="11.25">
      <c r="A275" s="87" t="s">
        <v>408</v>
      </c>
      <c r="B275" s="79"/>
      <c r="C275" s="79"/>
      <c r="D275" s="83">
        <f>D277</f>
        <v>209000</v>
      </c>
      <c r="E275" s="83"/>
      <c r="F275" s="83">
        <f>D275</f>
        <v>209000</v>
      </c>
      <c r="G275" s="83">
        <f>G277</f>
        <v>406100</v>
      </c>
      <c r="H275" s="83"/>
      <c r="I275" s="83"/>
      <c r="J275" s="83">
        <f>G275</f>
        <v>406100</v>
      </c>
      <c r="K275" s="83"/>
      <c r="L275" s="83"/>
      <c r="M275" s="83"/>
      <c r="N275" s="83">
        <f>N277</f>
        <v>454000</v>
      </c>
      <c r="O275" s="83"/>
      <c r="P275" s="83">
        <f>N275</f>
        <v>454000</v>
      </c>
      <c r="EB275" s="119"/>
      <c r="EC275" s="119"/>
      <c r="ED275" s="119"/>
      <c r="EE275" s="119"/>
      <c r="EF275" s="119"/>
      <c r="EG275" s="119"/>
    </row>
    <row r="276" spans="1:137" s="15" customFormat="1" ht="11.25">
      <c r="A276" s="3" t="s">
        <v>77</v>
      </c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EB276" s="34"/>
      <c r="EC276" s="34"/>
      <c r="ED276" s="34"/>
      <c r="EE276" s="34"/>
      <c r="EF276" s="34"/>
      <c r="EG276" s="34"/>
    </row>
    <row r="277" spans="1:137" s="15" customFormat="1" ht="22.5">
      <c r="A277" s="6" t="s">
        <v>269</v>
      </c>
      <c r="B277" s="4"/>
      <c r="C277" s="4"/>
      <c r="D277" s="5">
        <f>359700-150700</f>
        <v>209000</v>
      </c>
      <c r="E277" s="5"/>
      <c r="F277" s="5">
        <f>D277</f>
        <v>209000</v>
      </c>
      <c r="G277" s="5">
        <v>406100</v>
      </c>
      <c r="H277" s="5"/>
      <c r="I277" s="5"/>
      <c r="J277" s="5">
        <f>G277</f>
        <v>406100</v>
      </c>
      <c r="K277" s="5"/>
      <c r="L277" s="5"/>
      <c r="M277" s="5"/>
      <c r="N277" s="5">
        <v>454000</v>
      </c>
      <c r="O277" s="5"/>
      <c r="P277" s="5">
        <f>N277</f>
        <v>454000</v>
      </c>
      <c r="EB277" s="34"/>
      <c r="EC277" s="34"/>
      <c r="ED277" s="34"/>
      <c r="EE277" s="34"/>
      <c r="EF277" s="34"/>
      <c r="EG277" s="34"/>
    </row>
    <row r="278" spans="1:137" s="15" customFormat="1" ht="11.25">
      <c r="A278" s="3" t="s">
        <v>231</v>
      </c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EB278" s="34"/>
      <c r="EC278" s="34"/>
      <c r="ED278" s="34"/>
      <c r="EE278" s="34"/>
      <c r="EF278" s="34"/>
      <c r="EG278" s="34"/>
    </row>
    <row r="279" spans="1:137" s="15" customFormat="1" ht="11.25">
      <c r="A279" s="6" t="s">
        <v>159</v>
      </c>
      <c r="B279" s="4"/>
      <c r="C279" s="4"/>
      <c r="D279" s="5">
        <v>89</v>
      </c>
      <c r="E279" s="5"/>
      <c r="F279" s="5">
        <f>D279</f>
        <v>89</v>
      </c>
      <c r="G279" s="5">
        <v>90</v>
      </c>
      <c r="H279" s="5"/>
      <c r="I279" s="5"/>
      <c r="J279" s="5">
        <f>G279</f>
        <v>90</v>
      </c>
      <c r="K279" s="5"/>
      <c r="L279" s="5"/>
      <c r="M279" s="5"/>
      <c r="N279" s="5">
        <v>90</v>
      </c>
      <c r="O279" s="5"/>
      <c r="P279" s="5">
        <v>90</v>
      </c>
      <c r="EB279" s="34"/>
      <c r="EC279" s="34"/>
      <c r="ED279" s="34"/>
      <c r="EE279" s="34"/>
      <c r="EF279" s="34"/>
      <c r="EG279" s="34"/>
    </row>
    <row r="280" spans="1:137" s="15" customFormat="1" ht="11.25">
      <c r="A280" s="3" t="s">
        <v>226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11.25">
      <c r="A281" s="6" t="s">
        <v>108</v>
      </c>
      <c r="B281" s="4"/>
      <c r="C281" s="4"/>
      <c r="D281" s="5">
        <f>D277/D279</f>
        <v>2348.3146067415732</v>
      </c>
      <c r="E281" s="5"/>
      <c r="F281" s="5">
        <f>D281</f>
        <v>2348.3146067415732</v>
      </c>
      <c r="G281" s="5">
        <f>G277/G279</f>
        <v>4512.222222222223</v>
      </c>
      <c r="H281" s="5"/>
      <c r="I281" s="5"/>
      <c r="J281" s="5">
        <f>G281</f>
        <v>4512.222222222223</v>
      </c>
      <c r="K281" s="5"/>
      <c r="L281" s="5"/>
      <c r="M281" s="5"/>
      <c r="N281" s="5">
        <f>N277/N279</f>
        <v>5044.444444444444</v>
      </c>
      <c r="O281" s="5"/>
      <c r="P281" s="5">
        <f>N281</f>
        <v>5044.444444444444</v>
      </c>
      <c r="EB281" s="34"/>
      <c r="EC281" s="34"/>
      <c r="ED281" s="34"/>
      <c r="EE281" s="34"/>
      <c r="EF281" s="34"/>
      <c r="EG281" s="34"/>
    </row>
    <row r="282" spans="1:137" s="118" customFormat="1" ht="24" customHeight="1">
      <c r="A282" s="87" t="s">
        <v>409</v>
      </c>
      <c r="B282" s="79"/>
      <c r="C282" s="79"/>
      <c r="D282" s="83">
        <f>D284</f>
        <v>50000</v>
      </c>
      <c r="E282" s="83"/>
      <c r="F282" s="83">
        <f>D282</f>
        <v>50000</v>
      </c>
      <c r="G282" s="83">
        <f>G284</f>
        <v>64000</v>
      </c>
      <c r="H282" s="83"/>
      <c r="I282" s="83"/>
      <c r="J282" s="83">
        <f>G282</f>
        <v>64000</v>
      </c>
      <c r="K282" s="83"/>
      <c r="L282" s="83"/>
      <c r="M282" s="83"/>
      <c r="N282" s="83">
        <f>N284</f>
        <v>67800</v>
      </c>
      <c r="O282" s="83"/>
      <c r="P282" s="83">
        <f>N282</f>
        <v>67800</v>
      </c>
      <c r="EB282" s="119"/>
      <c r="EC282" s="119"/>
      <c r="ED282" s="119"/>
      <c r="EE282" s="119"/>
      <c r="EF282" s="119"/>
      <c r="EG282" s="119"/>
    </row>
    <row r="283" spans="1:137" s="15" customFormat="1" ht="11.25">
      <c r="A283" s="3" t="s">
        <v>77</v>
      </c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EB283" s="34"/>
      <c r="EC283" s="34"/>
      <c r="ED283" s="34"/>
      <c r="EE283" s="34"/>
      <c r="EF283" s="34"/>
      <c r="EG283" s="34"/>
    </row>
    <row r="284" spans="1:137" s="15" customFormat="1" ht="21.75" customHeight="1">
      <c r="A284" s="6" t="s">
        <v>270</v>
      </c>
      <c r="B284" s="4"/>
      <c r="C284" s="4"/>
      <c r="D284" s="5">
        <f>D286*D288</f>
        <v>50000</v>
      </c>
      <c r="E284" s="5"/>
      <c r="F284" s="5">
        <f>D284</f>
        <v>50000</v>
      </c>
      <c r="G284" s="5">
        <f>G286*G288</f>
        <v>64000</v>
      </c>
      <c r="H284" s="5"/>
      <c r="I284" s="5"/>
      <c r="J284" s="5">
        <f>G284</f>
        <v>64000</v>
      </c>
      <c r="K284" s="5"/>
      <c r="L284" s="5"/>
      <c r="M284" s="5"/>
      <c r="N284" s="5">
        <f>N286*N288</f>
        <v>67800</v>
      </c>
      <c r="O284" s="5"/>
      <c r="P284" s="5">
        <f>N284</f>
        <v>67800</v>
      </c>
      <c r="EB284" s="34"/>
      <c r="EC284" s="34"/>
      <c r="ED284" s="34"/>
      <c r="EE284" s="34"/>
      <c r="EF284" s="34"/>
      <c r="EG284" s="34"/>
    </row>
    <row r="285" spans="1:137" s="15" customFormat="1" ht="14.25" customHeight="1">
      <c r="A285" s="3" t="s">
        <v>231</v>
      </c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EB285" s="34"/>
      <c r="EC285" s="34"/>
      <c r="ED285" s="34"/>
      <c r="EE285" s="34"/>
      <c r="EF285" s="34"/>
      <c r="EG285" s="34"/>
    </row>
    <row r="286" spans="1:137" s="15" customFormat="1" ht="15.75" customHeight="1">
      <c r="A286" s="6" t="s">
        <v>271</v>
      </c>
      <c r="B286" s="4"/>
      <c r="C286" s="4"/>
      <c r="D286" s="5">
        <v>4</v>
      </c>
      <c r="E286" s="5"/>
      <c r="F286" s="5">
        <f>D286</f>
        <v>4</v>
      </c>
      <c r="G286" s="5">
        <v>4</v>
      </c>
      <c r="H286" s="5"/>
      <c r="I286" s="5"/>
      <c r="J286" s="5">
        <f>G286</f>
        <v>4</v>
      </c>
      <c r="K286" s="5"/>
      <c r="L286" s="5"/>
      <c r="M286" s="5"/>
      <c r="N286" s="5">
        <f>J286</f>
        <v>4</v>
      </c>
      <c r="O286" s="5"/>
      <c r="P286" s="5">
        <f>N286</f>
        <v>4</v>
      </c>
      <c r="EB286" s="34"/>
      <c r="EC286" s="34"/>
      <c r="ED286" s="34"/>
      <c r="EE286" s="34"/>
      <c r="EF286" s="34"/>
      <c r="EG286" s="34"/>
    </row>
    <row r="287" spans="1:137" s="15" customFormat="1" ht="15.75" customHeight="1">
      <c r="A287" s="3" t="s">
        <v>226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21.75" customHeight="1">
      <c r="A288" s="6" t="s">
        <v>272</v>
      </c>
      <c r="B288" s="4"/>
      <c r="C288" s="4"/>
      <c r="D288" s="5">
        <v>12500</v>
      </c>
      <c r="E288" s="5"/>
      <c r="F288" s="5">
        <f>D288</f>
        <v>12500</v>
      </c>
      <c r="G288" s="5">
        <v>16000</v>
      </c>
      <c r="H288" s="5"/>
      <c r="I288" s="5"/>
      <c r="J288" s="5">
        <f>G288</f>
        <v>16000</v>
      </c>
      <c r="K288" s="5"/>
      <c r="L288" s="5"/>
      <c r="M288" s="5"/>
      <c r="N288" s="5">
        <v>16950</v>
      </c>
      <c r="O288" s="5"/>
      <c r="P288" s="5">
        <f>N288</f>
        <v>16950</v>
      </c>
      <c r="EB288" s="34"/>
      <c r="EC288" s="34"/>
      <c r="ED288" s="34"/>
      <c r="EE288" s="34"/>
      <c r="EF288" s="34"/>
      <c r="EG288" s="34"/>
    </row>
    <row r="289" spans="1:137" s="115" customFormat="1" ht="21.75" customHeight="1">
      <c r="A289" s="87" t="s">
        <v>410</v>
      </c>
      <c r="B289" s="75"/>
      <c r="C289" s="75"/>
      <c r="D289" s="83">
        <f>D291</f>
        <v>0</v>
      </c>
      <c r="E289" s="83"/>
      <c r="F289" s="83">
        <f>D289</f>
        <v>0</v>
      </c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EB289" s="116"/>
      <c r="EC289" s="116"/>
      <c r="ED289" s="116"/>
      <c r="EE289" s="116"/>
      <c r="EF289" s="116"/>
      <c r="EG289" s="116"/>
    </row>
    <row r="290" spans="1:137" s="15" customFormat="1" ht="11.25">
      <c r="A290" s="3" t="s">
        <v>77</v>
      </c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16.5" customHeight="1">
      <c r="A291" s="6" t="s">
        <v>273</v>
      </c>
      <c r="B291" s="4"/>
      <c r="C291" s="4"/>
      <c r="D291" s="5">
        <f>280000-280000</f>
        <v>0</v>
      </c>
      <c r="E291" s="5"/>
      <c r="F291" s="5">
        <f>D291</f>
        <v>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11.25">
      <c r="A292" s="3" t="s">
        <v>231</v>
      </c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11.25">
      <c r="A293" s="6" t="s">
        <v>271</v>
      </c>
      <c r="B293" s="4"/>
      <c r="C293" s="4"/>
      <c r="D293" s="5">
        <v>0</v>
      </c>
      <c r="E293" s="5"/>
      <c r="F293" s="5">
        <f>D293</f>
        <v>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11.25">
      <c r="A294" s="3" t="s">
        <v>226</v>
      </c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11.25">
      <c r="A295" s="6" t="s">
        <v>274</v>
      </c>
      <c r="B295" s="4"/>
      <c r="C295" s="4"/>
      <c r="D295" s="5" t="e">
        <f>D291/D293</f>
        <v>#DIV/0!</v>
      </c>
      <c r="E295" s="5"/>
      <c r="F295" s="5" t="e">
        <f>D295</f>
        <v>#DIV/0!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4.75" customHeight="1">
      <c r="A296" s="87" t="s">
        <v>513</v>
      </c>
      <c r="B296" s="4"/>
      <c r="C296" s="4"/>
      <c r="D296" s="24">
        <f>D298</f>
        <v>50000</v>
      </c>
      <c r="E296" s="24"/>
      <c r="F296" s="24">
        <f>D296+E296</f>
        <v>50000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11.25">
      <c r="A297" s="3" t="s">
        <v>77</v>
      </c>
      <c r="B297" s="4"/>
      <c r="C297" s="4"/>
      <c r="D297" s="5"/>
      <c r="E297" s="5"/>
      <c r="F297" s="5">
        <f aca="true" t="shared" si="23" ref="F297:F302">D297+E297</f>
        <v>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>
      <c r="A298" s="6" t="s">
        <v>353</v>
      </c>
      <c r="B298" s="4"/>
      <c r="C298" s="4"/>
      <c r="D298" s="5">
        <f>D300*D302</f>
        <v>50000</v>
      </c>
      <c r="E298" s="5"/>
      <c r="F298" s="5">
        <f t="shared" si="23"/>
        <v>50000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11.25">
      <c r="A299" s="3" t="s">
        <v>231</v>
      </c>
      <c r="B299" s="4"/>
      <c r="C299" s="4"/>
      <c r="D299" s="5"/>
      <c r="E299" s="5"/>
      <c r="F299" s="5">
        <f t="shared" si="23"/>
        <v>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5" customFormat="1" ht="11.25">
      <c r="A300" s="6" t="s">
        <v>354</v>
      </c>
      <c r="B300" s="4"/>
      <c r="C300" s="4"/>
      <c r="D300" s="5">
        <v>1</v>
      </c>
      <c r="E300" s="5"/>
      <c r="F300" s="5">
        <f t="shared" si="23"/>
        <v>1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EB300" s="34"/>
      <c r="EC300" s="34"/>
      <c r="ED300" s="34"/>
      <c r="EE300" s="34"/>
      <c r="EF300" s="34"/>
      <c r="EG300" s="34"/>
    </row>
    <row r="301" spans="1:137" s="15" customFormat="1" ht="11.25">
      <c r="A301" s="3" t="s">
        <v>226</v>
      </c>
      <c r="B301" s="4"/>
      <c r="C301" s="4"/>
      <c r="D301" s="5"/>
      <c r="E301" s="5"/>
      <c r="F301" s="5">
        <f t="shared" si="23"/>
        <v>0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>
      <c r="A302" s="6" t="s">
        <v>355</v>
      </c>
      <c r="B302" s="4"/>
      <c r="C302" s="4"/>
      <c r="D302" s="5">
        <v>50000</v>
      </c>
      <c r="E302" s="5"/>
      <c r="F302" s="5">
        <f t="shared" si="23"/>
        <v>50000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18" customFormat="1" ht="24.75" customHeight="1">
      <c r="A303" s="87" t="s">
        <v>514</v>
      </c>
      <c r="B303" s="79"/>
      <c r="C303" s="79"/>
      <c r="D303" s="83"/>
      <c r="E303" s="83">
        <f>E305</f>
        <v>0</v>
      </c>
      <c r="F303" s="83">
        <f>E303</f>
        <v>0</v>
      </c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EB303" s="119"/>
      <c r="EC303" s="119"/>
      <c r="ED303" s="119"/>
      <c r="EE303" s="119"/>
      <c r="EF303" s="119"/>
      <c r="EG303" s="119"/>
    </row>
    <row r="304" spans="1:137" s="15" customFormat="1" ht="11.25">
      <c r="A304" s="3" t="s">
        <v>77</v>
      </c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>
      <c r="A305" s="6" t="s">
        <v>353</v>
      </c>
      <c r="B305" s="4"/>
      <c r="C305" s="4"/>
      <c r="D305" s="5"/>
      <c r="E305" s="5">
        <f>150000-50000-100000</f>
        <v>0</v>
      </c>
      <c r="F305" s="5">
        <f>E305</f>
        <v>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1.75" customHeight="1">
      <c r="A306" s="3" t="s">
        <v>231</v>
      </c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5" customFormat="1" ht="11.25">
      <c r="A307" s="6" t="s">
        <v>354</v>
      </c>
      <c r="B307" s="4"/>
      <c r="C307" s="4"/>
      <c r="D307" s="5"/>
      <c r="E307" s="5">
        <v>0</v>
      </c>
      <c r="F307" s="5">
        <f>E307</f>
        <v>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EB307" s="34"/>
      <c r="EC307" s="34"/>
      <c r="ED307" s="34"/>
      <c r="EE307" s="34"/>
      <c r="EF307" s="34"/>
      <c r="EG307" s="34"/>
    </row>
    <row r="308" spans="1:137" s="15" customFormat="1" ht="11.25">
      <c r="A308" s="3" t="s">
        <v>226</v>
      </c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EB308" s="34"/>
      <c r="EC308" s="34"/>
      <c r="ED308" s="34"/>
      <c r="EE308" s="34"/>
      <c r="EF308" s="34"/>
      <c r="EG308" s="34"/>
    </row>
    <row r="309" spans="1:137" s="15" customFormat="1" ht="11.25">
      <c r="A309" s="6" t="s">
        <v>355</v>
      </c>
      <c r="B309" s="4"/>
      <c r="C309" s="4"/>
      <c r="D309" s="5"/>
      <c r="E309" s="5">
        <v>0</v>
      </c>
      <c r="F309" s="5">
        <f>E309</f>
        <v>0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EB309" s="34"/>
      <c r="EC309" s="34"/>
      <c r="ED309" s="34"/>
      <c r="EE309" s="34"/>
      <c r="EF309" s="34"/>
      <c r="EG309" s="34"/>
    </row>
    <row r="310" spans="1:137" s="198" customFormat="1" ht="53.25" customHeight="1">
      <c r="A310" s="196" t="s">
        <v>524</v>
      </c>
      <c r="B310" s="197"/>
      <c r="C310" s="197"/>
      <c r="D310" s="195">
        <f>D311+D318+D325+D332+D339+D346</f>
        <v>7011500</v>
      </c>
      <c r="E310" s="195">
        <f aca="true" t="shared" si="24" ref="E310:P310">E311+E318+E325+E332+E339+E346</f>
        <v>0</v>
      </c>
      <c r="F310" s="195">
        <f t="shared" si="24"/>
        <v>7011500</v>
      </c>
      <c r="G310" s="195">
        <f t="shared" si="24"/>
        <v>10971100</v>
      </c>
      <c r="H310" s="195">
        <f t="shared" si="24"/>
        <v>0</v>
      </c>
      <c r="I310" s="195">
        <f t="shared" si="24"/>
        <v>0</v>
      </c>
      <c r="J310" s="195">
        <f t="shared" si="24"/>
        <v>10971100</v>
      </c>
      <c r="K310" s="195">
        <f t="shared" si="24"/>
        <v>0</v>
      </c>
      <c r="L310" s="195">
        <f t="shared" si="24"/>
        <v>0</v>
      </c>
      <c r="M310" s="195">
        <f t="shared" si="24"/>
        <v>0</v>
      </c>
      <c r="N310" s="195">
        <f t="shared" si="24"/>
        <v>11611300</v>
      </c>
      <c r="O310" s="195">
        <f t="shared" si="24"/>
        <v>0</v>
      </c>
      <c r="P310" s="195">
        <f t="shared" si="24"/>
        <v>11611300</v>
      </c>
      <c r="EB310" s="199"/>
      <c r="EC310" s="199"/>
      <c r="ED310" s="199"/>
      <c r="EE310" s="199"/>
      <c r="EF310" s="199"/>
      <c r="EG310" s="199"/>
    </row>
    <row r="311" spans="1:137" s="118" customFormat="1" ht="56.25">
      <c r="A311" s="87" t="s">
        <v>411</v>
      </c>
      <c r="B311" s="79"/>
      <c r="C311" s="79"/>
      <c r="D311" s="83">
        <f>D313</f>
        <v>788000</v>
      </c>
      <c r="E311" s="83"/>
      <c r="F311" s="83">
        <f>D311</f>
        <v>788000</v>
      </c>
      <c r="G311" s="83">
        <f>G313</f>
        <v>1651700</v>
      </c>
      <c r="H311" s="83"/>
      <c r="I311" s="83"/>
      <c r="J311" s="83">
        <f>G311</f>
        <v>1651700</v>
      </c>
      <c r="K311" s="83"/>
      <c r="L311" s="83"/>
      <c r="M311" s="83"/>
      <c r="N311" s="83">
        <f>N313</f>
        <v>1750800</v>
      </c>
      <c r="O311" s="83"/>
      <c r="P311" s="83">
        <f>N311</f>
        <v>1750800</v>
      </c>
      <c r="EB311" s="119"/>
      <c r="EC311" s="119"/>
      <c r="ED311" s="119"/>
      <c r="EE311" s="119"/>
      <c r="EF311" s="119"/>
      <c r="EG311" s="119"/>
    </row>
    <row r="312" spans="1:137" s="115" customFormat="1" ht="17.25" customHeight="1">
      <c r="A312" s="3" t="s">
        <v>77</v>
      </c>
      <c r="B312" s="114"/>
      <c r="C312" s="114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EB312" s="116"/>
      <c r="EC312" s="116"/>
      <c r="ED312" s="116"/>
      <c r="EE312" s="116"/>
      <c r="EF312" s="116"/>
      <c r="EG312" s="116"/>
    </row>
    <row r="313" spans="1:137" s="115" customFormat="1" ht="38.25" customHeight="1">
      <c r="A313" s="6" t="s">
        <v>276</v>
      </c>
      <c r="B313" s="114"/>
      <c r="C313" s="114"/>
      <c r="D313" s="76">
        <f>1548000-760000</f>
        <v>788000</v>
      </c>
      <c r="E313" s="76"/>
      <c r="F313" s="76">
        <f>D313</f>
        <v>788000</v>
      </c>
      <c r="G313" s="76">
        <v>1651700</v>
      </c>
      <c r="H313" s="76"/>
      <c r="I313" s="76"/>
      <c r="J313" s="76">
        <f>G313</f>
        <v>1651700</v>
      </c>
      <c r="K313" s="76"/>
      <c r="L313" s="76"/>
      <c r="M313" s="76"/>
      <c r="N313" s="76">
        <v>1750800</v>
      </c>
      <c r="O313" s="76"/>
      <c r="P313" s="76">
        <f>N313</f>
        <v>1750800</v>
      </c>
      <c r="EB313" s="116"/>
      <c r="EC313" s="116"/>
      <c r="ED313" s="116"/>
      <c r="EE313" s="116"/>
      <c r="EF313" s="116"/>
      <c r="EG313" s="116"/>
    </row>
    <row r="314" spans="1:137" s="115" customFormat="1" ht="16.5" customHeight="1">
      <c r="A314" s="3" t="s">
        <v>275</v>
      </c>
      <c r="B314" s="114"/>
      <c r="C314" s="114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EB314" s="116"/>
      <c r="EC314" s="116"/>
      <c r="ED314" s="116"/>
      <c r="EE314" s="116"/>
      <c r="EF314" s="116"/>
      <c r="EG314" s="116"/>
    </row>
    <row r="315" spans="1:137" s="115" customFormat="1" ht="38.25" customHeight="1">
      <c r="A315" s="6" t="s">
        <v>123</v>
      </c>
      <c r="B315" s="114"/>
      <c r="C315" s="114"/>
      <c r="D315" s="76">
        <v>155760</v>
      </c>
      <c r="E315" s="76"/>
      <c r="F315" s="76">
        <f>D315</f>
        <v>155760</v>
      </c>
      <c r="G315" s="76">
        <v>155760</v>
      </c>
      <c r="H315" s="76"/>
      <c r="I315" s="76"/>
      <c r="J315" s="76">
        <f>G315</f>
        <v>155760</v>
      </c>
      <c r="K315" s="76"/>
      <c r="L315" s="76"/>
      <c r="M315" s="76"/>
      <c r="N315" s="76">
        <v>155760</v>
      </c>
      <c r="O315" s="76"/>
      <c r="P315" s="76">
        <f>N315</f>
        <v>155760</v>
      </c>
      <c r="EB315" s="116"/>
      <c r="EC315" s="116"/>
      <c r="ED315" s="116"/>
      <c r="EE315" s="116"/>
      <c r="EF315" s="116"/>
      <c r="EG315" s="116"/>
    </row>
    <row r="316" spans="1:137" s="115" customFormat="1" ht="17.25" customHeight="1">
      <c r="A316" s="3" t="s">
        <v>226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>
      <c r="A317" s="6" t="s">
        <v>124</v>
      </c>
      <c r="B317" s="114"/>
      <c r="C317" s="114"/>
      <c r="D317" s="76">
        <f>D313/D315</f>
        <v>5.059065228556754</v>
      </c>
      <c r="E317" s="76"/>
      <c r="F317" s="76">
        <f>D317</f>
        <v>5.059065228556754</v>
      </c>
      <c r="G317" s="76">
        <f>G313/G315</f>
        <v>10.604134565998972</v>
      </c>
      <c r="H317" s="76"/>
      <c r="I317" s="76"/>
      <c r="J317" s="76">
        <f>G317</f>
        <v>10.604134565998972</v>
      </c>
      <c r="K317" s="76"/>
      <c r="L317" s="76"/>
      <c r="M317" s="76"/>
      <c r="N317" s="76">
        <f>N311/N315</f>
        <v>11.240369799691834</v>
      </c>
      <c r="O317" s="76"/>
      <c r="P317" s="76">
        <f>N317</f>
        <v>11.240369799691834</v>
      </c>
      <c r="EB317" s="116"/>
      <c r="EC317" s="116"/>
      <c r="ED317" s="116"/>
      <c r="EE317" s="116"/>
      <c r="EF317" s="116"/>
      <c r="EG317" s="116"/>
    </row>
    <row r="318" spans="1:137" s="118" customFormat="1" ht="42" customHeight="1">
      <c r="A318" s="87" t="s">
        <v>412</v>
      </c>
      <c r="B318" s="79"/>
      <c r="C318" s="79"/>
      <c r="D318" s="83">
        <f>D320</f>
        <v>3610000</v>
      </c>
      <c r="E318" s="83"/>
      <c r="F318" s="83">
        <f>D318</f>
        <v>3610000</v>
      </c>
      <c r="G318" s="83">
        <f>G320</f>
        <v>6519400</v>
      </c>
      <c r="H318" s="83"/>
      <c r="I318" s="83"/>
      <c r="J318" s="83">
        <f>G318</f>
        <v>6519400</v>
      </c>
      <c r="K318" s="83"/>
      <c r="L318" s="83"/>
      <c r="M318" s="83"/>
      <c r="N318" s="83">
        <f>N320</f>
        <v>6910500</v>
      </c>
      <c r="O318" s="83"/>
      <c r="P318" s="83">
        <f>N318</f>
        <v>6910500</v>
      </c>
      <c r="EB318" s="119"/>
      <c r="EC318" s="119"/>
      <c r="ED318" s="119"/>
      <c r="EE318" s="119"/>
      <c r="EF318" s="119"/>
      <c r="EG318" s="119"/>
    </row>
    <row r="319" spans="1:137" s="115" customFormat="1" ht="11.25">
      <c r="A319" s="3" t="s">
        <v>77</v>
      </c>
      <c r="B319" s="114"/>
      <c r="C319" s="114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EB319" s="116"/>
      <c r="EC319" s="116"/>
      <c r="ED319" s="116"/>
      <c r="EE319" s="116"/>
      <c r="EF319" s="116"/>
      <c r="EG319" s="116"/>
    </row>
    <row r="320" spans="1:137" s="115" customFormat="1" ht="38.25" customHeight="1">
      <c r="A320" s="6" t="s">
        <v>277</v>
      </c>
      <c r="B320" s="114"/>
      <c r="C320" s="114"/>
      <c r="D320" s="76">
        <f>6110000-2500000</f>
        <v>3610000</v>
      </c>
      <c r="E320" s="76"/>
      <c r="F320" s="76">
        <f>D320</f>
        <v>3610000</v>
      </c>
      <c r="G320" s="76">
        <v>6519400</v>
      </c>
      <c r="H320" s="76"/>
      <c r="I320" s="76"/>
      <c r="J320" s="76">
        <f>G320</f>
        <v>6519400</v>
      </c>
      <c r="K320" s="76"/>
      <c r="L320" s="76"/>
      <c r="M320" s="76"/>
      <c r="N320" s="76">
        <v>6910500</v>
      </c>
      <c r="O320" s="76"/>
      <c r="P320" s="76">
        <f>N320</f>
        <v>6910500</v>
      </c>
      <c r="EB320" s="116"/>
      <c r="EC320" s="116"/>
      <c r="ED320" s="116"/>
      <c r="EE320" s="116"/>
      <c r="EF320" s="116"/>
      <c r="EG320" s="116"/>
    </row>
    <row r="321" spans="1:137" s="115" customFormat="1" ht="11.25">
      <c r="A321" s="3" t="s">
        <v>275</v>
      </c>
      <c r="B321" s="114"/>
      <c r="C321" s="114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EB321" s="116"/>
      <c r="EC321" s="116"/>
      <c r="ED321" s="116"/>
      <c r="EE321" s="116"/>
      <c r="EF321" s="116"/>
      <c r="EG321" s="116"/>
    </row>
    <row r="322" spans="1:137" s="115" customFormat="1" ht="18.75" customHeight="1">
      <c r="A322" s="6" t="s">
        <v>278</v>
      </c>
      <c r="B322" s="114"/>
      <c r="C322" s="114"/>
      <c r="D322" s="76">
        <v>390</v>
      </c>
      <c r="E322" s="76"/>
      <c r="F322" s="76">
        <f>D322</f>
        <v>390</v>
      </c>
      <c r="G322" s="76">
        <f>F322</f>
        <v>390</v>
      </c>
      <c r="H322" s="76"/>
      <c r="I322" s="76"/>
      <c r="J322" s="76">
        <f>G322</f>
        <v>390</v>
      </c>
      <c r="K322" s="76"/>
      <c r="L322" s="76"/>
      <c r="M322" s="76"/>
      <c r="N322" s="76">
        <f>J322</f>
        <v>390</v>
      </c>
      <c r="O322" s="76"/>
      <c r="P322" s="76">
        <f>N322</f>
        <v>390</v>
      </c>
      <c r="EB322" s="116"/>
      <c r="EC322" s="116"/>
      <c r="ED322" s="116"/>
      <c r="EE322" s="116"/>
      <c r="EF322" s="116"/>
      <c r="EG322" s="116"/>
    </row>
    <row r="323" spans="1:137" s="115" customFormat="1" ht="11.25">
      <c r="A323" s="3" t="s">
        <v>226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38.25" customHeight="1">
      <c r="A324" s="6" t="s">
        <v>356</v>
      </c>
      <c r="B324" s="114"/>
      <c r="C324" s="114"/>
      <c r="D324" s="76">
        <f>D320/D322/12</f>
        <v>771.3675213675214</v>
      </c>
      <c r="E324" s="76"/>
      <c r="F324" s="76">
        <f>D324</f>
        <v>771.3675213675214</v>
      </c>
      <c r="G324" s="76">
        <f>G320/G322/12</f>
        <v>1393.0341880341882</v>
      </c>
      <c r="H324" s="76"/>
      <c r="I324" s="76"/>
      <c r="J324" s="76">
        <f>G324</f>
        <v>1393.0341880341882</v>
      </c>
      <c r="K324" s="76"/>
      <c r="L324" s="76"/>
      <c r="M324" s="76"/>
      <c r="N324" s="76">
        <f>N320/N322/12</f>
        <v>1476.6025641025642</v>
      </c>
      <c r="O324" s="76"/>
      <c r="P324" s="76">
        <f>N324</f>
        <v>1476.6025641025642</v>
      </c>
      <c r="EB324" s="116"/>
      <c r="EC324" s="116"/>
      <c r="ED324" s="116"/>
      <c r="EE324" s="116"/>
      <c r="EF324" s="116"/>
      <c r="EG324" s="116"/>
    </row>
    <row r="325" spans="1:137" s="115" customFormat="1" ht="22.5">
      <c r="A325" s="87" t="s">
        <v>413</v>
      </c>
      <c r="B325" s="75"/>
      <c r="C325" s="75"/>
      <c r="D325" s="83">
        <f>D327</f>
        <v>300000</v>
      </c>
      <c r="E325" s="83"/>
      <c r="F325" s="83">
        <f>D325</f>
        <v>300000</v>
      </c>
      <c r="G325" s="83">
        <f>G327</f>
        <v>300000</v>
      </c>
      <c r="H325" s="83"/>
      <c r="I325" s="83"/>
      <c r="J325" s="83">
        <f>G325</f>
        <v>300000</v>
      </c>
      <c r="K325" s="83"/>
      <c r="L325" s="83"/>
      <c r="M325" s="83"/>
      <c r="N325" s="83">
        <f>N327</f>
        <v>300000</v>
      </c>
      <c r="O325" s="83"/>
      <c r="P325" s="83">
        <f>N325</f>
        <v>300000</v>
      </c>
      <c r="EB325" s="116"/>
      <c r="EC325" s="116"/>
      <c r="ED325" s="116"/>
      <c r="EE325" s="116"/>
      <c r="EF325" s="116"/>
      <c r="EG325" s="116"/>
    </row>
    <row r="326" spans="1:137" s="115" customFormat="1" ht="11.25">
      <c r="A326" s="3" t="s">
        <v>77</v>
      </c>
      <c r="B326" s="114"/>
      <c r="C326" s="114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EB326" s="116"/>
      <c r="EC326" s="116"/>
      <c r="ED326" s="116"/>
      <c r="EE326" s="116"/>
      <c r="EF326" s="116"/>
      <c r="EG326" s="116"/>
    </row>
    <row r="327" spans="1:137" s="115" customFormat="1" ht="22.5">
      <c r="A327" s="74" t="s">
        <v>357</v>
      </c>
      <c r="B327" s="114"/>
      <c r="C327" s="114"/>
      <c r="D327" s="76">
        <v>300000</v>
      </c>
      <c r="E327" s="76"/>
      <c r="F327" s="76">
        <f>D327</f>
        <v>300000</v>
      </c>
      <c r="G327" s="76">
        <v>300000</v>
      </c>
      <c r="H327" s="76"/>
      <c r="I327" s="76"/>
      <c r="J327" s="76">
        <f>G327</f>
        <v>300000</v>
      </c>
      <c r="K327" s="76"/>
      <c r="L327" s="76"/>
      <c r="M327" s="76"/>
      <c r="N327" s="76">
        <v>300000</v>
      </c>
      <c r="O327" s="76"/>
      <c r="P327" s="76">
        <f>N327</f>
        <v>300000</v>
      </c>
      <c r="EB327" s="116"/>
      <c r="EC327" s="116"/>
      <c r="ED327" s="116"/>
      <c r="EE327" s="116"/>
      <c r="EF327" s="116"/>
      <c r="EG327" s="116"/>
    </row>
    <row r="328" spans="1:137" s="115" customFormat="1" ht="11.25">
      <c r="A328" s="167" t="s">
        <v>275</v>
      </c>
      <c r="B328" s="114"/>
      <c r="C328" s="114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EB328" s="116"/>
      <c r="EC328" s="116"/>
      <c r="ED328" s="116"/>
      <c r="EE328" s="116"/>
      <c r="EF328" s="116"/>
      <c r="EG328" s="116"/>
    </row>
    <row r="329" spans="1:137" s="115" customFormat="1" ht="22.5">
      <c r="A329" s="74" t="s">
        <v>358</v>
      </c>
      <c r="B329" s="114"/>
      <c r="C329" s="114"/>
      <c r="D329" s="76">
        <v>183</v>
      </c>
      <c r="E329" s="76"/>
      <c r="F329" s="76">
        <f>D329</f>
        <v>183</v>
      </c>
      <c r="G329" s="76">
        <v>172</v>
      </c>
      <c r="H329" s="76"/>
      <c r="I329" s="76"/>
      <c r="J329" s="76">
        <f>G329</f>
        <v>172</v>
      </c>
      <c r="K329" s="76"/>
      <c r="L329" s="76"/>
      <c r="M329" s="76"/>
      <c r="N329" s="76">
        <v>162</v>
      </c>
      <c r="O329" s="76"/>
      <c r="P329" s="76">
        <f>N329</f>
        <v>162</v>
      </c>
      <c r="EB329" s="116"/>
      <c r="EC329" s="116"/>
      <c r="ED329" s="116"/>
      <c r="EE329" s="116"/>
      <c r="EF329" s="116"/>
      <c r="EG329" s="116"/>
    </row>
    <row r="330" spans="1:137" s="115" customFormat="1" ht="11.25">
      <c r="A330" s="167" t="s">
        <v>226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22.5">
      <c r="A331" s="74" t="s">
        <v>359</v>
      </c>
      <c r="B331" s="114"/>
      <c r="C331" s="114"/>
      <c r="D331" s="76">
        <f>D327/D329</f>
        <v>1639.344262295082</v>
      </c>
      <c r="E331" s="76"/>
      <c r="F331" s="76">
        <f>D331</f>
        <v>1639.344262295082</v>
      </c>
      <c r="G331" s="76">
        <f>G327/G329</f>
        <v>1744.1860465116279</v>
      </c>
      <c r="H331" s="76"/>
      <c r="I331" s="76"/>
      <c r="J331" s="76">
        <f>G331</f>
        <v>1744.1860465116279</v>
      </c>
      <c r="K331" s="76"/>
      <c r="L331" s="76"/>
      <c r="M331" s="76"/>
      <c r="N331" s="76">
        <f>N327/N329</f>
        <v>1851.851851851852</v>
      </c>
      <c r="O331" s="76"/>
      <c r="P331" s="76">
        <f>N331</f>
        <v>1851.851851851852</v>
      </c>
      <c r="EB331" s="116"/>
      <c r="EC331" s="116"/>
      <c r="ED331" s="116"/>
      <c r="EE331" s="116"/>
      <c r="EF331" s="116"/>
      <c r="EG331" s="116"/>
    </row>
    <row r="332" spans="1:137" s="77" customFormat="1" ht="46.5" customHeight="1">
      <c r="A332" s="87" t="s">
        <v>525</v>
      </c>
      <c r="B332" s="75"/>
      <c r="C332" s="75"/>
      <c r="D332" s="83">
        <f>D334</f>
        <v>413500</v>
      </c>
      <c r="E332" s="83"/>
      <c r="F332" s="83">
        <f>D332</f>
        <v>413500</v>
      </c>
      <c r="G332" s="83">
        <f>G334</f>
        <v>250000</v>
      </c>
      <c r="H332" s="83"/>
      <c r="I332" s="83"/>
      <c r="J332" s="83">
        <f>G332</f>
        <v>250000</v>
      </c>
      <c r="K332" s="83"/>
      <c r="L332" s="83"/>
      <c r="M332" s="83"/>
      <c r="N332" s="83">
        <f>N334</f>
        <v>300000</v>
      </c>
      <c r="O332" s="83"/>
      <c r="P332" s="83">
        <f>N332</f>
        <v>300000</v>
      </c>
      <c r="EB332" s="78"/>
      <c r="EC332" s="78"/>
      <c r="ED332" s="78"/>
      <c r="EE332" s="78"/>
      <c r="EF332" s="78"/>
      <c r="EG332" s="78"/>
    </row>
    <row r="333" spans="1:137" s="115" customFormat="1" ht="21.75" customHeight="1">
      <c r="A333" s="3" t="s">
        <v>77</v>
      </c>
      <c r="B333" s="114"/>
      <c r="C333" s="114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EB333" s="116"/>
      <c r="EC333" s="116"/>
      <c r="ED333" s="116"/>
      <c r="EE333" s="116"/>
      <c r="EF333" s="116"/>
      <c r="EG333" s="116"/>
    </row>
    <row r="334" spans="1:137" s="115" customFormat="1" ht="33" customHeight="1">
      <c r="A334" s="74" t="s">
        <v>360</v>
      </c>
      <c r="B334" s="114"/>
      <c r="C334" s="114"/>
      <c r="D334" s="76">
        <f>200000+213500</f>
        <v>413500</v>
      </c>
      <c r="E334" s="76"/>
      <c r="F334" s="76">
        <f>D334</f>
        <v>413500</v>
      </c>
      <c r="G334" s="76">
        <v>250000</v>
      </c>
      <c r="H334" s="76"/>
      <c r="I334" s="76"/>
      <c r="J334" s="76">
        <f>G334</f>
        <v>250000</v>
      </c>
      <c r="K334" s="76"/>
      <c r="L334" s="76"/>
      <c r="M334" s="76"/>
      <c r="N334" s="76">
        <v>300000</v>
      </c>
      <c r="O334" s="76"/>
      <c r="P334" s="76">
        <f>N334</f>
        <v>300000</v>
      </c>
      <c r="EB334" s="116"/>
      <c r="EC334" s="116"/>
      <c r="ED334" s="116"/>
      <c r="EE334" s="116"/>
      <c r="EF334" s="116"/>
      <c r="EG334" s="116"/>
    </row>
    <row r="335" spans="1:137" s="115" customFormat="1" ht="11.25">
      <c r="A335" s="167" t="s">
        <v>275</v>
      </c>
      <c r="B335" s="114"/>
      <c r="C335" s="114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EB335" s="116"/>
      <c r="EC335" s="116"/>
      <c r="ED335" s="116"/>
      <c r="EE335" s="116"/>
      <c r="EF335" s="116"/>
      <c r="EG335" s="116"/>
    </row>
    <row r="336" spans="1:137" s="115" customFormat="1" ht="22.5">
      <c r="A336" s="74" t="s">
        <v>361</v>
      </c>
      <c r="B336" s="114"/>
      <c r="C336" s="114"/>
      <c r="D336" s="76">
        <v>685</v>
      </c>
      <c r="E336" s="76"/>
      <c r="F336" s="76">
        <f>D336</f>
        <v>685</v>
      </c>
      <c r="G336" s="76">
        <v>802</v>
      </c>
      <c r="H336" s="76"/>
      <c r="I336" s="76"/>
      <c r="J336" s="76">
        <f>G336</f>
        <v>802</v>
      </c>
      <c r="K336" s="76"/>
      <c r="L336" s="76"/>
      <c r="M336" s="76"/>
      <c r="N336" s="76">
        <v>908</v>
      </c>
      <c r="O336" s="76"/>
      <c r="P336" s="76">
        <f>N336</f>
        <v>908</v>
      </c>
      <c r="EB336" s="116"/>
      <c r="EC336" s="116"/>
      <c r="ED336" s="116"/>
      <c r="EE336" s="116"/>
      <c r="EF336" s="116"/>
      <c r="EG336" s="116"/>
    </row>
    <row r="337" spans="1:137" s="115" customFormat="1" ht="11.25">
      <c r="A337" s="167" t="s">
        <v>226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22.5">
      <c r="A338" s="74" t="s">
        <v>362</v>
      </c>
      <c r="B338" s="114"/>
      <c r="C338" s="114"/>
      <c r="D338" s="76">
        <f>D334/D336</f>
        <v>603.6496350364963</v>
      </c>
      <c r="E338" s="76"/>
      <c r="F338" s="76">
        <f>D338</f>
        <v>603.6496350364963</v>
      </c>
      <c r="G338" s="76">
        <f>G334/G336</f>
        <v>311.7206982543641</v>
      </c>
      <c r="H338" s="76"/>
      <c r="I338" s="76"/>
      <c r="J338" s="76">
        <f>G338</f>
        <v>311.7206982543641</v>
      </c>
      <c r="K338" s="76"/>
      <c r="L338" s="76"/>
      <c r="M338" s="76"/>
      <c r="N338" s="76">
        <f>N334/N336</f>
        <v>330.3964757709251</v>
      </c>
      <c r="O338" s="76"/>
      <c r="P338" s="76">
        <f>N338</f>
        <v>330.3964757709251</v>
      </c>
      <c r="EB338" s="116"/>
      <c r="EC338" s="116"/>
      <c r="ED338" s="116"/>
      <c r="EE338" s="116"/>
      <c r="EF338" s="116"/>
      <c r="EG338" s="116"/>
    </row>
    <row r="339" spans="1:137" s="115" customFormat="1" ht="45.75" customHeight="1">
      <c r="A339" s="87" t="s">
        <v>526</v>
      </c>
      <c r="B339" s="114"/>
      <c r="C339" s="114"/>
      <c r="D339" s="83">
        <f>D341</f>
        <v>1500000</v>
      </c>
      <c r="E339" s="83"/>
      <c r="F339" s="83">
        <f>D339</f>
        <v>1500000</v>
      </c>
      <c r="G339" s="83">
        <f>G341</f>
        <v>1500000</v>
      </c>
      <c r="H339" s="83"/>
      <c r="I339" s="83"/>
      <c r="J339" s="83">
        <f>G339</f>
        <v>1500000</v>
      </c>
      <c r="K339" s="83"/>
      <c r="L339" s="83"/>
      <c r="M339" s="83"/>
      <c r="N339" s="83">
        <f>N341</f>
        <v>1500000</v>
      </c>
      <c r="O339" s="83"/>
      <c r="P339" s="83">
        <f>N339</f>
        <v>1500000</v>
      </c>
      <c r="EB339" s="116"/>
      <c r="EC339" s="116"/>
      <c r="ED339" s="116"/>
      <c r="EE339" s="116"/>
      <c r="EF339" s="116"/>
      <c r="EG339" s="116"/>
    </row>
    <row r="340" spans="1:137" s="115" customFormat="1" ht="21.75" customHeight="1">
      <c r="A340" s="3" t="s">
        <v>77</v>
      </c>
      <c r="B340" s="114"/>
      <c r="C340" s="114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EB340" s="116"/>
      <c r="EC340" s="116"/>
      <c r="ED340" s="116"/>
      <c r="EE340" s="116"/>
      <c r="EF340" s="116"/>
      <c r="EG340" s="116"/>
    </row>
    <row r="341" spans="1:137" s="115" customFormat="1" ht="37.5" customHeight="1">
      <c r="A341" s="74" t="s">
        <v>363</v>
      </c>
      <c r="B341" s="114"/>
      <c r="C341" s="114"/>
      <c r="D341" s="76">
        <f>1000000+500000</f>
        <v>1500000</v>
      </c>
      <c r="E341" s="76"/>
      <c r="F341" s="76">
        <f>D341</f>
        <v>1500000</v>
      </c>
      <c r="G341" s="76">
        <v>1500000</v>
      </c>
      <c r="H341" s="76"/>
      <c r="I341" s="76"/>
      <c r="J341" s="76">
        <f>G341</f>
        <v>1500000</v>
      </c>
      <c r="K341" s="76"/>
      <c r="L341" s="76"/>
      <c r="M341" s="76"/>
      <c r="N341" s="76">
        <v>1500000</v>
      </c>
      <c r="O341" s="76"/>
      <c r="P341" s="76">
        <f>N341</f>
        <v>1500000</v>
      </c>
      <c r="EB341" s="116"/>
      <c r="EC341" s="116"/>
      <c r="ED341" s="116"/>
      <c r="EE341" s="116"/>
      <c r="EF341" s="116"/>
      <c r="EG341" s="116"/>
    </row>
    <row r="342" spans="1:137" s="115" customFormat="1" ht="22.5" customHeight="1">
      <c r="A342" s="167" t="s">
        <v>275</v>
      </c>
      <c r="B342" s="114"/>
      <c r="C342" s="114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EB342" s="116"/>
      <c r="EC342" s="116"/>
      <c r="ED342" s="116"/>
      <c r="EE342" s="116"/>
      <c r="EF342" s="116"/>
      <c r="EG342" s="116"/>
    </row>
    <row r="343" spans="1:137" s="115" customFormat="1" ht="22.5">
      <c r="A343" s="74" t="s">
        <v>361</v>
      </c>
      <c r="B343" s="114"/>
      <c r="C343" s="114"/>
      <c r="D343" s="76">
        <f>3425+50</f>
        <v>3475</v>
      </c>
      <c r="E343" s="76"/>
      <c r="F343" s="76">
        <f>D343</f>
        <v>3475</v>
      </c>
      <c r="G343" s="76">
        <v>4812.01</v>
      </c>
      <c r="H343" s="76"/>
      <c r="I343" s="76"/>
      <c r="J343" s="76">
        <f>G343</f>
        <v>4812.01</v>
      </c>
      <c r="K343" s="76"/>
      <c r="L343" s="76"/>
      <c r="M343" s="76"/>
      <c r="N343" s="76">
        <v>4539.95</v>
      </c>
      <c r="O343" s="76"/>
      <c r="P343" s="76">
        <f>N343</f>
        <v>4539.95</v>
      </c>
      <c r="EB343" s="116"/>
      <c r="EC343" s="116"/>
      <c r="ED343" s="116"/>
      <c r="EE343" s="116"/>
      <c r="EF343" s="116"/>
      <c r="EG343" s="116"/>
    </row>
    <row r="344" spans="1:137" s="115" customFormat="1" ht="11.25">
      <c r="A344" s="167" t="s">
        <v>226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22.5">
      <c r="A345" s="74" t="s">
        <v>362</v>
      </c>
      <c r="B345" s="114"/>
      <c r="C345" s="114"/>
      <c r="D345" s="76">
        <f>D341/D343</f>
        <v>431.6546762589928</v>
      </c>
      <c r="E345" s="76"/>
      <c r="F345" s="76">
        <f>D345</f>
        <v>431.6546762589928</v>
      </c>
      <c r="G345" s="76">
        <f>G341/G343</f>
        <v>311.7200504570855</v>
      </c>
      <c r="H345" s="76"/>
      <c r="I345" s="76"/>
      <c r="J345" s="76">
        <f>G345</f>
        <v>311.7200504570855</v>
      </c>
      <c r="K345" s="76"/>
      <c r="L345" s="76"/>
      <c r="M345" s="76"/>
      <c r="N345" s="76">
        <f>N341/N343</f>
        <v>330.40011453870636</v>
      </c>
      <c r="O345" s="76"/>
      <c r="P345" s="76">
        <f>N345</f>
        <v>330.40011453870636</v>
      </c>
      <c r="EB345" s="116"/>
      <c r="EC345" s="116"/>
      <c r="ED345" s="116"/>
      <c r="EE345" s="116"/>
      <c r="EF345" s="116"/>
      <c r="EG345" s="116"/>
    </row>
    <row r="346" spans="1:137" s="115" customFormat="1" ht="39" customHeight="1">
      <c r="A346" s="87" t="s">
        <v>414</v>
      </c>
      <c r="B346" s="114"/>
      <c r="C346" s="114"/>
      <c r="D346" s="76">
        <f>D348</f>
        <v>400000</v>
      </c>
      <c r="E346" s="76"/>
      <c r="F346" s="76">
        <f>D346</f>
        <v>400000</v>
      </c>
      <c r="G346" s="76">
        <f>G348</f>
        <v>750000</v>
      </c>
      <c r="H346" s="76"/>
      <c r="I346" s="76"/>
      <c r="J346" s="76">
        <f>G346</f>
        <v>750000</v>
      </c>
      <c r="K346" s="76"/>
      <c r="L346" s="76"/>
      <c r="M346" s="76"/>
      <c r="N346" s="76">
        <f>N348</f>
        <v>850000</v>
      </c>
      <c r="O346" s="76"/>
      <c r="P346" s="76">
        <f>N346</f>
        <v>850000</v>
      </c>
      <c r="EB346" s="116"/>
      <c r="EC346" s="116"/>
      <c r="ED346" s="116"/>
      <c r="EE346" s="116"/>
      <c r="EF346" s="116"/>
      <c r="EG346" s="116"/>
    </row>
    <row r="347" spans="1:137" s="115" customFormat="1" ht="11.25">
      <c r="A347" s="3" t="s">
        <v>77</v>
      </c>
      <c r="B347" s="114"/>
      <c r="C347" s="114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EB347" s="116"/>
      <c r="EC347" s="116"/>
      <c r="ED347" s="116"/>
      <c r="EE347" s="116"/>
      <c r="EF347" s="116"/>
      <c r="EG347" s="116"/>
    </row>
    <row r="348" spans="1:137" s="115" customFormat="1" ht="33" customHeight="1">
      <c r="A348" s="74" t="s">
        <v>364</v>
      </c>
      <c r="B348" s="114"/>
      <c r="C348" s="114"/>
      <c r="D348" s="76">
        <f>650000-250000</f>
        <v>400000</v>
      </c>
      <c r="E348" s="76"/>
      <c r="F348" s="76">
        <f>D348</f>
        <v>400000</v>
      </c>
      <c r="G348" s="76">
        <v>750000</v>
      </c>
      <c r="H348" s="76"/>
      <c r="I348" s="76"/>
      <c r="J348" s="76">
        <f>G348</f>
        <v>750000</v>
      </c>
      <c r="K348" s="76"/>
      <c r="L348" s="76"/>
      <c r="M348" s="76"/>
      <c r="N348" s="76">
        <v>850000</v>
      </c>
      <c r="O348" s="76"/>
      <c r="P348" s="76">
        <f>N348</f>
        <v>850000</v>
      </c>
      <c r="EB348" s="116"/>
      <c r="EC348" s="116"/>
      <c r="ED348" s="116"/>
      <c r="EE348" s="116"/>
      <c r="EF348" s="116"/>
      <c r="EG348" s="116"/>
    </row>
    <row r="349" spans="1:137" s="115" customFormat="1" ht="11.25">
      <c r="A349" s="167" t="s">
        <v>275</v>
      </c>
      <c r="B349" s="114"/>
      <c r="C349" s="114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EB349" s="116"/>
      <c r="EC349" s="116"/>
      <c r="ED349" s="116"/>
      <c r="EE349" s="116"/>
      <c r="EF349" s="116"/>
      <c r="EG349" s="116"/>
    </row>
    <row r="350" spans="1:137" s="115" customFormat="1" ht="22.5">
      <c r="A350" s="74" t="s">
        <v>365</v>
      </c>
      <c r="B350" s="114"/>
      <c r="C350" s="114"/>
      <c r="D350" s="76">
        <v>321.6</v>
      </c>
      <c r="E350" s="76"/>
      <c r="F350" s="76">
        <f>D350</f>
        <v>321.6</v>
      </c>
      <c r="G350" s="76">
        <v>321.6</v>
      </c>
      <c r="H350" s="76"/>
      <c r="I350" s="76"/>
      <c r="J350" s="76">
        <f>G350</f>
        <v>321.6</v>
      </c>
      <c r="K350" s="76"/>
      <c r="L350" s="76"/>
      <c r="M350" s="76"/>
      <c r="N350" s="76">
        <v>321.6</v>
      </c>
      <c r="O350" s="76"/>
      <c r="P350" s="76">
        <f>N350</f>
        <v>321.6</v>
      </c>
      <c r="EB350" s="116"/>
      <c r="EC350" s="116"/>
      <c r="ED350" s="116"/>
      <c r="EE350" s="116"/>
      <c r="EF350" s="116"/>
      <c r="EG350" s="116"/>
    </row>
    <row r="351" spans="1:137" s="115" customFormat="1" ht="11.25">
      <c r="A351" s="167" t="s">
        <v>226</v>
      </c>
      <c r="B351" s="114"/>
      <c r="C351" s="114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EB351" s="116"/>
      <c r="EC351" s="116"/>
      <c r="ED351" s="116"/>
      <c r="EE351" s="116"/>
      <c r="EF351" s="116"/>
      <c r="EG351" s="116"/>
    </row>
    <row r="352" spans="1:137" s="187" customFormat="1" ht="22.5">
      <c r="A352" s="74" t="s">
        <v>366</v>
      </c>
      <c r="B352" s="186"/>
      <c r="C352" s="186"/>
      <c r="D352" s="76">
        <f>D348/D350</f>
        <v>1243.7810945273632</v>
      </c>
      <c r="E352" s="76"/>
      <c r="F352" s="76">
        <f>D352</f>
        <v>1243.7810945273632</v>
      </c>
      <c r="G352" s="76">
        <f>G348/G350</f>
        <v>2332.089552238806</v>
      </c>
      <c r="H352" s="76"/>
      <c r="I352" s="76"/>
      <c r="J352" s="76">
        <f>G352</f>
        <v>2332.089552238806</v>
      </c>
      <c r="K352" s="76"/>
      <c r="L352" s="76"/>
      <c r="M352" s="76"/>
      <c r="N352" s="76">
        <f>N348/N350</f>
        <v>2643.0348258706467</v>
      </c>
      <c r="O352" s="76"/>
      <c r="P352" s="76">
        <f>N352</f>
        <v>2643.0348258706467</v>
      </c>
      <c r="EB352" s="188"/>
      <c r="EC352" s="188"/>
      <c r="ED352" s="188"/>
      <c r="EE352" s="188"/>
      <c r="EF352" s="188"/>
      <c r="EG352" s="188"/>
    </row>
    <row r="353" spans="1:137" s="193" customFormat="1" ht="34.5" customHeight="1">
      <c r="A353" s="196" t="s">
        <v>415</v>
      </c>
      <c r="B353" s="192"/>
      <c r="C353" s="192"/>
      <c r="D353" s="195">
        <f>D354+D361+D368+D375+D384+D393+D402+D411+D420+D429+D436</f>
        <v>14895600</v>
      </c>
      <c r="E353" s="195">
        <f aca="true" t="shared" si="25" ref="E353:P353">E354+E361+E368+E375+E384+E393+E402+E411+E420+E429+E436</f>
        <v>0</v>
      </c>
      <c r="F353" s="195">
        <f t="shared" si="25"/>
        <v>14895600</v>
      </c>
      <c r="G353" s="195">
        <f t="shared" si="25"/>
        <v>11654665</v>
      </c>
      <c r="H353" s="195">
        <f t="shared" si="25"/>
        <v>0</v>
      </c>
      <c r="I353" s="195">
        <f t="shared" si="25"/>
        <v>0</v>
      </c>
      <c r="J353" s="195">
        <f t="shared" si="25"/>
        <v>11654665</v>
      </c>
      <c r="K353" s="195" t="e">
        <f t="shared" si="25"/>
        <v>#REF!</v>
      </c>
      <c r="L353" s="195" t="e">
        <f t="shared" si="25"/>
        <v>#REF!</v>
      </c>
      <c r="M353" s="195" t="e">
        <f t="shared" si="25"/>
        <v>#REF!</v>
      </c>
      <c r="N353" s="195">
        <f t="shared" si="25"/>
        <v>11486200</v>
      </c>
      <c r="O353" s="195">
        <f t="shared" si="25"/>
        <v>0</v>
      </c>
      <c r="P353" s="195">
        <f t="shared" si="25"/>
        <v>11486200</v>
      </c>
      <c r="Q353" s="195" t="e">
        <f>Q354+Q361+Q368+#REF!+Q384+Q393+Q402+#REF!+Q420+Q429+Q436+#REF!</f>
        <v>#REF!</v>
      </c>
      <c r="EB353" s="194"/>
      <c r="EC353" s="194"/>
      <c r="ED353" s="194"/>
      <c r="EE353" s="194"/>
      <c r="EF353" s="194"/>
      <c r="EG353" s="194"/>
    </row>
    <row r="354" spans="1:137" s="187" customFormat="1" ht="22.5">
      <c r="A354" s="87" t="s">
        <v>478</v>
      </c>
      <c r="B354" s="186"/>
      <c r="C354" s="186"/>
      <c r="D354" s="83">
        <f>D356</f>
        <v>550000</v>
      </c>
      <c r="E354" s="83"/>
      <c r="F354" s="83">
        <f>D354</f>
        <v>550000</v>
      </c>
      <c r="G354" s="83">
        <f>G356</f>
        <v>755300</v>
      </c>
      <c r="H354" s="83"/>
      <c r="I354" s="83"/>
      <c r="J354" s="83">
        <f>G354</f>
        <v>755300</v>
      </c>
      <c r="K354" s="83"/>
      <c r="L354" s="83"/>
      <c r="M354" s="83"/>
      <c r="N354" s="83">
        <f>N356</f>
        <v>835000</v>
      </c>
      <c r="O354" s="83"/>
      <c r="P354" s="83">
        <f>N354</f>
        <v>835000</v>
      </c>
      <c r="EB354" s="188"/>
      <c r="EC354" s="188"/>
      <c r="ED354" s="188"/>
      <c r="EE354" s="188"/>
      <c r="EF354" s="188"/>
      <c r="EG354" s="188"/>
    </row>
    <row r="355" spans="1:137" s="187" customFormat="1" ht="11.25">
      <c r="A355" s="3" t="s">
        <v>77</v>
      </c>
      <c r="B355" s="186"/>
      <c r="C355" s="18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EB355" s="188"/>
      <c r="EC355" s="188"/>
      <c r="ED355" s="188"/>
      <c r="EE355" s="188"/>
      <c r="EF355" s="188"/>
      <c r="EG355" s="188"/>
    </row>
    <row r="356" spans="1:137" s="187" customFormat="1" ht="33" customHeight="1">
      <c r="A356" s="74" t="s">
        <v>367</v>
      </c>
      <c r="B356" s="186"/>
      <c r="C356" s="186"/>
      <c r="D356" s="76">
        <f>677400-127400</f>
        <v>550000</v>
      </c>
      <c r="E356" s="76"/>
      <c r="F356" s="76">
        <f>D356</f>
        <v>550000</v>
      </c>
      <c r="G356" s="76">
        <v>755300</v>
      </c>
      <c r="H356" s="76"/>
      <c r="I356" s="76"/>
      <c r="J356" s="76">
        <f>G356</f>
        <v>755300</v>
      </c>
      <c r="K356" s="76"/>
      <c r="L356" s="76"/>
      <c r="M356" s="76"/>
      <c r="N356" s="76">
        <v>835000</v>
      </c>
      <c r="O356" s="76"/>
      <c r="P356" s="76">
        <f>N356</f>
        <v>835000</v>
      </c>
      <c r="EB356" s="188"/>
      <c r="EC356" s="188"/>
      <c r="ED356" s="188"/>
      <c r="EE356" s="188"/>
      <c r="EF356" s="188"/>
      <c r="EG356" s="188"/>
    </row>
    <row r="357" spans="1:137" s="187" customFormat="1" ht="11.25">
      <c r="A357" s="167" t="s">
        <v>275</v>
      </c>
      <c r="B357" s="186"/>
      <c r="C357" s="18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EB357" s="188"/>
      <c r="EC357" s="188"/>
      <c r="ED357" s="188"/>
      <c r="EE357" s="188"/>
      <c r="EF357" s="188"/>
      <c r="EG357" s="188"/>
    </row>
    <row r="358" spans="1:137" s="187" customFormat="1" ht="33.75">
      <c r="A358" s="74" t="s">
        <v>549</v>
      </c>
      <c r="B358" s="186"/>
      <c r="C358" s="186"/>
      <c r="D358" s="76">
        <v>12</v>
      </c>
      <c r="E358" s="76"/>
      <c r="F358" s="76">
        <f>D358</f>
        <v>12</v>
      </c>
      <c r="G358" s="76">
        <v>12</v>
      </c>
      <c r="H358" s="76"/>
      <c r="I358" s="76"/>
      <c r="J358" s="76">
        <f>G358</f>
        <v>12</v>
      </c>
      <c r="K358" s="76"/>
      <c r="L358" s="76"/>
      <c r="M358" s="76"/>
      <c r="N358" s="76">
        <v>12</v>
      </c>
      <c r="O358" s="76"/>
      <c r="P358" s="76">
        <f>N358</f>
        <v>12</v>
      </c>
      <c r="EB358" s="188"/>
      <c r="EC358" s="188"/>
      <c r="ED358" s="188"/>
      <c r="EE358" s="188"/>
      <c r="EF358" s="188"/>
      <c r="EG358" s="188"/>
    </row>
    <row r="359" spans="1:137" s="187" customFormat="1" ht="11.25">
      <c r="A359" s="167" t="s">
        <v>226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29.25" customHeight="1">
      <c r="A360" s="74" t="s">
        <v>368</v>
      </c>
      <c r="B360" s="186"/>
      <c r="C360" s="186"/>
      <c r="D360" s="76">
        <f>D356/D358</f>
        <v>45833.333333333336</v>
      </c>
      <c r="E360" s="76"/>
      <c r="F360" s="76">
        <f>D360</f>
        <v>45833.333333333336</v>
      </c>
      <c r="G360" s="76">
        <f>G356/G358</f>
        <v>62941.666666666664</v>
      </c>
      <c r="H360" s="76"/>
      <c r="I360" s="76"/>
      <c r="J360" s="76">
        <f>G360</f>
        <v>62941.666666666664</v>
      </c>
      <c r="K360" s="76"/>
      <c r="L360" s="76"/>
      <c r="M360" s="76"/>
      <c r="N360" s="76">
        <f>N356/N358</f>
        <v>69583.33333333333</v>
      </c>
      <c r="O360" s="76"/>
      <c r="P360" s="76">
        <f>N360</f>
        <v>69583.33333333333</v>
      </c>
      <c r="EB360" s="188"/>
      <c r="EC360" s="188"/>
      <c r="ED360" s="188"/>
      <c r="EE360" s="188"/>
      <c r="EF360" s="188"/>
      <c r="EG360" s="188"/>
    </row>
    <row r="361" spans="1:137" s="187" customFormat="1" ht="42.75" customHeight="1">
      <c r="A361" s="87" t="s">
        <v>416</v>
      </c>
      <c r="B361" s="186"/>
      <c r="C361" s="186"/>
      <c r="D361" s="83">
        <f>D363</f>
        <v>91700</v>
      </c>
      <c r="E361" s="83"/>
      <c r="F361" s="83">
        <f>D361</f>
        <v>91700</v>
      </c>
      <c r="G361" s="83">
        <f>G363</f>
        <v>115300</v>
      </c>
      <c r="H361" s="83"/>
      <c r="I361" s="83"/>
      <c r="J361" s="83">
        <f>G361</f>
        <v>115300</v>
      </c>
      <c r="K361" s="83"/>
      <c r="L361" s="83"/>
      <c r="M361" s="83"/>
      <c r="N361" s="83">
        <f>N363</f>
        <v>122300</v>
      </c>
      <c r="O361" s="83"/>
      <c r="P361" s="83">
        <f>N361</f>
        <v>122300</v>
      </c>
      <c r="EB361" s="188"/>
      <c r="EC361" s="188"/>
      <c r="ED361" s="188"/>
      <c r="EE361" s="188"/>
      <c r="EF361" s="188"/>
      <c r="EG361" s="188"/>
    </row>
    <row r="362" spans="1:137" s="187" customFormat="1" ht="11.25">
      <c r="A362" s="3" t="s">
        <v>77</v>
      </c>
      <c r="B362" s="186"/>
      <c r="C362" s="18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EB362" s="188"/>
      <c r="EC362" s="188"/>
      <c r="ED362" s="188"/>
      <c r="EE362" s="188"/>
      <c r="EF362" s="188"/>
      <c r="EG362" s="188"/>
    </row>
    <row r="363" spans="1:137" s="187" customFormat="1" ht="51.75" customHeight="1">
      <c r="A363" s="74" t="s">
        <v>369</v>
      </c>
      <c r="B363" s="186"/>
      <c r="C363" s="186"/>
      <c r="D363" s="76">
        <f>150000-58300</f>
        <v>91700</v>
      </c>
      <c r="E363" s="76"/>
      <c r="F363" s="76">
        <f>D363</f>
        <v>91700</v>
      </c>
      <c r="G363" s="76">
        <v>115300</v>
      </c>
      <c r="H363" s="76"/>
      <c r="I363" s="76"/>
      <c r="J363" s="76">
        <f>G363</f>
        <v>115300</v>
      </c>
      <c r="K363" s="76"/>
      <c r="L363" s="76"/>
      <c r="M363" s="76"/>
      <c r="N363" s="76">
        <v>122300</v>
      </c>
      <c r="O363" s="76"/>
      <c r="P363" s="76">
        <f>N363</f>
        <v>122300</v>
      </c>
      <c r="EB363" s="188"/>
      <c r="EC363" s="188"/>
      <c r="ED363" s="188"/>
      <c r="EE363" s="188"/>
      <c r="EF363" s="188"/>
      <c r="EG363" s="188"/>
    </row>
    <row r="364" spans="1:137" s="187" customFormat="1" ht="11.25">
      <c r="A364" s="167" t="s">
        <v>275</v>
      </c>
      <c r="B364" s="186"/>
      <c r="C364" s="18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EB364" s="188"/>
      <c r="EC364" s="188"/>
      <c r="ED364" s="188"/>
      <c r="EE364" s="188"/>
      <c r="EF364" s="188"/>
      <c r="EG364" s="188"/>
    </row>
    <row r="365" spans="1:137" s="187" customFormat="1" ht="38.25" customHeight="1">
      <c r="A365" s="74" t="s">
        <v>550</v>
      </c>
      <c r="B365" s="186"/>
      <c r="C365" s="186"/>
      <c r="D365" s="76">
        <v>12</v>
      </c>
      <c r="E365" s="76"/>
      <c r="F365" s="76">
        <f>D365</f>
        <v>12</v>
      </c>
      <c r="G365" s="76">
        <v>12</v>
      </c>
      <c r="H365" s="76"/>
      <c r="I365" s="76"/>
      <c r="J365" s="76">
        <f>G365</f>
        <v>12</v>
      </c>
      <c r="K365" s="76"/>
      <c r="L365" s="76"/>
      <c r="M365" s="76"/>
      <c r="N365" s="76">
        <v>12</v>
      </c>
      <c r="O365" s="76"/>
      <c r="P365" s="76">
        <f>N365</f>
        <v>12</v>
      </c>
      <c r="EB365" s="188"/>
      <c r="EC365" s="188"/>
      <c r="ED365" s="188"/>
      <c r="EE365" s="188"/>
      <c r="EF365" s="188"/>
      <c r="EG365" s="188"/>
    </row>
    <row r="366" spans="1:137" s="187" customFormat="1" ht="11.25">
      <c r="A366" s="167" t="s">
        <v>226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34.5" customHeight="1">
      <c r="A367" s="125" t="s">
        <v>370</v>
      </c>
      <c r="B367" s="186"/>
      <c r="C367" s="186"/>
      <c r="D367" s="76">
        <f>D363/D365</f>
        <v>7641.666666666667</v>
      </c>
      <c r="E367" s="76"/>
      <c r="F367" s="76">
        <f>D367</f>
        <v>7641.666666666667</v>
      </c>
      <c r="G367" s="76">
        <f>G363/G365</f>
        <v>9608.333333333334</v>
      </c>
      <c r="H367" s="76"/>
      <c r="I367" s="76"/>
      <c r="J367" s="76">
        <f>G367</f>
        <v>9608.333333333334</v>
      </c>
      <c r="K367" s="76"/>
      <c r="L367" s="76"/>
      <c r="M367" s="76"/>
      <c r="N367" s="76">
        <f>N363/N365</f>
        <v>10191.666666666666</v>
      </c>
      <c r="O367" s="76"/>
      <c r="P367" s="76">
        <f>N367</f>
        <v>10191.666666666666</v>
      </c>
      <c r="EB367" s="188"/>
      <c r="EC367" s="188"/>
      <c r="ED367" s="188"/>
      <c r="EE367" s="188"/>
      <c r="EF367" s="188"/>
      <c r="EG367" s="188"/>
    </row>
    <row r="368" spans="1:137" s="187" customFormat="1" ht="33.75">
      <c r="A368" s="87" t="s">
        <v>479</v>
      </c>
      <c r="B368" s="186"/>
      <c r="C368" s="186"/>
      <c r="D368" s="83">
        <f>D370</f>
        <v>110000</v>
      </c>
      <c r="E368" s="83"/>
      <c r="F368" s="83">
        <f>D368</f>
        <v>110000</v>
      </c>
      <c r="G368" s="83">
        <f>G370</f>
        <v>79400</v>
      </c>
      <c r="H368" s="83"/>
      <c r="I368" s="83"/>
      <c r="J368" s="83">
        <f>G368</f>
        <v>79400</v>
      </c>
      <c r="K368" s="83"/>
      <c r="L368" s="83"/>
      <c r="M368" s="83"/>
      <c r="N368" s="83">
        <f>N370</f>
        <v>84200</v>
      </c>
      <c r="O368" s="83"/>
      <c r="P368" s="83">
        <f>N368</f>
        <v>84200</v>
      </c>
      <c r="EB368" s="188"/>
      <c r="EC368" s="188"/>
      <c r="ED368" s="188"/>
      <c r="EE368" s="188"/>
      <c r="EF368" s="188"/>
      <c r="EG368" s="188"/>
    </row>
    <row r="369" spans="1:137" s="187" customFormat="1" ht="18" customHeight="1">
      <c r="A369" s="3" t="s">
        <v>77</v>
      </c>
      <c r="B369" s="186"/>
      <c r="C369" s="18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EB369" s="188"/>
      <c r="EC369" s="188"/>
      <c r="ED369" s="188"/>
      <c r="EE369" s="188"/>
      <c r="EF369" s="188"/>
      <c r="EG369" s="188"/>
    </row>
    <row r="370" spans="1:137" s="187" customFormat="1" ht="26.25" customHeight="1">
      <c r="A370" s="74" t="s">
        <v>452</v>
      </c>
      <c r="B370" s="186"/>
      <c r="C370" s="186"/>
      <c r="D370" s="76">
        <f>74400+35600</f>
        <v>110000</v>
      </c>
      <c r="E370" s="76"/>
      <c r="F370" s="76">
        <f>D370</f>
        <v>110000</v>
      </c>
      <c r="G370" s="76">
        <v>79400</v>
      </c>
      <c r="H370" s="76"/>
      <c r="I370" s="76"/>
      <c r="J370" s="76">
        <f>G370</f>
        <v>79400</v>
      </c>
      <c r="K370" s="76"/>
      <c r="L370" s="76"/>
      <c r="M370" s="76"/>
      <c r="N370" s="76">
        <v>84200</v>
      </c>
      <c r="O370" s="76"/>
      <c r="P370" s="76">
        <f>N370</f>
        <v>84200</v>
      </c>
      <c r="EB370" s="188"/>
      <c r="EC370" s="188"/>
      <c r="ED370" s="188"/>
      <c r="EE370" s="188"/>
      <c r="EF370" s="188"/>
      <c r="EG370" s="188"/>
    </row>
    <row r="371" spans="1:137" s="187" customFormat="1" ht="15.75" customHeight="1">
      <c r="A371" s="167" t="s">
        <v>275</v>
      </c>
      <c r="B371" s="186"/>
      <c r="C371" s="18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EB371" s="188"/>
      <c r="EC371" s="188"/>
      <c r="ED371" s="188"/>
      <c r="EE371" s="188"/>
      <c r="EF371" s="188"/>
      <c r="EG371" s="188"/>
    </row>
    <row r="372" spans="1:137" s="187" customFormat="1" ht="32.25" customHeight="1">
      <c r="A372" s="74" t="s">
        <v>453</v>
      </c>
      <c r="B372" s="186"/>
      <c r="C372" s="186"/>
      <c r="D372" s="178">
        <f>D370/D374</f>
        <v>33950.61728395062</v>
      </c>
      <c r="E372" s="76"/>
      <c r="F372" s="178">
        <f>D372</f>
        <v>33950.61728395062</v>
      </c>
      <c r="G372" s="178">
        <f>G370/G374</f>
        <v>23014.492753623188</v>
      </c>
      <c r="H372" s="178"/>
      <c r="I372" s="178"/>
      <c r="J372" s="178">
        <f>G372</f>
        <v>23014.492753623188</v>
      </c>
      <c r="K372" s="178"/>
      <c r="L372" s="178"/>
      <c r="M372" s="178"/>
      <c r="N372" s="178">
        <f>N370/N374</f>
        <v>23068.49315068493</v>
      </c>
      <c r="O372" s="178"/>
      <c r="P372" s="178">
        <f>N372</f>
        <v>23068.49315068493</v>
      </c>
      <c r="EB372" s="188"/>
      <c r="EC372" s="188"/>
      <c r="ED372" s="188"/>
      <c r="EE372" s="188"/>
      <c r="EF372" s="188"/>
      <c r="EG372" s="188"/>
    </row>
    <row r="373" spans="1:137" s="187" customFormat="1" ht="16.5" customHeight="1">
      <c r="A373" s="167" t="s">
        <v>226</v>
      </c>
      <c r="B373" s="186"/>
      <c r="C373" s="18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EB373" s="188"/>
      <c r="EC373" s="188"/>
      <c r="ED373" s="188"/>
      <c r="EE373" s="188"/>
      <c r="EF373" s="188"/>
      <c r="EG373" s="188"/>
    </row>
    <row r="374" spans="1:137" s="187" customFormat="1" ht="27.75" customHeight="1">
      <c r="A374" s="74" t="s">
        <v>454</v>
      </c>
      <c r="B374" s="186"/>
      <c r="C374" s="186"/>
      <c r="D374" s="76">
        <v>3.24</v>
      </c>
      <c r="E374" s="76"/>
      <c r="F374" s="76">
        <f>D374</f>
        <v>3.24</v>
      </c>
      <c r="G374" s="76">
        <v>3.45</v>
      </c>
      <c r="H374" s="76"/>
      <c r="I374" s="76"/>
      <c r="J374" s="76">
        <f>G374</f>
        <v>3.45</v>
      </c>
      <c r="K374" s="76"/>
      <c r="L374" s="76"/>
      <c r="M374" s="76"/>
      <c r="N374" s="76">
        <v>3.65</v>
      </c>
      <c r="O374" s="76"/>
      <c r="P374" s="76">
        <f>N374</f>
        <v>3.65</v>
      </c>
      <c r="EB374" s="188"/>
      <c r="EC374" s="188"/>
      <c r="ED374" s="188"/>
      <c r="EE374" s="188"/>
      <c r="EF374" s="188"/>
      <c r="EG374" s="188"/>
    </row>
    <row r="375" spans="1:137" s="120" customFormat="1" ht="22.5">
      <c r="A375" s="87" t="s">
        <v>455</v>
      </c>
      <c r="B375" s="79"/>
      <c r="C375" s="79"/>
      <c r="D375" s="83">
        <f>D376*D379+D377*D380</f>
        <v>2900000</v>
      </c>
      <c r="E375" s="83">
        <f>E376*E379+E377*E380</f>
        <v>0</v>
      </c>
      <c r="F375" s="83">
        <f>D375</f>
        <v>2900000</v>
      </c>
      <c r="G375" s="83">
        <f>G376*G379+G377*G380</f>
        <v>4660365</v>
      </c>
      <c r="H375" s="83">
        <f>H376*H379+H377*H380</f>
        <v>0</v>
      </c>
      <c r="I375" s="83">
        <v>0</v>
      </c>
      <c r="J375" s="83">
        <f>G375+H375</f>
        <v>4660365</v>
      </c>
      <c r="K375" s="83" t="e">
        <f>(K376*K379)+(K377*K380)+(#REF!*#REF!)</f>
        <v>#REF!</v>
      </c>
      <c r="L375" s="83" t="e">
        <f>(L376*L379)+(L377*L380)+(#REF!*#REF!)</f>
        <v>#REF!</v>
      </c>
      <c r="M375" s="83" t="e">
        <f>(M376*M379)+(M377*M380)+(#REF!*#REF!)</f>
        <v>#REF!</v>
      </c>
      <c r="N375" s="83">
        <f>N376*N379+N377*N380</f>
        <v>4072100</v>
      </c>
      <c r="O375" s="83">
        <f>O376*O379+O377*O380</f>
        <v>0</v>
      </c>
      <c r="P375" s="83">
        <f>N375+O375</f>
        <v>4072100</v>
      </c>
      <c r="Q375" s="83" t="e">
        <f>(Q376*Q379)+(Q377*Q380)+(#REF!*#REF!)</f>
        <v>#REF!</v>
      </c>
      <c r="EB375" s="89"/>
      <c r="EC375" s="89"/>
      <c r="ED375" s="89"/>
      <c r="EE375" s="89"/>
      <c r="EF375" s="89"/>
      <c r="EG375" s="89"/>
    </row>
    <row r="376" spans="1:137" s="187" customFormat="1" ht="22.5">
      <c r="A376" s="74" t="s">
        <v>55</v>
      </c>
      <c r="B376" s="75"/>
      <c r="C376" s="75"/>
      <c r="D376" s="76">
        <v>8</v>
      </c>
      <c r="E376" s="76"/>
      <c r="F376" s="76">
        <f>D376+E376</f>
        <v>8</v>
      </c>
      <c r="G376" s="76">
        <v>8</v>
      </c>
      <c r="H376" s="76"/>
      <c r="I376" s="76"/>
      <c r="J376" s="76">
        <f>G376+H376</f>
        <v>8</v>
      </c>
      <c r="K376" s="76"/>
      <c r="L376" s="76"/>
      <c r="M376" s="76"/>
      <c r="N376" s="76">
        <v>8</v>
      </c>
      <c r="O376" s="76"/>
      <c r="P376" s="76">
        <f>N376+O376</f>
        <v>8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>
      <c r="A377" s="74" t="s">
        <v>56</v>
      </c>
      <c r="B377" s="75"/>
      <c r="C377" s="75"/>
      <c r="D377" s="76">
        <v>8</v>
      </c>
      <c r="E377" s="76"/>
      <c r="F377" s="76">
        <f>D377+E377</f>
        <v>8</v>
      </c>
      <c r="G377" s="76">
        <f>D377</f>
        <v>8</v>
      </c>
      <c r="H377" s="76"/>
      <c r="I377" s="76"/>
      <c r="J377" s="76">
        <f>G377+H377</f>
        <v>8</v>
      </c>
      <c r="K377" s="76"/>
      <c r="L377" s="76"/>
      <c r="M377" s="76"/>
      <c r="N377" s="76">
        <v>5</v>
      </c>
      <c r="O377" s="76"/>
      <c r="P377" s="76">
        <f>N377+O377</f>
        <v>5</v>
      </c>
      <c r="EB377" s="188"/>
      <c r="EC377" s="188"/>
      <c r="ED377" s="188"/>
      <c r="EE377" s="188"/>
      <c r="EF377" s="188"/>
      <c r="EG377" s="188"/>
    </row>
    <row r="378" spans="1:137" s="187" customFormat="1" ht="12" customHeight="1">
      <c r="A378" s="167" t="s">
        <v>5</v>
      </c>
      <c r="B378" s="85"/>
      <c r="C378" s="85"/>
      <c r="D378" s="86"/>
      <c r="E378" s="86"/>
      <c r="F378" s="76"/>
      <c r="G378" s="86"/>
      <c r="H378" s="86"/>
      <c r="I378" s="76"/>
      <c r="J378" s="76"/>
      <c r="K378" s="76"/>
      <c r="L378" s="76"/>
      <c r="M378" s="76"/>
      <c r="N378" s="86"/>
      <c r="O378" s="86"/>
      <c r="P378" s="76"/>
      <c r="EB378" s="188"/>
      <c r="EC378" s="188"/>
      <c r="ED378" s="188"/>
      <c r="EE378" s="188"/>
      <c r="EF378" s="188"/>
      <c r="EG378" s="188"/>
    </row>
    <row r="379" spans="1:137" s="187" customFormat="1" ht="22.5" customHeight="1">
      <c r="A379" s="74" t="s">
        <v>371</v>
      </c>
      <c r="B379" s="75"/>
      <c r="C379" s="75"/>
      <c r="D379" s="76">
        <v>191300</v>
      </c>
      <c r="E379" s="76"/>
      <c r="F379" s="76">
        <f>D379+E379</f>
        <v>191300</v>
      </c>
      <c r="G379" s="76">
        <v>299790.625</v>
      </c>
      <c r="H379" s="76"/>
      <c r="I379" s="76"/>
      <c r="J379" s="76">
        <f>G379+H379</f>
        <v>299790.625</v>
      </c>
      <c r="K379" s="76"/>
      <c r="L379" s="76"/>
      <c r="M379" s="76"/>
      <c r="N379" s="76">
        <v>321687.3125</v>
      </c>
      <c r="O379" s="76"/>
      <c r="P379" s="76">
        <f>N379+O379</f>
        <v>321687.3125</v>
      </c>
      <c r="EB379" s="188"/>
      <c r="EC379" s="188"/>
      <c r="ED379" s="188"/>
      <c r="EE379" s="188"/>
      <c r="EF379" s="188"/>
      <c r="EG379" s="188"/>
    </row>
    <row r="380" spans="1:137" s="187" customFormat="1" ht="22.5" customHeight="1">
      <c r="A380" s="74" t="s">
        <v>372</v>
      </c>
      <c r="B380" s="75"/>
      <c r="C380" s="75"/>
      <c r="D380" s="76">
        <v>171200</v>
      </c>
      <c r="E380" s="76"/>
      <c r="F380" s="76">
        <f>D380+E380</f>
        <v>171200</v>
      </c>
      <c r="G380" s="76">
        <v>282755</v>
      </c>
      <c r="H380" s="76"/>
      <c r="I380" s="76"/>
      <c r="J380" s="76">
        <f>G380+H380</f>
        <v>282755</v>
      </c>
      <c r="K380" s="76"/>
      <c r="L380" s="76"/>
      <c r="M380" s="76"/>
      <c r="N380" s="76">
        <v>299720.3</v>
      </c>
      <c r="O380" s="76"/>
      <c r="P380" s="76">
        <f>N380+O380</f>
        <v>299720.3</v>
      </c>
      <c r="EB380" s="188"/>
      <c r="EC380" s="188"/>
      <c r="ED380" s="188"/>
      <c r="EE380" s="188"/>
      <c r="EF380" s="188"/>
      <c r="EG380" s="188"/>
    </row>
    <row r="381" spans="1:137" s="187" customFormat="1" ht="11.25">
      <c r="A381" s="167" t="s">
        <v>4</v>
      </c>
      <c r="B381" s="75"/>
      <c r="C381" s="75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EB381" s="188"/>
      <c r="EC381" s="188"/>
      <c r="ED381" s="188"/>
      <c r="EE381" s="188"/>
      <c r="EF381" s="188"/>
      <c r="EG381" s="188"/>
    </row>
    <row r="382" spans="1:137" s="187" customFormat="1" ht="33.75">
      <c r="A382" s="74" t="s">
        <v>57</v>
      </c>
      <c r="B382" s="75"/>
      <c r="C382" s="75"/>
      <c r="D382" s="76"/>
      <c r="E382" s="76"/>
      <c r="F382" s="76">
        <f>D382+E382</f>
        <v>0</v>
      </c>
      <c r="G382" s="76">
        <f>G379/F379*100</f>
        <v>156.71229743857816</v>
      </c>
      <c r="H382" s="76"/>
      <c r="I382" s="76"/>
      <c r="J382" s="76">
        <f>G382+H382</f>
        <v>156.71229743857816</v>
      </c>
      <c r="K382" s="76"/>
      <c r="L382" s="76"/>
      <c r="M382" s="76"/>
      <c r="N382" s="76">
        <f>N379/J379*100</f>
        <v>107.30399341206885</v>
      </c>
      <c r="O382" s="76"/>
      <c r="P382" s="76">
        <f>N382+O382</f>
        <v>107.30399341206885</v>
      </c>
      <c r="EB382" s="188"/>
      <c r="EC382" s="188"/>
      <c r="ED382" s="188"/>
      <c r="EE382" s="188"/>
      <c r="EF382" s="188"/>
      <c r="EG382" s="188"/>
    </row>
    <row r="383" spans="1:137" s="187" customFormat="1" ht="33.75">
      <c r="A383" s="74" t="s">
        <v>58</v>
      </c>
      <c r="B383" s="75"/>
      <c r="C383" s="75"/>
      <c r="D383" s="76"/>
      <c r="E383" s="76"/>
      <c r="F383" s="76">
        <f>D383+E383</f>
        <v>0</v>
      </c>
      <c r="G383" s="76">
        <f>G380/D380*100</f>
        <v>165.1606308411215</v>
      </c>
      <c r="H383" s="76"/>
      <c r="I383" s="76"/>
      <c r="J383" s="76">
        <f>G383+H383</f>
        <v>165.1606308411215</v>
      </c>
      <c r="K383" s="76"/>
      <c r="L383" s="76"/>
      <c r="M383" s="76"/>
      <c r="N383" s="76">
        <f>N380/G380*100</f>
        <v>106</v>
      </c>
      <c r="O383" s="76"/>
      <c r="P383" s="76">
        <f>N383+O383</f>
        <v>106</v>
      </c>
      <c r="EB383" s="188"/>
      <c r="EC383" s="188"/>
      <c r="ED383" s="188"/>
      <c r="EE383" s="188"/>
      <c r="EF383" s="188"/>
      <c r="EG383" s="188"/>
    </row>
    <row r="384" spans="1:137" s="77" customFormat="1" ht="22.5">
      <c r="A384" s="87" t="s">
        <v>417</v>
      </c>
      <c r="B384" s="75"/>
      <c r="C384" s="75"/>
      <c r="D384" s="83">
        <f>D386</f>
        <v>1600000</v>
      </c>
      <c r="E384" s="83"/>
      <c r="F384" s="83">
        <f>D384</f>
        <v>1600000</v>
      </c>
      <c r="G384" s="83">
        <f>G386</f>
        <v>2216400</v>
      </c>
      <c r="H384" s="83"/>
      <c r="I384" s="83"/>
      <c r="J384" s="83">
        <f>G384</f>
        <v>2216400</v>
      </c>
      <c r="K384" s="83"/>
      <c r="L384" s="83"/>
      <c r="M384" s="83"/>
      <c r="N384" s="83">
        <f>N386</f>
        <v>2289700</v>
      </c>
      <c r="O384" s="83"/>
      <c r="P384" s="83">
        <f>N384</f>
        <v>2289700</v>
      </c>
      <c r="EB384" s="78"/>
      <c r="EC384" s="78"/>
      <c r="ED384" s="78"/>
      <c r="EE384" s="78"/>
      <c r="EF384" s="78"/>
      <c r="EG384" s="78"/>
    </row>
    <row r="385" spans="1:137" s="187" customFormat="1" ht="19.5" customHeight="1">
      <c r="A385" s="3" t="s">
        <v>77</v>
      </c>
      <c r="B385" s="186"/>
      <c r="C385" s="18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EB385" s="188"/>
      <c r="EC385" s="188"/>
      <c r="ED385" s="188"/>
      <c r="EE385" s="188"/>
      <c r="EF385" s="188"/>
      <c r="EG385" s="188"/>
    </row>
    <row r="386" spans="1:137" s="187" customFormat="1" ht="29.25" customHeight="1">
      <c r="A386" s="74" t="s">
        <v>375</v>
      </c>
      <c r="B386" s="186"/>
      <c r="C386" s="186"/>
      <c r="D386" s="76">
        <f>2140300-540300</f>
        <v>1600000</v>
      </c>
      <c r="E386" s="76"/>
      <c r="F386" s="76">
        <f>D386</f>
        <v>1600000</v>
      </c>
      <c r="G386" s="76">
        <v>2216400</v>
      </c>
      <c r="H386" s="76"/>
      <c r="I386" s="76"/>
      <c r="J386" s="76">
        <f>G386</f>
        <v>2216400</v>
      </c>
      <c r="K386" s="76"/>
      <c r="L386" s="76"/>
      <c r="M386" s="76"/>
      <c r="N386" s="76">
        <v>2289700</v>
      </c>
      <c r="O386" s="76"/>
      <c r="P386" s="76">
        <f>N386</f>
        <v>2289700</v>
      </c>
      <c r="EB386" s="188"/>
      <c r="EC386" s="188"/>
      <c r="ED386" s="188"/>
      <c r="EE386" s="188"/>
      <c r="EF386" s="188"/>
      <c r="EG386" s="188"/>
    </row>
    <row r="387" spans="1:137" s="187" customFormat="1" ht="11.25">
      <c r="A387" s="167" t="s">
        <v>275</v>
      </c>
      <c r="B387" s="186"/>
      <c r="C387" s="18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EB387" s="188"/>
      <c r="EC387" s="188"/>
      <c r="ED387" s="188"/>
      <c r="EE387" s="188"/>
      <c r="EF387" s="188"/>
      <c r="EG387" s="188"/>
    </row>
    <row r="388" spans="1:137" s="187" customFormat="1" ht="11.25">
      <c r="A388" s="74" t="s">
        <v>378</v>
      </c>
      <c r="B388" s="186"/>
      <c r="C388" s="186"/>
      <c r="D388" s="76">
        <v>7</v>
      </c>
      <c r="E388" s="76"/>
      <c r="F388" s="76">
        <f>D388</f>
        <v>7</v>
      </c>
      <c r="G388" s="76">
        <v>7</v>
      </c>
      <c r="H388" s="76"/>
      <c r="I388" s="76"/>
      <c r="J388" s="76">
        <f>G388</f>
        <v>7</v>
      </c>
      <c r="K388" s="76"/>
      <c r="L388" s="76"/>
      <c r="M388" s="76"/>
      <c r="N388" s="76">
        <v>7</v>
      </c>
      <c r="O388" s="76"/>
      <c r="P388" s="76">
        <f>N388</f>
        <v>7</v>
      </c>
      <c r="EB388" s="188"/>
      <c r="EC388" s="188"/>
      <c r="ED388" s="188"/>
      <c r="EE388" s="188"/>
      <c r="EF388" s="188"/>
      <c r="EG388" s="188"/>
    </row>
    <row r="389" spans="1:137" s="187" customFormat="1" ht="11.25">
      <c r="A389" s="167" t="s">
        <v>226</v>
      </c>
      <c r="B389" s="186"/>
      <c r="C389" s="18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EB389" s="188"/>
      <c r="EC389" s="188"/>
      <c r="ED389" s="188"/>
      <c r="EE389" s="188"/>
      <c r="EF389" s="188"/>
      <c r="EG389" s="188"/>
    </row>
    <row r="390" spans="1:137" s="187" customFormat="1" ht="29.25" customHeight="1">
      <c r="A390" s="74" t="s">
        <v>376</v>
      </c>
      <c r="B390" s="186"/>
      <c r="C390" s="186"/>
      <c r="D390" s="76">
        <f>D386/D388</f>
        <v>228571.42857142858</v>
      </c>
      <c r="E390" s="76"/>
      <c r="F390" s="76">
        <f>D390</f>
        <v>228571.42857142858</v>
      </c>
      <c r="G390" s="76">
        <f>G386/G388</f>
        <v>316628.5714285714</v>
      </c>
      <c r="H390" s="76"/>
      <c r="I390" s="76"/>
      <c r="J390" s="76">
        <f>G390</f>
        <v>316628.5714285714</v>
      </c>
      <c r="K390" s="76"/>
      <c r="L390" s="76"/>
      <c r="M390" s="76"/>
      <c r="N390" s="76">
        <f>N386/N388</f>
        <v>327100</v>
      </c>
      <c r="O390" s="76"/>
      <c r="P390" s="76">
        <f>N390</f>
        <v>327100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>
      <c r="A391" s="167" t="s">
        <v>374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33" customHeight="1">
      <c r="A392" s="74" t="s">
        <v>377</v>
      </c>
      <c r="B392" s="186"/>
      <c r="C392" s="186"/>
      <c r="D392" s="76"/>
      <c r="E392" s="76"/>
      <c r="F392" s="76"/>
      <c r="G392" s="76">
        <f>G390/D390*100</f>
        <v>138.52499999999998</v>
      </c>
      <c r="H392" s="76"/>
      <c r="I392" s="76"/>
      <c r="J392" s="76">
        <f>G392</f>
        <v>138.52499999999998</v>
      </c>
      <c r="K392" s="76"/>
      <c r="L392" s="76"/>
      <c r="M392" s="76"/>
      <c r="N392" s="76">
        <f>N390/G390*100</f>
        <v>103.30716477170185</v>
      </c>
      <c r="O392" s="76"/>
      <c r="P392" s="76">
        <f>N392</f>
        <v>103.30716477170185</v>
      </c>
      <c r="EB392" s="188"/>
      <c r="EC392" s="188"/>
      <c r="ED392" s="188"/>
      <c r="EE392" s="188"/>
      <c r="EF392" s="188"/>
      <c r="EG392" s="188"/>
    </row>
    <row r="393" spans="1:137" s="187" customFormat="1" ht="21" customHeight="1">
      <c r="A393" s="87" t="s">
        <v>418</v>
      </c>
      <c r="B393" s="186"/>
      <c r="C393" s="186"/>
      <c r="D393" s="83">
        <f>D395</f>
        <v>500000</v>
      </c>
      <c r="E393" s="83"/>
      <c r="F393" s="83">
        <f>D393</f>
        <v>500000</v>
      </c>
      <c r="G393" s="83">
        <f>G395</f>
        <v>550000</v>
      </c>
      <c r="H393" s="83"/>
      <c r="I393" s="83"/>
      <c r="J393" s="83">
        <f>G393</f>
        <v>550000</v>
      </c>
      <c r="K393" s="83"/>
      <c r="L393" s="83"/>
      <c r="M393" s="83"/>
      <c r="N393" s="83">
        <f>N395</f>
        <v>600000</v>
      </c>
      <c r="O393" s="83"/>
      <c r="P393" s="83">
        <f>N393</f>
        <v>600000</v>
      </c>
      <c r="EB393" s="188"/>
      <c r="EC393" s="188"/>
      <c r="ED393" s="188"/>
      <c r="EE393" s="188"/>
      <c r="EF393" s="188"/>
      <c r="EG393" s="188"/>
    </row>
    <row r="394" spans="1:137" s="187" customFormat="1" ht="16.5" customHeight="1">
      <c r="A394" s="3" t="s">
        <v>77</v>
      </c>
      <c r="B394" s="186"/>
      <c r="C394" s="18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EB394" s="188"/>
      <c r="EC394" s="188"/>
      <c r="ED394" s="188"/>
      <c r="EE394" s="188"/>
      <c r="EF394" s="188"/>
      <c r="EG394" s="188"/>
    </row>
    <row r="395" spans="1:137" s="187" customFormat="1" ht="29.25" customHeight="1">
      <c r="A395" s="74" t="s">
        <v>379</v>
      </c>
      <c r="B395" s="186"/>
      <c r="C395" s="186"/>
      <c r="D395" s="76">
        <v>500000</v>
      </c>
      <c r="E395" s="76"/>
      <c r="F395" s="76">
        <f>D395</f>
        <v>500000</v>
      </c>
      <c r="G395" s="76">
        <v>550000</v>
      </c>
      <c r="H395" s="76"/>
      <c r="I395" s="76"/>
      <c r="J395" s="76">
        <f>G395</f>
        <v>550000</v>
      </c>
      <c r="K395" s="76"/>
      <c r="L395" s="76"/>
      <c r="M395" s="76"/>
      <c r="N395" s="76">
        <v>600000</v>
      </c>
      <c r="O395" s="76"/>
      <c r="P395" s="76">
        <f>N395</f>
        <v>600000</v>
      </c>
      <c r="EB395" s="188"/>
      <c r="EC395" s="188"/>
      <c r="ED395" s="188"/>
      <c r="EE395" s="188"/>
      <c r="EF395" s="188"/>
      <c r="EG395" s="188"/>
    </row>
    <row r="396" spans="1:137" s="187" customFormat="1" ht="18.75" customHeight="1">
      <c r="A396" s="167" t="s">
        <v>275</v>
      </c>
      <c r="B396" s="186"/>
      <c r="C396" s="18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EB396" s="188"/>
      <c r="EC396" s="188"/>
      <c r="ED396" s="188"/>
      <c r="EE396" s="188"/>
      <c r="EF396" s="188"/>
      <c r="EG396" s="188"/>
    </row>
    <row r="397" spans="1:137" s="187" customFormat="1" ht="22.5">
      <c r="A397" s="74" t="s">
        <v>382</v>
      </c>
      <c r="B397" s="186"/>
      <c r="C397" s="186"/>
      <c r="D397" s="76">
        <f>D395/D399</f>
        <v>35971.22302158273</v>
      </c>
      <c r="E397" s="76"/>
      <c r="F397" s="76">
        <f>D397</f>
        <v>35971.22302158273</v>
      </c>
      <c r="G397" s="76">
        <v>35971.22</v>
      </c>
      <c r="H397" s="76"/>
      <c r="I397" s="76"/>
      <c r="J397" s="76">
        <f>G397</f>
        <v>35971.22</v>
      </c>
      <c r="K397" s="76"/>
      <c r="L397" s="76"/>
      <c r="M397" s="76"/>
      <c r="N397" s="76">
        <v>35971.22</v>
      </c>
      <c r="O397" s="76"/>
      <c r="P397" s="76">
        <f>N397</f>
        <v>35971.22</v>
      </c>
      <c r="EB397" s="188"/>
      <c r="EC397" s="188"/>
      <c r="ED397" s="188"/>
      <c r="EE397" s="188"/>
      <c r="EF397" s="188"/>
      <c r="EG397" s="188"/>
    </row>
    <row r="398" spans="1:137" s="187" customFormat="1" ht="11.25">
      <c r="A398" s="167" t="s">
        <v>226</v>
      </c>
      <c r="B398" s="186"/>
      <c r="C398" s="18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EB398" s="188"/>
      <c r="EC398" s="188"/>
      <c r="ED398" s="188"/>
      <c r="EE398" s="188"/>
      <c r="EF398" s="188"/>
      <c r="EG398" s="188"/>
    </row>
    <row r="399" spans="1:137" s="187" customFormat="1" ht="11.25">
      <c r="A399" s="74" t="s">
        <v>380</v>
      </c>
      <c r="B399" s="186"/>
      <c r="C399" s="186"/>
      <c r="D399" s="76">
        <v>13.9</v>
      </c>
      <c r="E399" s="76"/>
      <c r="F399" s="76">
        <f>D399</f>
        <v>13.9</v>
      </c>
      <c r="G399" s="76">
        <f>G395/G397</f>
        <v>15.290001284360107</v>
      </c>
      <c r="H399" s="76"/>
      <c r="I399" s="76"/>
      <c r="J399" s="76">
        <f>G399</f>
        <v>15.290001284360107</v>
      </c>
      <c r="K399" s="76"/>
      <c r="L399" s="76"/>
      <c r="M399" s="76"/>
      <c r="N399" s="76">
        <f>N395/N397</f>
        <v>16.680001401120116</v>
      </c>
      <c r="O399" s="76"/>
      <c r="P399" s="76">
        <f>N399</f>
        <v>16.680001401120116</v>
      </c>
      <c r="EB399" s="188"/>
      <c r="EC399" s="188"/>
      <c r="ED399" s="188"/>
      <c r="EE399" s="188"/>
      <c r="EF399" s="188"/>
      <c r="EG399" s="188"/>
    </row>
    <row r="400" spans="1:137" s="187" customFormat="1" ht="11.25">
      <c r="A400" s="167" t="s">
        <v>374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>
      <c r="A401" s="74" t="s">
        <v>381</v>
      </c>
      <c r="B401" s="186"/>
      <c r="C401" s="186"/>
      <c r="D401" s="76"/>
      <c r="E401" s="76"/>
      <c r="F401" s="76"/>
      <c r="G401" s="76">
        <f>G399/D399*100</f>
        <v>110.00000924000078</v>
      </c>
      <c r="H401" s="76"/>
      <c r="I401" s="76"/>
      <c r="J401" s="76">
        <f>G401</f>
        <v>110.00000924000078</v>
      </c>
      <c r="K401" s="76"/>
      <c r="L401" s="76"/>
      <c r="M401" s="76"/>
      <c r="N401" s="76">
        <f>N399/G399*100</f>
        <v>109.09090909090908</v>
      </c>
      <c r="O401" s="76"/>
      <c r="P401" s="76">
        <f>N401</f>
        <v>109.09090909090908</v>
      </c>
      <c r="EB401" s="188"/>
      <c r="EC401" s="188"/>
      <c r="ED401" s="188"/>
      <c r="EE401" s="188"/>
      <c r="EF401" s="188"/>
      <c r="EG401" s="188"/>
    </row>
    <row r="402" spans="1:137" s="77" customFormat="1" ht="29.25" customHeight="1">
      <c r="A402" s="87" t="s">
        <v>419</v>
      </c>
      <c r="B402" s="75"/>
      <c r="C402" s="75"/>
      <c r="D402" s="83">
        <f>D404</f>
        <v>8200000</v>
      </c>
      <c r="E402" s="83"/>
      <c r="F402" s="83">
        <f>D402</f>
        <v>8200000</v>
      </c>
      <c r="G402" s="83">
        <f>G404</f>
        <v>2423200</v>
      </c>
      <c r="H402" s="83"/>
      <c r="I402" s="83"/>
      <c r="J402" s="83">
        <f>G402</f>
        <v>2423200</v>
      </c>
      <c r="K402" s="83"/>
      <c r="L402" s="83"/>
      <c r="M402" s="83"/>
      <c r="N402" s="83">
        <f>N404</f>
        <v>2568600</v>
      </c>
      <c r="O402" s="83"/>
      <c r="P402" s="83">
        <f>N402</f>
        <v>2568600</v>
      </c>
      <c r="EB402" s="78"/>
      <c r="EC402" s="78"/>
      <c r="ED402" s="78"/>
      <c r="EE402" s="78"/>
      <c r="EF402" s="78"/>
      <c r="EG402" s="78"/>
    </row>
    <row r="403" spans="1:137" s="187" customFormat="1" ht="20.25" customHeight="1">
      <c r="A403" s="3" t="s">
        <v>77</v>
      </c>
      <c r="B403" s="186"/>
      <c r="C403" s="18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EB403" s="188"/>
      <c r="EC403" s="188"/>
      <c r="ED403" s="188"/>
      <c r="EE403" s="188"/>
      <c r="EF403" s="188"/>
      <c r="EG403" s="188"/>
    </row>
    <row r="404" spans="1:137" s="187" customFormat="1" ht="29.25" customHeight="1">
      <c r="A404" s="74" t="s">
        <v>383</v>
      </c>
      <c r="B404" s="186"/>
      <c r="C404" s="186"/>
      <c r="D404" s="76">
        <f>2271100+300000+3579000+2049900</f>
        <v>8200000</v>
      </c>
      <c r="E404" s="76"/>
      <c r="F404" s="76">
        <f>D404</f>
        <v>8200000</v>
      </c>
      <c r="G404" s="76">
        <v>2423200</v>
      </c>
      <c r="H404" s="76"/>
      <c r="I404" s="76"/>
      <c r="J404" s="76">
        <f>G404</f>
        <v>2423200</v>
      </c>
      <c r="K404" s="76"/>
      <c r="L404" s="76"/>
      <c r="M404" s="76"/>
      <c r="N404" s="76">
        <v>2568600</v>
      </c>
      <c r="O404" s="76"/>
      <c r="P404" s="76">
        <f>N404</f>
        <v>2568600</v>
      </c>
      <c r="EB404" s="188"/>
      <c r="EC404" s="188"/>
      <c r="ED404" s="188"/>
      <c r="EE404" s="188"/>
      <c r="EF404" s="188"/>
      <c r="EG404" s="188"/>
    </row>
    <row r="405" spans="1:137" s="187" customFormat="1" ht="11.25">
      <c r="A405" s="167" t="s">
        <v>275</v>
      </c>
      <c r="B405" s="186"/>
      <c r="C405" s="18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EB405" s="188"/>
      <c r="EC405" s="188"/>
      <c r="ED405" s="188"/>
      <c r="EE405" s="188"/>
      <c r="EF405" s="188"/>
      <c r="EG405" s="188"/>
    </row>
    <row r="406" spans="1:137" s="187" customFormat="1" ht="29.25" customHeight="1">
      <c r="A406" s="74" t="s">
        <v>384</v>
      </c>
      <c r="B406" s="186"/>
      <c r="C406" s="186"/>
      <c r="D406" s="76">
        <v>186</v>
      </c>
      <c r="E406" s="76"/>
      <c r="F406" s="76">
        <f>D406</f>
        <v>186</v>
      </c>
      <c r="G406" s="76">
        <v>186</v>
      </c>
      <c r="H406" s="76"/>
      <c r="I406" s="76"/>
      <c r="J406" s="76">
        <f>G406</f>
        <v>186</v>
      </c>
      <c r="K406" s="76"/>
      <c r="L406" s="76"/>
      <c r="M406" s="76"/>
      <c r="N406" s="76">
        <v>186</v>
      </c>
      <c r="O406" s="76"/>
      <c r="P406" s="76">
        <f>N406</f>
        <v>186</v>
      </c>
      <c r="EB406" s="188"/>
      <c r="EC406" s="188"/>
      <c r="ED406" s="188"/>
      <c r="EE406" s="188"/>
      <c r="EF406" s="188"/>
      <c r="EG406" s="188"/>
    </row>
    <row r="407" spans="1:137" s="187" customFormat="1" ht="11.25">
      <c r="A407" s="167" t="s">
        <v>226</v>
      </c>
      <c r="B407" s="186"/>
      <c r="C407" s="18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EB407" s="188"/>
      <c r="EC407" s="188"/>
      <c r="ED407" s="188"/>
      <c r="EE407" s="188"/>
      <c r="EF407" s="188"/>
      <c r="EG407" s="188"/>
    </row>
    <row r="408" spans="1:137" s="187" customFormat="1" ht="29.25" customHeight="1">
      <c r="A408" s="74" t="s">
        <v>385</v>
      </c>
      <c r="B408" s="186"/>
      <c r="C408" s="186"/>
      <c r="D408" s="76">
        <f>D404/D406</f>
        <v>44086.021505376346</v>
      </c>
      <c r="E408" s="76"/>
      <c r="F408" s="76">
        <f>D408</f>
        <v>44086.021505376346</v>
      </c>
      <c r="G408" s="76">
        <f>G404/G406</f>
        <v>13027.956989247312</v>
      </c>
      <c r="H408" s="76"/>
      <c r="I408" s="76"/>
      <c r="J408" s="76">
        <f>G408</f>
        <v>13027.956989247312</v>
      </c>
      <c r="K408" s="76"/>
      <c r="L408" s="76"/>
      <c r="M408" s="76"/>
      <c r="N408" s="76">
        <f>N404/N406</f>
        <v>13809.677419354839</v>
      </c>
      <c r="O408" s="76"/>
      <c r="P408" s="76">
        <f>N408</f>
        <v>13809.677419354839</v>
      </c>
      <c r="EB408" s="188"/>
      <c r="EC408" s="188"/>
      <c r="ED408" s="188"/>
      <c r="EE408" s="188"/>
      <c r="EF408" s="188"/>
      <c r="EG408" s="188"/>
    </row>
    <row r="409" spans="1:137" s="187" customFormat="1" ht="11.25">
      <c r="A409" s="167" t="s">
        <v>374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45">
      <c r="A410" s="74" t="s">
        <v>386</v>
      </c>
      <c r="B410" s="186"/>
      <c r="C410" s="186"/>
      <c r="D410" s="76"/>
      <c r="E410" s="76"/>
      <c r="F410" s="76"/>
      <c r="G410" s="76">
        <f>G408/D408*100</f>
        <v>29.55121951219512</v>
      </c>
      <c r="H410" s="76"/>
      <c r="I410" s="76"/>
      <c r="J410" s="76">
        <f>G410</f>
        <v>29.55121951219512</v>
      </c>
      <c r="K410" s="76"/>
      <c r="L410" s="76"/>
      <c r="M410" s="76"/>
      <c r="N410" s="76">
        <f>N408/G408*100</f>
        <v>106.00033014196104</v>
      </c>
      <c r="O410" s="76"/>
      <c r="P410" s="76">
        <f>N410</f>
        <v>106.00033014196104</v>
      </c>
      <c r="EB410" s="188"/>
      <c r="EC410" s="188"/>
      <c r="ED410" s="188"/>
      <c r="EE410" s="188"/>
      <c r="EF410" s="188"/>
      <c r="EG410" s="188"/>
    </row>
    <row r="411" spans="1:137" s="187" customFormat="1" ht="24" customHeight="1">
      <c r="A411" s="87" t="s">
        <v>456</v>
      </c>
      <c r="B411" s="186"/>
      <c r="C411" s="186"/>
      <c r="D411" s="83">
        <f>D413</f>
        <v>263000</v>
      </c>
      <c r="E411" s="83"/>
      <c r="F411" s="83">
        <f>D411</f>
        <v>263000</v>
      </c>
      <c r="G411" s="83">
        <f>G413</f>
        <v>350000</v>
      </c>
      <c r="H411" s="83"/>
      <c r="I411" s="83"/>
      <c r="J411" s="83">
        <f>G411</f>
        <v>350000</v>
      </c>
      <c r="K411" s="83"/>
      <c r="L411" s="83"/>
      <c r="M411" s="83"/>
      <c r="N411" s="83">
        <f>N413</f>
        <v>350000</v>
      </c>
      <c r="O411" s="83"/>
      <c r="P411" s="83">
        <f>N411</f>
        <v>350000</v>
      </c>
      <c r="Q411" s="77"/>
      <c r="R411" s="77"/>
      <c r="EB411" s="188"/>
      <c r="EC411" s="188"/>
      <c r="ED411" s="188"/>
      <c r="EE411" s="188"/>
      <c r="EF411" s="188"/>
      <c r="EG411" s="188"/>
    </row>
    <row r="412" spans="1:137" s="187" customFormat="1" ht="21.75" customHeight="1">
      <c r="A412" s="3" t="s">
        <v>77</v>
      </c>
      <c r="B412" s="186"/>
      <c r="C412" s="18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EB412" s="188"/>
      <c r="EC412" s="188"/>
      <c r="ED412" s="188"/>
      <c r="EE412" s="188"/>
      <c r="EF412" s="188"/>
      <c r="EG412" s="188"/>
    </row>
    <row r="413" spans="1:137" s="187" customFormat="1" ht="27.75" customHeight="1">
      <c r="A413" s="74" t="s">
        <v>373</v>
      </c>
      <c r="B413" s="186"/>
      <c r="C413" s="186"/>
      <c r="D413" s="76">
        <f>350000-87000</f>
        <v>263000</v>
      </c>
      <c r="E413" s="76"/>
      <c r="F413" s="76">
        <f>D413</f>
        <v>263000</v>
      </c>
      <c r="G413" s="76">
        <v>350000</v>
      </c>
      <c r="H413" s="76"/>
      <c r="I413" s="76"/>
      <c r="J413" s="76">
        <f>G413</f>
        <v>350000</v>
      </c>
      <c r="K413" s="76"/>
      <c r="L413" s="76"/>
      <c r="M413" s="76"/>
      <c r="N413" s="76">
        <v>350000</v>
      </c>
      <c r="O413" s="76"/>
      <c r="P413" s="76">
        <f>N413</f>
        <v>350000</v>
      </c>
      <c r="EB413" s="188"/>
      <c r="EC413" s="188"/>
      <c r="ED413" s="188"/>
      <c r="EE413" s="188"/>
      <c r="EF413" s="188"/>
      <c r="EG413" s="188"/>
    </row>
    <row r="414" spans="1:137" s="187" customFormat="1" ht="21" customHeight="1">
      <c r="A414" s="167" t="s">
        <v>275</v>
      </c>
      <c r="B414" s="186"/>
      <c r="C414" s="18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EB414" s="188"/>
      <c r="EC414" s="188"/>
      <c r="ED414" s="188"/>
      <c r="EE414" s="188"/>
      <c r="EF414" s="188"/>
      <c r="EG414" s="188"/>
    </row>
    <row r="415" spans="1:137" s="187" customFormat="1" ht="23.25" customHeight="1">
      <c r="A415" s="74" t="s">
        <v>82</v>
      </c>
      <c r="B415" s="186"/>
      <c r="C415" s="186"/>
      <c r="D415" s="76">
        <v>75</v>
      </c>
      <c r="E415" s="76"/>
      <c r="F415" s="76">
        <f>D415</f>
        <v>75</v>
      </c>
      <c r="G415" s="76">
        <v>90</v>
      </c>
      <c r="H415" s="76"/>
      <c r="I415" s="76"/>
      <c r="J415" s="76">
        <f>G415</f>
        <v>90</v>
      </c>
      <c r="K415" s="76"/>
      <c r="L415" s="76"/>
      <c r="M415" s="76"/>
      <c r="N415" s="76">
        <v>85</v>
      </c>
      <c r="O415" s="76"/>
      <c r="P415" s="76">
        <f>N415</f>
        <v>85</v>
      </c>
      <c r="EB415" s="188"/>
      <c r="EC415" s="188"/>
      <c r="ED415" s="188"/>
      <c r="EE415" s="188"/>
      <c r="EF415" s="188"/>
      <c r="EG415" s="188"/>
    </row>
    <row r="416" spans="1:137" s="187" customFormat="1" ht="15.75" customHeight="1">
      <c r="A416" s="167" t="s">
        <v>226</v>
      </c>
      <c r="B416" s="186"/>
      <c r="C416" s="18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EB416" s="188"/>
      <c r="EC416" s="188"/>
      <c r="ED416" s="188"/>
      <c r="EE416" s="188"/>
      <c r="EF416" s="188"/>
      <c r="EG416" s="188"/>
    </row>
    <row r="417" spans="1:137" s="187" customFormat="1" ht="29.25" customHeight="1">
      <c r="A417" s="74" t="s">
        <v>102</v>
      </c>
      <c r="B417" s="186"/>
      <c r="C417" s="186"/>
      <c r="D417" s="76">
        <f>D413/D415</f>
        <v>3506.6666666666665</v>
      </c>
      <c r="E417" s="76"/>
      <c r="F417" s="76">
        <f>D417</f>
        <v>3506.6666666666665</v>
      </c>
      <c r="G417" s="76">
        <f>G413/G415</f>
        <v>3888.8888888888887</v>
      </c>
      <c r="H417" s="76"/>
      <c r="I417" s="76"/>
      <c r="J417" s="76">
        <f>G417</f>
        <v>3888.8888888888887</v>
      </c>
      <c r="K417" s="76"/>
      <c r="L417" s="76"/>
      <c r="M417" s="76"/>
      <c r="N417" s="76">
        <f>N413/N415</f>
        <v>4117.64705882353</v>
      </c>
      <c r="O417" s="76"/>
      <c r="P417" s="76">
        <f>N417</f>
        <v>4117.64705882353</v>
      </c>
      <c r="EB417" s="188"/>
      <c r="EC417" s="188"/>
      <c r="ED417" s="188"/>
      <c r="EE417" s="188"/>
      <c r="EF417" s="188"/>
      <c r="EG417" s="188"/>
    </row>
    <row r="418" spans="1:137" s="187" customFormat="1" ht="15.75" customHeight="1">
      <c r="A418" s="167" t="s">
        <v>374</v>
      </c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29.25" customHeight="1">
      <c r="A419" s="74" t="s">
        <v>120</v>
      </c>
      <c r="B419" s="186"/>
      <c r="C419" s="186"/>
      <c r="D419" s="76"/>
      <c r="E419" s="76"/>
      <c r="F419" s="76"/>
      <c r="G419" s="76">
        <f>G417/D417*100</f>
        <v>110.8998732572877</v>
      </c>
      <c r="H419" s="76"/>
      <c r="I419" s="76"/>
      <c r="J419" s="76">
        <f>G419</f>
        <v>110.8998732572877</v>
      </c>
      <c r="K419" s="76"/>
      <c r="L419" s="76"/>
      <c r="M419" s="76"/>
      <c r="N419" s="76">
        <f>N417/G417*100</f>
        <v>105.88235294117649</v>
      </c>
      <c r="O419" s="76"/>
      <c r="P419" s="76">
        <f>N419</f>
        <v>105.88235294117649</v>
      </c>
      <c r="EB419" s="188"/>
      <c r="EC419" s="188"/>
      <c r="ED419" s="188"/>
      <c r="EE419" s="188"/>
      <c r="EF419" s="188"/>
      <c r="EG419" s="188"/>
    </row>
    <row r="420" spans="1:137" s="77" customFormat="1" ht="22.5">
      <c r="A420" s="87" t="s">
        <v>508</v>
      </c>
      <c r="B420" s="75"/>
      <c r="C420" s="75"/>
      <c r="D420" s="83">
        <f>D422</f>
        <v>339200</v>
      </c>
      <c r="E420" s="83"/>
      <c r="F420" s="83">
        <f>D420</f>
        <v>339200</v>
      </c>
      <c r="G420" s="83">
        <f>G422</f>
        <v>504700</v>
      </c>
      <c r="H420" s="83"/>
      <c r="I420" s="83"/>
      <c r="J420" s="83">
        <f>G420</f>
        <v>504700</v>
      </c>
      <c r="K420" s="83"/>
      <c r="L420" s="83"/>
      <c r="M420" s="83"/>
      <c r="N420" s="83">
        <f>N422</f>
        <v>564300</v>
      </c>
      <c r="O420" s="83"/>
      <c r="P420" s="83">
        <f>N420</f>
        <v>564300</v>
      </c>
      <c r="EB420" s="78"/>
      <c r="EC420" s="78"/>
      <c r="ED420" s="78"/>
      <c r="EE420" s="78"/>
      <c r="EF420" s="78"/>
      <c r="EG420" s="78"/>
    </row>
    <row r="421" spans="1:137" s="187" customFormat="1" ht="11.25">
      <c r="A421" s="3" t="s">
        <v>77</v>
      </c>
      <c r="B421" s="186"/>
      <c r="C421" s="18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EB421" s="188"/>
      <c r="EC421" s="188"/>
      <c r="ED421" s="188"/>
      <c r="EE421" s="188"/>
      <c r="EF421" s="188"/>
      <c r="EG421" s="188"/>
    </row>
    <row r="422" spans="1:137" s="187" customFormat="1" ht="22.5">
      <c r="A422" s="74" t="s">
        <v>390</v>
      </c>
      <c r="B422" s="186"/>
      <c r="C422" s="186"/>
      <c r="D422" s="76">
        <f>447100-107900</f>
        <v>339200</v>
      </c>
      <c r="E422" s="76"/>
      <c r="F422" s="76">
        <f>D422</f>
        <v>339200</v>
      </c>
      <c r="G422" s="76">
        <v>504700</v>
      </c>
      <c r="H422" s="76"/>
      <c r="I422" s="76"/>
      <c r="J422" s="76">
        <f>G422</f>
        <v>504700</v>
      </c>
      <c r="K422" s="76"/>
      <c r="L422" s="76"/>
      <c r="M422" s="76"/>
      <c r="N422" s="76">
        <v>564300</v>
      </c>
      <c r="O422" s="76"/>
      <c r="P422" s="76">
        <f>N422</f>
        <v>564300</v>
      </c>
      <c r="EB422" s="188"/>
      <c r="EC422" s="188"/>
      <c r="ED422" s="188"/>
      <c r="EE422" s="188"/>
      <c r="EF422" s="188"/>
      <c r="EG422" s="188"/>
    </row>
    <row r="423" spans="1:137" s="187" customFormat="1" ht="20.25" customHeight="1">
      <c r="A423" s="167" t="s">
        <v>275</v>
      </c>
      <c r="B423" s="186"/>
      <c r="C423" s="18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EB423" s="188"/>
      <c r="EC423" s="188"/>
      <c r="ED423" s="188"/>
      <c r="EE423" s="188"/>
      <c r="EF423" s="188"/>
      <c r="EG423" s="188"/>
    </row>
    <row r="424" spans="1:137" s="187" customFormat="1" ht="11.25">
      <c r="A424" s="6" t="s">
        <v>391</v>
      </c>
      <c r="B424" s="186"/>
      <c r="C424" s="186"/>
      <c r="D424" s="76">
        <v>1</v>
      </c>
      <c r="E424" s="76"/>
      <c r="F424" s="76">
        <f>D424</f>
        <v>1</v>
      </c>
      <c r="G424" s="76">
        <v>1</v>
      </c>
      <c r="H424" s="76"/>
      <c r="I424" s="76"/>
      <c r="J424" s="76">
        <f>G424</f>
        <v>1</v>
      </c>
      <c r="K424" s="76"/>
      <c r="L424" s="76"/>
      <c r="M424" s="76"/>
      <c r="N424" s="76">
        <v>1</v>
      </c>
      <c r="O424" s="76"/>
      <c r="P424" s="76">
        <f>N424</f>
        <v>1</v>
      </c>
      <c r="EB424" s="188"/>
      <c r="EC424" s="188"/>
      <c r="ED424" s="188"/>
      <c r="EE424" s="188"/>
      <c r="EF424" s="188"/>
      <c r="EG424" s="188"/>
    </row>
    <row r="425" spans="1:137" s="187" customFormat="1" ht="11.25">
      <c r="A425" s="167" t="s">
        <v>226</v>
      </c>
      <c r="B425" s="186"/>
      <c r="C425" s="18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EB425" s="188"/>
      <c r="EC425" s="188"/>
      <c r="ED425" s="188"/>
      <c r="EE425" s="188"/>
      <c r="EF425" s="188"/>
      <c r="EG425" s="188"/>
    </row>
    <row r="426" spans="1:137" s="187" customFormat="1" ht="22.5">
      <c r="A426" s="74" t="s">
        <v>551</v>
      </c>
      <c r="B426" s="186"/>
      <c r="C426" s="186"/>
      <c r="D426" s="76">
        <f>D422/D424/12</f>
        <v>28266.666666666668</v>
      </c>
      <c r="E426" s="76"/>
      <c r="F426" s="76">
        <f>D426</f>
        <v>28266.666666666668</v>
      </c>
      <c r="G426" s="76">
        <f>G422/G424/12</f>
        <v>42058.333333333336</v>
      </c>
      <c r="H426" s="76"/>
      <c r="I426" s="76"/>
      <c r="J426" s="76">
        <f>G426</f>
        <v>42058.333333333336</v>
      </c>
      <c r="K426" s="76"/>
      <c r="L426" s="76"/>
      <c r="M426" s="76"/>
      <c r="N426" s="76">
        <f>N422/N424/12</f>
        <v>47025</v>
      </c>
      <c r="O426" s="76"/>
      <c r="P426" s="76">
        <f>N426</f>
        <v>47025</v>
      </c>
      <c r="EB426" s="188"/>
      <c r="EC426" s="188"/>
      <c r="ED426" s="188"/>
      <c r="EE426" s="188"/>
      <c r="EF426" s="188"/>
      <c r="EG426" s="188"/>
    </row>
    <row r="427" spans="1:137" s="187" customFormat="1" ht="11.25">
      <c r="A427" s="167" t="s">
        <v>374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3.75">
      <c r="A428" s="74" t="s">
        <v>392</v>
      </c>
      <c r="B428" s="186"/>
      <c r="C428" s="186"/>
      <c r="D428" s="76"/>
      <c r="E428" s="76"/>
      <c r="F428" s="76"/>
      <c r="G428" s="76">
        <f>G426/D426*100</f>
        <v>148.79127358490567</v>
      </c>
      <c r="H428" s="76"/>
      <c r="I428" s="76"/>
      <c r="J428" s="76">
        <f>G428</f>
        <v>148.79127358490567</v>
      </c>
      <c r="K428" s="76"/>
      <c r="L428" s="76"/>
      <c r="M428" s="76"/>
      <c r="N428" s="76">
        <f>N426/G426*100</f>
        <v>111.80899544283733</v>
      </c>
      <c r="O428" s="76"/>
      <c r="P428" s="76">
        <f>N428</f>
        <v>111.80899544283733</v>
      </c>
      <c r="EB428" s="188"/>
      <c r="EC428" s="188"/>
      <c r="ED428" s="188"/>
      <c r="EE428" s="188"/>
      <c r="EF428" s="188"/>
      <c r="EG428" s="188"/>
    </row>
    <row r="429" spans="1:137" s="77" customFormat="1" ht="34.5" customHeight="1">
      <c r="A429" s="87" t="s">
        <v>509</v>
      </c>
      <c r="B429" s="75"/>
      <c r="C429" s="75"/>
      <c r="D429" s="83">
        <f>D431</f>
        <v>341700</v>
      </c>
      <c r="E429" s="83"/>
      <c r="F429" s="83">
        <f>D429</f>
        <v>341700</v>
      </c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EB429" s="78"/>
      <c r="EC429" s="78"/>
      <c r="ED429" s="78"/>
      <c r="EE429" s="78"/>
      <c r="EF429" s="78"/>
      <c r="EG429" s="78"/>
    </row>
    <row r="430" spans="1:137" s="187" customFormat="1" ht="11.25">
      <c r="A430" s="3" t="s">
        <v>77</v>
      </c>
      <c r="B430" s="186"/>
      <c r="C430" s="18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EB430" s="188"/>
      <c r="EC430" s="188"/>
      <c r="ED430" s="188"/>
      <c r="EE430" s="188"/>
      <c r="EF430" s="188"/>
      <c r="EG430" s="188"/>
    </row>
    <row r="431" spans="1:137" s="187" customFormat="1" ht="34.5" customHeight="1">
      <c r="A431" s="74" t="s">
        <v>393</v>
      </c>
      <c r="B431" s="186"/>
      <c r="C431" s="186"/>
      <c r="D431" s="76">
        <v>341700</v>
      </c>
      <c r="E431" s="76"/>
      <c r="F431" s="76">
        <f>D431</f>
        <v>341700</v>
      </c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11.25">
      <c r="A432" s="167" t="s">
        <v>275</v>
      </c>
      <c r="B432" s="186"/>
      <c r="C432" s="18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EB432" s="188"/>
      <c r="EC432" s="188"/>
      <c r="ED432" s="188"/>
      <c r="EE432" s="188"/>
      <c r="EF432" s="188"/>
      <c r="EG432" s="188"/>
    </row>
    <row r="433" spans="1:137" s="187" customFormat="1" ht="22.5">
      <c r="A433" s="6" t="s">
        <v>394</v>
      </c>
      <c r="B433" s="186"/>
      <c r="C433" s="186"/>
      <c r="D433" s="76">
        <v>7</v>
      </c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11.25">
      <c r="A434" s="167" t="s">
        <v>226</v>
      </c>
      <c r="B434" s="186"/>
      <c r="C434" s="18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EB434" s="188"/>
      <c r="EC434" s="188"/>
      <c r="ED434" s="188"/>
      <c r="EE434" s="188"/>
      <c r="EF434" s="188"/>
      <c r="EG434" s="188"/>
    </row>
    <row r="435" spans="1:137" s="187" customFormat="1" ht="22.5">
      <c r="A435" s="74" t="s">
        <v>395</v>
      </c>
      <c r="B435" s="186"/>
      <c r="C435" s="186"/>
      <c r="D435" s="5">
        <f>D431/D433</f>
        <v>48814.28571428572</v>
      </c>
      <c r="E435" s="5"/>
      <c r="F435" s="5">
        <f>D435</f>
        <v>48814.28571428572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EB435" s="188"/>
      <c r="EC435" s="188"/>
      <c r="ED435" s="188"/>
      <c r="EE435" s="188"/>
      <c r="EF435" s="188"/>
      <c r="EG435" s="188"/>
    </row>
    <row r="436" spans="1:137" s="187" customFormat="1" ht="22.5">
      <c r="A436" s="87" t="s">
        <v>510</v>
      </c>
      <c r="B436" s="186"/>
      <c r="C436" s="186"/>
      <c r="D436" s="86">
        <f>D438</f>
        <v>0</v>
      </c>
      <c r="E436" s="86"/>
      <c r="F436" s="86">
        <f>D436</f>
        <v>0</v>
      </c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22.5" customHeight="1">
      <c r="A437" s="3" t="s">
        <v>77</v>
      </c>
      <c r="B437" s="186"/>
      <c r="C437" s="18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22.5">
      <c r="A438" s="74" t="s">
        <v>396</v>
      </c>
      <c r="B438" s="186"/>
      <c r="C438" s="186"/>
      <c r="D438" s="76">
        <f>800000-800000</f>
        <v>0</v>
      </c>
      <c r="E438" s="76"/>
      <c r="F438" s="76">
        <f>D438</f>
        <v>0</v>
      </c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11.25">
      <c r="A439" s="167" t="s">
        <v>275</v>
      </c>
      <c r="B439" s="186"/>
      <c r="C439" s="18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87" customFormat="1" ht="22.5">
      <c r="A440" s="6" t="s">
        <v>397</v>
      </c>
      <c r="B440" s="186"/>
      <c r="C440" s="186"/>
      <c r="D440" s="76">
        <v>0</v>
      </c>
      <c r="E440" s="76"/>
      <c r="F440" s="76">
        <f>D440</f>
        <v>0</v>
      </c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EB440" s="188"/>
      <c r="EC440" s="188"/>
      <c r="ED440" s="188"/>
      <c r="EE440" s="188"/>
      <c r="EF440" s="188"/>
      <c r="EG440" s="188"/>
    </row>
    <row r="441" spans="1:137" s="187" customFormat="1" ht="11.25">
      <c r="A441" s="167" t="s">
        <v>226</v>
      </c>
      <c r="B441" s="186"/>
      <c r="C441" s="18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EB441" s="188"/>
      <c r="EC441" s="188"/>
      <c r="ED441" s="188"/>
      <c r="EE441" s="188"/>
      <c r="EF441" s="188"/>
      <c r="EG441" s="188"/>
    </row>
    <row r="442" spans="1:137" s="187" customFormat="1" ht="22.5">
      <c r="A442" s="74" t="s">
        <v>398</v>
      </c>
      <c r="B442" s="186"/>
      <c r="C442" s="186"/>
      <c r="D442" s="76" t="e">
        <f>D438/D440</f>
        <v>#DIV/0!</v>
      </c>
      <c r="E442" s="76"/>
      <c r="F442" s="76" t="e">
        <f>D442</f>
        <v>#DIV/0!</v>
      </c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EB442" s="188"/>
      <c r="EC442" s="188"/>
      <c r="ED442" s="188"/>
      <c r="EE442" s="188"/>
      <c r="EF442" s="188"/>
      <c r="EG442" s="188"/>
    </row>
    <row r="443" spans="1:137" s="118" customFormat="1" ht="25.5">
      <c r="A443" s="196" t="s">
        <v>420</v>
      </c>
      <c r="B443" s="117"/>
      <c r="C443" s="117"/>
      <c r="D443" s="195">
        <f>1775300-613300</f>
        <v>1162000</v>
      </c>
      <c r="E443" s="195"/>
      <c r="F443" s="195">
        <f>D443</f>
        <v>1162000</v>
      </c>
      <c r="G443" s="195">
        <v>1894300</v>
      </c>
      <c r="H443" s="195"/>
      <c r="I443" s="195"/>
      <c r="J443" s="195">
        <f>G443</f>
        <v>1894300</v>
      </c>
      <c r="K443" s="195">
        <f>(K445*K447)</f>
        <v>0</v>
      </c>
      <c r="L443" s="195">
        <f>(L445*L447)</f>
        <v>0</v>
      </c>
      <c r="M443" s="195">
        <f>(M445*M447)</f>
        <v>0</v>
      </c>
      <c r="N443" s="195">
        <v>2007900</v>
      </c>
      <c r="O443" s="195"/>
      <c r="P443" s="195">
        <f>N443</f>
        <v>2007900</v>
      </c>
      <c r="EB443" s="119"/>
      <c r="EC443" s="119"/>
      <c r="ED443" s="119"/>
      <c r="EE443" s="119"/>
      <c r="EF443" s="119"/>
      <c r="EG443" s="119"/>
    </row>
    <row r="444" spans="1:137" s="15" customFormat="1" ht="11.25">
      <c r="A444" s="3" t="s">
        <v>3</v>
      </c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EB444" s="34"/>
      <c r="EC444" s="34"/>
      <c r="ED444" s="34"/>
      <c r="EE444" s="34"/>
      <c r="EF444" s="34"/>
      <c r="EG444" s="34"/>
    </row>
    <row r="445" spans="1:137" s="15" customFormat="1" ht="33.75">
      <c r="A445" s="6" t="s">
        <v>125</v>
      </c>
      <c r="B445" s="4"/>
      <c r="C445" s="4"/>
      <c r="D445" s="5">
        <v>750</v>
      </c>
      <c r="E445" s="5"/>
      <c r="F445" s="5">
        <f>D445</f>
        <v>750</v>
      </c>
      <c r="G445" s="5">
        <v>700</v>
      </c>
      <c r="H445" s="5"/>
      <c r="I445" s="5"/>
      <c r="J445" s="5">
        <f>G445</f>
        <v>700</v>
      </c>
      <c r="K445" s="5"/>
      <c r="L445" s="5"/>
      <c r="M445" s="5"/>
      <c r="N445" s="5">
        <v>650</v>
      </c>
      <c r="O445" s="5"/>
      <c r="P445" s="5">
        <f>N445</f>
        <v>650</v>
      </c>
      <c r="EB445" s="34"/>
      <c r="EC445" s="34"/>
      <c r="ED445" s="34"/>
      <c r="EE445" s="34"/>
      <c r="EF445" s="34"/>
      <c r="EG445" s="34"/>
    </row>
    <row r="446" spans="1:137" s="15" customFormat="1" ht="11.25">
      <c r="A446" s="3" t="s">
        <v>5</v>
      </c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EB446" s="34"/>
      <c r="EC446" s="34"/>
      <c r="ED446" s="34"/>
      <c r="EE446" s="34"/>
      <c r="EF446" s="34"/>
      <c r="EG446" s="34"/>
    </row>
    <row r="447" spans="1:137" s="15" customFormat="1" ht="22.5" customHeight="1">
      <c r="A447" s="6" t="s">
        <v>126</v>
      </c>
      <c r="B447" s="4"/>
      <c r="C447" s="4"/>
      <c r="D447" s="5">
        <f>D443/D445</f>
        <v>1549.3333333333333</v>
      </c>
      <c r="E447" s="5"/>
      <c r="F447" s="5">
        <f>D447</f>
        <v>1549.3333333333333</v>
      </c>
      <c r="G447" s="5">
        <f>G443/G445</f>
        <v>2706.1428571428573</v>
      </c>
      <c r="H447" s="5"/>
      <c r="I447" s="5"/>
      <c r="J447" s="5">
        <f>G447</f>
        <v>2706.1428571428573</v>
      </c>
      <c r="K447" s="5"/>
      <c r="L447" s="5"/>
      <c r="M447" s="5"/>
      <c r="N447" s="5">
        <f>N443/N445</f>
        <v>3089.076923076923</v>
      </c>
      <c r="O447" s="5"/>
      <c r="P447" s="5">
        <f>N447</f>
        <v>3089.076923076923</v>
      </c>
      <c r="EB447" s="34"/>
      <c r="EC447" s="34"/>
      <c r="ED447" s="34"/>
      <c r="EE447" s="34"/>
      <c r="EF447" s="34"/>
      <c r="EG447" s="34"/>
    </row>
    <row r="448" spans="1:137" s="15" customFormat="1" ht="11.25">
      <c r="A448" s="3" t="s">
        <v>4</v>
      </c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EB448" s="34"/>
      <c r="EC448" s="34"/>
      <c r="ED448" s="34"/>
      <c r="EE448" s="34"/>
      <c r="EF448" s="34"/>
      <c r="EG448" s="34"/>
    </row>
    <row r="449" spans="1:137" s="15" customFormat="1" ht="24" customHeight="1">
      <c r="A449" s="6" t="s">
        <v>96</v>
      </c>
      <c r="B449" s="4"/>
      <c r="C449" s="4"/>
      <c r="D449" s="5"/>
      <c r="E449" s="5"/>
      <c r="F449" s="5"/>
      <c r="G449" s="5">
        <f>G445/D445*100</f>
        <v>93.33333333333333</v>
      </c>
      <c r="H449" s="5"/>
      <c r="I449" s="5"/>
      <c r="J449" s="5">
        <f>G449</f>
        <v>93.33333333333333</v>
      </c>
      <c r="K449" s="5"/>
      <c r="L449" s="5"/>
      <c r="M449" s="5"/>
      <c r="N449" s="5">
        <f>N445/G445*100</f>
        <v>92.85714285714286</v>
      </c>
      <c r="O449" s="5"/>
      <c r="P449" s="5">
        <f>N449</f>
        <v>92.85714285714286</v>
      </c>
      <c r="EB449" s="34"/>
      <c r="EC449" s="34"/>
      <c r="ED449" s="34"/>
      <c r="EE449" s="34"/>
      <c r="EF449" s="34"/>
      <c r="EG449" s="34"/>
    </row>
    <row r="450" spans="1:137" s="15" customFormat="1" ht="31.5" customHeight="1">
      <c r="A450" s="6" t="s">
        <v>97</v>
      </c>
      <c r="B450" s="4"/>
      <c r="C450" s="4"/>
      <c r="D450" s="5"/>
      <c r="E450" s="5"/>
      <c r="F450" s="5"/>
      <c r="G450" s="5">
        <f>G447/D447*100</f>
        <v>174.66498647651832</v>
      </c>
      <c r="H450" s="5"/>
      <c r="I450" s="5"/>
      <c r="J450" s="5">
        <f>G450</f>
        <v>174.66498647651832</v>
      </c>
      <c r="K450" s="5"/>
      <c r="L450" s="5"/>
      <c r="M450" s="5"/>
      <c r="N450" s="5">
        <f>N447/G447*100</f>
        <v>114.15054881242916</v>
      </c>
      <c r="O450" s="5"/>
      <c r="P450" s="5">
        <f>N450</f>
        <v>114.15054881242916</v>
      </c>
      <c r="EB450" s="34"/>
      <c r="EC450" s="34"/>
      <c r="ED450" s="34"/>
      <c r="EE450" s="34"/>
      <c r="EF450" s="34"/>
      <c r="EG450" s="34"/>
    </row>
    <row r="451" spans="1:137" s="198" customFormat="1" ht="36" customHeight="1">
      <c r="A451" s="196" t="s">
        <v>421</v>
      </c>
      <c r="B451" s="197"/>
      <c r="C451" s="197"/>
      <c r="D451" s="195"/>
      <c r="E451" s="195">
        <f>19786700-15786700</f>
        <v>4000000</v>
      </c>
      <c r="F451" s="195">
        <f>E451</f>
        <v>4000000</v>
      </c>
      <c r="G451" s="195">
        <f>G453*G455</f>
        <v>0</v>
      </c>
      <c r="H451" s="195">
        <v>21112400</v>
      </c>
      <c r="I451" s="195">
        <f>I453*I455</f>
        <v>0</v>
      </c>
      <c r="J451" s="195">
        <f>G451+H451</f>
        <v>21112400</v>
      </c>
      <c r="K451" s="195">
        <f>K453*K455</f>
        <v>0</v>
      </c>
      <c r="L451" s="195">
        <f>L453*L455</f>
        <v>0</v>
      </c>
      <c r="M451" s="195">
        <f>M453*M455</f>
        <v>0</v>
      </c>
      <c r="N451" s="195">
        <f>N453*N455</f>
        <v>0</v>
      </c>
      <c r="O451" s="195">
        <v>22379100</v>
      </c>
      <c r="P451" s="195">
        <f>N451+O451</f>
        <v>22379100</v>
      </c>
      <c r="EB451" s="199"/>
      <c r="EC451" s="199"/>
      <c r="ED451" s="199"/>
      <c r="EE451" s="199"/>
      <c r="EF451" s="199"/>
      <c r="EG451" s="199"/>
    </row>
    <row r="452" spans="1:137" s="15" customFormat="1" ht="11.25">
      <c r="A452" s="3" t="s">
        <v>3</v>
      </c>
      <c r="B452" s="25"/>
      <c r="C452" s="25"/>
      <c r="D452" s="18"/>
      <c r="E452" s="18"/>
      <c r="F452" s="5"/>
      <c r="G452" s="18"/>
      <c r="H452" s="18"/>
      <c r="I452" s="18"/>
      <c r="J452" s="5"/>
      <c r="K452" s="5"/>
      <c r="L452" s="5"/>
      <c r="M452" s="5"/>
      <c r="N452" s="18"/>
      <c r="O452" s="18"/>
      <c r="P452" s="5"/>
      <c r="EB452" s="34"/>
      <c r="EC452" s="34"/>
      <c r="ED452" s="34"/>
      <c r="EE452" s="34"/>
      <c r="EF452" s="34"/>
      <c r="EG452" s="34"/>
    </row>
    <row r="453" spans="1:137" s="15" customFormat="1" ht="21.75" customHeight="1">
      <c r="A453" s="6" t="s">
        <v>59</v>
      </c>
      <c r="B453" s="4"/>
      <c r="C453" s="4"/>
      <c r="D453" s="5"/>
      <c r="E453" s="5">
        <f>20+6-6</f>
        <v>20</v>
      </c>
      <c r="F453" s="5">
        <f>E453</f>
        <v>20</v>
      </c>
      <c r="G453" s="5"/>
      <c r="H453" s="5">
        <v>18</v>
      </c>
      <c r="I453" s="5"/>
      <c r="J453" s="5">
        <f>G453+H453</f>
        <v>18</v>
      </c>
      <c r="K453" s="5"/>
      <c r="L453" s="5"/>
      <c r="M453" s="5"/>
      <c r="N453" s="5"/>
      <c r="O453" s="5">
        <v>15</v>
      </c>
      <c r="P453" s="5">
        <f>O453</f>
        <v>15</v>
      </c>
      <c r="EB453" s="34"/>
      <c r="EC453" s="34"/>
      <c r="ED453" s="34"/>
      <c r="EE453" s="34"/>
      <c r="EF453" s="34"/>
      <c r="EG453" s="34"/>
    </row>
    <row r="454" spans="1:137" s="15" customFormat="1" ht="11.25">
      <c r="A454" s="3" t="s">
        <v>5</v>
      </c>
      <c r="B454" s="25"/>
      <c r="C454" s="25"/>
      <c r="D454" s="18"/>
      <c r="E454" s="18"/>
      <c r="F454" s="5"/>
      <c r="G454" s="18"/>
      <c r="H454" s="18"/>
      <c r="I454" s="18"/>
      <c r="J454" s="5"/>
      <c r="K454" s="5"/>
      <c r="L454" s="5"/>
      <c r="M454" s="5"/>
      <c r="N454" s="18"/>
      <c r="O454" s="18"/>
      <c r="P454" s="5"/>
      <c r="EB454" s="34"/>
      <c r="EC454" s="34"/>
      <c r="ED454" s="34"/>
      <c r="EE454" s="34"/>
      <c r="EF454" s="34"/>
      <c r="EG454" s="34"/>
    </row>
    <row r="455" spans="1:137" s="15" customFormat="1" ht="23.25" customHeight="1">
      <c r="A455" s="6" t="s">
        <v>60</v>
      </c>
      <c r="B455" s="4"/>
      <c r="C455" s="4"/>
      <c r="D455" s="5"/>
      <c r="E455" s="5">
        <f>E451/E453</f>
        <v>200000</v>
      </c>
      <c r="F455" s="5">
        <f>E455</f>
        <v>200000</v>
      </c>
      <c r="G455" s="5"/>
      <c r="H455" s="5">
        <f>H451/H453</f>
        <v>1172911.111111111</v>
      </c>
      <c r="I455" s="5"/>
      <c r="J455" s="5">
        <f>G455+H455</f>
        <v>1172911.111111111</v>
      </c>
      <c r="K455" s="5"/>
      <c r="L455" s="5"/>
      <c r="M455" s="5"/>
      <c r="N455" s="5"/>
      <c r="O455" s="5">
        <f>O451/O453</f>
        <v>1491940</v>
      </c>
      <c r="P455" s="5">
        <f>O455</f>
        <v>1491940</v>
      </c>
      <c r="EB455" s="34"/>
      <c r="EC455" s="34"/>
      <c r="ED455" s="34"/>
      <c r="EE455" s="34"/>
      <c r="EF455" s="34"/>
      <c r="EG455" s="34"/>
    </row>
    <row r="456" spans="1:137" s="15" customFormat="1" ht="11.25">
      <c r="A456" s="3" t="s">
        <v>4</v>
      </c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EB456" s="34"/>
      <c r="EC456" s="34"/>
      <c r="ED456" s="34"/>
      <c r="EE456" s="34"/>
      <c r="EF456" s="34"/>
      <c r="EG456" s="34"/>
    </row>
    <row r="457" spans="1:137" s="15" customFormat="1" ht="35.25" customHeight="1">
      <c r="A457" s="6" t="s">
        <v>61</v>
      </c>
      <c r="B457" s="4"/>
      <c r="C457" s="4"/>
      <c r="D457" s="5"/>
      <c r="E457" s="5">
        <v>0</v>
      </c>
      <c r="F457" s="5">
        <v>0</v>
      </c>
      <c r="G457" s="5"/>
      <c r="H457" s="5">
        <f>H455/E455*100</f>
        <v>586.4555555555555</v>
      </c>
      <c r="I457" s="5"/>
      <c r="J457" s="5">
        <f>G457+H457</f>
        <v>586.4555555555555</v>
      </c>
      <c r="K457" s="5"/>
      <c r="L457" s="5"/>
      <c r="M457" s="5"/>
      <c r="N457" s="5"/>
      <c r="O457" s="5">
        <f>O455/H455*100</f>
        <v>127.19974991000551</v>
      </c>
      <c r="P457" s="5">
        <f>O457</f>
        <v>127.19974991000551</v>
      </c>
      <c r="EB457" s="34"/>
      <c r="EC457" s="34"/>
      <c r="ED457" s="34"/>
      <c r="EE457" s="34"/>
      <c r="EF457" s="34"/>
      <c r="EG457" s="34"/>
    </row>
    <row r="458" spans="1:131" s="205" customFormat="1" ht="30" customHeight="1">
      <c r="A458" s="202" t="s">
        <v>249</v>
      </c>
      <c r="B458" s="202"/>
      <c r="C458" s="202"/>
      <c r="D458" s="203">
        <f>D460</f>
        <v>0</v>
      </c>
      <c r="E458" s="203">
        <f aca="true" t="shared" si="26" ref="E458:P458">E460</f>
        <v>9700300</v>
      </c>
      <c r="F458" s="203">
        <f t="shared" si="26"/>
        <v>9700300</v>
      </c>
      <c r="G458" s="203">
        <f t="shared" si="26"/>
        <v>0</v>
      </c>
      <c r="H458" s="203">
        <f t="shared" si="26"/>
        <v>19670400</v>
      </c>
      <c r="I458" s="203">
        <f t="shared" si="26"/>
        <v>0</v>
      </c>
      <c r="J458" s="203">
        <f t="shared" si="26"/>
        <v>19670400</v>
      </c>
      <c r="K458" s="203">
        <f t="shared" si="26"/>
        <v>21396.1614106831</v>
      </c>
      <c r="L458" s="203">
        <f t="shared" si="26"/>
        <v>1</v>
      </c>
      <c r="M458" s="203">
        <f t="shared" si="26"/>
        <v>1</v>
      </c>
      <c r="N458" s="203">
        <f t="shared" si="26"/>
        <v>0</v>
      </c>
      <c r="O458" s="203">
        <f t="shared" si="26"/>
        <v>20850600</v>
      </c>
      <c r="P458" s="203">
        <f t="shared" si="26"/>
        <v>20850600</v>
      </c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  <c r="BZ458" s="204"/>
      <c r="CA458" s="204"/>
      <c r="CB458" s="204"/>
      <c r="CC458" s="204"/>
      <c r="CD458" s="204"/>
      <c r="CE458" s="204"/>
      <c r="CF458" s="204"/>
      <c r="CG458" s="204"/>
      <c r="CH458" s="204"/>
      <c r="CI458" s="204"/>
      <c r="CJ458" s="204"/>
      <c r="CK458" s="204"/>
      <c r="CL458" s="204"/>
      <c r="CM458" s="204"/>
      <c r="CN458" s="204"/>
      <c r="CO458" s="204"/>
      <c r="CP458" s="204"/>
      <c r="CQ458" s="204"/>
      <c r="CR458" s="204"/>
      <c r="CS458" s="204"/>
      <c r="CT458" s="204"/>
      <c r="CU458" s="204"/>
      <c r="CV458" s="204"/>
      <c r="CW458" s="204"/>
      <c r="CX458" s="204"/>
      <c r="CY458" s="204"/>
      <c r="CZ458" s="204"/>
      <c r="DA458" s="204"/>
      <c r="DB458" s="204"/>
      <c r="DC458" s="204"/>
      <c r="DD458" s="204"/>
      <c r="DE458" s="204"/>
      <c r="DF458" s="204"/>
      <c r="DG458" s="204"/>
      <c r="DH458" s="204"/>
      <c r="DI458" s="204"/>
      <c r="DJ458" s="204"/>
      <c r="DK458" s="204"/>
      <c r="DL458" s="204"/>
      <c r="DM458" s="204"/>
      <c r="DN458" s="204"/>
      <c r="DO458" s="204"/>
      <c r="DP458" s="204"/>
      <c r="DQ458" s="204"/>
      <c r="DR458" s="204"/>
      <c r="DS458" s="204"/>
      <c r="DT458" s="204"/>
      <c r="DU458" s="204"/>
      <c r="DV458" s="204"/>
      <c r="DW458" s="204"/>
      <c r="DX458" s="204"/>
      <c r="DY458" s="204"/>
      <c r="DZ458" s="204"/>
      <c r="EA458" s="204"/>
    </row>
    <row r="459" spans="1:16" ht="56.25" customHeight="1">
      <c r="A459" s="22" t="s">
        <v>250</v>
      </c>
      <c r="B459" s="4"/>
      <c r="C459" s="4"/>
      <c r="D459" s="5"/>
      <c r="E459" s="24"/>
      <c r="F459" s="24"/>
      <c r="G459" s="5"/>
      <c r="H459" s="24"/>
      <c r="I459" s="24"/>
      <c r="J459" s="24"/>
      <c r="K459" s="5" t="e">
        <f>H459/E459*100</f>
        <v>#DIV/0!</v>
      </c>
      <c r="L459" s="24"/>
      <c r="M459" s="24"/>
      <c r="N459" s="5"/>
      <c r="O459" s="24"/>
      <c r="P459" s="24"/>
    </row>
    <row r="460" spans="1:16" ht="32.25" customHeight="1">
      <c r="A460" s="190" t="s">
        <v>457</v>
      </c>
      <c r="B460" s="4"/>
      <c r="C460" s="4"/>
      <c r="D460" s="195">
        <f>D461+D470</f>
        <v>0</v>
      </c>
      <c r="E460" s="195">
        <f aca="true" t="shared" si="27" ref="E460:O460">E461+E470</f>
        <v>9700300</v>
      </c>
      <c r="F460" s="195">
        <f>D460+E460</f>
        <v>9700300</v>
      </c>
      <c r="G460" s="195">
        <f t="shared" si="27"/>
        <v>0</v>
      </c>
      <c r="H460" s="195">
        <f>H461+H470</f>
        <v>19670400</v>
      </c>
      <c r="I460" s="195">
        <f t="shared" si="27"/>
        <v>0</v>
      </c>
      <c r="J460" s="195">
        <f>G460+H460</f>
        <v>19670400</v>
      </c>
      <c r="K460" s="195">
        <f t="shared" si="27"/>
        <v>21396.1614106831</v>
      </c>
      <c r="L460" s="195">
        <f t="shared" si="27"/>
        <v>1</v>
      </c>
      <c r="M460" s="195">
        <f t="shared" si="27"/>
        <v>1</v>
      </c>
      <c r="N460" s="195">
        <f t="shared" si="27"/>
        <v>0</v>
      </c>
      <c r="O460" s="195">
        <f t="shared" si="27"/>
        <v>20850600</v>
      </c>
      <c r="P460" s="195">
        <f>N460+O460</f>
        <v>20850600</v>
      </c>
    </row>
    <row r="461" spans="1:131" s="89" customFormat="1" ht="22.5">
      <c r="A461" s="87" t="s">
        <v>423</v>
      </c>
      <c r="B461" s="79"/>
      <c r="C461" s="79"/>
      <c r="D461" s="83"/>
      <c r="E461" s="83">
        <f>13435300-6735000</f>
        <v>6700300</v>
      </c>
      <c r="F461" s="83">
        <f>E461</f>
        <v>6700300</v>
      </c>
      <c r="G461" s="83"/>
      <c r="H461" s="83">
        <v>14335400</v>
      </c>
      <c r="I461" s="83"/>
      <c r="J461" s="83">
        <f>H461</f>
        <v>14335400</v>
      </c>
      <c r="K461" s="83">
        <f>K465*K467</f>
        <v>21395.1614106831</v>
      </c>
      <c r="L461" s="83">
        <f>L465*L467</f>
        <v>0</v>
      </c>
      <c r="M461" s="83">
        <f>M465*M467</f>
        <v>0</v>
      </c>
      <c r="N461" s="83"/>
      <c r="O461" s="83">
        <v>15195500</v>
      </c>
      <c r="P461" s="83">
        <f>N461+O461</f>
        <v>15195500</v>
      </c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0"/>
      <c r="DM461" s="120"/>
      <c r="DN461" s="120"/>
      <c r="DO461" s="120"/>
      <c r="DP461" s="120"/>
      <c r="DQ461" s="120"/>
      <c r="DR461" s="120"/>
      <c r="DS461" s="120"/>
      <c r="DT461" s="120"/>
      <c r="DU461" s="120"/>
      <c r="DV461" s="120"/>
      <c r="DW461" s="120"/>
      <c r="DX461" s="120"/>
      <c r="DY461" s="120"/>
      <c r="DZ461" s="120"/>
      <c r="EA461" s="120"/>
    </row>
    <row r="462" spans="1:16" ht="11.25">
      <c r="A462" s="3" t="s">
        <v>2</v>
      </c>
      <c r="B462" s="25"/>
      <c r="C462" s="25"/>
      <c r="D462" s="5"/>
      <c r="E462" s="24"/>
      <c r="F462" s="24"/>
      <c r="G462" s="5"/>
      <c r="H462" s="24"/>
      <c r="I462" s="24"/>
      <c r="J462" s="24"/>
      <c r="K462" s="5"/>
      <c r="L462" s="24"/>
      <c r="M462" s="24"/>
      <c r="N462" s="5"/>
      <c r="O462" s="24"/>
      <c r="P462" s="24"/>
    </row>
    <row r="463" spans="1:16" ht="22.5">
      <c r="A463" s="6" t="s">
        <v>62</v>
      </c>
      <c r="B463" s="4"/>
      <c r="C463" s="4"/>
      <c r="D463" s="5"/>
      <c r="E463" s="76">
        <v>1032</v>
      </c>
      <c r="F463" s="76">
        <f>E463</f>
        <v>1032</v>
      </c>
      <c r="G463" s="76"/>
      <c r="H463" s="76">
        <v>1012</v>
      </c>
      <c r="I463" s="76"/>
      <c r="J463" s="76">
        <f>H463</f>
        <v>1012</v>
      </c>
      <c r="K463" s="177"/>
      <c r="L463" s="73"/>
      <c r="M463" s="73"/>
      <c r="N463" s="76"/>
      <c r="O463" s="76">
        <v>992</v>
      </c>
      <c r="P463" s="76">
        <f>O463</f>
        <v>992</v>
      </c>
    </row>
    <row r="464" spans="1:16" ht="11.25">
      <c r="A464" s="3" t="s">
        <v>3</v>
      </c>
      <c r="B464" s="25"/>
      <c r="C464" s="25"/>
      <c r="D464" s="5"/>
      <c r="E464" s="18"/>
      <c r="F464" s="18"/>
      <c r="G464" s="5"/>
      <c r="H464" s="18"/>
      <c r="I464" s="18"/>
      <c r="J464" s="18"/>
      <c r="K464" s="5" t="e">
        <f>H464/E464*100</f>
        <v>#DIV/0!</v>
      </c>
      <c r="L464" s="18"/>
      <c r="M464" s="18"/>
      <c r="N464" s="5"/>
      <c r="O464" s="18"/>
      <c r="P464" s="18"/>
    </row>
    <row r="465" spans="1:16" ht="22.5">
      <c r="A465" s="6" t="s">
        <v>63</v>
      </c>
      <c r="B465" s="4"/>
      <c r="C465" s="4"/>
      <c r="D465" s="5"/>
      <c r="E465" s="5">
        <v>86</v>
      </c>
      <c r="F465" s="5">
        <f>E465</f>
        <v>86</v>
      </c>
      <c r="G465" s="5"/>
      <c r="H465" s="5">
        <v>20</v>
      </c>
      <c r="I465" s="5"/>
      <c r="J465" s="5">
        <f>H465</f>
        <v>20</v>
      </c>
      <c r="K465" s="5">
        <f>H465/E465*100</f>
        <v>23.25581395348837</v>
      </c>
      <c r="L465" s="5"/>
      <c r="M465" s="5"/>
      <c r="N465" s="5"/>
      <c r="O465" s="5">
        <v>20</v>
      </c>
      <c r="P465" s="5">
        <f>O465</f>
        <v>20</v>
      </c>
    </row>
    <row r="466" spans="1:16" ht="11.25">
      <c r="A466" s="3" t="s">
        <v>5</v>
      </c>
      <c r="B466" s="25"/>
      <c r="C466" s="25"/>
      <c r="D466" s="5"/>
      <c r="E466" s="18"/>
      <c r="F466" s="18"/>
      <c r="G466" s="5"/>
      <c r="H466" s="18"/>
      <c r="I466" s="18"/>
      <c r="J466" s="18"/>
      <c r="K466" s="5" t="e">
        <f>H466/E466*100</f>
        <v>#DIV/0!</v>
      </c>
      <c r="L466" s="18"/>
      <c r="M466" s="18"/>
      <c r="N466" s="5"/>
      <c r="O466" s="18"/>
      <c r="P466" s="18"/>
    </row>
    <row r="467" spans="1:16" ht="24" customHeight="1">
      <c r="A467" s="6" t="s">
        <v>64</v>
      </c>
      <c r="B467" s="4"/>
      <c r="C467" s="4"/>
      <c r="D467" s="5"/>
      <c r="E467" s="5">
        <f>E461/E465</f>
        <v>77910.46511627907</v>
      </c>
      <c r="F467" s="5">
        <f>E467</f>
        <v>77910.46511627907</v>
      </c>
      <c r="G467" s="5"/>
      <c r="H467" s="5">
        <f>H461/H465</f>
        <v>716770</v>
      </c>
      <c r="I467" s="5"/>
      <c r="J467" s="5">
        <f>H467</f>
        <v>716770</v>
      </c>
      <c r="K467" s="5">
        <f>H467/E467*100</f>
        <v>919.9919406593734</v>
      </c>
      <c r="L467" s="5"/>
      <c r="M467" s="5"/>
      <c r="N467" s="5"/>
      <c r="O467" s="5">
        <f>O461/O465</f>
        <v>759775</v>
      </c>
      <c r="P467" s="5">
        <f>O467</f>
        <v>759775</v>
      </c>
    </row>
    <row r="468" spans="1:16" ht="11.25">
      <c r="A468" s="3" t="s">
        <v>4</v>
      </c>
      <c r="B468" s="25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50.25" customHeight="1">
      <c r="A469" s="6" t="s">
        <v>65</v>
      </c>
      <c r="B469" s="4"/>
      <c r="C469" s="4"/>
      <c r="D469" s="5"/>
      <c r="E469" s="5">
        <f>E465/E463*100</f>
        <v>8.333333333333332</v>
      </c>
      <c r="F469" s="5">
        <f>D469+E469</f>
        <v>8.333333333333332</v>
      </c>
      <c r="G469" s="5"/>
      <c r="H469" s="5">
        <f>H465/H463*100</f>
        <v>1.9762845849802373</v>
      </c>
      <c r="I469" s="5"/>
      <c r="J469" s="5">
        <f>J465/J463*100</f>
        <v>1.9762845849802373</v>
      </c>
      <c r="K469" s="5" t="e">
        <f>K465/K463*100</f>
        <v>#DIV/0!</v>
      </c>
      <c r="L469" s="5" t="e">
        <f>L465/L463*100</f>
        <v>#DIV/0!</v>
      </c>
      <c r="M469" s="5" t="e">
        <f>M465/M463*100</f>
        <v>#DIV/0!</v>
      </c>
      <c r="N469" s="5"/>
      <c r="O469" s="5">
        <f>O465/O463*100</f>
        <v>2.0161290322580645</v>
      </c>
      <c r="P469" s="5">
        <f>P465/P463*100</f>
        <v>2.0161290322580645</v>
      </c>
    </row>
    <row r="470" spans="1:131" s="89" customFormat="1" ht="22.5">
      <c r="A470" s="87" t="s">
        <v>424</v>
      </c>
      <c r="B470" s="79"/>
      <c r="C470" s="79"/>
      <c r="D470" s="83"/>
      <c r="E470" s="83">
        <f>E474*E476</f>
        <v>3000000</v>
      </c>
      <c r="F470" s="83">
        <f>E470</f>
        <v>3000000</v>
      </c>
      <c r="G470" s="83"/>
      <c r="H470" s="83">
        <f>H474*H476</f>
        <v>5335000</v>
      </c>
      <c r="I470" s="83"/>
      <c r="J470" s="83">
        <f>H470</f>
        <v>5335000</v>
      </c>
      <c r="K470" s="83">
        <f>K474*K476+1</f>
        <v>1</v>
      </c>
      <c r="L470" s="83">
        <f>L474*L476+1</f>
        <v>1</v>
      </c>
      <c r="M470" s="83">
        <f>M474*M476+1</f>
        <v>1</v>
      </c>
      <c r="N470" s="83"/>
      <c r="O470" s="83">
        <f>O472</f>
        <v>5655100</v>
      </c>
      <c r="P470" s="83">
        <f>O470</f>
        <v>5655100</v>
      </c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0"/>
      <c r="DM470" s="120"/>
      <c r="DN470" s="120"/>
      <c r="DO470" s="120"/>
      <c r="DP470" s="120"/>
      <c r="DQ470" s="120"/>
      <c r="DR470" s="120"/>
      <c r="DS470" s="120"/>
      <c r="DT470" s="120"/>
      <c r="DU470" s="120"/>
      <c r="DV470" s="120"/>
      <c r="DW470" s="120"/>
      <c r="DX470" s="120"/>
      <c r="DY470" s="120"/>
      <c r="DZ470" s="120"/>
      <c r="EA470" s="120"/>
    </row>
    <row r="471" spans="1:131" s="78" customFormat="1" ht="11.25">
      <c r="A471" s="167" t="s">
        <v>2</v>
      </c>
      <c r="B471" s="75"/>
      <c r="C471" s="75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1:131" s="78" customFormat="1" ht="22.5">
      <c r="A472" s="74" t="s">
        <v>251</v>
      </c>
      <c r="B472" s="75"/>
      <c r="C472" s="75"/>
      <c r="D472" s="76"/>
      <c r="E472" s="76">
        <f>5000000-2000000</f>
        <v>3000000</v>
      </c>
      <c r="F472" s="76">
        <f>E472</f>
        <v>3000000</v>
      </c>
      <c r="G472" s="76"/>
      <c r="H472" s="76">
        <v>5335000</v>
      </c>
      <c r="I472" s="76"/>
      <c r="J472" s="76">
        <f>H472</f>
        <v>5335000</v>
      </c>
      <c r="K472" s="76"/>
      <c r="L472" s="76"/>
      <c r="M472" s="76"/>
      <c r="N472" s="76"/>
      <c r="O472" s="76">
        <v>5655100</v>
      </c>
      <c r="P472" s="76">
        <f>O472</f>
        <v>5655100</v>
      </c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1:131" s="78" customFormat="1" ht="11.25">
      <c r="A473" s="167" t="s">
        <v>3</v>
      </c>
      <c r="B473" s="75"/>
      <c r="C473" s="75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1:131" s="78" customFormat="1" ht="22.5">
      <c r="A474" s="74" t="s">
        <v>109</v>
      </c>
      <c r="B474" s="75"/>
      <c r="C474" s="75"/>
      <c r="D474" s="76"/>
      <c r="E474" s="76">
        <v>12</v>
      </c>
      <c r="F474" s="76">
        <f>E474</f>
        <v>12</v>
      </c>
      <c r="G474" s="76"/>
      <c r="H474" s="76">
        <f>H472/H476</f>
        <v>20</v>
      </c>
      <c r="I474" s="76"/>
      <c r="J474" s="76">
        <f>H474</f>
        <v>20</v>
      </c>
      <c r="K474" s="76"/>
      <c r="L474" s="76"/>
      <c r="M474" s="76"/>
      <c r="N474" s="76"/>
      <c r="O474" s="76">
        <f>O472/O476</f>
        <v>20</v>
      </c>
      <c r="P474" s="76">
        <f>O474</f>
        <v>20</v>
      </c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</row>
    <row r="475" spans="1:131" s="78" customFormat="1" ht="11.25">
      <c r="A475" s="167" t="s">
        <v>5</v>
      </c>
      <c r="B475" s="75"/>
      <c r="C475" s="75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</row>
    <row r="476" spans="1:131" s="78" customFormat="1" ht="22.5">
      <c r="A476" s="74" t="s">
        <v>64</v>
      </c>
      <c r="B476" s="75"/>
      <c r="C476" s="75"/>
      <c r="D476" s="76"/>
      <c r="E476" s="76">
        <v>250000</v>
      </c>
      <c r="F476" s="76">
        <f>E476</f>
        <v>250000</v>
      </c>
      <c r="G476" s="76"/>
      <c r="H476" s="76">
        <v>266750</v>
      </c>
      <c r="I476" s="76"/>
      <c r="J476" s="76">
        <f>H476</f>
        <v>266750</v>
      </c>
      <c r="K476" s="76"/>
      <c r="L476" s="76"/>
      <c r="M476" s="76"/>
      <c r="N476" s="76"/>
      <c r="O476" s="76">
        <v>282755</v>
      </c>
      <c r="P476" s="76">
        <f>O476</f>
        <v>282755</v>
      </c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1:131" s="205" customFormat="1" ht="33" customHeight="1">
      <c r="A477" s="202" t="s">
        <v>225</v>
      </c>
      <c r="B477" s="202"/>
      <c r="C477" s="202"/>
      <c r="D477" s="203">
        <f>D478+D479</f>
        <v>6833640</v>
      </c>
      <c r="E477" s="203">
        <f aca="true" t="shared" si="28" ref="E477:P477">E478+E479</f>
        <v>2008400</v>
      </c>
      <c r="F477" s="203">
        <f t="shared" si="28"/>
        <v>8842040</v>
      </c>
      <c r="G477" s="203">
        <f t="shared" si="28"/>
        <v>6442527</v>
      </c>
      <c r="H477" s="203">
        <f t="shared" si="28"/>
        <v>630370</v>
      </c>
      <c r="I477" s="203">
        <f t="shared" si="28"/>
        <v>0</v>
      </c>
      <c r="J477" s="203">
        <f t="shared" si="28"/>
        <v>7072897</v>
      </c>
      <c r="K477" s="203" t="e">
        <f t="shared" si="28"/>
        <v>#REF!</v>
      </c>
      <c r="L477" s="203" t="e">
        <f t="shared" si="28"/>
        <v>#REF!</v>
      </c>
      <c r="M477" s="203" t="e">
        <f t="shared" si="28"/>
        <v>#REF!</v>
      </c>
      <c r="N477" s="203">
        <f t="shared" si="28"/>
        <v>6701983</v>
      </c>
      <c r="O477" s="203">
        <f t="shared" si="28"/>
        <v>664380</v>
      </c>
      <c r="P477" s="203">
        <f t="shared" si="28"/>
        <v>7366363</v>
      </c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  <c r="BZ477" s="204"/>
      <c r="CA477" s="204"/>
      <c r="CB477" s="204"/>
      <c r="CC477" s="204"/>
      <c r="CD477" s="204"/>
      <c r="CE477" s="204"/>
      <c r="CF477" s="204"/>
      <c r="CG477" s="204"/>
      <c r="CH477" s="204"/>
      <c r="CI477" s="204"/>
      <c r="CJ477" s="204"/>
      <c r="CK477" s="204"/>
      <c r="CL477" s="204"/>
      <c r="CM477" s="204"/>
      <c r="CN477" s="204"/>
      <c r="CO477" s="204"/>
      <c r="CP477" s="204"/>
      <c r="CQ477" s="204"/>
      <c r="CR477" s="204"/>
      <c r="CS477" s="204"/>
      <c r="CT477" s="204"/>
      <c r="CU477" s="204"/>
      <c r="CV477" s="204"/>
      <c r="CW477" s="204"/>
      <c r="CX477" s="204"/>
      <c r="CY477" s="204"/>
      <c r="CZ477" s="204"/>
      <c r="DA477" s="204"/>
      <c r="DB477" s="204"/>
      <c r="DC477" s="204"/>
      <c r="DD477" s="204"/>
      <c r="DE477" s="204"/>
      <c r="DF477" s="204"/>
      <c r="DG477" s="204"/>
      <c r="DH477" s="204"/>
      <c r="DI477" s="204"/>
      <c r="DJ477" s="204"/>
      <c r="DK477" s="204"/>
      <c r="DL477" s="204"/>
      <c r="DM477" s="204"/>
      <c r="DN477" s="204"/>
      <c r="DO477" s="204"/>
      <c r="DP477" s="204"/>
      <c r="DQ477" s="204"/>
      <c r="DR477" s="204"/>
      <c r="DS477" s="204"/>
      <c r="DT477" s="204"/>
      <c r="DU477" s="204"/>
      <c r="DV477" s="204"/>
      <c r="DW477" s="204"/>
      <c r="DX477" s="204"/>
      <c r="DY477" s="204"/>
      <c r="DZ477" s="204"/>
      <c r="EA477" s="204"/>
    </row>
    <row r="478" spans="1:16" ht="13.5" customHeight="1">
      <c r="A478" s="25" t="s">
        <v>31</v>
      </c>
      <c r="B478" s="25"/>
      <c r="C478" s="25"/>
      <c r="D478" s="18">
        <f>D481+D488</f>
        <v>6655900</v>
      </c>
      <c r="E478" s="18">
        <f aca="true" t="shared" si="29" ref="E478:O478">E481+E488</f>
        <v>1785000</v>
      </c>
      <c r="F478" s="18">
        <f>D478+E478</f>
        <v>8440900</v>
      </c>
      <c r="G478" s="18">
        <f t="shared" si="29"/>
        <v>6128797</v>
      </c>
      <c r="H478" s="18">
        <f t="shared" si="29"/>
        <v>0</v>
      </c>
      <c r="I478" s="18">
        <f t="shared" si="29"/>
        <v>0</v>
      </c>
      <c r="J478" s="18">
        <f>G478+H478</f>
        <v>6128797</v>
      </c>
      <c r="K478" s="18">
        <f t="shared" si="29"/>
        <v>0</v>
      </c>
      <c r="L478" s="18">
        <f t="shared" si="29"/>
        <v>0</v>
      </c>
      <c r="M478" s="18">
        <f t="shared" si="29"/>
        <v>0</v>
      </c>
      <c r="N478" s="18">
        <f t="shared" si="29"/>
        <v>6379973</v>
      </c>
      <c r="O478" s="18">
        <f t="shared" si="29"/>
        <v>0</v>
      </c>
      <c r="P478" s="18">
        <f>N478+O478</f>
        <v>6379973</v>
      </c>
    </row>
    <row r="479" spans="1:131" s="78" customFormat="1" ht="11.25">
      <c r="A479" s="85" t="s">
        <v>106</v>
      </c>
      <c r="B479" s="85"/>
      <c r="C479" s="85"/>
      <c r="D479" s="86">
        <f>D622</f>
        <v>177740</v>
      </c>
      <c r="E479" s="86">
        <f>E622</f>
        <v>223400</v>
      </c>
      <c r="F479" s="86">
        <f aca="true" t="shared" si="30" ref="F479:P479">F622</f>
        <v>401140</v>
      </c>
      <c r="G479" s="86">
        <f t="shared" si="30"/>
        <v>313730</v>
      </c>
      <c r="H479" s="86">
        <f t="shared" si="30"/>
        <v>630370</v>
      </c>
      <c r="I479" s="86">
        <f t="shared" si="30"/>
        <v>0</v>
      </c>
      <c r="J479" s="86">
        <f t="shared" si="30"/>
        <v>944100</v>
      </c>
      <c r="K479" s="86" t="e">
        <f t="shared" si="30"/>
        <v>#REF!</v>
      </c>
      <c r="L479" s="86" t="e">
        <f t="shared" si="30"/>
        <v>#REF!</v>
      </c>
      <c r="M479" s="86" t="e">
        <f t="shared" si="30"/>
        <v>#REF!</v>
      </c>
      <c r="N479" s="86">
        <f t="shared" si="30"/>
        <v>322010</v>
      </c>
      <c r="O479" s="86">
        <f t="shared" si="30"/>
        <v>664380</v>
      </c>
      <c r="P479" s="86">
        <f t="shared" si="30"/>
        <v>986390</v>
      </c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1:16" ht="51.75" customHeight="1">
      <c r="A480" s="6" t="s">
        <v>248</v>
      </c>
      <c r="B480" s="4"/>
      <c r="C480" s="4"/>
      <c r="D480" s="24"/>
      <c r="E480" s="24"/>
      <c r="F480" s="24"/>
      <c r="G480" s="24"/>
      <c r="H480" s="24"/>
      <c r="I480" s="24"/>
      <c r="J480" s="24"/>
      <c r="K480" s="5"/>
      <c r="L480" s="24"/>
      <c r="M480" s="24"/>
      <c r="N480" s="24"/>
      <c r="O480" s="24"/>
      <c r="P480" s="24"/>
    </row>
    <row r="481" spans="1:131" s="199" customFormat="1" ht="71.25" customHeight="1">
      <c r="A481" s="196" t="s">
        <v>425</v>
      </c>
      <c r="B481" s="197"/>
      <c r="C481" s="197"/>
      <c r="D481" s="195">
        <f>D483</f>
        <v>3175000</v>
      </c>
      <c r="E481" s="195">
        <f>E483</f>
        <v>0</v>
      </c>
      <c r="F481" s="195">
        <f>D481+E481</f>
        <v>3175000</v>
      </c>
      <c r="G481" s="195">
        <f>G483</f>
        <v>2995300</v>
      </c>
      <c r="H481" s="195"/>
      <c r="I481" s="195"/>
      <c r="J481" s="195">
        <f>J483</f>
        <v>2995300</v>
      </c>
      <c r="K481" s="195"/>
      <c r="L481" s="195"/>
      <c r="M481" s="195"/>
      <c r="N481" s="195">
        <f>N483</f>
        <v>3248700</v>
      </c>
      <c r="O481" s="195"/>
      <c r="P481" s="195">
        <f>N481</f>
        <v>3248700</v>
      </c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  <c r="CW481" s="198"/>
      <c r="CX481" s="198"/>
      <c r="CY481" s="198"/>
      <c r="CZ481" s="198"/>
      <c r="DA481" s="198"/>
      <c r="DB481" s="198"/>
      <c r="DC481" s="198"/>
      <c r="DD481" s="198"/>
      <c r="DE481" s="198"/>
      <c r="DF481" s="198"/>
      <c r="DG481" s="198"/>
      <c r="DH481" s="198"/>
      <c r="DI481" s="198"/>
      <c r="DJ481" s="198"/>
      <c r="DK481" s="198"/>
      <c r="DL481" s="198"/>
      <c r="DM481" s="198"/>
      <c r="DN481" s="198"/>
      <c r="DO481" s="198"/>
      <c r="DP481" s="198"/>
      <c r="DQ481" s="198"/>
      <c r="DR481" s="198"/>
      <c r="DS481" s="198"/>
      <c r="DT481" s="198"/>
      <c r="DU481" s="198"/>
      <c r="DV481" s="198"/>
      <c r="DW481" s="198"/>
      <c r="DX481" s="198"/>
      <c r="DY481" s="198"/>
      <c r="DZ481" s="198"/>
      <c r="EA481" s="198"/>
    </row>
    <row r="482" spans="1:16" ht="11.25">
      <c r="A482" s="3" t="s">
        <v>20</v>
      </c>
      <c r="B482" s="25"/>
      <c r="C482" s="25"/>
      <c r="D482" s="18"/>
      <c r="E482" s="18"/>
      <c r="F482" s="83"/>
      <c r="G482" s="18"/>
      <c r="H482" s="18"/>
      <c r="I482" s="18"/>
      <c r="J482" s="18"/>
      <c r="K482" s="5"/>
      <c r="L482" s="18"/>
      <c r="M482" s="18"/>
      <c r="N482" s="18"/>
      <c r="O482" s="18"/>
      <c r="P482" s="18"/>
    </row>
    <row r="483" spans="1:16" ht="23.25" customHeight="1">
      <c r="A483" s="6" t="s">
        <v>140</v>
      </c>
      <c r="B483" s="4"/>
      <c r="C483" s="4"/>
      <c r="D483" s="5">
        <f>3544000-100000-254000-15000</f>
        <v>3175000</v>
      </c>
      <c r="E483" s="5">
        <f>1330000-1200000-130000</f>
        <v>0</v>
      </c>
      <c r="F483" s="83">
        <f>D483+E483</f>
        <v>3175000</v>
      </c>
      <c r="G483" s="5">
        <v>2995300</v>
      </c>
      <c r="H483" s="5"/>
      <c r="I483" s="5"/>
      <c r="J483" s="5">
        <f>G483</f>
        <v>2995300</v>
      </c>
      <c r="K483" s="5">
        <f>G483/D483*100</f>
        <v>94.34015748031496</v>
      </c>
      <c r="L483" s="5"/>
      <c r="M483" s="5"/>
      <c r="N483" s="5">
        <v>3248700</v>
      </c>
      <c r="O483" s="5"/>
      <c r="P483" s="5">
        <f>N483</f>
        <v>3248700</v>
      </c>
    </row>
    <row r="484" spans="1:16" ht="11.25">
      <c r="A484" s="3" t="s">
        <v>3</v>
      </c>
      <c r="B484" s="25"/>
      <c r="C484" s="25"/>
      <c r="D484" s="18"/>
      <c r="E484" s="18"/>
      <c r="F484" s="83"/>
      <c r="G484" s="18"/>
      <c r="H484" s="18"/>
      <c r="I484" s="18"/>
      <c r="J484" s="5"/>
      <c r="K484" s="5"/>
      <c r="L484" s="18"/>
      <c r="M484" s="18"/>
      <c r="N484" s="18"/>
      <c r="O484" s="18"/>
      <c r="P484" s="5"/>
    </row>
    <row r="485" spans="1:16" ht="22.5">
      <c r="A485" s="6" t="s">
        <v>139</v>
      </c>
      <c r="B485" s="4"/>
      <c r="C485" s="4"/>
      <c r="D485" s="76">
        <v>10</v>
      </c>
      <c r="E485" s="5">
        <v>0</v>
      </c>
      <c r="F485" s="83">
        <f>D485+E485</f>
        <v>10</v>
      </c>
      <c r="G485" s="5">
        <v>10</v>
      </c>
      <c r="H485" s="5"/>
      <c r="I485" s="5"/>
      <c r="J485" s="5">
        <f>G485</f>
        <v>10</v>
      </c>
      <c r="K485" s="5">
        <f>G485/D485*100</f>
        <v>100</v>
      </c>
      <c r="L485" s="5"/>
      <c r="M485" s="5"/>
      <c r="N485" s="5">
        <v>10</v>
      </c>
      <c r="O485" s="5"/>
      <c r="P485" s="5">
        <f>N485</f>
        <v>10</v>
      </c>
    </row>
    <row r="486" spans="1:16" ht="11.25">
      <c r="A486" s="3" t="s">
        <v>5</v>
      </c>
      <c r="B486" s="25"/>
      <c r="C486" s="25"/>
      <c r="D486" s="18"/>
      <c r="E486" s="18"/>
      <c r="F486" s="83"/>
      <c r="G486" s="18"/>
      <c r="H486" s="18"/>
      <c r="I486" s="18"/>
      <c r="J486" s="5"/>
      <c r="K486" s="5"/>
      <c r="L486" s="18"/>
      <c r="M486" s="18"/>
      <c r="N486" s="18"/>
      <c r="O486" s="18"/>
      <c r="P486" s="5"/>
    </row>
    <row r="487" spans="1:16" ht="22.5">
      <c r="A487" s="206" t="s">
        <v>141</v>
      </c>
      <c r="B487" s="207"/>
      <c r="C487" s="207"/>
      <c r="D487" s="13">
        <f>D483/D485</f>
        <v>317500</v>
      </c>
      <c r="E487" s="13" t="e">
        <f>E483/E485</f>
        <v>#DIV/0!</v>
      </c>
      <c r="F487" s="208" t="e">
        <f>D487+E487</f>
        <v>#DIV/0!</v>
      </c>
      <c r="G487" s="13">
        <f>G483/G485</f>
        <v>299530</v>
      </c>
      <c r="H487" s="13"/>
      <c r="I487" s="13"/>
      <c r="J487" s="13">
        <f>G487</f>
        <v>299530</v>
      </c>
      <c r="K487" s="13">
        <f>G487/D487*100</f>
        <v>94.34015748031496</v>
      </c>
      <c r="L487" s="13"/>
      <c r="M487" s="13"/>
      <c r="N487" s="13">
        <f>N483/N485</f>
        <v>324870</v>
      </c>
      <c r="O487" s="13"/>
      <c r="P487" s="13">
        <f>N487</f>
        <v>324870</v>
      </c>
    </row>
    <row r="488" spans="1:131" s="210" customFormat="1" ht="40.5" customHeight="1">
      <c r="A488" s="196" t="s">
        <v>527</v>
      </c>
      <c r="B488" s="197"/>
      <c r="C488" s="197"/>
      <c r="D488" s="195">
        <f>D489+D496+D503+D510+D515+D522+D529+D536+D543+D550+D557+D564+D571+D578+D585+D592+D599+D606+D613</f>
        <v>3480900</v>
      </c>
      <c r="E488" s="195">
        <f aca="true" t="shared" si="31" ref="E488:P488">E489+E496+E503+E510+E515+E522+E529+E536+E543+E550+E557+E564+E571+E578+E585+E592+E599+E606+E613</f>
        <v>1785000</v>
      </c>
      <c r="F488" s="195">
        <f t="shared" si="31"/>
        <v>5265900</v>
      </c>
      <c r="G488" s="195">
        <f t="shared" si="31"/>
        <v>3133497</v>
      </c>
      <c r="H488" s="195">
        <f t="shared" si="31"/>
        <v>0</v>
      </c>
      <c r="I488" s="195">
        <f t="shared" si="31"/>
        <v>0</v>
      </c>
      <c r="J488" s="195">
        <f t="shared" si="31"/>
        <v>3133497</v>
      </c>
      <c r="K488" s="195">
        <f t="shared" si="31"/>
        <v>0</v>
      </c>
      <c r="L488" s="195">
        <f t="shared" si="31"/>
        <v>0</v>
      </c>
      <c r="M488" s="195">
        <f t="shared" si="31"/>
        <v>0</v>
      </c>
      <c r="N488" s="195">
        <f t="shared" si="31"/>
        <v>3131273</v>
      </c>
      <c r="O488" s="195">
        <f t="shared" si="31"/>
        <v>0</v>
      </c>
      <c r="P488" s="195">
        <f t="shared" si="31"/>
        <v>3131273</v>
      </c>
      <c r="Q488" s="195">
        <f>Q489+Q496+Q503+Q510+Q515+Q522+Q529+Q536+Q543+Q550+Q557+Q564+Q571+Q578+Q585+Q592+Q599+Q606</f>
        <v>0</v>
      </c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  <c r="AW488" s="209"/>
      <c r="AX488" s="209"/>
      <c r="AY488" s="209"/>
      <c r="AZ488" s="209"/>
      <c r="BA488" s="209"/>
      <c r="BB488" s="209"/>
      <c r="BC488" s="209"/>
      <c r="BD488" s="209"/>
      <c r="BE488" s="209"/>
      <c r="BF488" s="209"/>
      <c r="BG488" s="209"/>
      <c r="BH488" s="209"/>
      <c r="BI488" s="209"/>
      <c r="BJ488" s="209"/>
      <c r="BK488" s="209"/>
      <c r="BL488" s="209"/>
      <c r="BM488" s="209"/>
      <c r="BN488" s="209"/>
      <c r="BO488" s="209"/>
      <c r="BP488" s="209"/>
      <c r="BQ488" s="209"/>
      <c r="BR488" s="209"/>
      <c r="BS488" s="209"/>
      <c r="BT488" s="209"/>
      <c r="BU488" s="209"/>
      <c r="BV488" s="209"/>
      <c r="BW488" s="209"/>
      <c r="BX488" s="209"/>
      <c r="BY488" s="209"/>
      <c r="BZ488" s="209"/>
      <c r="CA488" s="209"/>
      <c r="CB488" s="209"/>
      <c r="CC488" s="209"/>
      <c r="CD488" s="209"/>
      <c r="CE488" s="209"/>
      <c r="CF488" s="209"/>
      <c r="CG488" s="209"/>
      <c r="CH488" s="209"/>
      <c r="CI488" s="209"/>
      <c r="CJ488" s="209"/>
      <c r="CK488" s="209"/>
      <c r="CL488" s="209"/>
      <c r="CM488" s="209"/>
      <c r="CN488" s="209"/>
      <c r="CO488" s="209"/>
      <c r="CP488" s="209"/>
      <c r="CQ488" s="209"/>
      <c r="CR488" s="209"/>
      <c r="CS488" s="209"/>
      <c r="CT488" s="209"/>
      <c r="CU488" s="209"/>
      <c r="CV488" s="209"/>
      <c r="CW488" s="209"/>
      <c r="CX488" s="209"/>
      <c r="CY488" s="209"/>
      <c r="CZ488" s="209"/>
      <c r="DA488" s="209"/>
      <c r="DB488" s="209"/>
      <c r="DC488" s="209"/>
      <c r="DD488" s="209"/>
      <c r="DE488" s="209"/>
      <c r="DF488" s="209"/>
      <c r="DG488" s="209"/>
      <c r="DH488" s="209"/>
      <c r="DI488" s="209"/>
      <c r="DJ488" s="209"/>
      <c r="DK488" s="209"/>
      <c r="DL488" s="209"/>
      <c r="DM488" s="209"/>
      <c r="DN488" s="209"/>
      <c r="DO488" s="209"/>
      <c r="DP488" s="209"/>
      <c r="DQ488" s="209"/>
      <c r="DR488" s="209"/>
      <c r="DS488" s="209"/>
      <c r="DT488" s="209"/>
      <c r="DU488" s="209"/>
      <c r="DV488" s="209"/>
      <c r="DW488" s="209"/>
      <c r="DX488" s="209"/>
      <c r="DY488" s="209"/>
      <c r="DZ488" s="209"/>
      <c r="EA488" s="209"/>
    </row>
    <row r="489" spans="1:131" s="27" customFormat="1" ht="39" customHeight="1">
      <c r="A489" s="22" t="s">
        <v>458</v>
      </c>
      <c r="B489" s="7"/>
      <c r="C489" s="7"/>
      <c r="D489" s="8">
        <f>D491</f>
        <v>50000</v>
      </c>
      <c r="E489" s="8"/>
      <c r="F489" s="8">
        <f>D489</f>
        <v>50000</v>
      </c>
      <c r="G489" s="8">
        <f>G491</f>
        <v>382200</v>
      </c>
      <c r="H489" s="8"/>
      <c r="I489" s="8"/>
      <c r="J489" s="8">
        <f>G489</f>
        <v>382200</v>
      </c>
      <c r="K489" s="8"/>
      <c r="L489" s="8"/>
      <c r="M489" s="8"/>
      <c r="N489" s="8">
        <f>N491</f>
        <v>427300</v>
      </c>
      <c r="O489" s="8"/>
      <c r="P489" s="8">
        <f>N489</f>
        <v>427300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</row>
    <row r="490" spans="1:16" ht="11.25">
      <c r="A490" s="3" t="s">
        <v>2</v>
      </c>
      <c r="B490" s="9"/>
      <c r="C490" s="9"/>
      <c r="D490" s="29"/>
      <c r="E490" s="29"/>
      <c r="F490" s="29"/>
      <c r="G490" s="29"/>
      <c r="H490" s="29"/>
      <c r="I490" s="29"/>
      <c r="J490" s="29"/>
      <c r="K490" s="36"/>
      <c r="L490" s="36"/>
      <c r="M490" s="36"/>
      <c r="N490" s="29"/>
      <c r="O490" s="29"/>
      <c r="P490" s="29"/>
    </row>
    <row r="491" spans="1:16" ht="11.25">
      <c r="A491" s="6" t="s">
        <v>23</v>
      </c>
      <c r="B491" s="9"/>
      <c r="C491" s="9"/>
      <c r="D491" s="36">
        <f>338500-288500</f>
        <v>50000</v>
      </c>
      <c r="E491" s="36"/>
      <c r="F491" s="36">
        <f>D491</f>
        <v>50000</v>
      </c>
      <c r="G491" s="29">
        <v>382200</v>
      </c>
      <c r="H491" s="29"/>
      <c r="I491" s="29"/>
      <c r="J491" s="29">
        <f>G491</f>
        <v>382200</v>
      </c>
      <c r="K491" s="36"/>
      <c r="L491" s="36"/>
      <c r="M491" s="36"/>
      <c r="N491" s="29">
        <v>427300</v>
      </c>
      <c r="O491" s="29"/>
      <c r="P491" s="29">
        <f>N491</f>
        <v>427300</v>
      </c>
    </row>
    <row r="492" spans="1:16" ht="11.25">
      <c r="A492" s="3" t="s">
        <v>3</v>
      </c>
      <c r="B492" s="9"/>
      <c r="C492" s="9"/>
      <c r="D492" s="36"/>
      <c r="E492" s="36"/>
      <c r="F492" s="36"/>
      <c r="G492" s="29"/>
      <c r="H492" s="29"/>
      <c r="I492" s="29"/>
      <c r="J492" s="29"/>
      <c r="K492" s="36"/>
      <c r="L492" s="36"/>
      <c r="M492" s="36"/>
      <c r="N492" s="29"/>
      <c r="O492" s="29"/>
      <c r="P492" s="29"/>
    </row>
    <row r="493" spans="1:16" ht="11.25">
      <c r="A493" s="6" t="s">
        <v>171</v>
      </c>
      <c r="B493" s="9"/>
      <c r="C493" s="9"/>
      <c r="D493" s="36">
        <v>200</v>
      </c>
      <c r="E493" s="36"/>
      <c r="F493" s="36">
        <f>D493</f>
        <v>200</v>
      </c>
      <c r="G493" s="37">
        <f>G491/G495</f>
        <v>529.1430153675758</v>
      </c>
      <c r="H493" s="29"/>
      <c r="I493" s="29"/>
      <c r="J493" s="37">
        <f>G493</f>
        <v>529.1430153675758</v>
      </c>
      <c r="K493" s="36"/>
      <c r="L493" s="36"/>
      <c r="M493" s="36"/>
      <c r="N493" s="37">
        <f>N491/N495</f>
        <v>558.1243469174503</v>
      </c>
      <c r="O493" s="37"/>
      <c r="P493" s="37">
        <f>N493</f>
        <v>558.1243469174503</v>
      </c>
    </row>
    <row r="494" spans="1:16" ht="11.25">
      <c r="A494" s="3" t="s">
        <v>5</v>
      </c>
      <c r="B494" s="9"/>
      <c r="C494" s="9"/>
      <c r="D494" s="36"/>
      <c r="E494" s="36"/>
      <c r="F494" s="36"/>
      <c r="G494" s="29"/>
      <c r="H494" s="29"/>
      <c r="I494" s="29"/>
      <c r="J494" s="29"/>
      <c r="K494" s="36"/>
      <c r="L494" s="36"/>
      <c r="M494" s="36"/>
      <c r="N494" s="29"/>
      <c r="O494" s="29"/>
      <c r="P494" s="29"/>
    </row>
    <row r="495" spans="1:16" ht="11.25">
      <c r="A495" s="6" t="s">
        <v>153</v>
      </c>
      <c r="B495" s="9"/>
      <c r="C495" s="9"/>
      <c r="D495" s="36">
        <f>D491/D493</f>
        <v>250</v>
      </c>
      <c r="E495" s="36"/>
      <c r="F495" s="36">
        <f>D495</f>
        <v>250</v>
      </c>
      <c r="G495" s="29">
        <v>722.3</v>
      </c>
      <c r="H495" s="29"/>
      <c r="I495" s="29"/>
      <c r="J495" s="29">
        <f>G495</f>
        <v>722.3</v>
      </c>
      <c r="K495" s="36"/>
      <c r="L495" s="36"/>
      <c r="M495" s="36"/>
      <c r="N495" s="29">
        <v>765.6</v>
      </c>
      <c r="O495" s="29"/>
      <c r="P495" s="29">
        <f>N495</f>
        <v>765.6</v>
      </c>
    </row>
    <row r="496" spans="1:131" s="33" customFormat="1" ht="33.75">
      <c r="A496" s="256" t="s">
        <v>459</v>
      </c>
      <c r="B496" s="10"/>
      <c r="C496" s="10"/>
      <c r="D496" s="8">
        <v>4000</v>
      </c>
      <c r="E496" s="8"/>
      <c r="F496" s="8">
        <f>D496</f>
        <v>4000</v>
      </c>
      <c r="G496" s="8">
        <v>4000</v>
      </c>
      <c r="H496" s="8"/>
      <c r="I496" s="8"/>
      <c r="J496" s="8">
        <f>G496</f>
        <v>4000</v>
      </c>
      <c r="K496" s="211"/>
      <c r="L496" s="211"/>
      <c r="M496" s="211"/>
      <c r="N496" s="8">
        <v>4000</v>
      </c>
      <c r="O496" s="8"/>
      <c r="P496" s="8">
        <f>N496</f>
        <v>4000</v>
      </c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  <c r="BZ496" s="212"/>
      <c r="CA496" s="212"/>
      <c r="CB496" s="212"/>
      <c r="CC496" s="212"/>
      <c r="CD496" s="212"/>
      <c r="CE496" s="212"/>
      <c r="CF496" s="212"/>
      <c r="CG496" s="212"/>
      <c r="CH496" s="212"/>
      <c r="CI496" s="212"/>
      <c r="CJ496" s="212"/>
      <c r="CK496" s="212"/>
      <c r="CL496" s="212"/>
      <c r="CM496" s="212"/>
      <c r="CN496" s="212"/>
      <c r="CO496" s="212"/>
      <c r="CP496" s="212"/>
      <c r="CQ496" s="212"/>
      <c r="CR496" s="212"/>
      <c r="CS496" s="212"/>
      <c r="CT496" s="212"/>
      <c r="CU496" s="212"/>
      <c r="CV496" s="212"/>
      <c r="CW496" s="212"/>
      <c r="CX496" s="212"/>
      <c r="CY496" s="212"/>
      <c r="CZ496" s="212"/>
      <c r="DA496" s="212"/>
      <c r="DB496" s="212"/>
      <c r="DC496" s="212"/>
      <c r="DD496" s="212"/>
      <c r="DE496" s="212"/>
      <c r="DF496" s="212"/>
      <c r="DG496" s="212"/>
      <c r="DH496" s="212"/>
      <c r="DI496" s="212"/>
      <c r="DJ496" s="212"/>
      <c r="DK496" s="212"/>
      <c r="DL496" s="212"/>
      <c r="DM496" s="212"/>
      <c r="DN496" s="212"/>
      <c r="DO496" s="212"/>
      <c r="DP496" s="212"/>
      <c r="DQ496" s="212"/>
      <c r="DR496" s="212"/>
      <c r="DS496" s="212"/>
      <c r="DT496" s="212"/>
      <c r="DU496" s="212"/>
      <c r="DV496" s="212"/>
      <c r="DW496" s="212"/>
      <c r="DX496" s="212"/>
      <c r="DY496" s="212"/>
      <c r="DZ496" s="212"/>
      <c r="EA496" s="212"/>
    </row>
    <row r="497" spans="1:131" s="171" customFormat="1" ht="11.25">
      <c r="A497" s="167" t="s">
        <v>2</v>
      </c>
      <c r="B497" s="168"/>
      <c r="C497" s="168"/>
      <c r="D497" s="84"/>
      <c r="E497" s="84"/>
      <c r="F497" s="84"/>
      <c r="G497" s="84"/>
      <c r="H497" s="84"/>
      <c r="I497" s="84"/>
      <c r="J497" s="84"/>
      <c r="K497" s="169"/>
      <c r="L497" s="169"/>
      <c r="M497" s="169"/>
      <c r="N497" s="84"/>
      <c r="O497" s="84"/>
      <c r="P497" s="84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70"/>
      <c r="AX497" s="170"/>
      <c r="AY497" s="170"/>
      <c r="AZ497" s="170"/>
      <c r="BA497" s="170"/>
      <c r="BB497" s="170"/>
      <c r="BC497" s="170"/>
      <c r="BD497" s="170"/>
      <c r="BE497" s="170"/>
      <c r="BF497" s="170"/>
      <c r="BG497" s="170"/>
      <c r="BH497" s="170"/>
      <c r="BI497" s="170"/>
      <c r="BJ497" s="170"/>
      <c r="BK497" s="170"/>
      <c r="BL497" s="170"/>
      <c r="BM497" s="170"/>
      <c r="BN497" s="170"/>
      <c r="BO497" s="170"/>
      <c r="BP497" s="170"/>
      <c r="BQ497" s="170"/>
      <c r="BR497" s="170"/>
      <c r="BS497" s="170"/>
      <c r="BT497" s="170"/>
      <c r="BU497" s="170"/>
      <c r="BV497" s="170"/>
      <c r="BW497" s="170"/>
      <c r="BX497" s="170"/>
      <c r="BY497" s="170"/>
      <c r="BZ497" s="170"/>
      <c r="CA497" s="170"/>
      <c r="CB497" s="170"/>
      <c r="CC497" s="170"/>
      <c r="CD497" s="170"/>
      <c r="CE497" s="170"/>
      <c r="CF497" s="170"/>
      <c r="CG497" s="170"/>
      <c r="CH497" s="170"/>
      <c r="CI497" s="170"/>
      <c r="CJ497" s="170"/>
      <c r="CK497" s="170"/>
      <c r="CL497" s="170"/>
      <c r="CM497" s="170"/>
      <c r="CN497" s="170"/>
      <c r="CO497" s="170"/>
      <c r="CP497" s="170"/>
      <c r="CQ497" s="170"/>
      <c r="CR497" s="170"/>
      <c r="CS497" s="170"/>
      <c r="CT497" s="170"/>
      <c r="CU497" s="170"/>
      <c r="CV497" s="170"/>
      <c r="CW497" s="170"/>
      <c r="CX497" s="170"/>
      <c r="CY497" s="170"/>
      <c r="CZ497" s="170"/>
      <c r="DA497" s="170"/>
      <c r="DB497" s="170"/>
      <c r="DC497" s="170"/>
      <c r="DD497" s="170"/>
      <c r="DE497" s="170"/>
      <c r="DF497" s="170"/>
      <c r="DG497" s="170"/>
      <c r="DH497" s="170"/>
      <c r="DI497" s="170"/>
      <c r="DJ497" s="170"/>
      <c r="DK497" s="170"/>
      <c r="DL497" s="170"/>
      <c r="DM497" s="170"/>
      <c r="DN497" s="170"/>
      <c r="DO497" s="170"/>
      <c r="DP497" s="170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170"/>
    </row>
    <row r="498" spans="1:131" s="171" customFormat="1" ht="11.25">
      <c r="A498" s="74" t="s">
        <v>23</v>
      </c>
      <c r="B498" s="168"/>
      <c r="C498" s="168"/>
      <c r="D498" s="165">
        <f>D496</f>
        <v>4000</v>
      </c>
      <c r="E498" s="165"/>
      <c r="F498" s="165">
        <f>D498</f>
        <v>4000</v>
      </c>
      <c r="G498" s="165">
        <f>G496</f>
        <v>4000</v>
      </c>
      <c r="H498" s="165"/>
      <c r="I498" s="165"/>
      <c r="J498" s="165">
        <f>G498</f>
        <v>4000</v>
      </c>
      <c r="K498" s="165"/>
      <c r="L498" s="165"/>
      <c r="M498" s="165"/>
      <c r="N498" s="165">
        <f>N496</f>
        <v>4000</v>
      </c>
      <c r="O498" s="165"/>
      <c r="P498" s="165">
        <f>P496</f>
        <v>4000</v>
      </c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  <c r="AT498" s="170"/>
      <c r="AU498" s="170"/>
      <c r="AV498" s="170"/>
      <c r="AW498" s="170"/>
      <c r="AX498" s="170"/>
      <c r="AY498" s="170"/>
      <c r="AZ498" s="170"/>
      <c r="BA498" s="170"/>
      <c r="BB498" s="170"/>
      <c r="BC498" s="170"/>
      <c r="BD498" s="170"/>
      <c r="BE498" s="170"/>
      <c r="BF498" s="170"/>
      <c r="BG498" s="170"/>
      <c r="BH498" s="170"/>
      <c r="BI498" s="170"/>
      <c r="BJ498" s="170"/>
      <c r="BK498" s="170"/>
      <c r="BL498" s="170"/>
      <c r="BM498" s="170"/>
      <c r="BN498" s="170"/>
      <c r="BO498" s="170"/>
      <c r="BP498" s="170"/>
      <c r="BQ498" s="170"/>
      <c r="BR498" s="170"/>
      <c r="BS498" s="170"/>
      <c r="BT498" s="170"/>
      <c r="BU498" s="170"/>
      <c r="BV498" s="170"/>
      <c r="BW498" s="170"/>
      <c r="BX498" s="170"/>
      <c r="BY498" s="170"/>
      <c r="BZ498" s="170"/>
      <c r="CA498" s="170"/>
      <c r="CB498" s="170"/>
      <c r="CC498" s="170"/>
      <c r="CD498" s="170"/>
      <c r="CE498" s="170"/>
      <c r="CF498" s="170"/>
      <c r="CG498" s="170"/>
      <c r="CH498" s="170"/>
      <c r="CI498" s="170"/>
      <c r="CJ498" s="170"/>
      <c r="CK498" s="170"/>
      <c r="CL498" s="170"/>
      <c r="CM498" s="170"/>
      <c r="CN498" s="170"/>
      <c r="CO498" s="170"/>
      <c r="CP498" s="170"/>
      <c r="CQ498" s="170"/>
      <c r="CR498" s="170"/>
      <c r="CS498" s="170"/>
      <c r="CT498" s="170"/>
      <c r="CU498" s="170"/>
      <c r="CV498" s="170"/>
      <c r="CW498" s="170"/>
      <c r="CX498" s="170"/>
      <c r="CY498" s="170"/>
      <c r="CZ498" s="170"/>
      <c r="DA498" s="170"/>
      <c r="DB498" s="170"/>
      <c r="DC498" s="170"/>
      <c r="DD498" s="170"/>
      <c r="DE498" s="170"/>
      <c r="DF498" s="170"/>
      <c r="DG498" s="170"/>
      <c r="DH498" s="170"/>
      <c r="DI498" s="170"/>
      <c r="DJ498" s="170"/>
      <c r="DK498" s="170"/>
      <c r="DL498" s="170"/>
      <c r="DM498" s="170"/>
      <c r="DN498" s="170"/>
      <c r="DO498" s="170"/>
      <c r="DP498" s="170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170"/>
    </row>
    <row r="499" spans="1:16" ht="11.25">
      <c r="A499" s="3" t="s">
        <v>3</v>
      </c>
      <c r="B499" s="9"/>
      <c r="C499" s="9"/>
      <c r="D499" s="29"/>
      <c r="E499" s="29"/>
      <c r="F499" s="29"/>
      <c r="G499" s="29"/>
      <c r="H499" s="29"/>
      <c r="I499" s="29"/>
      <c r="J499" s="29"/>
      <c r="K499" s="36"/>
      <c r="L499" s="36"/>
      <c r="M499" s="36"/>
      <c r="N499" s="29"/>
      <c r="O499" s="29"/>
      <c r="P499" s="29"/>
    </row>
    <row r="500" spans="1:16" ht="33.75">
      <c r="A500" s="257" t="s">
        <v>552</v>
      </c>
      <c r="B500" s="9"/>
      <c r="C500" s="9"/>
      <c r="D500" s="29">
        <v>12</v>
      </c>
      <c r="E500" s="29"/>
      <c r="F500" s="29">
        <f>D500</f>
        <v>12</v>
      </c>
      <c r="G500" s="29">
        <v>12</v>
      </c>
      <c r="H500" s="29"/>
      <c r="I500" s="29"/>
      <c r="J500" s="29">
        <f>G500</f>
        <v>12</v>
      </c>
      <c r="K500" s="36"/>
      <c r="L500" s="36"/>
      <c r="M500" s="36"/>
      <c r="N500" s="29">
        <v>12</v>
      </c>
      <c r="O500" s="29"/>
      <c r="P500" s="29">
        <f>N500</f>
        <v>12</v>
      </c>
    </row>
    <row r="501" spans="1:16" ht="11.25">
      <c r="A501" s="10" t="s">
        <v>226</v>
      </c>
      <c r="B501" s="9"/>
      <c r="C501" s="9"/>
      <c r="D501" s="29"/>
      <c r="E501" s="29"/>
      <c r="F501" s="29"/>
      <c r="G501" s="29"/>
      <c r="H501" s="29"/>
      <c r="I501" s="29"/>
      <c r="J501" s="29"/>
      <c r="K501" s="36"/>
      <c r="L501" s="36"/>
      <c r="M501" s="36"/>
      <c r="N501" s="29"/>
      <c r="O501" s="29"/>
      <c r="P501" s="29"/>
    </row>
    <row r="502" spans="1:16" ht="22.5">
      <c r="A502" s="258" t="s">
        <v>227</v>
      </c>
      <c r="B502" s="9"/>
      <c r="C502" s="9"/>
      <c r="D502" s="29">
        <f>D496/D500</f>
        <v>333.3333333333333</v>
      </c>
      <c r="E502" s="29"/>
      <c r="F502" s="29">
        <f>D502</f>
        <v>333.3333333333333</v>
      </c>
      <c r="G502" s="29">
        <f>G496/G500</f>
        <v>333.3333333333333</v>
      </c>
      <c r="H502" s="29"/>
      <c r="I502" s="29"/>
      <c r="J502" s="29">
        <f>G502</f>
        <v>333.3333333333333</v>
      </c>
      <c r="K502" s="36"/>
      <c r="L502" s="36"/>
      <c r="M502" s="36"/>
      <c r="N502" s="29">
        <f>N496/N500</f>
        <v>333.3333333333333</v>
      </c>
      <c r="O502" s="29"/>
      <c r="P502" s="29">
        <f>N502</f>
        <v>333.3333333333333</v>
      </c>
    </row>
    <row r="503" spans="1:16" ht="34.5" customHeight="1">
      <c r="A503" s="7" t="s">
        <v>460</v>
      </c>
      <c r="B503" s="9"/>
      <c r="C503" s="9"/>
      <c r="D503" s="8">
        <v>96000</v>
      </c>
      <c r="E503" s="8"/>
      <c r="F503" s="8">
        <f>D503</f>
        <v>96000</v>
      </c>
      <c r="G503" s="8">
        <v>101728</v>
      </c>
      <c r="H503" s="8"/>
      <c r="I503" s="8"/>
      <c r="J503" s="8">
        <f>G503</f>
        <v>101728</v>
      </c>
      <c r="K503" s="36"/>
      <c r="L503" s="36"/>
      <c r="M503" s="36"/>
      <c r="N503" s="29"/>
      <c r="O503" s="29"/>
      <c r="P503" s="29"/>
    </row>
    <row r="504" spans="1:131" s="78" customFormat="1" ht="11.25">
      <c r="A504" s="3" t="s">
        <v>2</v>
      </c>
      <c r="B504" s="164"/>
      <c r="C504" s="164"/>
      <c r="D504" s="84"/>
      <c r="E504" s="84"/>
      <c r="F504" s="84"/>
      <c r="G504" s="84"/>
      <c r="H504" s="84"/>
      <c r="I504" s="84"/>
      <c r="J504" s="84"/>
      <c r="K504" s="165"/>
      <c r="L504" s="165"/>
      <c r="M504" s="165"/>
      <c r="N504" s="166"/>
      <c r="O504" s="166"/>
      <c r="P504" s="166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</row>
    <row r="505" spans="1:131" s="78" customFormat="1" ht="11.25">
      <c r="A505" s="6" t="s">
        <v>23</v>
      </c>
      <c r="B505" s="164"/>
      <c r="C505" s="164"/>
      <c r="D505" s="165">
        <f>D503</f>
        <v>96000</v>
      </c>
      <c r="E505" s="165"/>
      <c r="F505" s="165">
        <f>D505</f>
        <v>96000</v>
      </c>
      <c r="G505" s="165">
        <f>G503</f>
        <v>101728</v>
      </c>
      <c r="H505" s="165"/>
      <c r="I505" s="165"/>
      <c r="J505" s="165">
        <f>G505</f>
        <v>101728</v>
      </c>
      <c r="K505" s="165"/>
      <c r="L505" s="165"/>
      <c r="M505" s="165"/>
      <c r="N505" s="166"/>
      <c r="O505" s="166"/>
      <c r="P505" s="166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</row>
    <row r="506" spans="1:16" ht="11.25">
      <c r="A506" s="3" t="s">
        <v>3</v>
      </c>
      <c r="B506" s="9"/>
      <c r="C506" s="9"/>
      <c r="D506" s="29"/>
      <c r="E506" s="29"/>
      <c r="F506" s="29"/>
      <c r="G506" s="29"/>
      <c r="H506" s="29"/>
      <c r="I506" s="29"/>
      <c r="J506" s="29"/>
      <c r="K506" s="36"/>
      <c r="L506" s="36"/>
      <c r="M506" s="36"/>
      <c r="N506" s="29"/>
      <c r="O506" s="29"/>
      <c r="P506" s="29"/>
    </row>
    <row r="507" spans="1:16" ht="22.5">
      <c r="A507" s="6" t="s">
        <v>168</v>
      </c>
      <c r="B507" s="9"/>
      <c r="C507" s="9"/>
      <c r="D507" s="29">
        <v>9</v>
      </c>
      <c r="E507" s="29"/>
      <c r="F507" s="29">
        <f>D507</f>
        <v>9</v>
      </c>
      <c r="G507" s="29">
        <v>9</v>
      </c>
      <c r="H507" s="29"/>
      <c r="I507" s="29"/>
      <c r="J507" s="29">
        <f>G507</f>
        <v>9</v>
      </c>
      <c r="K507" s="36"/>
      <c r="L507" s="36"/>
      <c r="M507" s="36"/>
      <c r="N507" s="29"/>
      <c r="O507" s="29"/>
      <c r="P507" s="29"/>
    </row>
    <row r="508" spans="1:16" ht="11.25">
      <c r="A508" s="10" t="s">
        <v>5</v>
      </c>
      <c r="B508" s="9"/>
      <c r="C508" s="9"/>
      <c r="D508" s="29"/>
      <c r="E508" s="29"/>
      <c r="F508" s="29"/>
      <c r="G508" s="29"/>
      <c r="H508" s="29"/>
      <c r="I508" s="29"/>
      <c r="J508" s="29"/>
      <c r="K508" s="36"/>
      <c r="L508" s="36"/>
      <c r="M508" s="36"/>
      <c r="N508" s="29"/>
      <c r="O508" s="29"/>
      <c r="P508" s="29"/>
    </row>
    <row r="509" spans="1:16" ht="15.75" customHeight="1">
      <c r="A509" s="9" t="s">
        <v>169</v>
      </c>
      <c r="B509" s="9"/>
      <c r="C509" s="9"/>
      <c r="D509" s="29">
        <f>D503/D507</f>
        <v>10666.666666666666</v>
      </c>
      <c r="E509" s="29"/>
      <c r="F509" s="29">
        <f>D509</f>
        <v>10666.666666666666</v>
      </c>
      <c r="G509" s="29">
        <f>G503/G507</f>
        <v>11303.111111111111</v>
      </c>
      <c r="H509" s="29"/>
      <c r="I509" s="29"/>
      <c r="J509" s="29">
        <f>G509</f>
        <v>11303.111111111111</v>
      </c>
      <c r="K509" s="36"/>
      <c r="L509" s="36"/>
      <c r="M509" s="36"/>
      <c r="N509" s="29"/>
      <c r="O509" s="29"/>
      <c r="P509" s="29"/>
    </row>
    <row r="510" spans="1:131" s="27" customFormat="1" ht="24.75" customHeight="1">
      <c r="A510" s="7" t="s">
        <v>461</v>
      </c>
      <c r="B510" s="7"/>
      <c r="C510" s="7"/>
      <c r="D510" s="84">
        <f>24500+25500</f>
        <v>50000</v>
      </c>
      <c r="E510" s="8"/>
      <c r="F510" s="8">
        <f>D510</f>
        <v>50000</v>
      </c>
      <c r="G510" s="8">
        <v>26144</v>
      </c>
      <c r="H510" s="8"/>
      <c r="I510" s="8"/>
      <c r="J510" s="8">
        <f>G510</f>
        <v>26144</v>
      </c>
      <c r="K510" s="8"/>
      <c r="L510" s="8"/>
      <c r="M510" s="8"/>
      <c r="N510" s="8">
        <v>27700</v>
      </c>
      <c r="O510" s="8"/>
      <c r="P510" s="8">
        <f>N510</f>
        <v>27700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</row>
    <row r="511" spans="1:16" ht="12.75" customHeight="1">
      <c r="A511" s="10" t="s">
        <v>77</v>
      </c>
      <c r="B511" s="7"/>
      <c r="C511" s="7"/>
      <c r="D511" s="8"/>
      <c r="E511" s="8"/>
      <c r="F511" s="8"/>
      <c r="G511" s="8"/>
      <c r="H511" s="8"/>
      <c r="I511" s="8"/>
      <c r="J511" s="8"/>
      <c r="K511" s="36"/>
      <c r="L511" s="8"/>
      <c r="M511" s="8"/>
      <c r="N511" s="8"/>
      <c r="O511" s="8"/>
      <c r="P511" s="8"/>
    </row>
    <row r="512" spans="1:16" ht="24" customHeight="1">
      <c r="A512" s="6" t="s">
        <v>76</v>
      </c>
      <c r="B512" s="9"/>
      <c r="C512" s="9"/>
      <c r="D512" s="29">
        <v>3350</v>
      </c>
      <c r="E512" s="29"/>
      <c r="F512" s="29">
        <f>D512</f>
        <v>3350</v>
      </c>
      <c r="G512" s="29">
        <v>3350</v>
      </c>
      <c r="H512" s="29"/>
      <c r="I512" s="29"/>
      <c r="J512" s="29">
        <f>G512</f>
        <v>3350</v>
      </c>
      <c r="K512" s="36"/>
      <c r="L512" s="36"/>
      <c r="M512" s="36"/>
      <c r="N512" s="29">
        <v>3350</v>
      </c>
      <c r="O512" s="29"/>
      <c r="P512" s="29">
        <f>N512</f>
        <v>3350</v>
      </c>
    </row>
    <row r="513" spans="1:16" ht="11.25">
      <c r="A513" s="10" t="s">
        <v>285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31" s="78" customFormat="1" ht="26.25" customHeight="1">
      <c r="A514" s="179" t="s">
        <v>284</v>
      </c>
      <c r="B514" s="179"/>
      <c r="C514" s="179"/>
      <c r="D514" s="180">
        <f>D510/D512</f>
        <v>14.925373134328359</v>
      </c>
      <c r="E514" s="180"/>
      <c r="F514" s="180">
        <f>D514</f>
        <v>14.925373134328359</v>
      </c>
      <c r="G514" s="180">
        <f>G510/G512</f>
        <v>7.804179104477612</v>
      </c>
      <c r="H514" s="180"/>
      <c r="I514" s="180"/>
      <c r="J514" s="180">
        <f>G514</f>
        <v>7.804179104477612</v>
      </c>
      <c r="K514" s="181"/>
      <c r="L514" s="181"/>
      <c r="M514" s="181"/>
      <c r="N514" s="180">
        <f>N510/N512</f>
        <v>8.26865671641791</v>
      </c>
      <c r="O514" s="180"/>
      <c r="P514" s="180">
        <f>N514</f>
        <v>8.26865671641791</v>
      </c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</row>
    <row r="515" spans="1:16" ht="21" customHeight="1">
      <c r="A515" s="22" t="s">
        <v>528</v>
      </c>
      <c r="B515" s="9"/>
      <c r="C515" s="9"/>
      <c r="D515" s="8">
        <f>D517</f>
        <v>460000</v>
      </c>
      <c r="E515" s="8"/>
      <c r="F515" s="8">
        <f>D515</f>
        <v>460000</v>
      </c>
      <c r="G515" s="8">
        <f>G517</f>
        <v>96000</v>
      </c>
      <c r="H515" s="8"/>
      <c r="I515" s="8"/>
      <c r="J515" s="8">
        <f>J517</f>
        <v>96000</v>
      </c>
      <c r="K515" s="211"/>
      <c r="L515" s="211"/>
      <c r="M515" s="211"/>
      <c r="N515" s="8">
        <f>N517</f>
        <v>101800</v>
      </c>
      <c r="O515" s="8"/>
      <c r="P515" s="8">
        <f>N515</f>
        <v>101800</v>
      </c>
    </row>
    <row r="516" spans="1:16" ht="11.25">
      <c r="A516" s="3" t="s">
        <v>2</v>
      </c>
      <c r="B516" s="9"/>
      <c r="C516" s="9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11.25">
      <c r="A517" s="6" t="s">
        <v>23</v>
      </c>
      <c r="B517" s="9"/>
      <c r="C517" s="9"/>
      <c r="D517" s="29">
        <f>250000+210000</f>
        <v>460000</v>
      </c>
      <c r="E517" s="29"/>
      <c r="F517" s="29">
        <f>D517</f>
        <v>460000</v>
      </c>
      <c r="G517" s="29">
        <v>96000</v>
      </c>
      <c r="H517" s="29"/>
      <c r="I517" s="29"/>
      <c r="J517" s="29">
        <f>G517</f>
        <v>96000</v>
      </c>
      <c r="K517" s="36"/>
      <c r="L517" s="36"/>
      <c r="M517" s="36"/>
      <c r="N517" s="29">
        <v>101800</v>
      </c>
      <c r="O517" s="29"/>
      <c r="P517" s="29">
        <f>N517</f>
        <v>101800</v>
      </c>
    </row>
    <row r="518" spans="1:16" ht="11.25">
      <c r="A518" s="3" t="s">
        <v>3</v>
      </c>
      <c r="B518" s="9"/>
      <c r="C518" s="9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>
      <c r="A519" s="6" t="s">
        <v>283</v>
      </c>
      <c r="B519" s="9"/>
      <c r="C519" s="9"/>
      <c r="D519" s="37">
        <f>D517/D521</f>
        <v>131.42857142857142</v>
      </c>
      <c r="E519" s="29"/>
      <c r="F519" s="37">
        <f>D519</f>
        <v>131.42857142857142</v>
      </c>
      <c r="G519" s="37">
        <f>G517/G521</f>
        <v>24</v>
      </c>
      <c r="H519" s="37"/>
      <c r="I519" s="37"/>
      <c r="J519" s="37">
        <f>G519</f>
        <v>24</v>
      </c>
      <c r="K519" s="176"/>
      <c r="L519" s="176"/>
      <c r="M519" s="176"/>
      <c r="N519" s="37">
        <f>N517/N521</f>
        <v>22.622222222222224</v>
      </c>
      <c r="O519" s="37"/>
      <c r="P519" s="37">
        <f>N519</f>
        <v>22.622222222222224</v>
      </c>
    </row>
    <row r="520" spans="1:16" ht="11.25">
      <c r="A520" s="3" t="s">
        <v>5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>
      <c r="A521" s="6" t="s">
        <v>228</v>
      </c>
      <c r="B521" s="9"/>
      <c r="C521" s="9"/>
      <c r="D521" s="29">
        <v>3500</v>
      </c>
      <c r="E521" s="29"/>
      <c r="F521" s="29">
        <f>D521</f>
        <v>3500</v>
      </c>
      <c r="G521" s="29">
        <v>4000</v>
      </c>
      <c r="H521" s="29"/>
      <c r="I521" s="29"/>
      <c r="J521" s="29">
        <f>G521</f>
        <v>4000</v>
      </c>
      <c r="K521" s="36"/>
      <c r="L521" s="36"/>
      <c r="M521" s="36"/>
      <c r="N521" s="29">
        <v>4500</v>
      </c>
      <c r="O521" s="29"/>
      <c r="P521" s="29">
        <f>N521</f>
        <v>4500</v>
      </c>
    </row>
    <row r="522" spans="1:16" ht="33.75">
      <c r="A522" s="22" t="s">
        <v>529</v>
      </c>
      <c r="B522" s="9"/>
      <c r="C522" s="9"/>
      <c r="D522" s="8">
        <f>D524</f>
        <v>330000</v>
      </c>
      <c r="E522" s="8"/>
      <c r="F522" s="8">
        <f>D522</f>
        <v>330000</v>
      </c>
      <c r="G522" s="8">
        <f>G524</f>
        <v>213400</v>
      </c>
      <c r="H522" s="8"/>
      <c r="I522" s="8"/>
      <c r="J522" s="8">
        <f>G522</f>
        <v>213400</v>
      </c>
      <c r="K522" s="211"/>
      <c r="L522" s="211"/>
      <c r="M522" s="211"/>
      <c r="N522" s="8">
        <f>N524</f>
        <v>226200</v>
      </c>
      <c r="O522" s="8"/>
      <c r="P522" s="8">
        <f>N522</f>
        <v>226200</v>
      </c>
    </row>
    <row r="523" spans="1:16" ht="11.25">
      <c r="A523" s="3" t="s">
        <v>2</v>
      </c>
      <c r="B523" s="9"/>
      <c r="C523" s="9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/>
    </row>
    <row r="524" spans="1:16" ht="11.25">
      <c r="A524" s="6" t="s">
        <v>23</v>
      </c>
      <c r="B524" s="9"/>
      <c r="C524" s="9"/>
      <c r="D524" s="29">
        <f>520000-190000</f>
        <v>330000</v>
      </c>
      <c r="E524" s="29"/>
      <c r="F524" s="29">
        <f>D524</f>
        <v>330000</v>
      </c>
      <c r="G524" s="29">
        <v>213400</v>
      </c>
      <c r="H524" s="29"/>
      <c r="I524" s="29"/>
      <c r="J524" s="29">
        <f>G524</f>
        <v>213400</v>
      </c>
      <c r="K524" s="36"/>
      <c r="L524" s="36"/>
      <c r="M524" s="36"/>
      <c r="N524" s="29">
        <v>226200</v>
      </c>
      <c r="O524" s="29"/>
      <c r="P524" s="29">
        <f>N524</f>
        <v>226200</v>
      </c>
    </row>
    <row r="525" spans="1:16" ht="11.25">
      <c r="A525" s="3" t="s">
        <v>3</v>
      </c>
      <c r="B525" s="9"/>
      <c r="C525" s="9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/>
    </row>
    <row r="526" spans="1:16" ht="22.5">
      <c r="A526" s="6" t="s">
        <v>230</v>
      </c>
      <c r="B526" s="9"/>
      <c r="C526" s="9"/>
      <c r="D526" s="29">
        <f>D524/D528</f>
        <v>33</v>
      </c>
      <c r="E526" s="29"/>
      <c r="F526" s="29">
        <f>D526</f>
        <v>33</v>
      </c>
      <c r="G526" s="29">
        <f>G524/G528</f>
        <v>20</v>
      </c>
      <c r="H526" s="29"/>
      <c r="I526" s="29"/>
      <c r="J526" s="29">
        <f>G526</f>
        <v>20</v>
      </c>
      <c r="K526" s="36"/>
      <c r="L526" s="36"/>
      <c r="M526" s="36"/>
      <c r="N526" s="29">
        <v>20</v>
      </c>
      <c r="O526" s="29"/>
      <c r="P526" s="29">
        <f>N526</f>
        <v>20</v>
      </c>
    </row>
    <row r="527" spans="1:16" ht="11.25">
      <c r="A527" s="3" t="s">
        <v>5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22.5">
      <c r="A528" s="6" t="s">
        <v>229</v>
      </c>
      <c r="B528" s="9"/>
      <c r="C528" s="9"/>
      <c r="D528" s="29">
        <v>10000</v>
      </c>
      <c r="E528" s="29"/>
      <c r="F528" s="29">
        <f>D528</f>
        <v>10000</v>
      </c>
      <c r="G528" s="29">
        <v>10670</v>
      </c>
      <c r="H528" s="29"/>
      <c r="I528" s="29"/>
      <c r="J528" s="29">
        <f>G528</f>
        <v>10670</v>
      </c>
      <c r="K528" s="36"/>
      <c r="L528" s="36"/>
      <c r="M528" s="36"/>
      <c r="N528" s="29">
        <f>N524/N526</f>
        <v>11310</v>
      </c>
      <c r="O528" s="29"/>
      <c r="P528" s="29">
        <f>N528</f>
        <v>11310</v>
      </c>
    </row>
    <row r="529" spans="1:16" ht="27.75" customHeight="1">
      <c r="A529" s="22" t="s">
        <v>462</v>
      </c>
      <c r="B529" s="9"/>
      <c r="C529" s="9"/>
      <c r="D529" s="8">
        <f>D531</f>
        <v>0</v>
      </c>
      <c r="E529" s="8"/>
      <c r="F529" s="8">
        <f>D529</f>
        <v>0</v>
      </c>
      <c r="G529" s="8"/>
      <c r="H529" s="8"/>
      <c r="I529" s="8"/>
      <c r="J529" s="8"/>
      <c r="K529" s="211"/>
      <c r="L529" s="211"/>
      <c r="M529" s="211"/>
      <c r="N529" s="8"/>
      <c r="O529" s="8"/>
      <c r="P529" s="8"/>
    </row>
    <row r="530" spans="1:16" ht="11.25">
      <c r="A530" s="3" t="s">
        <v>2</v>
      </c>
      <c r="B530" s="9"/>
      <c r="C530" s="9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>
      <c r="A531" s="6" t="s">
        <v>23</v>
      </c>
      <c r="B531" s="9"/>
      <c r="C531" s="9"/>
      <c r="D531" s="29">
        <f>500000-500000</f>
        <v>0</v>
      </c>
      <c r="E531" s="29"/>
      <c r="F531" s="29">
        <f>D531</f>
        <v>0</v>
      </c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>
      <c r="A532" s="3" t="s">
        <v>3</v>
      </c>
      <c r="B532" s="9"/>
      <c r="C532" s="9"/>
      <c r="D532" s="29"/>
      <c r="E532" s="29"/>
      <c r="F532" s="29"/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22.5">
      <c r="A533" s="50" t="s">
        <v>180</v>
      </c>
      <c r="B533" s="9"/>
      <c r="C533" s="9"/>
      <c r="D533" s="29" t="e">
        <f>D531/D535</f>
        <v>#DIV/0!</v>
      </c>
      <c r="E533" s="29"/>
      <c r="F533" s="29" t="e">
        <f>D533</f>
        <v>#DIV/0!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>
      <c r="A534" s="3" t="s">
        <v>5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>
      <c r="A535" s="6" t="s">
        <v>181</v>
      </c>
      <c r="B535" s="9"/>
      <c r="C535" s="9"/>
      <c r="D535" s="29">
        <v>0</v>
      </c>
      <c r="E535" s="29"/>
      <c r="F535" s="29">
        <f>D535</f>
        <v>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33" customHeight="1">
      <c r="A536" s="22" t="s">
        <v>463</v>
      </c>
      <c r="B536" s="9"/>
      <c r="C536" s="9"/>
      <c r="D536" s="8">
        <f>D538</f>
        <v>0</v>
      </c>
      <c r="E536" s="8"/>
      <c r="F536" s="8">
        <f>D536</f>
        <v>0</v>
      </c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>
      <c r="A537" s="3" t="s">
        <v>2</v>
      </c>
      <c r="B537" s="9"/>
      <c r="C537" s="9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>
      <c r="A538" s="6" t="s">
        <v>23</v>
      </c>
      <c r="B538" s="9"/>
      <c r="C538" s="9"/>
      <c r="D538" s="29">
        <f>180000-180000</f>
        <v>0</v>
      </c>
      <c r="E538" s="29"/>
      <c r="F538" s="29">
        <f>D538</f>
        <v>0</v>
      </c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>
      <c r="A539" s="3" t="s">
        <v>3</v>
      </c>
      <c r="B539" s="9"/>
      <c r="C539" s="9"/>
      <c r="D539" s="29"/>
      <c r="E539" s="29"/>
      <c r="F539" s="29"/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>
      <c r="A540" s="6" t="s">
        <v>171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>
      <c r="A541" s="3" t="s">
        <v>5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>
      <c r="A542" s="6" t="s">
        <v>153</v>
      </c>
      <c r="B542" s="9"/>
      <c r="C542" s="9"/>
      <c r="D542" s="29">
        <f>D538</f>
        <v>0</v>
      </c>
      <c r="E542" s="29"/>
      <c r="F542" s="29">
        <f>D542</f>
        <v>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33.75">
      <c r="A543" s="22" t="s">
        <v>426</v>
      </c>
      <c r="B543" s="9"/>
      <c r="C543" s="9"/>
      <c r="D543" s="8">
        <f>D545</f>
        <v>80000</v>
      </c>
      <c r="E543" s="8"/>
      <c r="F543" s="8">
        <f>D543</f>
        <v>80000</v>
      </c>
      <c r="G543" s="8">
        <f>G545</f>
        <v>100000</v>
      </c>
      <c r="H543" s="8"/>
      <c r="I543" s="8"/>
      <c r="J543" s="8">
        <f>G543</f>
        <v>100000</v>
      </c>
      <c r="K543" s="8"/>
      <c r="L543" s="8"/>
      <c r="M543" s="8"/>
      <c r="N543" s="8">
        <f>N545</f>
        <v>120000</v>
      </c>
      <c r="O543" s="8"/>
      <c r="P543" s="8">
        <f>N543</f>
        <v>120000</v>
      </c>
    </row>
    <row r="544" spans="1:16" ht="11.25">
      <c r="A544" s="3" t="s">
        <v>2</v>
      </c>
      <c r="B544" s="9"/>
      <c r="C544" s="9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>
      <c r="A545" s="6" t="s">
        <v>23</v>
      </c>
      <c r="B545" s="9"/>
      <c r="C545" s="9"/>
      <c r="D545" s="29">
        <v>80000</v>
      </c>
      <c r="E545" s="29"/>
      <c r="F545" s="29">
        <f>D545</f>
        <v>80000</v>
      </c>
      <c r="G545" s="29">
        <v>100000</v>
      </c>
      <c r="H545" s="29"/>
      <c r="I545" s="29"/>
      <c r="J545" s="29">
        <f>G545</f>
        <v>100000</v>
      </c>
      <c r="K545" s="36"/>
      <c r="L545" s="36"/>
      <c r="M545" s="36"/>
      <c r="N545" s="29">
        <v>120000</v>
      </c>
      <c r="O545" s="29"/>
      <c r="P545" s="29">
        <f>N545</f>
        <v>120000</v>
      </c>
    </row>
    <row r="546" spans="1:16" ht="11.25">
      <c r="A546" s="3" t="s">
        <v>3</v>
      </c>
      <c r="B546" s="9"/>
      <c r="C546" s="9"/>
      <c r="D546" s="29"/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22.5">
      <c r="A547" s="50" t="s">
        <v>282</v>
      </c>
      <c r="B547" s="9"/>
      <c r="C547" s="9"/>
      <c r="D547" s="37">
        <f>D545/D549</f>
        <v>37914.69194312797</v>
      </c>
      <c r="E547" s="37"/>
      <c r="F547" s="37">
        <f>D547</f>
        <v>37914.69194312797</v>
      </c>
      <c r="G547" s="37">
        <f>G545/G549</f>
        <v>44444.444444444445</v>
      </c>
      <c r="H547" s="37"/>
      <c r="I547" s="37"/>
      <c r="J547" s="37">
        <f>G547</f>
        <v>44444.444444444445</v>
      </c>
      <c r="K547" s="176"/>
      <c r="L547" s="176"/>
      <c r="M547" s="176"/>
      <c r="N547" s="37">
        <f>N545/N549</f>
        <v>50209.2050209205</v>
      </c>
      <c r="O547" s="37"/>
      <c r="P547" s="37">
        <f>N547</f>
        <v>50209.2050209205</v>
      </c>
    </row>
    <row r="548" spans="1:16" ht="11.25">
      <c r="A548" s="3" t="s">
        <v>5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22.5">
      <c r="A549" s="6" t="s">
        <v>281</v>
      </c>
      <c r="B549" s="9"/>
      <c r="C549" s="9"/>
      <c r="D549" s="29">
        <v>2.11</v>
      </c>
      <c r="E549" s="29"/>
      <c r="F549" s="29">
        <f>D549</f>
        <v>2.11</v>
      </c>
      <c r="G549" s="29">
        <v>2.25</v>
      </c>
      <c r="H549" s="29"/>
      <c r="I549" s="29"/>
      <c r="J549" s="29">
        <f>G549</f>
        <v>2.25</v>
      </c>
      <c r="K549" s="36"/>
      <c r="L549" s="36"/>
      <c r="M549" s="36"/>
      <c r="N549" s="29">
        <v>2.39</v>
      </c>
      <c r="O549" s="29"/>
      <c r="P549" s="29">
        <f>N549</f>
        <v>2.39</v>
      </c>
    </row>
    <row r="550" spans="1:16" ht="28.5" customHeight="1">
      <c r="A550" s="22" t="s">
        <v>464</v>
      </c>
      <c r="B550" s="9"/>
      <c r="C550" s="9"/>
      <c r="D550" s="8">
        <f>D552</f>
        <v>0</v>
      </c>
      <c r="E550" s="8"/>
      <c r="F550" s="8">
        <f>D550</f>
        <v>0</v>
      </c>
      <c r="G550" s="8">
        <f>G552</f>
        <v>53100</v>
      </c>
      <c r="H550" s="8"/>
      <c r="I550" s="8"/>
      <c r="J550" s="8">
        <f>G550</f>
        <v>53100</v>
      </c>
      <c r="K550" s="211"/>
      <c r="L550" s="211"/>
      <c r="M550" s="211"/>
      <c r="N550" s="8">
        <f>N552</f>
        <v>59000</v>
      </c>
      <c r="O550" s="8"/>
      <c r="P550" s="8">
        <f>N550</f>
        <v>59000</v>
      </c>
    </row>
    <row r="551" spans="1:16" ht="11.25">
      <c r="A551" s="3" t="s">
        <v>77</v>
      </c>
      <c r="B551" s="9"/>
      <c r="C551" s="9"/>
      <c r="D551" s="29"/>
      <c r="E551" s="29"/>
      <c r="F551" s="29"/>
      <c r="G551" s="29"/>
      <c r="H551" s="29"/>
      <c r="I551" s="29"/>
      <c r="J551" s="29"/>
      <c r="K551" s="36"/>
      <c r="L551" s="36"/>
      <c r="M551" s="36"/>
      <c r="N551" s="29"/>
      <c r="O551" s="29"/>
      <c r="P551" s="29"/>
    </row>
    <row r="552" spans="1:16" ht="11.25">
      <c r="A552" s="6" t="s">
        <v>232</v>
      </c>
      <c r="B552" s="9"/>
      <c r="C552" s="9"/>
      <c r="D552" s="29">
        <f>83200-83200</f>
        <v>0</v>
      </c>
      <c r="E552" s="29"/>
      <c r="F552" s="29">
        <f>D552</f>
        <v>0</v>
      </c>
      <c r="G552" s="29">
        <v>53100</v>
      </c>
      <c r="H552" s="29"/>
      <c r="I552" s="29"/>
      <c r="J552" s="29">
        <f>G552</f>
        <v>53100</v>
      </c>
      <c r="K552" s="36"/>
      <c r="L552" s="36"/>
      <c r="M552" s="36"/>
      <c r="N552" s="29">
        <v>59000</v>
      </c>
      <c r="O552" s="29"/>
      <c r="P552" s="29">
        <f>N552</f>
        <v>59000</v>
      </c>
    </row>
    <row r="553" spans="1:16" ht="11.25">
      <c r="A553" s="3" t="s">
        <v>231</v>
      </c>
      <c r="B553" s="9"/>
      <c r="C553" s="9"/>
      <c r="D553" s="29"/>
      <c r="E553" s="29"/>
      <c r="F553" s="29"/>
      <c r="G553" s="29"/>
      <c r="H553" s="29"/>
      <c r="I553" s="29"/>
      <c r="J553" s="29"/>
      <c r="K553" s="36"/>
      <c r="L553" s="36"/>
      <c r="M553" s="36"/>
      <c r="N553" s="29"/>
      <c r="O553" s="29"/>
      <c r="P553" s="29"/>
    </row>
    <row r="554" spans="1:16" ht="11.25">
      <c r="A554" s="50" t="s">
        <v>240</v>
      </c>
      <c r="B554" s="9"/>
      <c r="C554" s="9"/>
      <c r="D554" s="29" t="e">
        <f>D552/D556</f>
        <v>#DIV/0!</v>
      </c>
      <c r="E554" s="29"/>
      <c r="F554" s="29" t="e">
        <f>D554</f>
        <v>#DIV/0!</v>
      </c>
      <c r="G554" s="37">
        <v>14</v>
      </c>
      <c r="H554" s="37"/>
      <c r="I554" s="37"/>
      <c r="J554" s="37">
        <f>G554</f>
        <v>14</v>
      </c>
      <c r="K554" s="176"/>
      <c r="L554" s="176"/>
      <c r="M554" s="176"/>
      <c r="N554" s="37">
        <v>14</v>
      </c>
      <c r="O554" s="37"/>
      <c r="P554" s="37">
        <f>N554</f>
        <v>14</v>
      </c>
    </row>
    <row r="555" spans="1:16" ht="11.25">
      <c r="A555" s="3" t="s">
        <v>226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>
      <c r="A556" s="6" t="s">
        <v>241</v>
      </c>
      <c r="B556" s="9"/>
      <c r="C556" s="9"/>
      <c r="D556" s="29">
        <v>0</v>
      </c>
      <c r="E556" s="29"/>
      <c r="F556" s="29">
        <f>D556</f>
        <v>0</v>
      </c>
      <c r="G556" s="29">
        <f>G552/G554</f>
        <v>3792.8571428571427</v>
      </c>
      <c r="H556" s="29"/>
      <c r="I556" s="29"/>
      <c r="J556" s="29">
        <f>G556</f>
        <v>3792.8571428571427</v>
      </c>
      <c r="K556" s="36"/>
      <c r="L556" s="36"/>
      <c r="M556" s="36"/>
      <c r="N556" s="29">
        <f>N552/N554</f>
        <v>4214.285714285715</v>
      </c>
      <c r="O556" s="29"/>
      <c r="P556" s="29">
        <f>N556</f>
        <v>4214.285714285715</v>
      </c>
    </row>
    <row r="557" spans="1:131" s="33" customFormat="1" ht="28.5" customHeight="1">
      <c r="A557" s="22" t="s">
        <v>465</v>
      </c>
      <c r="B557" s="10"/>
      <c r="C557" s="10"/>
      <c r="D557" s="8">
        <f>D559</f>
        <v>0</v>
      </c>
      <c r="E557" s="8"/>
      <c r="F557" s="8">
        <f>D557</f>
        <v>0</v>
      </c>
      <c r="G557" s="8"/>
      <c r="H557" s="8"/>
      <c r="I557" s="8"/>
      <c r="J557" s="8"/>
      <c r="K557" s="211"/>
      <c r="L557" s="211"/>
      <c r="M557" s="211"/>
      <c r="N557" s="8"/>
      <c r="O557" s="8"/>
      <c r="P557" s="8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  <c r="BZ557" s="212"/>
      <c r="CA557" s="212"/>
      <c r="CB557" s="212"/>
      <c r="CC557" s="212"/>
      <c r="CD557" s="212"/>
      <c r="CE557" s="212"/>
      <c r="CF557" s="212"/>
      <c r="CG557" s="212"/>
      <c r="CH557" s="212"/>
      <c r="CI557" s="212"/>
      <c r="CJ557" s="212"/>
      <c r="CK557" s="212"/>
      <c r="CL557" s="212"/>
      <c r="CM557" s="212"/>
      <c r="CN557" s="212"/>
      <c r="CO557" s="212"/>
      <c r="CP557" s="212"/>
      <c r="CQ557" s="212"/>
      <c r="CR557" s="212"/>
      <c r="CS557" s="212"/>
      <c r="CT557" s="212"/>
      <c r="CU557" s="212"/>
      <c r="CV557" s="212"/>
      <c r="CW557" s="212"/>
      <c r="CX557" s="212"/>
      <c r="CY557" s="212"/>
      <c r="CZ557" s="212"/>
      <c r="DA557" s="212"/>
      <c r="DB557" s="212"/>
      <c r="DC557" s="212"/>
      <c r="DD557" s="212"/>
      <c r="DE557" s="212"/>
      <c r="DF557" s="212"/>
      <c r="DG557" s="212"/>
      <c r="DH557" s="212"/>
      <c r="DI557" s="212"/>
      <c r="DJ557" s="212"/>
      <c r="DK557" s="212"/>
      <c r="DL557" s="212"/>
      <c r="DM557" s="212"/>
      <c r="DN557" s="212"/>
      <c r="DO557" s="212"/>
      <c r="DP557" s="212"/>
      <c r="DQ557" s="212"/>
      <c r="DR557" s="212"/>
      <c r="DS557" s="212"/>
      <c r="DT557" s="212"/>
      <c r="DU557" s="212"/>
      <c r="DV557" s="212"/>
      <c r="DW557" s="212"/>
      <c r="DX557" s="212"/>
      <c r="DY557" s="212"/>
      <c r="DZ557" s="212"/>
      <c r="EA557" s="212"/>
    </row>
    <row r="558" spans="1:16" ht="11.25">
      <c r="A558" s="3" t="s">
        <v>77</v>
      </c>
      <c r="B558" s="9"/>
      <c r="C558" s="9"/>
      <c r="D558" s="29"/>
      <c r="E558" s="29"/>
      <c r="F558" s="29"/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>
      <c r="A559" s="6" t="s">
        <v>233</v>
      </c>
      <c r="B559" s="9"/>
      <c r="C559" s="9"/>
      <c r="D559" s="29">
        <f>180000-180000</f>
        <v>0</v>
      </c>
      <c r="E559" s="29"/>
      <c r="F559" s="29">
        <f>D559</f>
        <v>0</v>
      </c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>
      <c r="A560" s="3" t="s">
        <v>231</v>
      </c>
      <c r="B560" s="9"/>
      <c r="C560" s="9"/>
      <c r="D560" s="29"/>
      <c r="E560" s="29"/>
      <c r="F560" s="29"/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>
      <c r="A561" s="50" t="s">
        <v>234</v>
      </c>
      <c r="B561" s="9"/>
      <c r="C561" s="9"/>
      <c r="D561" s="29" t="e">
        <f>D559/D563</f>
        <v>#DIV/0!</v>
      </c>
      <c r="E561" s="29"/>
      <c r="F561" s="29" t="e">
        <f>D561</f>
        <v>#DIV/0!</v>
      </c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>
      <c r="A562" s="3" t="s">
        <v>226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>
      <c r="A563" s="6" t="s">
        <v>235</v>
      </c>
      <c r="B563" s="9"/>
      <c r="C563" s="9"/>
      <c r="D563" s="29">
        <v>0</v>
      </c>
      <c r="E563" s="29"/>
      <c r="F563" s="29">
        <f>D563</f>
        <v>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22" t="s">
        <v>466</v>
      </c>
      <c r="B564" s="9"/>
      <c r="C564" s="9"/>
      <c r="D564" s="8">
        <f>D566</f>
        <v>100000</v>
      </c>
      <c r="E564" s="8"/>
      <c r="F564" s="8">
        <f>D564</f>
        <v>100000</v>
      </c>
      <c r="G564" s="8"/>
      <c r="H564" s="8"/>
      <c r="I564" s="8"/>
      <c r="J564" s="8"/>
      <c r="K564" s="211"/>
      <c r="L564" s="211"/>
      <c r="M564" s="211"/>
      <c r="N564" s="8"/>
      <c r="O564" s="8"/>
      <c r="P564" s="8"/>
    </row>
    <row r="565" spans="1:16" ht="11.25">
      <c r="A565" s="3" t="s">
        <v>77</v>
      </c>
      <c r="B565" s="9"/>
      <c r="C565" s="9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>
      <c r="A566" s="6" t="s">
        <v>232</v>
      </c>
      <c r="B566" s="9"/>
      <c r="C566" s="9"/>
      <c r="D566" s="29">
        <f>400000-300000</f>
        <v>100000</v>
      </c>
      <c r="E566" s="29"/>
      <c r="F566" s="29">
        <f>D566</f>
        <v>100000</v>
      </c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>
      <c r="A567" s="3" t="s">
        <v>231</v>
      </c>
      <c r="B567" s="9"/>
      <c r="C567" s="9"/>
      <c r="D567" s="29"/>
      <c r="E567" s="29"/>
      <c r="F567" s="29"/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22.5">
      <c r="A568" s="50" t="s">
        <v>236</v>
      </c>
      <c r="B568" s="9"/>
      <c r="C568" s="9"/>
      <c r="D568" s="29">
        <f>D566/D570</f>
        <v>1</v>
      </c>
      <c r="E568" s="29"/>
      <c r="F568" s="29">
        <f>D568</f>
        <v>1</v>
      </c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3" t="s">
        <v>226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>
      <c r="A570" s="6" t="s">
        <v>237</v>
      </c>
      <c r="B570" s="9"/>
      <c r="C570" s="9"/>
      <c r="D570" s="29">
        <v>100000</v>
      </c>
      <c r="E570" s="29"/>
      <c r="F570" s="29">
        <f>D570</f>
        <v>100000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31" s="33" customFormat="1" ht="33.75">
      <c r="A571" s="22" t="s">
        <v>530</v>
      </c>
      <c r="B571" s="10"/>
      <c r="C571" s="10"/>
      <c r="D571" s="8">
        <f>D573</f>
        <v>100000</v>
      </c>
      <c r="E571" s="8"/>
      <c r="F571" s="8">
        <f>D571</f>
        <v>100000</v>
      </c>
      <c r="G571" s="8"/>
      <c r="H571" s="8"/>
      <c r="I571" s="8"/>
      <c r="J571" s="8"/>
      <c r="K571" s="211"/>
      <c r="L571" s="211"/>
      <c r="M571" s="211"/>
      <c r="N571" s="8"/>
      <c r="O571" s="8"/>
      <c r="P571" s="8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  <c r="BI571" s="212"/>
      <c r="BJ571" s="212"/>
      <c r="BK571" s="212"/>
      <c r="BL571" s="212"/>
      <c r="BM571" s="212"/>
      <c r="BN571" s="212"/>
      <c r="BO571" s="212"/>
      <c r="BP571" s="212"/>
      <c r="BQ571" s="212"/>
      <c r="BR571" s="212"/>
      <c r="BS571" s="212"/>
      <c r="BT571" s="212"/>
      <c r="BU571" s="212"/>
      <c r="BV571" s="212"/>
      <c r="BW571" s="212"/>
      <c r="BX571" s="212"/>
      <c r="BY571" s="212"/>
      <c r="BZ571" s="212"/>
      <c r="CA571" s="212"/>
      <c r="CB571" s="212"/>
      <c r="CC571" s="212"/>
      <c r="CD571" s="212"/>
      <c r="CE571" s="212"/>
      <c r="CF571" s="212"/>
      <c r="CG571" s="212"/>
      <c r="CH571" s="212"/>
      <c r="CI571" s="212"/>
      <c r="CJ571" s="212"/>
      <c r="CK571" s="212"/>
      <c r="CL571" s="212"/>
      <c r="CM571" s="212"/>
      <c r="CN571" s="212"/>
      <c r="CO571" s="212"/>
      <c r="CP571" s="212"/>
      <c r="CQ571" s="212"/>
      <c r="CR571" s="212"/>
      <c r="CS571" s="212"/>
      <c r="CT571" s="212"/>
      <c r="CU571" s="212"/>
      <c r="CV571" s="212"/>
      <c r="CW571" s="212"/>
      <c r="CX571" s="212"/>
      <c r="CY571" s="212"/>
      <c r="CZ571" s="212"/>
      <c r="DA571" s="212"/>
      <c r="DB571" s="212"/>
      <c r="DC571" s="212"/>
      <c r="DD571" s="212"/>
      <c r="DE571" s="212"/>
      <c r="DF571" s="212"/>
      <c r="DG571" s="212"/>
      <c r="DH571" s="212"/>
      <c r="DI571" s="212"/>
      <c r="DJ571" s="212"/>
      <c r="DK571" s="212"/>
      <c r="DL571" s="212"/>
      <c r="DM571" s="212"/>
      <c r="DN571" s="212"/>
      <c r="DO571" s="212"/>
      <c r="DP571" s="212"/>
      <c r="DQ571" s="212"/>
      <c r="DR571" s="212"/>
      <c r="DS571" s="212"/>
      <c r="DT571" s="212"/>
      <c r="DU571" s="212"/>
      <c r="DV571" s="212"/>
      <c r="DW571" s="212"/>
      <c r="DX571" s="212"/>
      <c r="DY571" s="212"/>
      <c r="DZ571" s="212"/>
      <c r="EA571" s="212"/>
    </row>
    <row r="572" spans="1:16" ht="11.25">
      <c r="A572" s="3" t="s">
        <v>77</v>
      </c>
      <c r="B572" s="9"/>
      <c r="C572" s="9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>
      <c r="A573" s="6" t="s">
        <v>232</v>
      </c>
      <c r="B573" s="9"/>
      <c r="C573" s="9"/>
      <c r="D573" s="29">
        <f>150000-50000</f>
        <v>100000</v>
      </c>
      <c r="E573" s="29"/>
      <c r="F573" s="29">
        <f>D573</f>
        <v>100000</v>
      </c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>
      <c r="A574" s="3" t="s">
        <v>231</v>
      </c>
      <c r="B574" s="9"/>
      <c r="C574" s="9"/>
      <c r="D574" s="29"/>
      <c r="E574" s="29"/>
      <c r="F574" s="29"/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>
      <c r="A575" s="50" t="s">
        <v>238</v>
      </c>
      <c r="B575" s="9"/>
      <c r="C575" s="9"/>
      <c r="D575" s="37">
        <f>D573/D577</f>
        <v>4.545454545454546</v>
      </c>
      <c r="E575" s="29"/>
      <c r="F575" s="37">
        <f>D575</f>
        <v>4.545454545454546</v>
      </c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>
      <c r="A576" s="3" t="s">
        <v>226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>
      <c r="A577" s="6" t="s">
        <v>239</v>
      </c>
      <c r="B577" s="9"/>
      <c r="C577" s="9"/>
      <c r="D577" s="29">
        <v>22000</v>
      </c>
      <c r="E577" s="29"/>
      <c r="F577" s="29">
        <f>D577</f>
        <v>22000</v>
      </c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33.75">
      <c r="A578" s="22" t="s">
        <v>467</v>
      </c>
      <c r="B578" s="9"/>
      <c r="C578" s="9"/>
      <c r="D578" s="8">
        <f>D580</f>
        <v>323900</v>
      </c>
      <c r="E578" s="8">
        <f>E580</f>
        <v>1785000</v>
      </c>
      <c r="F578" s="8">
        <f>D578+E578</f>
        <v>2108900</v>
      </c>
      <c r="G578" s="8">
        <f>G580</f>
        <v>2108925</v>
      </c>
      <c r="H578" s="8"/>
      <c r="I578" s="8"/>
      <c r="J578" s="8">
        <f>G578</f>
        <v>2108925</v>
      </c>
      <c r="K578" s="211"/>
      <c r="L578" s="211"/>
      <c r="M578" s="211"/>
      <c r="N578" s="8">
        <f>N580</f>
        <v>2114373</v>
      </c>
      <c r="O578" s="8"/>
      <c r="P578" s="8">
        <f>N578</f>
        <v>2114373</v>
      </c>
    </row>
    <row r="579" spans="1:16" ht="11.25">
      <c r="A579" s="3" t="s">
        <v>77</v>
      </c>
      <c r="B579" s="9"/>
      <c r="C579" s="9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>
      <c r="A580" s="6" t="s">
        <v>232</v>
      </c>
      <c r="B580" s="9"/>
      <c r="C580" s="9"/>
      <c r="D580" s="29">
        <f>323900</f>
        <v>323900</v>
      </c>
      <c r="E580" s="29">
        <f>1785000</f>
        <v>1785000</v>
      </c>
      <c r="F580" s="29">
        <f>D580</f>
        <v>323900</v>
      </c>
      <c r="G580" s="29">
        <f>323925+1785000</f>
        <v>2108925</v>
      </c>
      <c r="H580" s="29"/>
      <c r="I580" s="29">
        <f>G580</f>
        <v>2108925</v>
      </c>
      <c r="J580" s="29">
        <f>G580</f>
        <v>2108925</v>
      </c>
      <c r="K580" s="36"/>
      <c r="L580" s="36"/>
      <c r="M580" s="36"/>
      <c r="N580" s="29">
        <f>324762+1789611</f>
        <v>2114373</v>
      </c>
      <c r="O580" s="29"/>
      <c r="P580" s="29">
        <f>N580</f>
        <v>2114373</v>
      </c>
    </row>
    <row r="581" spans="1:16" ht="11.25">
      <c r="A581" s="3" t="s">
        <v>231</v>
      </c>
      <c r="B581" s="9"/>
      <c r="C581" s="9"/>
      <c r="D581" s="29"/>
      <c r="E581" s="29"/>
      <c r="F581" s="29"/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>
      <c r="A582" s="50" t="s">
        <v>242</v>
      </c>
      <c r="B582" s="9"/>
      <c r="C582" s="9"/>
      <c r="D582" s="29">
        <v>1</v>
      </c>
      <c r="E582" s="29">
        <v>1</v>
      </c>
      <c r="F582" s="29">
        <f>D582</f>
        <v>1</v>
      </c>
      <c r="G582" s="29">
        <v>1</v>
      </c>
      <c r="H582" s="29"/>
      <c r="I582" s="29">
        <f>G582</f>
        <v>1</v>
      </c>
      <c r="J582" s="29">
        <f>G582</f>
        <v>1</v>
      </c>
      <c r="K582" s="36"/>
      <c r="L582" s="36"/>
      <c r="M582" s="36"/>
      <c r="N582" s="29">
        <v>1</v>
      </c>
      <c r="O582" s="29"/>
      <c r="P582" s="29">
        <f>N582</f>
        <v>1</v>
      </c>
    </row>
    <row r="583" spans="1:16" ht="11.25">
      <c r="A583" s="3" t="s">
        <v>226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>
      <c r="A584" s="6" t="s">
        <v>243</v>
      </c>
      <c r="B584" s="9"/>
      <c r="C584" s="9"/>
      <c r="D584" s="29">
        <f>D580/D582</f>
        <v>323900</v>
      </c>
      <c r="E584" s="29">
        <f>E580/E582</f>
        <v>1785000</v>
      </c>
      <c r="F584" s="29">
        <f>F580/F582</f>
        <v>323900</v>
      </c>
      <c r="G584" s="29">
        <f>G580/G582</f>
        <v>2108925</v>
      </c>
      <c r="H584" s="29"/>
      <c r="I584" s="29">
        <f>I580/I582</f>
        <v>2108925</v>
      </c>
      <c r="J584" s="29">
        <f>G584</f>
        <v>2108925</v>
      </c>
      <c r="K584" s="36"/>
      <c r="L584" s="36"/>
      <c r="M584" s="36"/>
      <c r="N584" s="29">
        <f>N580/N582</f>
        <v>2114373</v>
      </c>
      <c r="O584" s="29"/>
      <c r="P584" s="29">
        <f>N584</f>
        <v>2114373</v>
      </c>
    </row>
    <row r="585" spans="1:16" ht="22.5">
      <c r="A585" s="22" t="s">
        <v>468</v>
      </c>
      <c r="B585" s="9"/>
      <c r="C585" s="9"/>
      <c r="D585" s="8">
        <f>D587</f>
        <v>0</v>
      </c>
      <c r="E585" s="8"/>
      <c r="F585" s="8">
        <f>D585</f>
        <v>0</v>
      </c>
      <c r="G585" s="8"/>
      <c r="H585" s="8"/>
      <c r="I585" s="8"/>
      <c r="J585" s="8"/>
      <c r="K585" s="211"/>
      <c r="L585" s="211"/>
      <c r="M585" s="211"/>
      <c r="N585" s="8"/>
      <c r="O585" s="8"/>
      <c r="P585" s="8"/>
    </row>
    <row r="586" spans="1:16" ht="11.25">
      <c r="A586" s="3" t="s">
        <v>77</v>
      </c>
      <c r="B586" s="9"/>
      <c r="C586" s="9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>
      <c r="A587" s="6" t="s">
        <v>232</v>
      </c>
      <c r="B587" s="9"/>
      <c r="C587" s="9"/>
      <c r="D587" s="29">
        <f>20000-20000</f>
        <v>0</v>
      </c>
      <c r="E587" s="29"/>
      <c r="F587" s="29">
        <f>D587</f>
        <v>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>
      <c r="A588" s="3" t="s">
        <v>231</v>
      </c>
      <c r="B588" s="9"/>
      <c r="C588" s="9"/>
      <c r="D588" s="29"/>
      <c r="E588" s="29"/>
      <c r="F588" s="29"/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1.25">
      <c r="A589" s="50" t="s">
        <v>244</v>
      </c>
      <c r="B589" s="9"/>
      <c r="C589" s="9"/>
      <c r="D589" s="29"/>
      <c r="E589" s="29"/>
      <c r="F589" s="29">
        <f>D589</f>
        <v>0</v>
      </c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>
      <c r="A590" s="3" t="s">
        <v>226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>
      <c r="A591" s="6" t="s">
        <v>245</v>
      </c>
      <c r="B591" s="9"/>
      <c r="C591" s="9"/>
      <c r="D591" s="29" t="e">
        <f>D587/D589</f>
        <v>#DIV/0!</v>
      </c>
      <c r="E591" s="29"/>
      <c r="F591" s="29" t="e">
        <f>D591</f>
        <v>#DIV/0!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5.75" customHeight="1">
      <c r="A592" s="259" t="s">
        <v>469</v>
      </c>
      <c r="B592" s="213"/>
      <c r="C592" s="213"/>
      <c r="D592" s="214">
        <f>D594</f>
        <v>0</v>
      </c>
      <c r="E592" s="214"/>
      <c r="F592" s="214">
        <f>D592</f>
        <v>0</v>
      </c>
      <c r="G592" s="214"/>
      <c r="H592" s="214"/>
      <c r="I592" s="214"/>
      <c r="J592" s="214"/>
      <c r="K592" s="215"/>
      <c r="L592" s="215"/>
      <c r="M592" s="215"/>
      <c r="N592" s="214"/>
      <c r="O592" s="214"/>
      <c r="P592" s="214"/>
    </row>
    <row r="593" spans="1:16" ht="11.25">
      <c r="A593" s="3" t="s">
        <v>77</v>
      </c>
      <c r="B593" s="9"/>
      <c r="C593" s="9"/>
      <c r="D593" s="29"/>
      <c r="E593" s="29"/>
      <c r="F593" s="29"/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>
      <c r="A594" s="6" t="s">
        <v>232</v>
      </c>
      <c r="B594" s="9"/>
      <c r="C594" s="9"/>
      <c r="D594" s="29">
        <f>2000-2000</f>
        <v>0</v>
      </c>
      <c r="E594" s="29"/>
      <c r="F594" s="29">
        <f>D594</f>
        <v>0</v>
      </c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>
      <c r="A595" s="3" t="s">
        <v>231</v>
      </c>
      <c r="B595" s="9"/>
      <c r="C595" s="9"/>
      <c r="D595" s="29"/>
      <c r="E595" s="29"/>
      <c r="F595" s="29"/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>
      <c r="A596" s="50" t="s">
        <v>246</v>
      </c>
      <c r="B596" s="9"/>
      <c r="C596" s="9"/>
      <c r="D596" s="29"/>
      <c r="E596" s="29"/>
      <c r="F596" s="29">
        <f>D596</f>
        <v>0</v>
      </c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>
      <c r="A597" s="3" t="s">
        <v>226</v>
      </c>
      <c r="B597" s="9"/>
      <c r="C597" s="9"/>
      <c r="D597" s="29"/>
      <c r="E597" s="29"/>
      <c r="F597" s="29"/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1.25">
      <c r="A598" s="6" t="s">
        <v>247</v>
      </c>
      <c r="B598" s="9"/>
      <c r="C598" s="9"/>
      <c r="D598" s="29" t="e">
        <f>D594/D596</f>
        <v>#DIV/0!</v>
      </c>
      <c r="E598" s="29"/>
      <c r="F598" s="29" t="e">
        <f>D598</f>
        <v>#DIV/0!</v>
      </c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31" s="217" customFormat="1" ht="37.5" customHeight="1">
      <c r="A599" s="7" t="s">
        <v>431</v>
      </c>
      <c r="B599" s="35"/>
      <c r="C599" s="35"/>
      <c r="D599" s="31">
        <f>D601</f>
        <v>1542000</v>
      </c>
      <c r="E599" s="31"/>
      <c r="F599" s="31">
        <f>F601</f>
        <v>1542000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</row>
    <row r="600" spans="1:131" s="185" customFormat="1" ht="19.5" customHeight="1">
      <c r="A600" s="3" t="s">
        <v>77</v>
      </c>
      <c r="B600" s="133"/>
      <c r="C600" s="133"/>
      <c r="D600" s="141"/>
      <c r="E600" s="141"/>
      <c r="F600" s="141"/>
      <c r="G600" s="141"/>
      <c r="H600" s="141"/>
      <c r="I600" s="141"/>
      <c r="J600" s="141"/>
      <c r="K600" s="138"/>
      <c r="L600" s="138"/>
      <c r="M600" s="138"/>
      <c r="N600" s="141"/>
      <c r="O600" s="141"/>
      <c r="P600" s="141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  <c r="CF600" s="184"/>
      <c r="CG600" s="184"/>
      <c r="CH600" s="184"/>
      <c r="CI600" s="184"/>
      <c r="CJ600" s="184"/>
      <c r="CK600" s="184"/>
      <c r="CL600" s="184"/>
      <c r="CM600" s="184"/>
      <c r="CN600" s="184"/>
      <c r="CO600" s="184"/>
      <c r="CP600" s="184"/>
      <c r="CQ600" s="184"/>
      <c r="CR600" s="184"/>
      <c r="CS600" s="184"/>
      <c r="CT600" s="184"/>
      <c r="CU600" s="184"/>
      <c r="CV600" s="184"/>
      <c r="CW600" s="184"/>
      <c r="CX600" s="184"/>
      <c r="CY600" s="184"/>
      <c r="CZ600" s="184"/>
      <c r="DA600" s="184"/>
      <c r="DB600" s="184"/>
      <c r="DC600" s="184"/>
      <c r="DD600" s="184"/>
      <c r="DE600" s="184"/>
      <c r="DF600" s="184"/>
      <c r="DG600" s="184"/>
      <c r="DH600" s="184"/>
      <c r="DI600" s="184"/>
      <c r="DJ600" s="184"/>
      <c r="DK600" s="184"/>
      <c r="DL600" s="184"/>
      <c r="DM600" s="184"/>
      <c r="DN600" s="184"/>
      <c r="DO600" s="184"/>
      <c r="DP600" s="184"/>
      <c r="DQ600" s="184"/>
      <c r="DR600" s="184"/>
      <c r="DS600" s="184"/>
      <c r="DT600" s="184"/>
      <c r="DU600" s="184"/>
      <c r="DV600" s="184"/>
      <c r="DW600" s="184"/>
      <c r="DX600" s="184"/>
      <c r="DY600" s="184"/>
      <c r="DZ600" s="184"/>
      <c r="EA600" s="184"/>
    </row>
    <row r="601" spans="1:131" s="185" customFormat="1" ht="21.75" customHeight="1">
      <c r="A601" s="6" t="s">
        <v>233</v>
      </c>
      <c r="B601" s="133"/>
      <c r="C601" s="133"/>
      <c r="D601" s="141">
        <v>1542000</v>
      </c>
      <c r="E601" s="141"/>
      <c r="F601" s="141">
        <f>D601</f>
        <v>1542000</v>
      </c>
      <c r="G601" s="141"/>
      <c r="H601" s="141"/>
      <c r="I601" s="141"/>
      <c r="J601" s="141"/>
      <c r="K601" s="138"/>
      <c r="L601" s="138"/>
      <c r="M601" s="138"/>
      <c r="N601" s="141"/>
      <c r="O601" s="141"/>
      <c r="P601" s="141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  <c r="CF601" s="184"/>
      <c r="CG601" s="184"/>
      <c r="CH601" s="184"/>
      <c r="CI601" s="184"/>
      <c r="CJ601" s="184"/>
      <c r="CK601" s="184"/>
      <c r="CL601" s="184"/>
      <c r="CM601" s="184"/>
      <c r="CN601" s="184"/>
      <c r="CO601" s="184"/>
      <c r="CP601" s="184"/>
      <c r="CQ601" s="184"/>
      <c r="CR601" s="184"/>
      <c r="CS601" s="184"/>
      <c r="CT601" s="184"/>
      <c r="CU601" s="184"/>
      <c r="CV601" s="184"/>
      <c r="CW601" s="184"/>
      <c r="CX601" s="184"/>
      <c r="CY601" s="184"/>
      <c r="CZ601" s="184"/>
      <c r="DA601" s="184"/>
      <c r="DB601" s="184"/>
      <c r="DC601" s="184"/>
      <c r="DD601" s="184"/>
      <c r="DE601" s="184"/>
      <c r="DF601" s="184"/>
      <c r="DG601" s="184"/>
      <c r="DH601" s="184"/>
      <c r="DI601" s="184"/>
      <c r="DJ601" s="184"/>
      <c r="DK601" s="184"/>
      <c r="DL601" s="184"/>
      <c r="DM601" s="184"/>
      <c r="DN601" s="184"/>
      <c r="DO601" s="184"/>
      <c r="DP601" s="184"/>
      <c r="DQ601" s="184"/>
      <c r="DR601" s="184"/>
      <c r="DS601" s="184"/>
      <c r="DT601" s="184"/>
      <c r="DU601" s="184"/>
      <c r="DV601" s="184"/>
      <c r="DW601" s="184"/>
      <c r="DX601" s="184"/>
      <c r="DY601" s="184"/>
      <c r="DZ601" s="184"/>
      <c r="EA601" s="184"/>
    </row>
    <row r="602" spans="1:131" s="185" customFormat="1" ht="18" customHeight="1">
      <c r="A602" s="3" t="s">
        <v>275</v>
      </c>
      <c r="B602" s="133"/>
      <c r="C602" s="133"/>
      <c r="D602" s="141"/>
      <c r="E602" s="141"/>
      <c r="F602" s="141"/>
      <c r="G602" s="141"/>
      <c r="H602" s="141"/>
      <c r="I602" s="141"/>
      <c r="J602" s="141"/>
      <c r="K602" s="138"/>
      <c r="L602" s="138"/>
      <c r="M602" s="138"/>
      <c r="N602" s="141"/>
      <c r="O602" s="141"/>
      <c r="P602" s="141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  <c r="CF602" s="184"/>
      <c r="CG602" s="184"/>
      <c r="CH602" s="184"/>
      <c r="CI602" s="184"/>
      <c r="CJ602" s="184"/>
      <c r="CK602" s="184"/>
      <c r="CL602" s="184"/>
      <c r="CM602" s="184"/>
      <c r="CN602" s="184"/>
      <c r="CO602" s="184"/>
      <c r="CP602" s="184"/>
      <c r="CQ602" s="184"/>
      <c r="CR602" s="184"/>
      <c r="CS602" s="184"/>
      <c r="CT602" s="184"/>
      <c r="CU602" s="184"/>
      <c r="CV602" s="184"/>
      <c r="CW602" s="184"/>
      <c r="CX602" s="184"/>
      <c r="CY602" s="184"/>
      <c r="CZ602" s="184"/>
      <c r="DA602" s="184"/>
      <c r="DB602" s="184"/>
      <c r="DC602" s="184"/>
      <c r="DD602" s="184"/>
      <c r="DE602" s="184"/>
      <c r="DF602" s="184"/>
      <c r="DG602" s="184"/>
      <c r="DH602" s="184"/>
      <c r="DI602" s="184"/>
      <c r="DJ602" s="184"/>
      <c r="DK602" s="184"/>
      <c r="DL602" s="184"/>
      <c r="DM602" s="184"/>
      <c r="DN602" s="184"/>
      <c r="DO602" s="184"/>
      <c r="DP602" s="184"/>
      <c r="DQ602" s="184"/>
      <c r="DR602" s="184"/>
      <c r="DS602" s="184"/>
      <c r="DT602" s="184"/>
      <c r="DU602" s="184"/>
      <c r="DV602" s="184"/>
      <c r="DW602" s="184"/>
      <c r="DX602" s="184"/>
      <c r="DY602" s="184"/>
      <c r="DZ602" s="184"/>
      <c r="EA602" s="184"/>
    </row>
    <row r="603" spans="1:131" s="185" customFormat="1" ht="16.5" customHeight="1">
      <c r="A603" s="6" t="s">
        <v>286</v>
      </c>
      <c r="B603" s="133"/>
      <c r="C603" s="133"/>
      <c r="D603" s="141">
        <v>12</v>
      </c>
      <c r="E603" s="141"/>
      <c r="F603" s="141">
        <f>D603</f>
        <v>12</v>
      </c>
      <c r="G603" s="141"/>
      <c r="H603" s="141"/>
      <c r="I603" s="141"/>
      <c r="J603" s="141"/>
      <c r="K603" s="138"/>
      <c r="L603" s="138"/>
      <c r="M603" s="138"/>
      <c r="N603" s="141"/>
      <c r="O603" s="141"/>
      <c r="P603" s="141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  <c r="BN603" s="184"/>
      <c r="BO603" s="184"/>
      <c r="BP603" s="184"/>
      <c r="BQ603" s="184"/>
      <c r="BR603" s="184"/>
      <c r="BS603" s="184"/>
      <c r="BT603" s="184"/>
      <c r="BU603" s="184"/>
      <c r="BV603" s="184"/>
      <c r="BW603" s="184"/>
      <c r="BX603" s="184"/>
      <c r="BY603" s="184"/>
      <c r="BZ603" s="184"/>
      <c r="CA603" s="184"/>
      <c r="CB603" s="184"/>
      <c r="CC603" s="184"/>
      <c r="CD603" s="184"/>
      <c r="CE603" s="184"/>
      <c r="CF603" s="184"/>
      <c r="CG603" s="184"/>
      <c r="CH603" s="184"/>
      <c r="CI603" s="184"/>
      <c r="CJ603" s="184"/>
      <c r="CK603" s="184"/>
      <c r="CL603" s="184"/>
      <c r="CM603" s="184"/>
      <c r="CN603" s="184"/>
      <c r="CO603" s="184"/>
      <c r="CP603" s="184"/>
      <c r="CQ603" s="184"/>
      <c r="CR603" s="184"/>
      <c r="CS603" s="184"/>
      <c r="CT603" s="184"/>
      <c r="CU603" s="184"/>
      <c r="CV603" s="184"/>
      <c r="CW603" s="184"/>
      <c r="CX603" s="184"/>
      <c r="CY603" s="184"/>
      <c r="CZ603" s="184"/>
      <c r="DA603" s="184"/>
      <c r="DB603" s="184"/>
      <c r="DC603" s="184"/>
      <c r="DD603" s="184"/>
      <c r="DE603" s="184"/>
      <c r="DF603" s="184"/>
      <c r="DG603" s="184"/>
      <c r="DH603" s="184"/>
      <c r="DI603" s="184"/>
      <c r="DJ603" s="184"/>
      <c r="DK603" s="184"/>
      <c r="DL603" s="184"/>
      <c r="DM603" s="184"/>
      <c r="DN603" s="184"/>
      <c r="DO603" s="184"/>
      <c r="DP603" s="184"/>
      <c r="DQ603" s="184"/>
      <c r="DR603" s="184"/>
      <c r="DS603" s="184"/>
      <c r="DT603" s="184"/>
      <c r="DU603" s="184"/>
      <c r="DV603" s="184"/>
      <c r="DW603" s="184"/>
      <c r="DX603" s="184"/>
      <c r="DY603" s="184"/>
      <c r="DZ603" s="184"/>
      <c r="EA603" s="184"/>
    </row>
    <row r="604" spans="1:131" s="185" customFormat="1" ht="15.75" customHeight="1">
      <c r="A604" s="3" t="s">
        <v>226</v>
      </c>
      <c r="B604" s="133"/>
      <c r="C604" s="133"/>
      <c r="D604" s="141"/>
      <c r="E604" s="141"/>
      <c r="F604" s="141"/>
      <c r="G604" s="141"/>
      <c r="H604" s="141"/>
      <c r="I604" s="141"/>
      <c r="J604" s="141"/>
      <c r="K604" s="138"/>
      <c r="L604" s="138"/>
      <c r="M604" s="138"/>
      <c r="N604" s="141"/>
      <c r="O604" s="141"/>
      <c r="P604" s="141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  <c r="CF604" s="184"/>
      <c r="CG604" s="184"/>
      <c r="CH604" s="184"/>
      <c r="CI604" s="184"/>
      <c r="CJ604" s="184"/>
      <c r="CK604" s="184"/>
      <c r="CL604" s="184"/>
      <c r="CM604" s="184"/>
      <c r="CN604" s="184"/>
      <c r="CO604" s="184"/>
      <c r="CP604" s="184"/>
      <c r="CQ604" s="184"/>
      <c r="CR604" s="184"/>
      <c r="CS604" s="184"/>
      <c r="CT604" s="184"/>
      <c r="CU604" s="184"/>
      <c r="CV604" s="184"/>
      <c r="CW604" s="184"/>
      <c r="CX604" s="184"/>
      <c r="CY604" s="184"/>
      <c r="CZ604" s="184"/>
      <c r="DA604" s="184"/>
      <c r="DB604" s="184"/>
      <c r="DC604" s="184"/>
      <c r="DD604" s="184"/>
      <c r="DE604" s="184"/>
      <c r="DF604" s="184"/>
      <c r="DG604" s="184"/>
      <c r="DH604" s="184"/>
      <c r="DI604" s="184"/>
      <c r="DJ604" s="184"/>
      <c r="DK604" s="184"/>
      <c r="DL604" s="184"/>
      <c r="DM604" s="184"/>
      <c r="DN604" s="184"/>
      <c r="DO604" s="184"/>
      <c r="DP604" s="184"/>
      <c r="DQ604" s="184"/>
      <c r="DR604" s="184"/>
      <c r="DS604" s="184"/>
      <c r="DT604" s="184"/>
      <c r="DU604" s="184"/>
      <c r="DV604" s="184"/>
      <c r="DW604" s="184"/>
      <c r="DX604" s="184"/>
      <c r="DY604" s="184"/>
      <c r="DZ604" s="184"/>
      <c r="EA604" s="184"/>
    </row>
    <row r="605" spans="1:131" s="185" customFormat="1" ht="11.25">
      <c r="A605" s="6" t="s">
        <v>287</v>
      </c>
      <c r="B605" s="133"/>
      <c r="C605" s="133"/>
      <c r="D605" s="141">
        <f>D601/D603</f>
        <v>128500</v>
      </c>
      <c r="E605" s="141"/>
      <c r="F605" s="141">
        <f>D605</f>
        <v>128500</v>
      </c>
      <c r="G605" s="141"/>
      <c r="H605" s="141"/>
      <c r="I605" s="141"/>
      <c r="J605" s="141"/>
      <c r="K605" s="138"/>
      <c r="L605" s="138"/>
      <c r="M605" s="138"/>
      <c r="N605" s="141"/>
      <c r="O605" s="141"/>
      <c r="P605" s="141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  <c r="CF605" s="184"/>
      <c r="CG605" s="184"/>
      <c r="CH605" s="184"/>
      <c r="CI605" s="184"/>
      <c r="CJ605" s="184"/>
      <c r="CK605" s="184"/>
      <c r="CL605" s="184"/>
      <c r="CM605" s="184"/>
      <c r="CN605" s="184"/>
      <c r="CO605" s="184"/>
      <c r="CP605" s="184"/>
      <c r="CQ605" s="184"/>
      <c r="CR605" s="184"/>
      <c r="CS605" s="184"/>
      <c r="CT605" s="184"/>
      <c r="CU605" s="184"/>
      <c r="CV605" s="184"/>
      <c r="CW605" s="184"/>
      <c r="CX605" s="184"/>
      <c r="CY605" s="184"/>
      <c r="CZ605" s="184"/>
      <c r="DA605" s="184"/>
      <c r="DB605" s="184"/>
      <c r="DC605" s="184"/>
      <c r="DD605" s="184"/>
      <c r="DE605" s="184"/>
      <c r="DF605" s="184"/>
      <c r="DG605" s="184"/>
      <c r="DH605" s="184"/>
      <c r="DI605" s="184"/>
      <c r="DJ605" s="184"/>
      <c r="DK605" s="184"/>
      <c r="DL605" s="184"/>
      <c r="DM605" s="184"/>
      <c r="DN605" s="184"/>
      <c r="DO605" s="184"/>
      <c r="DP605" s="184"/>
      <c r="DQ605" s="184"/>
      <c r="DR605" s="184"/>
      <c r="DS605" s="184"/>
      <c r="DT605" s="184"/>
      <c r="DU605" s="184"/>
      <c r="DV605" s="184"/>
      <c r="DW605" s="184"/>
      <c r="DX605" s="184"/>
      <c r="DY605" s="184"/>
      <c r="DZ605" s="184"/>
      <c r="EA605" s="184"/>
    </row>
    <row r="606" spans="1:131" s="217" customFormat="1" ht="28.5" customHeight="1">
      <c r="A606" s="7" t="s">
        <v>470</v>
      </c>
      <c r="B606" s="35"/>
      <c r="C606" s="35"/>
      <c r="D606" s="31">
        <f>D608</f>
        <v>300000</v>
      </c>
      <c r="E606" s="31"/>
      <c r="F606" s="31">
        <f>F608</f>
        <v>300000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</row>
    <row r="607" spans="1:131" s="185" customFormat="1" ht="19.5" customHeight="1">
      <c r="A607" s="3" t="s">
        <v>77</v>
      </c>
      <c r="B607" s="133"/>
      <c r="C607" s="133"/>
      <c r="D607" s="141"/>
      <c r="E607" s="141"/>
      <c r="F607" s="141"/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1.25">
      <c r="A608" s="6" t="s">
        <v>233</v>
      </c>
      <c r="B608" s="133"/>
      <c r="C608" s="133"/>
      <c r="D608" s="141">
        <f>500000-200000</f>
        <v>300000</v>
      </c>
      <c r="E608" s="141"/>
      <c r="F608" s="141">
        <f>D608</f>
        <v>300000</v>
      </c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1.25">
      <c r="A609" s="3" t="s">
        <v>275</v>
      </c>
      <c r="B609" s="133"/>
      <c r="C609" s="133"/>
      <c r="D609" s="141"/>
      <c r="E609" s="141"/>
      <c r="F609" s="141"/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1" s="185" customFormat="1" ht="11.25">
      <c r="A610" s="6" t="s">
        <v>286</v>
      </c>
      <c r="B610" s="133"/>
      <c r="C610" s="133"/>
      <c r="D610" s="141">
        <v>3</v>
      </c>
      <c r="E610" s="141"/>
      <c r="F610" s="141">
        <f>D610</f>
        <v>3</v>
      </c>
      <c r="G610" s="141"/>
      <c r="H610" s="141"/>
      <c r="I610" s="141"/>
      <c r="J610" s="141"/>
      <c r="K610" s="138"/>
      <c r="L610" s="138"/>
      <c r="M610" s="138"/>
      <c r="N610" s="141"/>
      <c r="O610" s="141"/>
      <c r="P610" s="141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</row>
    <row r="611" spans="1:131" s="185" customFormat="1" ht="15.75" customHeight="1">
      <c r="A611" s="3" t="s">
        <v>226</v>
      </c>
      <c r="B611" s="133"/>
      <c r="C611" s="133"/>
      <c r="D611" s="141"/>
      <c r="E611" s="141"/>
      <c r="F611" s="141"/>
      <c r="G611" s="141"/>
      <c r="H611" s="141"/>
      <c r="I611" s="141"/>
      <c r="J611" s="141"/>
      <c r="K611" s="138"/>
      <c r="L611" s="138"/>
      <c r="M611" s="138"/>
      <c r="N611" s="141"/>
      <c r="O611" s="141"/>
      <c r="P611" s="141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</row>
    <row r="612" spans="1:131" s="185" customFormat="1" ht="11.25">
      <c r="A612" s="6" t="s">
        <v>287</v>
      </c>
      <c r="B612" s="133"/>
      <c r="C612" s="133"/>
      <c r="D612" s="141">
        <f>D608/D610</f>
        <v>100000</v>
      </c>
      <c r="E612" s="141"/>
      <c r="F612" s="141">
        <f>D612</f>
        <v>100000</v>
      </c>
      <c r="G612" s="141"/>
      <c r="H612" s="141"/>
      <c r="I612" s="141"/>
      <c r="J612" s="141"/>
      <c r="K612" s="138"/>
      <c r="L612" s="138"/>
      <c r="M612" s="138"/>
      <c r="N612" s="141"/>
      <c r="O612" s="141"/>
      <c r="P612" s="141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  <c r="CF612" s="184"/>
      <c r="CG612" s="184"/>
      <c r="CH612" s="184"/>
      <c r="CI612" s="184"/>
      <c r="CJ612" s="184"/>
      <c r="CK612" s="184"/>
      <c r="CL612" s="184"/>
      <c r="CM612" s="184"/>
      <c r="CN612" s="184"/>
      <c r="CO612" s="184"/>
      <c r="CP612" s="184"/>
      <c r="CQ612" s="184"/>
      <c r="CR612" s="184"/>
      <c r="CS612" s="184"/>
      <c r="CT612" s="184"/>
      <c r="CU612" s="184"/>
      <c r="CV612" s="184"/>
      <c r="CW612" s="184"/>
      <c r="CX612" s="184"/>
      <c r="CY612" s="184"/>
      <c r="CZ612" s="184"/>
      <c r="DA612" s="184"/>
      <c r="DB612" s="184"/>
      <c r="DC612" s="184"/>
      <c r="DD612" s="184"/>
      <c r="DE612" s="184"/>
      <c r="DF612" s="184"/>
      <c r="DG612" s="184"/>
      <c r="DH612" s="184"/>
      <c r="DI612" s="184"/>
      <c r="DJ612" s="184"/>
      <c r="DK612" s="184"/>
      <c r="DL612" s="184"/>
      <c r="DM612" s="184"/>
      <c r="DN612" s="184"/>
      <c r="DO612" s="184"/>
      <c r="DP612" s="184"/>
      <c r="DQ612" s="184"/>
      <c r="DR612" s="184"/>
      <c r="DS612" s="184"/>
      <c r="DT612" s="184"/>
      <c r="DU612" s="184"/>
      <c r="DV612" s="184"/>
      <c r="DW612" s="184"/>
      <c r="DX612" s="184"/>
      <c r="DY612" s="184"/>
      <c r="DZ612" s="184"/>
      <c r="EA612" s="184"/>
    </row>
    <row r="613" spans="1:137" s="77" customFormat="1" ht="33" customHeight="1">
      <c r="A613" s="87" t="s">
        <v>507</v>
      </c>
      <c r="B613" s="75"/>
      <c r="C613" s="75"/>
      <c r="D613" s="86">
        <f>D615</f>
        <v>45000</v>
      </c>
      <c r="E613" s="86"/>
      <c r="F613" s="86">
        <f>D613</f>
        <v>45000</v>
      </c>
      <c r="G613" s="86">
        <f>G615</f>
        <v>48000</v>
      </c>
      <c r="H613" s="86"/>
      <c r="I613" s="86"/>
      <c r="J613" s="86">
        <f>G613</f>
        <v>48000</v>
      </c>
      <c r="K613" s="86"/>
      <c r="L613" s="86"/>
      <c r="M613" s="86"/>
      <c r="N613" s="86">
        <f>N615</f>
        <v>50900</v>
      </c>
      <c r="O613" s="86"/>
      <c r="P613" s="86">
        <f>N613</f>
        <v>50900</v>
      </c>
      <c r="EB613" s="78"/>
      <c r="EC613" s="78"/>
      <c r="ED613" s="78"/>
      <c r="EE613" s="78"/>
      <c r="EF613" s="78"/>
      <c r="EG613" s="78"/>
    </row>
    <row r="614" spans="1:137" s="187" customFormat="1" ht="11.25">
      <c r="A614" s="3" t="s">
        <v>77</v>
      </c>
      <c r="B614" s="186"/>
      <c r="C614" s="18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EB614" s="188"/>
      <c r="EC614" s="188"/>
      <c r="ED614" s="188"/>
      <c r="EE614" s="188"/>
      <c r="EF614" s="188"/>
      <c r="EG614" s="188"/>
    </row>
    <row r="615" spans="1:137" s="187" customFormat="1" ht="22.5">
      <c r="A615" s="74" t="s">
        <v>387</v>
      </c>
      <c r="B615" s="186"/>
      <c r="C615" s="186"/>
      <c r="D615" s="76">
        <v>45000</v>
      </c>
      <c r="E615" s="76"/>
      <c r="F615" s="76">
        <f>D615</f>
        <v>45000</v>
      </c>
      <c r="G615" s="76">
        <v>48000</v>
      </c>
      <c r="H615" s="76"/>
      <c r="I615" s="76"/>
      <c r="J615" s="76">
        <f>G615</f>
        <v>48000</v>
      </c>
      <c r="K615" s="76"/>
      <c r="L615" s="76"/>
      <c r="M615" s="76"/>
      <c r="N615" s="76">
        <v>50900</v>
      </c>
      <c r="O615" s="76"/>
      <c r="P615" s="76">
        <f>N615</f>
        <v>50900</v>
      </c>
      <c r="EB615" s="188"/>
      <c r="EC615" s="188"/>
      <c r="ED615" s="188"/>
      <c r="EE615" s="188"/>
      <c r="EF615" s="188"/>
      <c r="EG615" s="188"/>
    </row>
    <row r="616" spans="1:137" s="187" customFormat="1" ht="11.25">
      <c r="A616" s="167" t="s">
        <v>275</v>
      </c>
      <c r="B616" s="186"/>
      <c r="C616" s="18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EB616" s="188"/>
      <c r="EC616" s="188"/>
      <c r="ED616" s="188"/>
      <c r="EE616" s="188"/>
      <c r="EF616" s="188"/>
      <c r="EG616" s="188"/>
    </row>
    <row r="617" spans="1:137" s="187" customFormat="1" ht="22.5">
      <c r="A617" s="74" t="s">
        <v>556</v>
      </c>
      <c r="B617" s="186"/>
      <c r="C617" s="186"/>
      <c r="D617" s="76">
        <v>12</v>
      </c>
      <c r="E617" s="76"/>
      <c r="F617" s="76">
        <f>D617</f>
        <v>12</v>
      </c>
      <c r="G617" s="76">
        <v>12</v>
      </c>
      <c r="H617" s="76"/>
      <c r="I617" s="76"/>
      <c r="J617" s="76">
        <f>G617</f>
        <v>12</v>
      </c>
      <c r="K617" s="76"/>
      <c r="L617" s="76"/>
      <c r="M617" s="76"/>
      <c r="N617" s="76">
        <v>12</v>
      </c>
      <c r="O617" s="76"/>
      <c r="P617" s="76">
        <f>N617</f>
        <v>12</v>
      </c>
      <c r="EB617" s="188"/>
      <c r="EC617" s="188"/>
      <c r="ED617" s="188"/>
      <c r="EE617" s="188"/>
      <c r="EF617" s="188"/>
      <c r="EG617" s="188"/>
    </row>
    <row r="618" spans="1:137" s="187" customFormat="1" ht="11.25">
      <c r="A618" s="167" t="s">
        <v>226</v>
      </c>
      <c r="B618" s="186"/>
      <c r="C618" s="18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EB618" s="188"/>
      <c r="EC618" s="188"/>
      <c r="ED618" s="188"/>
      <c r="EE618" s="188"/>
      <c r="EF618" s="188"/>
      <c r="EG618" s="188"/>
    </row>
    <row r="619" spans="1:137" s="187" customFormat="1" ht="22.5">
      <c r="A619" s="74" t="s">
        <v>388</v>
      </c>
      <c r="B619" s="186"/>
      <c r="C619" s="186"/>
      <c r="D619" s="76">
        <f>D615/D617</f>
        <v>3750</v>
      </c>
      <c r="E619" s="76"/>
      <c r="F619" s="76">
        <f>D619</f>
        <v>3750</v>
      </c>
      <c r="G619" s="76">
        <f>G615/G617</f>
        <v>4000</v>
      </c>
      <c r="H619" s="76"/>
      <c r="I619" s="76"/>
      <c r="J619" s="76">
        <f>G619</f>
        <v>4000</v>
      </c>
      <c r="K619" s="76"/>
      <c r="L619" s="76"/>
      <c r="M619" s="76"/>
      <c r="N619" s="76">
        <f>N615/N617</f>
        <v>4241.666666666667</v>
      </c>
      <c r="O619" s="76"/>
      <c r="P619" s="76">
        <f>N619</f>
        <v>4241.666666666667</v>
      </c>
      <c r="EB619" s="188"/>
      <c r="EC619" s="188"/>
      <c r="ED619" s="188"/>
      <c r="EE619" s="188"/>
      <c r="EF619" s="188"/>
      <c r="EG619" s="188"/>
    </row>
    <row r="620" spans="1:137" s="187" customFormat="1" ht="11.25">
      <c r="A620" s="167" t="s">
        <v>374</v>
      </c>
      <c r="B620" s="186"/>
      <c r="C620" s="18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EB620" s="188"/>
      <c r="EC620" s="188"/>
      <c r="ED620" s="188"/>
      <c r="EE620" s="188"/>
      <c r="EF620" s="188"/>
      <c r="EG620" s="188"/>
    </row>
    <row r="621" spans="1:137" s="187" customFormat="1" ht="45">
      <c r="A621" s="74" t="s">
        <v>389</v>
      </c>
      <c r="B621" s="186"/>
      <c r="C621" s="186"/>
      <c r="D621" s="76"/>
      <c r="E621" s="76"/>
      <c r="F621" s="76"/>
      <c r="G621" s="76">
        <f>G619/D619*100</f>
        <v>106.66666666666667</v>
      </c>
      <c r="H621" s="76"/>
      <c r="I621" s="76"/>
      <c r="J621" s="76">
        <f>G621</f>
        <v>106.66666666666667</v>
      </c>
      <c r="K621" s="76"/>
      <c r="L621" s="76"/>
      <c r="M621" s="76"/>
      <c r="N621" s="76">
        <f>N619/G619*100</f>
        <v>106.04166666666669</v>
      </c>
      <c r="O621" s="76"/>
      <c r="P621" s="76">
        <f>N621</f>
        <v>106.04166666666669</v>
      </c>
      <c r="EB621" s="188"/>
      <c r="EC621" s="188"/>
      <c r="ED621" s="188"/>
      <c r="EE621" s="188"/>
      <c r="EF621" s="188"/>
      <c r="EG621" s="188"/>
    </row>
    <row r="622" spans="1:217" s="163" customFormat="1" ht="54.75" customHeight="1">
      <c r="A622" s="260" t="s">
        <v>427</v>
      </c>
      <c r="B622" s="182"/>
      <c r="C622" s="182"/>
      <c r="D622" s="183">
        <f>D624+D637</f>
        <v>177740</v>
      </c>
      <c r="E622" s="183">
        <f>E660+E676</f>
        <v>223400</v>
      </c>
      <c r="F622" s="183">
        <f>D622+E622</f>
        <v>401140</v>
      </c>
      <c r="G622" s="183">
        <f>G624+G637</f>
        <v>313730</v>
      </c>
      <c r="H622" s="183">
        <f>H660+H676</f>
        <v>630370</v>
      </c>
      <c r="I622" s="183"/>
      <c r="J622" s="183">
        <f>G622+H622</f>
        <v>944100</v>
      </c>
      <c r="K622" s="183" t="e">
        <f>#REF!+#REF!</f>
        <v>#REF!</v>
      </c>
      <c r="L622" s="183" t="e">
        <f>#REF!+#REF!</f>
        <v>#REF!</v>
      </c>
      <c r="M622" s="183" t="e">
        <f>#REF!+#REF!</f>
        <v>#REF!</v>
      </c>
      <c r="N622" s="183">
        <f>N624+N637</f>
        <v>322010</v>
      </c>
      <c r="O622" s="183">
        <f>O660+O676</f>
        <v>664380</v>
      </c>
      <c r="P622" s="183">
        <f>N622+O622</f>
        <v>986390</v>
      </c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BZ622" s="115"/>
      <c r="CA622" s="115"/>
      <c r="CB622" s="115"/>
      <c r="CC622" s="115"/>
      <c r="CD622" s="115"/>
      <c r="CE622" s="115"/>
      <c r="CF622" s="115"/>
      <c r="CG622" s="115"/>
      <c r="CH622" s="115"/>
      <c r="CI622" s="115"/>
      <c r="CJ622" s="115"/>
      <c r="CK622" s="115"/>
      <c r="CL622" s="115"/>
      <c r="CM622" s="115"/>
      <c r="CN622" s="115"/>
      <c r="CO622" s="115"/>
      <c r="CP622" s="115"/>
      <c r="CQ622" s="115"/>
      <c r="CR622" s="115"/>
      <c r="CS622" s="115"/>
      <c r="CT622" s="115"/>
      <c r="CU622" s="115"/>
      <c r="CV622" s="115"/>
      <c r="CW622" s="115"/>
      <c r="CX622" s="115"/>
      <c r="CY622" s="115"/>
      <c r="CZ622" s="115"/>
      <c r="DA622" s="115"/>
      <c r="DB622" s="115"/>
      <c r="DC622" s="115"/>
      <c r="DD622" s="115"/>
      <c r="DE622" s="115"/>
      <c r="DF622" s="115"/>
      <c r="DG622" s="115"/>
      <c r="DH622" s="115"/>
      <c r="DI622" s="115"/>
      <c r="DJ622" s="115"/>
      <c r="DK622" s="115"/>
      <c r="DL622" s="115"/>
      <c r="DM622" s="115"/>
      <c r="DN622" s="115"/>
      <c r="DO622" s="115"/>
      <c r="DP622" s="115"/>
      <c r="DQ622" s="115"/>
      <c r="DR622" s="115"/>
      <c r="DS622" s="115"/>
      <c r="DT622" s="115"/>
      <c r="DU622" s="115"/>
      <c r="DV622" s="115"/>
      <c r="DW622" s="115"/>
      <c r="DX622" s="115"/>
      <c r="DY622" s="115"/>
      <c r="DZ622" s="115"/>
      <c r="EA622" s="115"/>
      <c r="EB622" s="115"/>
      <c r="EC622" s="115"/>
      <c r="ED622" s="115"/>
      <c r="EE622" s="115"/>
      <c r="EF622" s="115"/>
      <c r="EG622" s="115"/>
      <c r="EH622" s="115"/>
      <c r="EI622" s="115"/>
      <c r="EJ622" s="115"/>
      <c r="EK622" s="115"/>
      <c r="EL622" s="115"/>
      <c r="EM622" s="115"/>
      <c r="EN622" s="115"/>
      <c r="EO622" s="115"/>
      <c r="EP622" s="115"/>
      <c r="EQ622" s="115"/>
      <c r="ER622" s="115"/>
      <c r="ES622" s="115"/>
      <c r="ET622" s="115"/>
      <c r="EU622" s="115"/>
      <c r="EV622" s="115"/>
      <c r="EW622" s="115"/>
      <c r="EX622" s="115"/>
      <c r="EY622" s="115"/>
      <c r="EZ622" s="115"/>
      <c r="FA622" s="115"/>
      <c r="FB622" s="115"/>
      <c r="FC622" s="115"/>
      <c r="FD622" s="115"/>
      <c r="FE622" s="115"/>
      <c r="FF622" s="115"/>
      <c r="FG622" s="115"/>
      <c r="FH622" s="115"/>
      <c r="FI622" s="115"/>
      <c r="FJ622" s="115"/>
      <c r="FK622" s="115"/>
      <c r="FL622" s="115"/>
      <c r="FM622" s="115"/>
      <c r="FN622" s="115"/>
      <c r="FO622" s="115"/>
      <c r="FP622" s="115"/>
      <c r="FQ622" s="115"/>
      <c r="FR622" s="115"/>
      <c r="FS622" s="115"/>
      <c r="FT622" s="115"/>
      <c r="FU622" s="115"/>
      <c r="FV622" s="115"/>
      <c r="FW622" s="115"/>
      <c r="FX622" s="115"/>
      <c r="FY622" s="115"/>
      <c r="FZ622" s="115"/>
      <c r="GA622" s="115"/>
      <c r="GB622" s="115"/>
      <c r="GC622" s="115"/>
      <c r="GD622" s="115"/>
      <c r="GE622" s="115"/>
      <c r="GF622" s="115"/>
      <c r="GG622" s="115"/>
      <c r="GH622" s="115"/>
      <c r="GI622" s="115"/>
      <c r="GJ622" s="115"/>
      <c r="GK622" s="115"/>
      <c r="GL622" s="115"/>
      <c r="GM622" s="115"/>
      <c r="GN622" s="115"/>
      <c r="GO622" s="115"/>
      <c r="GP622" s="115"/>
      <c r="GQ622" s="115"/>
      <c r="GR622" s="115"/>
      <c r="GS622" s="115"/>
      <c r="GT622" s="115"/>
      <c r="GU622" s="115"/>
      <c r="GV622" s="115"/>
      <c r="GW622" s="115"/>
      <c r="GX622" s="115"/>
      <c r="GY622" s="115"/>
      <c r="GZ622" s="115"/>
      <c r="HA622" s="115"/>
      <c r="HB622" s="115"/>
      <c r="HC622" s="115"/>
      <c r="HD622" s="115"/>
      <c r="HE622" s="115"/>
      <c r="HF622" s="115"/>
      <c r="HG622" s="115"/>
      <c r="HH622" s="115"/>
      <c r="HI622" s="115"/>
    </row>
    <row r="623" spans="1:217" s="158" customFormat="1" ht="36" customHeight="1">
      <c r="A623" s="74" t="s">
        <v>202</v>
      </c>
      <c r="B623" s="75"/>
      <c r="C623" s="75"/>
      <c r="D623" s="83"/>
      <c r="E623" s="83"/>
      <c r="F623" s="83"/>
      <c r="G623" s="83"/>
      <c r="H623" s="83"/>
      <c r="I623" s="83"/>
      <c r="J623" s="83"/>
      <c r="K623" s="159"/>
      <c r="L623" s="79"/>
      <c r="M623" s="83"/>
      <c r="N623" s="83"/>
      <c r="O623" s="83"/>
      <c r="P623" s="83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</row>
    <row r="624" spans="1:217" s="89" customFormat="1" ht="36.75" customHeight="1">
      <c r="A624" s="128" t="s">
        <v>428</v>
      </c>
      <c r="B624" s="128"/>
      <c r="C624" s="128"/>
      <c r="D624" s="129">
        <f>D626+D627+D628</f>
        <v>50000</v>
      </c>
      <c r="E624" s="129"/>
      <c r="F624" s="129">
        <f>F626+F627+F628</f>
        <v>50000</v>
      </c>
      <c r="G624" s="129">
        <f>G626+G627+G628</f>
        <v>177500</v>
      </c>
      <c r="H624" s="129"/>
      <c r="I624" s="129"/>
      <c r="J624" s="129">
        <f>J626+J627+J628</f>
        <v>177500</v>
      </c>
      <c r="K624" s="129"/>
      <c r="L624" s="127"/>
      <c r="M624" s="127"/>
      <c r="N624" s="129">
        <f>N626+N627+N628</f>
        <v>177500</v>
      </c>
      <c r="O624" s="129"/>
      <c r="P624" s="129">
        <f>P626+P627+P628</f>
        <v>177500</v>
      </c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0"/>
      <c r="DM624" s="120"/>
      <c r="DN624" s="120"/>
      <c r="DO624" s="120"/>
      <c r="DP624" s="120"/>
      <c r="DQ624" s="120"/>
      <c r="DR624" s="120"/>
      <c r="DS624" s="120"/>
      <c r="DT624" s="120"/>
      <c r="DU624" s="120"/>
      <c r="DV624" s="120"/>
      <c r="DW624" s="120"/>
      <c r="DX624" s="120"/>
      <c r="DY624" s="120"/>
      <c r="DZ624" s="120"/>
      <c r="EA624" s="120"/>
      <c r="EB624" s="120"/>
      <c r="EC624" s="120"/>
      <c r="ED624" s="120"/>
      <c r="EE624" s="120"/>
      <c r="EF624" s="120"/>
      <c r="EG624" s="120"/>
      <c r="EH624" s="120"/>
      <c r="EI624" s="120"/>
      <c r="EJ624" s="120"/>
      <c r="EK624" s="120"/>
      <c r="EL624" s="120"/>
      <c r="EM624" s="120"/>
      <c r="EN624" s="120"/>
      <c r="EO624" s="120"/>
      <c r="EP624" s="120"/>
      <c r="EQ624" s="120"/>
      <c r="ER624" s="120"/>
      <c r="ES624" s="120"/>
      <c r="ET624" s="120"/>
      <c r="EU624" s="120"/>
      <c r="EV624" s="120"/>
      <c r="EW624" s="120"/>
      <c r="EX624" s="120"/>
      <c r="EY624" s="120"/>
      <c r="EZ624" s="120"/>
      <c r="FA624" s="120"/>
      <c r="FB624" s="120"/>
      <c r="FC624" s="120"/>
      <c r="FD624" s="120"/>
      <c r="FE624" s="120"/>
      <c r="FF624" s="120"/>
      <c r="FG624" s="120"/>
      <c r="FH624" s="120"/>
      <c r="FI624" s="120"/>
      <c r="FJ624" s="120"/>
      <c r="FK624" s="120"/>
      <c r="FL624" s="120"/>
      <c r="FM624" s="120"/>
      <c r="FN624" s="120"/>
      <c r="FO624" s="120"/>
      <c r="FP624" s="120"/>
      <c r="FQ624" s="120"/>
      <c r="FR624" s="120"/>
      <c r="FS624" s="120"/>
      <c r="FT624" s="120"/>
      <c r="FU624" s="120"/>
      <c r="FV624" s="120"/>
      <c r="FW624" s="120"/>
      <c r="FX624" s="120"/>
      <c r="FY624" s="120"/>
      <c r="FZ624" s="120"/>
      <c r="GA624" s="120"/>
      <c r="GB624" s="120"/>
      <c r="GC624" s="120"/>
      <c r="GD624" s="120"/>
      <c r="GE624" s="120"/>
      <c r="GF624" s="120"/>
      <c r="GG624" s="120"/>
      <c r="GH624" s="120"/>
      <c r="GI624" s="120"/>
      <c r="GJ624" s="120"/>
      <c r="GK624" s="120"/>
      <c r="GL624" s="120"/>
      <c r="GM624" s="120"/>
      <c r="GN624" s="120"/>
      <c r="GO624" s="120"/>
      <c r="GP624" s="120"/>
      <c r="GQ624" s="120"/>
      <c r="GR624" s="120"/>
      <c r="GS624" s="120"/>
      <c r="GT624" s="120"/>
      <c r="GU624" s="120"/>
      <c r="GV624" s="120"/>
      <c r="GW624" s="120"/>
      <c r="GX624" s="120"/>
      <c r="GY624" s="120"/>
      <c r="GZ624" s="120"/>
      <c r="HA624" s="120"/>
      <c r="HB624" s="120"/>
      <c r="HC624" s="120"/>
      <c r="HD624" s="120"/>
      <c r="HE624" s="120"/>
      <c r="HF624" s="120"/>
      <c r="HG624" s="120"/>
      <c r="HH624" s="120"/>
      <c r="HI624" s="120"/>
    </row>
    <row r="625" spans="1:217" s="158" customFormat="1" ht="11.25">
      <c r="A625" s="130" t="s">
        <v>2</v>
      </c>
      <c r="B625" s="130"/>
      <c r="C625" s="130"/>
      <c r="D625" s="132"/>
      <c r="E625" s="132"/>
      <c r="F625" s="132"/>
      <c r="G625" s="132"/>
      <c r="H625" s="132"/>
      <c r="I625" s="132"/>
      <c r="J625" s="132"/>
      <c r="K625" s="124"/>
      <c r="L625" s="132"/>
      <c r="M625" s="132"/>
      <c r="N625" s="132"/>
      <c r="O625" s="132"/>
      <c r="P625" s="132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</row>
    <row r="626" spans="1:217" s="158" customFormat="1" ht="36.75" customHeight="1">
      <c r="A626" s="74" t="s">
        <v>203</v>
      </c>
      <c r="B626" s="130"/>
      <c r="C626" s="130"/>
      <c r="D626" s="124">
        <f>D630*D634</f>
        <v>40000</v>
      </c>
      <c r="E626" s="124"/>
      <c r="F626" s="124">
        <f>D626</f>
        <v>40000</v>
      </c>
      <c r="G626" s="124">
        <f>G630*G634</f>
        <v>150000</v>
      </c>
      <c r="H626" s="124"/>
      <c r="I626" s="124"/>
      <c r="J626" s="124">
        <f>G626</f>
        <v>150000</v>
      </c>
      <c r="K626" s="124"/>
      <c r="L626" s="124"/>
      <c r="M626" s="124"/>
      <c r="N626" s="124">
        <f>N630*N634</f>
        <v>150000</v>
      </c>
      <c r="O626" s="124"/>
      <c r="P626" s="138">
        <f>N626</f>
        <v>150000</v>
      </c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</row>
    <row r="627" spans="1:217" s="158" customFormat="1" ht="25.5" customHeight="1">
      <c r="A627" s="74" t="s">
        <v>204</v>
      </c>
      <c r="B627" s="133"/>
      <c r="C627" s="133"/>
      <c r="D627" s="124">
        <f>D631*D635</f>
        <v>10000</v>
      </c>
      <c r="E627" s="124"/>
      <c r="F627" s="124">
        <f>D627</f>
        <v>10000</v>
      </c>
      <c r="G627" s="124">
        <f>G631*G635</f>
        <v>20000</v>
      </c>
      <c r="H627" s="124"/>
      <c r="I627" s="124"/>
      <c r="J627" s="124">
        <f>G627</f>
        <v>20000</v>
      </c>
      <c r="K627" s="124">
        <f>G627/D627*100</f>
        <v>200</v>
      </c>
      <c r="L627" s="124"/>
      <c r="M627" s="124"/>
      <c r="N627" s="124">
        <f>N631*N635</f>
        <v>20000</v>
      </c>
      <c r="O627" s="124"/>
      <c r="P627" s="138">
        <f>N627</f>
        <v>20000</v>
      </c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</row>
    <row r="628" spans="1:217" s="158" customFormat="1" ht="25.5" customHeight="1">
      <c r="A628" s="74" t="s">
        <v>205</v>
      </c>
      <c r="B628" s="133"/>
      <c r="C628" s="133"/>
      <c r="D628" s="124">
        <f>D632*D636</f>
        <v>0</v>
      </c>
      <c r="E628" s="124"/>
      <c r="F628" s="124">
        <f>F632*F636</f>
        <v>0</v>
      </c>
      <c r="G628" s="124">
        <f>G632*G636</f>
        <v>7500</v>
      </c>
      <c r="H628" s="124"/>
      <c r="I628" s="124"/>
      <c r="J628" s="124">
        <f>J632*J636</f>
        <v>7500</v>
      </c>
      <c r="K628" s="124"/>
      <c r="L628" s="124"/>
      <c r="M628" s="124"/>
      <c r="N628" s="124">
        <f>N632*N636</f>
        <v>7500</v>
      </c>
      <c r="O628" s="124"/>
      <c r="P628" s="124">
        <f>P632*P636</f>
        <v>7500</v>
      </c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</row>
    <row r="629" spans="1:217" s="158" customFormat="1" ht="11.25">
      <c r="A629" s="130" t="s">
        <v>3</v>
      </c>
      <c r="B629" s="130"/>
      <c r="C629" s="130"/>
      <c r="D629" s="160"/>
      <c r="E629" s="160"/>
      <c r="F629" s="161"/>
      <c r="G629" s="160"/>
      <c r="H629" s="160"/>
      <c r="I629" s="160"/>
      <c r="J629" s="161"/>
      <c r="K629" s="161"/>
      <c r="L629" s="160"/>
      <c r="M629" s="160"/>
      <c r="N629" s="160"/>
      <c r="O629" s="160"/>
      <c r="P629" s="161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158" customFormat="1" ht="30" customHeight="1">
      <c r="A630" s="74" t="s">
        <v>206</v>
      </c>
      <c r="B630" s="130"/>
      <c r="C630" s="130"/>
      <c r="D630" s="162">
        <v>4</v>
      </c>
      <c r="E630" s="160"/>
      <c r="F630" s="162">
        <f>D630</f>
        <v>4</v>
      </c>
      <c r="G630" s="162">
        <v>15</v>
      </c>
      <c r="H630" s="160"/>
      <c r="I630" s="160"/>
      <c r="J630" s="162">
        <f>G630</f>
        <v>15</v>
      </c>
      <c r="K630" s="161"/>
      <c r="L630" s="160"/>
      <c r="M630" s="160"/>
      <c r="N630" s="162">
        <v>15</v>
      </c>
      <c r="O630" s="160"/>
      <c r="P630" s="162">
        <f>N630</f>
        <v>15</v>
      </c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</row>
    <row r="631" spans="1:217" s="158" customFormat="1" ht="24" customHeight="1">
      <c r="A631" s="74" t="s">
        <v>207</v>
      </c>
      <c r="B631" s="133"/>
      <c r="C631" s="133"/>
      <c r="D631" s="162">
        <v>10</v>
      </c>
      <c r="E631" s="161"/>
      <c r="F631" s="162">
        <f>D631</f>
        <v>10</v>
      </c>
      <c r="G631" s="162">
        <v>20</v>
      </c>
      <c r="H631" s="161"/>
      <c r="I631" s="161"/>
      <c r="J631" s="162">
        <f>G631</f>
        <v>20</v>
      </c>
      <c r="K631" s="161">
        <f>G631/D631*100</f>
        <v>200</v>
      </c>
      <c r="L631" s="161"/>
      <c r="M631" s="161"/>
      <c r="N631" s="162">
        <v>20</v>
      </c>
      <c r="O631" s="161"/>
      <c r="P631" s="162">
        <f>N631</f>
        <v>20</v>
      </c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24" customHeight="1">
      <c r="A632" s="74" t="s">
        <v>208</v>
      </c>
      <c r="B632" s="133"/>
      <c r="C632" s="133"/>
      <c r="D632" s="162"/>
      <c r="E632" s="161"/>
      <c r="F632" s="162">
        <v>25</v>
      </c>
      <c r="G632" s="162">
        <v>25</v>
      </c>
      <c r="H632" s="161"/>
      <c r="I632" s="161"/>
      <c r="J632" s="162">
        <v>25</v>
      </c>
      <c r="K632" s="161"/>
      <c r="L632" s="161"/>
      <c r="M632" s="161"/>
      <c r="N632" s="162">
        <v>25</v>
      </c>
      <c r="O632" s="161"/>
      <c r="P632" s="162">
        <v>25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11.25">
      <c r="A633" s="130" t="s">
        <v>5</v>
      </c>
      <c r="B633" s="130"/>
      <c r="C633" s="130"/>
      <c r="D633" s="132"/>
      <c r="E633" s="132"/>
      <c r="F633" s="124"/>
      <c r="G633" s="132"/>
      <c r="H633" s="132"/>
      <c r="I633" s="132"/>
      <c r="J633" s="124"/>
      <c r="K633" s="124"/>
      <c r="L633" s="132"/>
      <c r="M633" s="132"/>
      <c r="N633" s="132"/>
      <c r="O633" s="132"/>
      <c r="P633" s="124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158" customFormat="1" ht="33" customHeight="1">
      <c r="A634" s="133" t="s">
        <v>144</v>
      </c>
      <c r="B634" s="133"/>
      <c r="C634" s="133"/>
      <c r="D634" s="138">
        <v>10000</v>
      </c>
      <c r="E634" s="131"/>
      <c r="F634" s="138">
        <f>D634</f>
        <v>10000</v>
      </c>
      <c r="G634" s="138">
        <v>10000</v>
      </c>
      <c r="H634" s="131"/>
      <c r="I634" s="131"/>
      <c r="J634" s="138">
        <f>G634</f>
        <v>10000</v>
      </c>
      <c r="K634" s="124">
        <f>G634/D634*100</f>
        <v>100</v>
      </c>
      <c r="L634" s="131"/>
      <c r="M634" s="138"/>
      <c r="N634" s="138">
        <v>10000</v>
      </c>
      <c r="O634" s="131"/>
      <c r="P634" s="138">
        <f>N634</f>
        <v>10000</v>
      </c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</row>
    <row r="635" spans="1:217" s="158" customFormat="1" ht="24" customHeight="1">
      <c r="A635" s="133" t="s">
        <v>145</v>
      </c>
      <c r="B635" s="133"/>
      <c r="C635" s="133"/>
      <c r="D635" s="138">
        <v>1000</v>
      </c>
      <c r="E635" s="131"/>
      <c r="F635" s="138">
        <f>D635</f>
        <v>1000</v>
      </c>
      <c r="G635" s="138">
        <v>1000</v>
      </c>
      <c r="H635" s="131"/>
      <c r="I635" s="131"/>
      <c r="J635" s="138">
        <f>G635</f>
        <v>1000</v>
      </c>
      <c r="K635" s="124">
        <f>G635/D635*100</f>
        <v>100</v>
      </c>
      <c r="L635" s="131"/>
      <c r="M635" s="138"/>
      <c r="N635" s="138">
        <v>1000</v>
      </c>
      <c r="O635" s="131"/>
      <c r="P635" s="138">
        <f>N635</f>
        <v>1000</v>
      </c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</row>
    <row r="636" spans="1:217" s="158" customFormat="1" ht="24" customHeight="1">
      <c r="A636" s="133" t="s">
        <v>209</v>
      </c>
      <c r="B636" s="133"/>
      <c r="C636" s="133"/>
      <c r="D636" s="138"/>
      <c r="E636" s="131"/>
      <c r="F636" s="138">
        <f>D636</f>
        <v>0</v>
      </c>
      <c r="G636" s="138">
        <v>300</v>
      </c>
      <c r="H636" s="131"/>
      <c r="I636" s="131"/>
      <c r="J636" s="138">
        <v>300</v>
      </c>
      <c r="K636" s="124"/>
      <c r="L636" s="131"/>
      <c r="M636" s="138"/>
      <c r="N636" s="138">
        <v>300</v>
      </c>
      <c r="O636" s="131"/>
      <c r="P636" s="138">
        <v>300</v>
      </c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</row>
    <row r="637" spans="1:217" s="89" customFormat="1" ht="49.5" customHeight="1">
      <c r="A637" s="128" t="s">
        <v>429</v>
      </c>
      <c r="B637" s="128"/>
      <c r="C637" s="128"/>
      <c r="D637" s="129">
        <f>SUM(D639:D644)</f>
        <v>127740</v>
      </c>
      <c r="E637" s="129"/>
      <c r="F637" s="129">
        <f>SUM(F639:F644)</f>
        <v>127740</v>
      </c>
      <c r="G637" s="129">
        <f>SUM(G639:G644)</f>
        <v>136230</v>
      </c>
      <c r="H637" s="129"/>
      <c r="I637" s="129"/>
      <c r="J637" s="129">
        <f>SUM(J639:J644)</f>
        <v>136230</v>
      </c>
      <c r="K637" s="129"/>
      <c r="L637" s="127"/>
      <c r="M637" s="127"/>
      <c r="N637" s="129">
        <f>SUM(N639:N644)</f>
        <v>144510</v>
      </c>
      <c r="O637" s="129"/>
      <c r="P637" s="129">
        <f>SUM(P639:P644)</f>
        <v>144510</v>
      </c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</row>
    <row r="638" spans="1:217" s="89" customFormat="1" ht="11.25">
      <c r="A638" s="130" t="s">
        <v>2</v>
      </c>
      <c r="B638" s="128"/>
      <c r="C638" s="128"/>
      <c r="D638" s="129"/>
      <c r="E638" s="129"/>
      <c r="F638" s="129"/>
      <c r="G638" s="129"/>
      <c r="H638" s="129"/>
      <c r="I638" s="129"/>
      <c r="J638" s="129"/>
      <c r="K638" s="129"/>
      <c r="L638" s="127"/>
      <c r="M638" s="127"/>
      <c r="N638" s="129"/>
      <c r="O638" s="129"/>
      <c r="P638" s="129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</row>
    <row r="639" spans="1:217" s="89" customFormat="1" ht="28.5" customHeight="1">
      <c r="A639" s="74" t="s">
        <v>210</v>
      </c>
      <c r="B639" s="128"/>
      <c r="C639" s="128"/>
      <c r="D639" s="124">
        <f aca="true" t="shared" si="32" ref="D639:D644">D646*D653</f>
        <v>9000</v>
      </c>
      <c r="E639" s="129"/>
      <c r="F639" s="124">
        <f aca="true" t="shared" si="33" ref="F639:G642">F646*F653</f>
        <v>9000</v>
      </c>
      <c r="G639" s="124">
        <f t="shared" si="33"/>
        <v>9600</v>
      </c>
      <c r="H639" s="129"/>
      <c r="I639" s="129"/>
      <c r="J639" s="124">
        <f aca="true" t="shared" si="34" ref="J639:J644">J646*J653</f>
        <v>9600</v>
      </c>
      <c r="K639" s="129"/>
      <c r="L639" s="127"/>
      <c r="M639" s="127"/>
      <c r="N639" s="124">
        <f aca="true" t="shared" si="35" ref="N639:N644">N646*N653</f>
        <v>10200</v>
      </c>
      <c r="O639" s="129"/>
      <c r="P639" s="124">
        <f aca="true" t="shared" si="36" ref="P639:P644">P646*P653</f>
        <v>10200</v>
      </c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</row>
    <row r="640" spans="1:217" s="89" customFormat="1" ht="22.5">
      <c r="A640" s="74" t="s">
        <v>211</v>
      </c>
      <c r="B640" s="128"/>
      <c r="C640" s="128"/>
      <c r="D640" s="124">
        <f t="shared" si="32"/>
        <v>28200</v>
      </c>
      <c r="E640" s="129"/>
      <c r="F640" s="124">
        <f t="shared" si="33"/>
        <v>28200</v>
      </c>
      <c r="G640" s="124">
        <f t="shared" si="33"/>
        <v>30000</v>
      </c>
      <c r="H640" s="129"/>
      <c r="I640" s="129"/>
      <c r="J640" s="124">
        <f t="shared" si="34"/>
        <v>30000</v>
      </c>
      <c r="K640" s="129"/>
      <c r="L640" s="127"/>
      <c r="M640" s="127"/>
      <c r="N640" s="124">
        <f t="shared" si="35"/>
        <v>31800</v>
      </c>
      <c r="O640" s="129"/>
      <c r="P640" s="124">
        <f t="shared" si="36"/>
        <v>31800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</row>
    <row r="641" spans="1:217" s="89" customFormat="1" ht="33.75">
      <c r="A641" s="74" t="s">
        <v>212</v>
      </c>
      <c r="B641" s="128"/>
      <c r="C641" s="128"/>
      <c r="D641" s="124">
        <f t="shared" si="32"/>
        <v>49950</v>
      </c>
      <c r="E641" s="129"/>
      <c r="F641" s="124">
        <f t="shared" si="33"/>
        <v>49950</v>
      </c>
      <c r="G641" s="124">
        <f t="shared" si="33"/>
        <v>53250</v>
      </c>
      <c r="H641" s="129"/>
      <c r="I641" s="129"/>
      <c r="J641" s="124">
        <f t="shared" si="34"/>
        <v>53250</v>
      </c>
      <c r="K641" s="129"/>
      <c r="L641" s="127"/>
      <c r="M641" s="127"/>
      <c r="N641" s="124">
        <f t="shared" si="35"/>
        <v>56400</v>
      </c>
      <c r="O641" s="129"/>
      <c r="P641" s="124">
        <f t="shared" si="36"/>
        <v>56400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</row>
    <row r="642" spans="1:217" s="89" customFormat="1" ht="33.75">
      <c r="A642" s="74" t="s">
        <v>213</v>
      </c>
      <c r="B642" s="128"/>
      <c r="C642" s="128"/>
      <c r="D642" s="124">
        <f t="shared" si="32"/>
        <v>31050</v>
      </c>
      <c r="E642" s="124"/>
      <c r="F642" s="124">
        <f t="shared" si="33"/>
        <v>31050</v>
      </c>
      <c r="G642" s="124">
        <f t="shared" si="33"/>
        <v>33300</v>
      </c>
      <c r="H642" s="124"/>
      <c r="I642" s="124"/>
      <c r="J642" s="124">
        <f t="shared" si="34"/>
        <v>33300</v>
      </c>
      <c r="K642" s="124"/>
      <c r="L642" s="131"/>
      <c r="M642" s="131"/>
      <c r="N642" s="124">
        <f t="shared" si="35"/>
        <v>35550</v>
      </c>
      <c r="O642" s="124"/>
      <c r="P642" s="124">
        <f t="shared" si="36"/>
        <v>35550</v>
      </c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</row>
    <row r="643" spans="1:217" s="89" customFormat="1" ht="22.5">
      <c r="A643" s="74" t="s">
        <v>214</v>
      </c>
      <c r="B643" s="128"/>
      <c r="C643" s="128"/>
      <c r="D643" s="124">
        <f t="shared" si="32"/>
        <v>7620</v>
      </c>
      <c r="E643" s="124"/>
      <c r="F643" s="124">
        <f>F650*F657</f>
        <v>7620</v>
      </c>
      <c r="G643" s="124">
        <f>G650*G657</f>
        <v>8160</v>
      </c>
      <c r="H643" s="124"/>
      <c r="I643" s="124"/>
      <c r="J643" s="124">
        <f t="shared" si="34"/>
        <v>8160</v>
      </c>
      <c r="K643" s="124"/>
      <c r="L643" s="131"/>
      <c r="M643" s="131"/>
      <c r="N643" s="124">
        <f t="shared" si="35"/>
        <v>8640</v>
      </c>
      <c r="O643" s="124"/>
      <c r="P643" s="124">
        <f t="shared" si="36"/>
        <v>8640</v>
      </c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</row>
    <row r="644" spans="1:217" s="89" customFormat="1" ht="33.75">
      <c r="A644" s="74" t="s">
        <v>193</v>
      </c>
      <c r="B644" s="128"/>
      <c r="C644" s="128"/>
      <c r="D644" s="124">
        <f t="shared" si="32"/>
        <v>1920</v>
      </c>
      <c r="E644" s="124"/>
      <c r="F644" s="124">
        <f>F651*F658</f>
        <v>1920</v>
      </c>
      <c r="G644" s="124">
        <f>G651*G658</f>
        <v>1920</v>
      </c>
      <c r="H644" s="124"/>
      <c r="I644" s="124"/>
      <c r="J644" s="124">
        <f t="shared" si="34"/>
        <v>1920</v>
      </c>
      <c r="K644" s="124"/>
      <c r="L644" s="131"/>
      <c r="M644" s="131"/>
      <c r="N644" s="124">
        <f t="shared" si="35"/>
        <v>1920</v>
      </c>
      <c r="O644" s="124"/>
      <c r="P644" s="124">
        <f t="shared" si="36"/>
        <v>1920</v>
      </c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</row>
    <row r="645" spans="1:217" s="158" customFormat="1" ht="11.25">
      <c r="A645" s="130" t="s">
        <v>3</v>
      </c>
      <c r="B645" s="130"/>
      <c r="C645" s="130"/>
      <c r="D645" s="132"/>
      <c r="E645" s="132"/>
      <c r="F645" s="124"/>
      <c r="G645" s="132"/>
      <c r="H645" s="132"/>
      <c r="I645" s="132"/>
      <c r="J645" s="124"/>
      <c r="K645" s="124"/>
      <c r="L645" s="132"/>
      <c r="M645" s="132"/>
      <c r="N645" s="132"/>
      <c r="O645" s="132"/>
      <c r="P645" s="124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</row>
    <row r="646" spans="1:217" s="158" customFormat="1" ht="33.75" customHeight="1">
      <c r="A646" s="74" t="s">
        <v>146</v>
      </c>
      <c r="B646" s="133"/>
      <c r="C646" s="133"/>
      <c r="D646" s="134">
        <v>30</v>
      </c>
      <c r="E646" s="135"/>
      <c r="F646" s="134">
        <v>30</v>
      </c>
      <c r="G646" s="134">
        <v>30</v>
      </c>
      <c r="H646" s="135"/>
      <c r="I646" s="135"/>
      <c r="J646" s="134">
        <v>30</v>
      </c>
      <c r="K646" s="135"/>
      <c r="L646" s="135"/>
      <c r="M646" s="135"/>
      <c r="N646" s="134">
        <v>30</v>
      </c>
      <c r="O646" s="135"/>
      <c r="P646" s="134">
        <v>30</v>
      </c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</row>
    <row r="647" spans="1:217" s="158" customFormat="1" ht="35.25" customHeight="1">
      <c r="A647" s="74" t="s">
        <v>147</v>
      </c>
      <c r="B647" s="133"/>
      <c r="C647" s="133"/>
      <c r="D647" s="134">
        <v>30</v>
      </c>
      <c r="E647" s="135"/>
      <c r="F647" s="134">
        <v>30</v>
      </c>
      <c r="G647" s="134">
        <v>30</v>
      </c>
      <c r="H647" s="135"/>
      <c r="I647" s="135"/>
      <c r="J647" s="134">
        <v>30</v>
      </c>
      <c r="K647" s="135"/>
      <c r="L647" s="135"/>
      <c r="M647" s="135"/>
      <c r="N647" s="134">
        <v>30</v>
      </c>
      <c r="O647" s="135"/>
      <c r="P647" s="134">
        <v>30</v>
      </c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</row>
    <row r="648" spans="1:217" s="158" customFormat="1" ht="39.75" customHeight="1">
      <c r="A648" s="74" t="s">
        <v>215</v>
      </c>
      <c r="B648" s="133"/>
      <c r="C648" s="133"/>
      <c r="D648" s="134">
        <v>30</v>
      </c>
      <c r="E648" s="135"/>
      <c r="F648" s="134">
        <v>30</v>
      </c>
      <c r="G648" s="134">
        <v>30</v>
      </c>
      <c r="H648" s="135"/>
      <c r="I648" s="135"/>
      <c r="J648" s="134">
        <v>30</v>
      </c>
      <c r="K648" s="135"/>
      <c r="L648" s="135"/>
      <c r="M648" s="135"/>
      <c r="N648" s="134">
        <v>30</v>
      </c>
      <c r="O648" s="135"/>
      <c r="P648" s="134">
        <v>30</v>
      </c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</row>
    <row r="649" spans="1:217" s="158" customFormat="1" ht="36" customHeight="1">
      <c r="A649" s="74" t="s">
        <v>216</v>
      </c>
      <c r="B649" s="133"/>
      <c r="C649" s="133"/>
      <c r="D649" s="134">
        <v>90</v>
      </c>
      <c r="E649" s="134"/>
      <c r="F649" s="134">
        <v>90</v>
      </c>
      <c r="G649" s="134">
        <v>90</v>
      </c>
      <c r="H649" s="134"/>
      <c r="I649" s="134"/>
      <c r="J649" s="134">
        <v>90</v>
      </c>
      <c r="K649" s="134"/>
      <c r="L649" s="134"/>
      <c r="M649" s="134"/>
      <c r="N649" s="134">
        <v>90</v>
      </c>
      <c r="O649" s="134"/>
      <c r="P649" s="134">
        <v>90</v>
      </c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</row>
    <row r="650" spans="1:217" s="158" customFormat="1" ht="31.5" customHeight="1">
      <c r="A650" s="74" t="s">
        <v>217</v>
      </c>
      <c r="B650" s="133"/>
      <c r="C650" s="133"/>
      <c r="D650" s="134">
        <v>12</v>
      </c>
      <c r="E650" s="134"/>
      <c r="F650" s="134">
        <f>D650</f>
        <v>12</v>
      </c>
      <c r="G650" s="134">
        <v>12</v>
      </c>
      <c r="H650" s="135"/>
      <c r="I650" s="135"/>
      <c r="J650" s="134">
        <v>12</v>
      </c>
      <c r="K650" s="135"/>
      <c r="L650" s="135"/>
      <c r="M650" s="135"/>
      <c r="N650" s="134">
        <v>12</v>
      </c>
      <c r="O650" s="135"/>
      <c r="P650" s="134">
        <v>12</v>
      </c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</row>
    <row r="651" spans="1:217" s="158" customFormat="1" ht="23.25" customHeight="1">
      <c r="A651" s="74" t="s">
        <v>218</v>
      </c>
      <c r="B651" s="133"/>
      <c r="C651" s="133"/>
      <c r="D651" s="134">
        <v>12</v>
      </c>
      <c r="E651" s="134"/>
      <c r="F651" s="134">
        <f>D651</f>
        <v>12</v>
      </c>
      <c r="G651" s="134">
        <v>12</v>
      </c>
      <c r="H651" s="134"/>
      <c r="I651" s="134"/>
      <c r="J651" s="134">
        <v>12</v>
      </c>
      <c r="K651" s="134"/>
      <c r="L651" s="134"/>
      <c r="M651" s="134"/>
      <c r="N651" s="134">
        <v>12</v>
      </c>
      <c r="O651" s="134"/>
      <c r="P651" s="134">
        <v>12</v>
      </c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11.25">
      <c r="A652" s="130" t="s">
        <v>5</v>
      </c>
      <c r="B652" s="130"/>
      <c r="C652" s="130"/>
      <c r="D652" s="136"/>
      <c r="E652" s="132"/>
      <c r="F652" s="136"/>
      <c r="G652" s="136"/>
      <c r="H652" s="132"/>
      <c r="I652" s="132"/>
      <c r="J652" s="136"/>
      <c r="K652" s="124"/>
      <c r="L652" s="132"/>
      <c r="M652" s="132"/>
      <c r="N652" s="136"/>
      <c r="O652" s="132"/>
      <c r="P652" s="136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9" customHeight="1">
      <c r="A653" s="133" t="s">
        <v>219</v>
      </c>
      <c r="B653" s="133"/>
      <c r="C653" s="133"/>
      <c r="D653" s="138">
        <v>300</v>
      </c>
      <c r="E653" s="131"/>
      <c r="F653" s="124">
        <f aca="true" t="shared" si="37" ref="F653:F658">D653</f>
        <v>300</v>
      </c>
      <c r="G653" s="138">
        <v>320</v>
      </c>
      <c r="H653" s="131"/>
      <c r="I653" s="131"/>
      <c r="J653" s="124">
        <f aca="true" t="shared" si="38" ref="J653:J658">G653</f>
        <v>320</v>
      </c>
      <c r="K653" s="139"/>
      <c r="L653" s="140"/>
      <c r="M653" s="141"/>
      <c r="N653" s="138">
        <v>340</v>
      </c>
      <c r="O653" s="131"/>
      <c r="P653" s="124">
        <f aca="true" t="shared" si="39" ref="P653:P658">N653</f>
        <v>340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33.75">
      <c r="A654" s="133" t="s">
        <v>220</v>
      </c>
      <c r="B654" s="133"/>
      <c r="C654" s="133"/>
      <c r="D654" s="138">
        <v>940</v>
      </c>
      <c r="E654" s="131"/>
      <c r="F654" s="124">
        <f t="shared" si="37"/>
        <v>940</v>
      </c>
      <c r="G654" s="138">
        <v>1000</v>
      </c>
      <c r="H654" s="131"/>
      <c r="I654" s="131"/>
      <c r="J654" s="124">
        <f t="shared" si="38"/>
        <v>1000</v>
      </c>
      <c r="K654" s="124"/>
      <c r="L654" s="131"/>
      <c r="M654" s="138"/>
      <c r="N654" s="138">
        <v>1060</v>
      </c>
      <c r="O654" s="131"/>
      <c r="P654" s="124">
        <f t="shared" si="39"/>
        <v>1060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3.75">
      <c r="A655" s="133" t="s">
        <v>221</v>
      </c>
      <c r="B655" s="133"/>
      <c r="C655" s="133"/>
      <c r="D655" s="138">
        <v>1665</v>
      </c>
      <c r="E655" s="131"/>
      <c r="F655" s="124">
        <f t="shared" si="37"/>
        <v>1665</v>
      </c>
      <c r="G655" s="138">
        <v>1775</v>
      </c>
      <c r="H655" s="131"/>
      <c r="I655" s="131"/>
      <c r="J655" s="124">
        <f t="shared" si="38"/>
        <v>1775</v>
      </c>
      <c r="K655" s="124"/>
      <c r="L655" s="131"/>
      <c r="M655" s="138"/>
      <c r="N655" s="138">
        <v>1880</v>
      </c>
      <c r="O655" s="131"/>
      <c r="P655" s="124">
        <f t="shared" si="39"/>
        <v>1880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217" s="158" customFormat="1" ht="33.75">
      <c r="A656" s="133" t="s">
        <v>222</v>
      </c>
      <c r="B656" s="133"/>
      <c r="C656" s="133"/>
      <c r="D656" s="138">
        <v>345</v>
      </c>
      <c r="E656" s="131"/>
      <c r="F656" s="124">
        <f t="shared" si="37"/>
        <v>345</v>
      </c>
      <c r="G656" s="138">
        <v>370</v>
      </c>
      <c r="H656" s="131"/>
      <c r="I656" s="131"/>
      <c r="J656" s="124">
        <f t="shared" si="38"/>
        <v>370</v>
      </c>
      <c r="K656" s="124"/>
      <c r="L656" s="131"/>
      <c r="M656" s="138"/>
      <c r="N656" s="138">
        <v>395</v>
      </c>
      <c r="O656" s="131"/>
      <c r="P656" s="124">
        <f t="shared" si="39"/>
        <v>395</v>
      </c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</row>
    <row r="657" spans="1:217" s="158" customFormat="1" ht="23.25" customHeight="1">
      <c r="A657" s="133" t="s">
        <v>223</v>
      </c>
      <c r="B657" s="133"/>
      <c r="C657" s="133"/>
      <c r="D657" s="138">
        <v>635</v>
      </c>
      <c r="E657" s="131"/>
      <c r="F657" s="124">
        <f t="shared" si="37"/>
        <v>635</v>
      </c>
      <c r="G657" s="138">
        <v>680</v>
      </c>
      <c r="H657" s="131"/>
      <c r="I657" s="131"/>
      <c r="J657" s="124">
        <f t="shared" si="38"/>
        <v>680</v>
      </c>
      <c r="K657" s="124"/>
      <c r="L657" s="131"/>
      <c r="M657" s="138"/>
      <c r="N657" s="138">
        <v>720</v>
      </c>
      <c r="O657" s="131"/>
      <c r="P657" s="124">
        <f t="shared" si="39"/>
        <v>720</v>
      </c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</row>
    <row r="658" spans="1:217" s="158" customFormat="1" ht="34.5" customHeight="1">
      <c r="A658" s="133" t="s">
        <v>224</v>
      </c>
      <c r="B658" s="133"/>
      <c r="C658" s="133"/>
      <c r="D658" s="138">
        <v>160</v>
      </c>
      <c r="E658" s="131"/>
      <c r="F658" s="124">
        <f t="shared" si="37"/>
        <v>160</v>
      </c>
      <c r="G658" s="138">
        <v>160</v>
      </c>
      <c r="H658" s="131"/>
      <c r="I658" s="138"/>
      <c r="J658" s="124">
        <f t="shared" si="38"/>
        <v>160</v>
      </c>
      <c r="K658" s="124"/>
      <c r="L658" s="131"/>
      <c r="M658" s="138"/>
      <c r="N658" s="138">
        <v>160</v>
      </c>
      <c r="O658" s="131"/>
      <c r="P658" s="124">
        <f t="shared" si="39"/>
        <v>160</v>
      </c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</row>
    <row r="659" spans="1:16" ht="75.75" customHeight="1">
      <c r="A659" s="125" t="s">
        <v>189</v>
      </c>
      <c r="B659" s="125"/>
      <c r="C659" s="125"/>
      <c r="D659" s="126"/>
      <c r="E659" s="126"/>
      <c r="F659" s="126"/>
      <c r="G659" s="126"/>
      <c r="H659" s="126"/>
      <c r="I659" s="126"/>
      <c r="J659" s="126"/>
      <c r="K659" s="124"/>
      <c r="L659" s="127"/>
      <c r="M659" s="126"/>
      <c r="N659" s="126"/>
      <c r="O659" s="126"/>
      <c r="P659" s="126"/>
    </row>
    <row r="660" spans="1:16" ht="71.25" customHeight="1">
      <c r="A660" s="128" t="s">
        <v>430</v>
      </c>
      <c r="B660" s="128"/>
      <c r="C660" s="128"/>
      <c r="D660" s="129"/>
      <c r="E660" s="129">
        <f>SUM(E662:E665)-8.5</f>
        <v>156200</v>
      </c>
      <c r="F660" s="129">
        <f>E660</f>
        <v>156200</v>
      </c>
      <c r="G660" s="129"/>
      <c r="H660" s="129">
        <f>SUM(H662:H665)</f>
        <v>563170</v>
      </c>
      <c r="I660" s="129"/>
      <c r="J660" s="129">
        <f>SUM(J662:J665)</f>
        <v>563170</v>
      </c>
      <c r="K660" s="124"/>
      <c r="L660" s="127"/>
      <c r="M660" s="127"/>
      <c r="N660" s="129"/>
      <c r="O660" s="129">
        <f>SUM(O662:O665)</f>
        <v>597180</v>
      </c>
      <c r="P660" s="129">
        <f>SUM(P662:P665)</f>
        <v>597180</v>
      </c>
    </row>
    <row r="661" spans="1:16" ht="21.75" customHeight="1">
      <c r="A661" s="130" t="s">
        <v>2</v>
      </c>
      <c r="B661" s="128"/>
      <c r="C661" s="128"/>
      <c r="D661" s="129"/>
      <c r="E661" s="129"/>
      <c r="F661" s="129"/>
      <c r="G661" s="129"/>
      <c r="H661" s="129"/>
      <c r="I661" s="129"/>
      <c r="J661" s="129"/>
      <c r="K661" s="129"/>
      <c r="L661" s="127"/>
      <c r="M661" s="127"/>
      <c r="N661" s="129"/>
      <c r="O661" s="129"/>
      <c r="P661" s="129"/>
    </row>
    <row r="662" spans="1:16" ht="39" customHeight="1">
      <c r="A662" s="74" t="s">
        <v>190</v>
      </c>
      <c r="B662" s="128"/>
      <c r="C662" s="128"/>
      <c r="D662" s="124"/>
      <c r="E662" s="124">
        <f>E667*E672</f>
        <v>114300</v>
      </c>
      <c r="F662" s="124">
        <f>F667*F672</f>
        <v>114300</v>
      </c>
      <c r="G662" s="124"/>
      <c r="H662" s="124">
        <f>H667*H672</f>
        <v>508750</v>
      </c>
      <c r="I662" s="129"/>
      <c r="J662" s="124">
        <f>J667*J672</f>
        <v>508750</v>
      </c>
      <c r="K662" s="129"/>
      <c r="L662" s="127"/>
      <c r="M662" s="127"/>
      <c r="N662" s="124"/>
      <c r="O662" s="124">
        <f>O667*O672</f>
        <v>540000</v>
      </c>
      <c r="P662" s="124">
        <f>P667*P672</f>
        <v>540000</v>
      </c>
    </row>
    <row r="663" spans="1:16" ht="21.75" customHeight="1">
      <c r="A663" s="74" t="s">
        <v>191</v>
      </c>
      <c r="B663" s="128"/>
      <c r="C663" s="128"/>
      <c r="D663" s="124"/>
      <c r="E663" s="124">
        <f aca="true" t="shared" si="40" ref="E663:F665">E668*E673</f>
        <v>13335</v>
      </c>
      <c r="F663" s="124">
        <f t="shared" si="40"/>
        <v>13335</v>
      </c>
      <c r="G663" s="124"/>
      <c r="H663" s="124">
        <f>H668*H673</f>
        <v>16320</v>
      </c>
      <c r="I663" s="129"/>
      <c r="J663" s="124">
        <f>J668*J673</f>
        <v>16320</v>
      </c>
      <c r="K663" s="129"/>
      <c r="L663" s="127"/>
      <c r="M663" s="127"/>
      <c r="N663" s="124"/>
      <c r="O663" s="124">
        <f aca="true" t="shared" si="41" ref="O663:P665">O668*O673</f>
        <v>17280</v>
      </c>
      <c r="P663" s="124">
        <f t="shared" si="41"/>
        <v>17280</v>
      </c>
    </row>
    <row r="664" spans="1:16" ht="39.75" customHeight="1">
      <c r="A664" s="74" t="s">
        <v>192</v>
      </c>
      <c r="B664" s="128"/>
      <c r="C664" s="128"/>
      <c r="D664" s="124"/>
      <c r="E664" s="124">
        <f t="shared" si="40"/>
        <v>24253.5</v>
      </c>
      <c r="F664" s="124">
        <f t="shared" si="40"/>
        <v>24253.5</v>
      </c>
      <c r="G664" s="124"/>
      <c r="H664" s="124">
        <f>H669*H674</f>
        <v>33300</v>
      </c>
      <c r="I664" s="129"/>
      <c r="J664" s="124">
        <f>J669*J674</f>
        <v>33300</v>
      </c>
      <c r="K664" s="129"/>
      <c r="L664" s="127"/>
      <c r="M664" s="127"/>
      <c r="N664" s="124"/>
      <c r="O664" s="124">
        <f t="shared" si="41"/>
        <v>35100</v>
      </c>
      <c r="P664" s="124">
        <f t="shared" si="41"/>
        <v>35100</v>
      </c>
    </row>
    <row r="665" spans="1:16" ht="41.25" customHeight="1">
      <c r="A665" s="74" t="s">
        <v>193</v>
      </c>
      <c r="B665" s="128"/>
      <c r="C665" s="128"/>
      <c r="D665" s="124"/>
      <c r="E665" s="124">
        <f t="shared" si="40"/>
        <v>4320</v>
      </c>
      <c r="F665" s="124">
        <f t="shared" si="40"/>
        <v>4320</v>
      </c>
      <c r="G665" s="124"/>
      <c r="H665" s="124">
        <f>H670*H675</f>
        <v>4800</v>
      </c>
      <c r="I665" s="124"/>
      <c r="J665" s="124">
        <f>J670*J675</f>
        <v>4800</v>
      </c>
      <c r="K665" s="124"/>
      <c r="L665" s="131"/>
      <c r="M665" s="131"/>
      <c r="N665" s="124"/>
      <c r="O665" s="124">
        <f t="shared" si="41"/>
        <v>4800</v>
      </c>
      <c r="P665" s="124">
        <f t="shared" si="41"/>
        <v>4800</v>
      </c>
    </row>
    <row r="666" spans="1:16" ht="21.75" customHeight="1">
      <c r="A666" s="130" t="s">
        <v>3</v>
      </c>
      <c r="B666" s="130"/>
      <c r="C666" s="130"/>
      <c r="D666" s="132"/>
      <c r="E666" s="132"/>
      <c r="F666" s="124"/>
      <c r="G666" s="132"/>
      <c r="H666" s="132"/>
      <c r="I666" s="132"/>
      <c r="J666" s="124"/>
      <c r="K666" s="124"/>
      <c r="L666" s="132"/>
      <c r="M666" s="132"/>
      <c r="N666" s="132"/>
      <c r="O666" s="132"/>
      <c r="P666" s="124"/>
    </row>
    <row r="667" spans="1:16" ht="39" customHeight="1">
      <c r="A667" s="74" t="s">
        <v>149</v>
      </c>
      <c r="B667" s="133"/>
      <c r="C667" s="133"/>
      <c r="D667" s="134"/>
      <c r="E667" s="134">
        <f>230-170</f>
        <v>60</v>
      </c>
      <c r="F667" s="134">
        <f>E667</f>
        <v>60</v>
      </c>
      <c r="G667" s="134"/>
      <c r="H667" s="134">
        <f>60+160+30</f>
        <v>250</v>
      </c>
      <c r="I667" s="134"/>
      <c r="J667" s="134">
        <f>60+160+30</f>
        <v>250</v>
      </c>
      <c r="K667" s="134"/>
      <c r="L667" s="134"/>
      <c r="M667" s="134"/>
      <c r="N667" s="134"/>
      <c r="O667" s="134">
        <f>60+160+30</f>
        <v>250</v>
      </c>
      <c r="P667" s="134">
        <f>60+160+30</f>
        <v>250</v>
      </c>
    </row>
    <row r="668" spans="1:16" ht="21.75" customHeight="1">
      <c r="A668" s="74" t="s">
        <v>150</v>
      </c>
      <c r="B668" s="133"/>
      <c r="C668" s="133"/>
      <c r="D668" s="134"/>
      <c r="E668" s="134">
        <f>24-3</f>
        <v>21</v>
      </c>
      <c r="F668" s="134">
        <f>E668</f>
        <v>21</v>
      </c>
      <c r="G668" s="134"/>
      <c r="H668" s="134">
        <v>24</v>
      </c>
      <c r="I668" s="135"/>
      <c r="J668" s="134">
        <v>24</v>
      </c>
      <c r="K668" s="135"/>
      <c r="L668" s="135"/>
      <c r="M668" s="135"/>
      <c r="N668" s="134"/>
      <c r="O668" s="134">
        <v>24</v>
      </c>
      <c r="P668" s="134">
        <v>24</v>
      </c>
    </row>
    <row r="669" spans="1:16" ht="36" customHeight="1">
      <c r="A669" s="74" t="s">
        <v>151</v>
      </c>
      <c r="B669" s="133"/>
      <c r="C669" s="133"/>
      <c r="D669" s="134"/>
      <c r="E669" s="134">
        <f>90-19.7</f>
        <v>70.3</v>
      </c>
      <c r="F669" s="134">
        <f>E669</f>
        <v>70.3</v>
      </c>
      <c r="G669" s="134"/>
      <c r="H669" s="134">
        <v>90</v>
      </c>
      <c r="I669" s="134"/>
      <c r="J669" s="134">
        <v>90</v>
      </c>
      <c r="K669" s="134"/>
      <c r="L669" s="134"/>
      <c r="M669" s="134"/>
      <c r="N669" s="134"/>
      <c r="O669" s="134">
        <v>90</v>
      </c>
      <c r="P669" s="134">
        <v>90</v>
      </c>
    </row>
    <row r="670" spans="1:16" ht="21.75" customHeight="1">
      <c r="A670" s="74" t="s">
        <v>152</v>
      </c>
      <c r="B670" s="133"/>
      <c r="C670" s="133"/>
      <c r="D670" s="134"/>
      <c r="E670" s="134">
        <f>30-3</f>
        <v>27</v>
      </c>
      <c r="F670" s="134">
        <f>E670</f>
        <v>27</v>
      </c>
      <c r="G670" s="134"/>
      <c r="H670" s="134">
        <v>30</v>
      </c>
      <c r="I670" s="134"/>
      <c r="J670" s="134">
        <v>30</v>
      </c>
      <c r="K670" s="134"/>
      <c r="L670" s="134"/>
      <c r="M670" s="134"/>
      <c r="N670" s="134"/>
      <c r="O670" s="134">
        <v>30</v>
      </c>
      <c r="P670" s="134">
        <v>30</v>
      </c>
    </row>
    <row r="671" spans="1:16" ht="21.75" customHeight="1">
      <c r="A671" s="130" t="s">
        <v>5</v>
      </c>
      <c r="B671" s="130"/>
      <c r="C671" s="130"/>
      <c r="D671" s="136"/>
      <c r="E671" s="137"/>
      <c r="F671" s="137"/>
      <c r="G671" s="136"/>
      <c r="H671" s="137"/>
      <c r="I671" s="132"/>
      <c r="J671" s="137"/>
      <c r="K671" s="124"/>
      <c r="L671" s="132"/>
      <c r="M671" s="132"/>
      <c r="N671" s="136"/>
      <c r="O671" s="137"/>
      <c r="P671" s="137"/>
    </row>
    <row r="672" spans="1:16" ht="24" customHeight="1">
      <c r="A672" s="133" t="s">
        <v>194</v>
      </c>
      <c r="B672" s="133"/>
      <c r="C672" s="133"/>
      <c r="D672" s="138"/>
      <c r="E672" s="124">
        <v>1905</v>
      </c>
      <c r="F672" s="124">
        <f>E672</f>
        <v>1905</v>
      </c>
      <c r="G672" s="138"/>
      <c r="H672" s="124">
        <v>2035</v>
      </c>
      <c r="I672" s="131"/>
      <c r="J672" s="124">
        <f>H672</f>
        <v>2035</v>
      </c>
      <c r="K672" s="139"/>
      <c r="L672" s="140"/>
      <c r="M672" s="141"/>
      <c r="N672" s="138"/>
      <c r="O672" s="124">
        <v>2160</v>
      </c>
      <c r="P672" s="124">
        <f>O672</f>
        <v>2160</v>
      </c>
    </row>
    <row r="673" spans="1:16" ht="26.25" customHeight="1">
      <c r="A673" s="133" t="s">
        <v>195</v>
      </c>
      <c r="B673" s="133"/>
      <c r="C673" s="133"/>
      <c r="D673" s="138"/>
      <c r="E673" s="138">
        <v>635</v>
      </c>
      <c r="F673" s="124">
        <f>E673</f>
        <v>635</v>
      </c>
      <c r="G673" s="138"/>
      <c r="H673" s="138">
        <v>680</v>
      </c>
      <c r="I673" s="131"/>
      <c r="J673" s="124">
        <f>H673</f>
        <v>680</v>
      </c>
      <c r="K673" s="124"/>
      <c r="L673" s="131"/>
      <c r="M673" s="138"/>
      <c r="N673" s="138"/>
      <c r="O673" s="138">
        <v>720</v>
      </c>
      <c r="P673" s="124">
        <f>O673</f>
        <v>720</v>
      </c>
    </row>
    <row r="674" spans="1:16" ht="35.25" customHeight="1">
      <c r="A674" s="133" t="s">
        <v>196</v>
      </c>
      <c r="B674" s="133"/>
      <c r="C674" s="133"/>
      <c r="D674" s="138"/>
      <c r="E674" s="138">
        <v>345</v>
      </c>
      <c r="F674" s="124">
        <f>E674</f>
        <v>345</v>
      </c>
      <c r="G674" s="138"/>
      <c r="H674" s="138">
        <v>370</v>
      </c>
      <c r="I674" s="131"/>
      <c r="J674" s="124">
        <f>H674</f>
        <v>370</v>
      </c>
      <c r="K674" s="124"/>
      <c r="L674" s="131"/>
      <c r="M674" s="138"/>
      <c r="N674" s="138"/>
      <c r="O674" s="138">
        <v>390</v>
      </c>
      <c r="P674" s="124">
        <f>O674</f>
        <v>390</v>
      </c>
    </row>
    <row r="675" spans="1:16" ht="30.75" customHeight="1">
      <c r="A675" s="142" t="s">
        <v>197</v>
      </c>
      <c r="B675" s="142"/>
      <c r="C675" s="142"/>
      <c r="D675" s="143"/>
      <c r="E675" s="143">
        <v>160</v>
      </c>
      <c r="F675" s="144">
        <f>E675</f>
        <v>160</v>
      </c>
      <c r="G675" s="143"/>
      <c r="H675" s="143">
        <v>160</v>
      </c>
      <c r="I675" s="143"/>
      <c r="J675" s="144">
        <f>H675</f>
        <v>160</v>
      </c>
      <c r="K675" s="144"/>
      <c r="L675" s="145"/>
      <c r="M675" s="143"/>
      <c r="N675" s="143"/>
      <c r="O675" s="143">
        <v>160</v>
      </c>
      <c r="P675" s="144">
        <f>O675</f>
        <v>160</v>
      </c>
    </row>
    <row r="676" spans="1:16" ht="45">
      <c r="A676" s="35" t="s">
        <v>198</v>
      </c>
      <c r="B676" s="146"/>
      <c r="C676" s="146"/>
      <c r="D676" s="147"/>
      <c r="E676" s="147">
        <f>E678</f>
        <v>67200</v>
      </c>
      <c r="F676" s="147">
        <f>E676</f>
        <v>67200</v>
      </c>
      <c r="G676" s="147"/>
      <c r="H676" s="147">
        <f>H678</f>
        <v>67200</v>
      </c>
      <c r="I676" s="147"/>
      <c r="J676" s="147">
        <f>H676</f>
        <v>67200</v>
      </c>
      <c r="K676" s="147"/>
      <c r="L676" s="148"/>
      <c r="M676" s="148"/>
      <c r="N676" s="147"/>
      <c r="O676" s="147">
        <f>O678</f>
        <v>67200</v>
      </c>
      <c r="P676" s="147">
        <f>O676</f>
        <v>67200</v>
      </c>
    </row>
    <row r="677" spans="1:16" ht="21.75" customHeight="1">
      <c r="A677" s="261" t="s">
        <v>2</v>
      </c>
      <c r="B677" s="146"/>
      <c r="C677" s="146"/>
      <c r="D677" s="147"/>
      <c r="E677" s="147"/>
      <c r="F677" s="147"/>
      <c r="G677" s="147"/>
      <c r="H677" s="147"/>
      <c r="I677" s="147"/>
      <c r="J677" s="147"/>
      <c r="K677" s="147"/>
      <c r="L677" s="148"/>
      <c r="M677" s="148"/>
      <c r="N677" s="147"/>
      <c r="O677" s="147"/>
      <c r="P677" s="147"/>
    </row>
    <row r="678" spans="1:16" ht="21.75" customHeight="1">
      <c r="A678" s="6" t="s">
        <v>199</v>
      </c>
      <c r="B678" s="146"/>
      <c r="C678" s="146"/>
      <c r="D678" s="150"/>
      <c r="E678" s="150">
        <f>E680*E682</f>
        <v>67200</v>
      </c>
      <c r="F678" s="150">
        <f>E678</f>
        <v>67200</v>
      </c>
      <c r="G678" s="150"/>
      <c r="H678" s="150">
        <f>H680*H682</f>
        <v>67200</v>
      </c>
      <c r="I678" s="151"/>
      <c r="J678" s="150">
        <f>H678</f>
        <v>67200</v>
      </c>
      <c r="K678" s="151"/>
      <c r="L678" s="152"/>
      <c r="M678" s="152"/>
      <c r="N678" s="150"/>
      <c r="O678" s="150">
        <f>O680*O682</f>
        <v>67200</v>
      </c>
      <c r="P678" s="150">
        <f>O678</f>
        <v>67200</v>
      </c>
    </row>
    <row r="679" spans="1:16" ht="15" customHeight="1">
      <c r="A679" s="261" t="s">
        <v>3</v>
      </c>
      <c r="B679" s="149"/>
      <c r="C679" s="149"/>
      <c r="D679" s="152"/>
      <c r="E679" s="152"/>
      <c r="F679" s="150"/>
      <c r="G679" s="152"/>
      <c r="H679" s="152"/>
      <c r="I679" s="152"/>
      <c r="J679" s="150"/>
      <c r="K679" s="150"/>
      <c r="L679" s="152"/>
      <c r="M679" s="152"/>
      <c r="N679" s="152"/>
      <c r="O679" s="152"/>
      <c r="P679" s="150"/>
    </row>
    <row r="680" spans="1:16" ht="15" customHeight="1">
      <c r="A680" s="11" t="s">
        <v>200</v>
      </c>
      <c r="B680" s="153"/>
      <c r="C680" s="153"/>
      <c r="D680" s="154"/>
      <c r="E680" s="155">
        <v>12</v>
      </c>
      <c r="F680" s="155">
        <f>E680</f>
        <v>12</v>
      </c>
      <c r="G680" s="155"/>
      <c r="H680" s="155">
        <v>12</v>
      </c>
      <c r="I680" s="155"/>
      <c r="J680" s="155">
        <f>H680</f>
        <v>12</v>
      </c>
      <c r="K680" s="155" t="e">
        <f>G680/D680*100</f>
        <v>#DIV/0!</v>
      </c>
      <c r="L680" s="155"/>
      <c r="M680" s="155"/>
      <c r="N680" s="155"/>
      <c r="O680" s="155">
        <v>12</v>
      </c>
      <c r="P680" s="155">
        <f>O680</f>
        <v>12</v>
      </c>
    </row>
    <row r="681" spans="1:16" ht="14.25" customHeight="1">
      <c r="A681" s="261" t="s">
        <v>5</v>
      </c>
      <c r="B681" s="149"/>
      <c r="C681" s="149"/>
      <c r="D681" s="152"/>
      <c r="E681" s="152"/>
      <c r="F681" s="150"/>
      <c r="G681" s="152"/>
      <c r="H681" s="152"/>
      <c r="I681" s="152"/>
      <c r="J681" s="150"/>
      <c r="K681" s="150"/>
      <c r="L681" s="152"/>
      <c r="M681" s="152"/>
      <c r="N681" s="152"/>
      <c r="O681" s="152"/>
      <c r="P681" s="150"/>
    </row>
    <row r="682" spans="1:131" s="123" customFormat="1" ht="21.75" customHeight="1">
      <c r="A682" s="11" t="s">
        <v>201</v>
      </c>
      <c r="B682" s="153"/>
      <c r="C682" s="153"/>
      <c r="D682" s="156"/>
      <c r="E682" s="156">
        <v>5600</v>
      </c>
      <c r="F682" s="150">
        <f>E682</f>
        <v>5600</v>
      </c>
      <c r="G682" s="156"/>
      <c r="H682" s="156">
        <v>5600</v>
      </c>
      <c r="I682" s="156"/>
      <c r="J682" s="150">
        <f>H682</f>
        <v>5600</v>
      </c>
      <c r="K682" s="150" t="e">
        <f>G682/D682*100</f>
        <v>#DIV/0!</v>
      </c>
      <c r="L682" s="157"/>
      <c r="M682" s="156"/>
      <c r="N682" s="156"/>
      <c r="O682" s="156">
        <v>5600</v>
      </c>
      <c r="P682" s="150">
        <f>O682</f>
        <v>5600</v>
      </c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  <c r="BH682" s="122"/>
      <c r="BI682" s="122"/>
      <c r="BJ682" s="122"/>
      <c r="BK682" s="122"/>
      <c r="BL682" s="122"/>
      <c r="BM682" s="122"/>
      <c r="BN682" s="122"/>
      <c r="BO682" s="122"/>
      <c r="BP682" s="122"/>
      <c r="BQ682" s="122"/>
      <c r="BR682" s="122"/>
      <c r="BS682" s="122"/>
      <c r="BT682" s="122"/>
      <c r="BU682" s="122"/>
      <c r="BV682" s="122"/>
      <c r="BW682" s="122"/>
      <c r="BX682" s="122"/>
      <c r="BY682" s="122"/>
      <c r="BZ682" s="122"/>
      <c r="CA682" s="122"/>
      <c r="CB682" s="122"/>
      <c r="CC682" s="122"/>
      <c r="CD682" s="122"/>
      <c r="CE682" s="122"/>
      <c r="CF682" s="122"/>
      <c r="CG682" s="122"/>
      <c r="CH682" s="122"/>
      <c r="CI682" s="122"/>
      <c r="CJ682" s="122"/>
      <c r="CK682" s="122"/>
      <c r="CL682" s="122"/>
      <c r="CM682" s="122"/>
      <c r="CN682" s="122"/>
      <c r="CO682" s="122"/>
      <c r="CP682" s="122"/>
      <c r="CQ682" s="122"/>
      <c r="CR682" s="122"/>
      <c r="CS682" s="122"/>
      <c r="CT682" s="122"/>
      <c r="CU682" s="122"/>
      <c r="CV682" s="122"/>
      <c r="CW682" s="122"/>
      <c r="CX682" s="122"/>
      <c r="CY682" s="122"/>
      <c r="CZ682" s="122"/>
      <c r="DA682" s="122"/>
      <c r="DB682" s="122"/>
      <c r="DC682" s="122"/>
      <c r="DD682" s="122"/>
      <c r="DE682" s="122"/>
      <c r="DF682" s="122"/>
      <c r="DG682" s="122"/>
      <c r="DH682" s="122"/>
      <c r="DI682" s="122"/>
      <c r="DJ682" s="122"/>
      <c r="DK682" s="122"/>
      <c r="DL682" s="122"/>
      <c r="DM682" s="122"/>
      <c r="DN682" s="122"/>
      <c r="DO682" s="122"/>
      <c r="DP682" s="122"/>
      <c r="DQ682" s="122"/>
      <c r="DR682" s="122"/>
      <c r="DS682" s="122"/>
      <c r="DT682" s="122"/>
      <c r="DU682" s="122"/>
      <c r="DV682" s="122"/>
      <c r="DW682" s="122"/>
      <c r="DX682" s="122"/>
      <c r="DY682" s="122"/>
      <c r="DZ682" s="122"/>
      <c r="EA682" s="122"/>
    </row>
    <row r="683" spans="1:131" s="220" customFormat="1" ht="32.25" customHeight="1">
      <c r="A683" s="202" t="s">
        <v>480</v>
      </c>
      <c r="B683" s="218"/>
      <c r="C683" s="218"/>
      <c r="D683" s="222">
        <f>D685</f>
        <v>1527345.999999252</v>
      </c>
      <c r="E683" s="222">
        <f aca="true" t="shared" si="42" ref="E683:P683">E685</f>
        <v>0</v>
      </c>
      <c r="F683" s="222">
        <f t="shared" si="42"/>
        <v>1527345.999999252</v>
      </c>
      <c r="G683" s="222">
        <f t="shared" si="42"/>
        <v>0</v>
      </c>
      <c r="H683" s="222">
        <f t="shared" si="42"/>
        <v>0</v>
      </c>
      <c r="I683" s="222">
        <f t="shared" si="42"/>
        <v>0</v>
      </c>
      <c r="J683" s="222">
        <f t="shared" si="42"/>
        <v>0</v>
      </c>
      <c r="K683" s="222">
        <f t="shared" si="42"/>
        <v>0</v>
      </c>
      <c r="L683" s="222">
        <f t="shared" si="42"/>
        <v>0</v>
      </c>
      <c r="M683" s="222">
        <f t="shared" si="42"/>
        <v>0</v>
      </c>
      <c r="N683" s="222">
        <f t="shared" si="42"/>
        <v>0</v>
      </c>
      <c r="O683" s="222">
        <f t="shared" si="42"/>
        <v>0</v>
      </c>
      <c r="P683" s="222">
        <f t="shared" si="42"/>
        <v>0</v>
      </c>
      <c r="Q683" s="219"/>
      <c r="R683" s="219"/>
      <c r="S683" s="21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19"/>
      <c r="AT683" s="219"/>
      <c r="AU683" s="219"/>
      <c r="AV683" s="219"/>
      <c r="AW683" s="219"/>
      <c r="AX683" s="219"/>
      <c r="AY683" s="219"/>
      <c r="AZ683" s="219"/>
      <c r="BA683" s="219"/>
      <c r="BB683" s="219"/>
      <c r="BC683" s="219"/>
      <c r="BD683" s="219"/>
      <c r="BE683" s="219"/>
      <c r="BF683" s="219"/>
      <c r="BG683" s="219"/>
      <c r="BH683" s="219"/>
      <c r="BI683" s="219"/>
      <c r="BJ683" s="219"/>
      <c r="BK683" s="219"/>
      <c r="BL683" s="219"/>
      <c r="BM683" s="219"/>
      <c r="BN683" s="219"/>
      <c r="BO683" s="219"/>
      <c r="BP683" s="219"/>
      <c r="BQ683" s="219"/>
      <c r="BR683" s="219"/>
      <c r="BS683" s="219"/>
      <c r="BT683" s="219"/>
      <c r="BU683" s="219"/>
      <c r="BV683" s="219"/>
      <c r="BW683" s="219"/>
      <c r="BX683" s="219"/>
      <c r="BY683" s="219"/>
      <c r="BZ683" s="219"/>
      <c r="CA683" s="219"/>
      <c r="CB683" s="219"/>
      <c r="CC683" s="219"/>
      <c r="CD683" s="219"/>
      <c r="CE683" s="219"/>
      <c r="CF683" s="219"/>
      <c r="CG683" s="219"/>
      <c r="CH683" s="219"/>
      <c r="CI683" s="219"/>
      <c r="CJ683" s="219"/>
      <c r="CK683" s="219"/>
      <c r="CL683" s="219"/>
      <c r="CM683" s="219"/>
      <c r="CN683" s="219"/>
      <c r="CO683" s="219"/>
      <c r="CP683" s="219"/>
      <c r="CQ683" s="219"/>
      <c r="CR683" s="219"/>
      <c r="CS683" s="219"/>
      <c r="CT683" s="219"/>
      <c r="CU683" s="219"/>
      <c r="CV683" s="219"/>
      <c r="CW683" s="219"/>
      <c r="CX683" s="219"/>
      <c r="CY683" s="219"/>
      <c r="CZ683" s="219"/>
      <c r="DA683" s="219"/>
      <c r="DB683" s="219"/>
      <c r="DC683" s="219"/>
      <c r="DD683" s="219"/>
      <c r="DE683" s="219"/>
      <c r="DF683" s="219"/>
      <c r="DG683" s="219"/>
      <c r="DH683" s="219"/>
      <c r="DI683" s="219"/>
      <c r="DJ683" s="219"/>
      <c r="DK683" s="219"/>
      <c r="DL683" s="219"/>
      <c r="DM683" s="219"/>
      <c r="DN683" s="219"/>
      <c r="DO683" s="219"/>
      <c r="DP683" s="219"/>
      <c r="DQ683" s="219"/>
      <c r="DR683" s="219"/>
      <c r="DS683" s="219"/>
      <c r="DT683" s="219"/>
      <c r="DU683" s="219"/>
      <c r="DV683" s="219"/>
      <c r="DW683" s="219"/>
      <c r="DX683" s="219"/>
      <c r="DY683" s="219"/>
      <c r="DZ683" s="219"/>
      <c r="EA683" s="219"/>
    </row>
    <row r="684" spans="1:131" s="230" customFormat="1" ht="24.75" customHeight="1">
      <c r="A684" s="74" t="s">
        <v>485</v>
      </c>
      <c r="B684" s="226"/>
      <c r="C684" s="226"/>
      <c r="D684" s="227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229"/>
      <c r="BC684" s="229"/>
      <c r="BD684" s="229"/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29"/>
      <c r="DF684" s="229"/>
      <c r="DG684" s="229"/>
      <c r="DH684" s="229"/>
      <c r="DI684" s="229"/>
      <c r="DJ684" s="229"/>
      <c r="DK684" s="229"/>
      <c r="DL684" s="229"/>
      <c r="DM684" s="229"/>
      <c r="DN684" s="229"/>
      <c r="DO684" s="229"/>
      <c r="DP684" s="229"/>
      <c r="DQ684" s="229"/>
      <c r="DR684" s="229"/>
      <c r="DS684" s="229"/>
      <c r="DT684" s="229"/>
      <c r="DU684" s="229"/>
      <c r="DV684" s="229"/>
      <c r="DW684" s="229"/>
      <c r="DX684" s="229"/>
      <c r="DY684" s="229"/>
      <c r="DZ684" s="229"/>
      <c r="EA684" s="229"/>
    </row>
    <row r="685" spans="1:131" s="199" customFormat="1" ht="45.75" customHeight="1">
      <c r="A685" s="197" t="s">
        <v>486</v>
      </c>
      <c r="B685" s="223"/>
      <c r="C685" s="223"/>
      <c r="D685" s="225">
        <f>D686+D691</f>
        <v>1527345.999999252</v>
      </c>
      <c r="E685" s="225">
        <f>E686</f>
        <v>0</v>
      </c>
      <c r="F685" s="225">
        <f aca="true" t="shared" si="43" ref="F685:F690">D685+E685</f>
        <v>1527345.999999252</v>
      </c>
      <c r="G685" s="225">
        <f>G686+G691</f>
        <v>0</v>
      </c>
      <c r="H685" s="225">
        <f>H686</f>
        <v>0</v>
      </c>
      <c r="I685" s="225">
        <f>I686+I691</f>
        <v>0</v>
      </c>
      <c r="J685" s="225">
        <f>G685+H685</f>
        <v>0</v>
      </c>
      <c r="K685" s="225">
        <f>K686+K691</f>
        <v>0</v>
      </c>
      <c r="L685" s="225">
        <f>L686+L691</f>
        <v>0</v>
      </c>
      <c r="M685" s="225">
        <f>M686+M691</f>
        <v>0</v>
      </c>
      <c r="N685" s="225">
        <f>N686+N691</f>
        <v>0</v>
      </c>
      <c r="O685" s="225">
        <f>O686</f>
        <v>0</v>
      </c>
      <c r="P685" s="225">
        <f>N685+O685</f>
        <v>0</v>
      </c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  <c r="AA685" s="198"/>
      <c r="AB685" s="198"/>
      <c r="AC685" s="198"/>
      <c r="AD685" s="198"/>
      <c r="AE685" s="198"/>
      <c r="AF685" s="198"/>
      <c r="AG685" s="198"/>
      <c r="AH685" s="198"/>
      <c r="AI685" s="198"/>
      <c r="AJ685" s="198"/>
      <c r="AK685" s="198"/>
      <c r="AL685" s="198"/>
      <c r="AM685" s="198"/>
      <c r="AN685" s="198"/>
      <c r="AO685" s="198"/>
      <c r="AP685" s="198"/>
      <c r="AQ685" s="198"/>
      <c r="AR685" s="198"/>
      <c r="AS685" s="198"/>
      <c r="AT685" s="198"/>
      <c r="AU685" s="198"/>
      <c r="AV685" s="198"/>
      <c r="AW685" s="198"/>
      <c r="AX685" s="198"/>
      <c r="AY685" s="198"/>
      <c r="AZ685" s="19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  <c r="BZ685" s="198"/>
      <c r="CA685" s="198"/>
      <c r="CB685" s="198"/>
      <c r="CC685" s="198"/>
      <c r="CD685" s="198"/>
      <c r="CE685" s="198"/>
      <c r="CF685" s="198"/>
      <c r="CG685" s="198"/>
      <c r="CH685" s="198"/>
      <c r="CI685" s="198"/>
      <c r="CJ685" s="198"/>
      <c r="CK685" s="198"/>
      <c r="CL685" s="198"/>
      <c r="CM685" s="198"/>
      <c r="CN685" s="198"/>
      <c r="CO685" s="198"/>
      <c r="CP685" s="198"/>
      <c r="CQ685" s="198"/>
      <c r="CR685" s="198"/>
      <c r="CS685" s="198"/>
      <c r="CT685" s="198"/>
      <c r="CU685" s="198"/>
      <c r="CV685" s="198"/>
      <c r="CW685" s="198"/>
      <c r="CX685" s="198"/>
      <c r="CY685" s="198"/>
      <c r="CZ685" s="198"/>
      <c r="DA685" s="198"/>
      <c r="DB685" s="198"/>
      <c r="DC685" s="198"/>
      <c r="DD685" s="198"/>
      <c r="DE685" s="198"/>
      <c r="DF685" s="198"/>
      <c r="DG685" s="198"/>
      <c r="DH685" s="198"/>
      <c r="DI685" s="198"/>
      <c r="DJ685" s="198"/>
      <c r="DK685" s="198"/>
      <c r="DL685" s="198"/>
      <c r="DM685" s="198"/>
      <c r="DN685" s="198"/>
      <c r="DO685" s="198"/>
      <c r="DP685" s="198"/>
      <c r="DQ685" s="198"/>
      <c r="DR685" s="198"/>
      <c r="DS685" s="198"/>
      <c r="DT685" s="198"/>
      <c r="DU685" s="198"/>
      <c r="DV685" s="198"/>
      <c r="DW685" s="198"/>
      <c r="DX685" s="198"/>
      <c r="DY685" s="198"/>
      <c r="DZ685" s="198"/>
      <c r="EA685" s="198"/>
    </row>
    <row r="686" spans="1:131" s="27" customFormat="1" ht="38.25" customHeight="1">
      <c r="A686" s="87" t="s">
        <v>487</v>
      </c>
      <c r="B686" s="35"/>
      <c r="C686" s="35"/>
      <c r="D686" s="32">
        <f>D688*D690</f>
        <v>1527345.999999252</v>
      </c>
      <c r="E686" s="32"/>
      <c r="F686" s="32">
        <f t="shared" si="43"/>
        <v>1527345.999999252</v>
      </c>
      <c r="G686" s="31"/>
      <c r="H686" s="31"/>
      <c r="I686" s="31"/>
      <c r="J686" s="31">
        <f>H686</f>
        <v>0</v>
      </c>
      <c r="K686" s="31"/>
      <c r="L686" s="31"/>
      <c r="M686" s="31"/>
      <c r="N686" s="31"/>
      <c r="O686" s="31"/>
      <c r="P686" s="31">
        <f>O686</f>
        <v>0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</row>
    <row r="687" spans="1:16" ht="16.5" customHeight="1">
      <c r="A687" s="3" t="s">
        <v>3</v>
      </c>
      <c r="B687" s="11"/>
      <c r="C687" s="11"/>
      <c r="D687" s="30"/>
      <c r="E687" s="30"/>
      <c r="F687" s="32">
        <f t="shared" si="43"/>
        <v>0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</row>
    <row r="688" spans="1:16" ht="24.75" customHeight="1">
      <c r="A688" s="6" t="s">
        <v>483</v>
      </c>
      <c r="B688" s="11"/>
      <c r="C688" s="11"/>
      <c r="D688" s="30">
        <v>751.276930644</v>
      </c>
      <c r="E688" s="121"/>
      <c r="F688" s="32">
        <f t="shared" si="43"/>
        <v>751.276930644</v>
      </c>
      <c r="G688" s="30"/>
      <c r="H688" s="121"/>
      <c r="I688" s="121"/>
      <c r="J688" s="121">
        <f>H688</f>
        <v>0</v>
      </c>
      <c r="K688" s="121"/>
      <c r="L688" s="121"/>
      <c r="M688" s="121"/>
      <c r="N688" s="121"/>
      <c r="O688" s="121"/>
      <c r="P688" s="121">
        <v>0</v>
      </c>
    </row>
    <row r="689" spans="1:16" ht="17.25" customHeight="1">
      <c r="A689" s="261" t="s">
        <v>5</v>
      </c>
      <c r="B689" s="11"/>
      <c r="C689" s="11"/>
      <c r="D689" s="30"/>
      <c r="E689" s="30"/>
      <c r="F689" s="32">
        <f t="shared" si="43"/>
        <v>0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</row>
    <row r="690" spans="1:16" ht="22.5" customHeight="1">
      <c r="A690" s="6" t="s">
        <v>484</v>
      </c>
      <c r="B690" s="11"/>
      <c r="C690" s="11"/>
      <c r="D690" s="30">
        <v>2033</v>
      </c>
      <c r="E690" s="30"/>
      <c r="F690" s="32">
        <f t="shared" si="43"/>
        <v>2033</v>
      </c>
      <c r="G690" s="30"/>
      <c r="H690" s="30"/>
      <c r="I690" s="30"/>
      <c r="J690" s="30">
        <f>H690</f>
        <v>0</v>
      </c>
      <c r="K690" s="30"/>
      <c r="L690" s="30"/>
      <c r="M690" s="30"/>
      <c r="N690" s="30"/>
      <c r="O690" s="30"/>
      <c r="P690" s="30">
        <v>0</v>
      </c>
    </row>
    <row r="691" spans="1:131" s="220" customFormat="1" ht="32.25" customHeight="1">
      <c r="A691" s="202" t="s">
        <v>148</v>
      </c>
      <c r="B691" s="218"/>
      <c r="C691" s="218"/>
      <c r="D691" s="222">
        <f>D693</f>
        <v>0</v>
      </c>
      <c r="E691" s="222">
        <f aca="true" t="shared" si="44" ref="E691:P691">E693</f>
        <v>2207600</v>
      </c>
      <c r="F691" s="222">
        <f t="shared" si="44"/>
        <v>2207600</v>
      </c>
      <c r="G691" s="222">
        <f t="shared" si="44"/>
        <v>0</v>
      </c>
      <c r="H691" s="222">
        <f t="shared" si="44"/>
        <v>1900000</v>
      </c>
      <c r="I691" s="222">
        <f t="shared" si="44"/>
        <v>0</v>
      </c>
      <c r="J691" s="222">
        <f t="shared" si="44"/>
        <v>1900000</v>
      </c>
      <c r="K691" s="222">
        <f t="shared" si="44"/>
        <v>0</v>
      </c>
      <c r="L691" s="222">
        <f t="shared" si="44"/>
        <v>0</v>
      </c>
      <c r="M691" s="222">
        <f t="shared" si="44"/>
        <v>0</v>
      </c>
      <c r="N691" s="222">
        <f t="shared" si="44"/>
        <v>0</v>
      </c>
      <c r="O691" s="222">
        <f t="shared" si="44"/>
        <v>2050000</v>
      </c>
      <c r="P691" s="222">
        <f t="shared" si="44"/>
        <v>2050000</v>
      </c>
      <c r="Q691" s="219"/>
      <c r="R691" s="219"/>
      <c r="S691" s="21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  <c r="AD691" s="219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19"/>
      <c r="AT691" s="219"/>
      <c r="AU691" s="219"/>
      <c r="AV691" s="219"/>
      <c r="AW691" s="219"/>
      <c r="AX691" s="219"/>
      <c r="AY691" s="219"/>
      <c r="AZ691" s="219"/>
      <c r="BA691" s="219"/>
      <c r="BB691" s="219"/>
      <c r="BC691" s="219"/>
      <c r="BD691" s="219"/>
      <c r="BE691" s="219"/>
      <c r="BF691" s="219"/>
      <c r="BG691" s="219"/>
      <c r="BH691" s="219"/>
      <c r="BI691" s="219"/>
      <c r="BJ691" s="219"/>
      <c r="BK691" s="219"/>
      <c r="BL691" s="219"/>
      <c r="BM691" s="219"/>
      <c r="BN691" s="219"/>
      <c r="BO691" s="219"/>
      <c r="BP691" s="219"/>
      <c r="BQ691" s="219"/>
      <c r="BR691" s="219"/>
      <c r="BS691" s="219"/>
      <c r="BT691" s="219"/>
      <c r="BU691" s="219"/>
      <c r="BV691" s="219"/>
      <c r="BW691" s="219"/>
      <c r="BX691" s="219"/>
      <c r="BY691" s="219"/>
      <c r="BZ691" s="219"/>
      <c r="CA691" s="219"/>
      <c r="CB691" s="219"/>
      <c r="CC691" s="219"/>
      <c r="CD691" s="219"/>
      <c r="CE691" s="219"/>
      <c r="CF691" s="219"/>
      <c r="CG691" s="219"/>
      <c r="CH691" s="219"/>
      <c r="CI691" s="219"/>
      <c r="CJ691" s="219"/>
      <c r="CK691" s="219"/>
      <c r="CL691" s="219"/>
      <c r="CM691" s="219"/>
      <c r="CN691" s="219"/>
      <c r="CO691" s="219"/>
      <c r="CP691" s="219"/>
      <c r="CQ691" s="219"/>
      <c r="CR691" s="219"/>
      <c r="CS691" s="219"/>
      <c r="CT691" s="219"/>
      <c r="CU691" s="219"/>
      <c r="CV691" s="219"/>
      <c r="CW691" s="219"/>
      <c r="CX691" s="219"/>
      <c r="CY691" s="219"/>
      <c r="CZ691" s="219"/>
      <c r="DA691" s="219"/>
      <c r="DB691" s="219"/>
      <c r="DC691" s="219"/>
      <c r="DD691" s="219"/>
      <c r="DE691" s="219"/>
      <c r="DF691" s="219"/>
      <c r="DG691" s="219"/>
      <c r="DH691" s="219"/>
      <c r="DI691" s="219"/>
      <c r="DJ691" s="219"/>
      <c r="DK691" s="219"/>
      <c r="DL691" s="219"/>
      <c r="DM691" s="219"/>
      <c r="DN691" s="219"/>
      <c r="DO691" s="219"/>
      <c r="DP691" s="219"/>
      <c r="DQ691" s="219"/>
      <c r="DR691" s="219"/>
      <c r="DS691" s="219"/>
      <c r="DT691" s="219"/>
      <c r="DU691" s="219"/>
      <c r="DV691" s="219"/>
      <c r="DW691" s="219"/>
      <c r="DX691" s="219"/>
      <c r="DY691" s="219"/>
      <c r="DZ691" s="219"/>
      <c r="EA691" s="219"/>
    </row>
    <row r="692" spans="1:131" s="230" customFormat="1" ht="32.25" customHeight="1">
      <c r="A692" s="74" t="s">
        <v>279</v>
      </c>
      <c r="B692" s="226"/>
      <c r="C692" s="226"/>
      <c r="D692" s="227"/>
      <c r="E692" s="228"/>
      <c r="F692" s="228"/>
      <c r="G692" s="228"/>
      <c r="H692" s="228"/>
      <c r="I692" s="228"/>
      <c r="J692" s="228"/>
      <c r="K692" s="228"/>
      <c r="L692" s="228"/>
      <c r="M692" s="228"/>
      <c r="N692" s="228"/>
      <c r="O692" s="228"/>
      <c r="P692" s="228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  <c r="AJ692" s="229"/>
      <c r="AK692" s="229"/>
      <c r="AL692" s="229"/>
      <c r="AM692" s="229"/>
      <c r="AN692" s="229"/>
      <c r="AO692" s="229"/>
      <c r="AP692" s="229"/>
      <c r="AQ692" s="229"/>
      <c r="AR692" s="229"/>
      <c r="AS692" s="229"/>
      <c r="AT692" s="229"/>
      <c r="AU692" s="229"/>
      <c r="AV692" s="229"/>
      <c r="AW692" s="229"/>
      <c r="AX692" s="229"/>
      <c r="AY692" s="229"/>
      <c r="AZ692" s="229"/>
      <c r="BA692" s="229"/>
      <c r="BB692" s="229"/>
      <c r="BC692" s="229"/>
      <c r="BD692" s="229"/>
      <c r="BE692" s="229"/>
      <c r="BF692" s="229"/>
      <c r="BG692" s="229"/>
      <c r="BH692" s="229"/>
      <c r="BI692" s="229"/>
      <c r="BJ692" s="229"/>
      <c r="BK692" s="229"/>
      <c r="BL692" s="229"/>
      <c r="BM692" s="229"/>
      <c r="BN692" s="229"/>
      <c r="BO692" s="229"/>
      <c r="BP692" s="229"/>
      <c r="BQ692" s="229"/>
      <c r="BR692" s="229"/>
      <c r="BS692" s="229"/>
      <c r="BT692" s="229"/>
      <c r="BU692" s="229"/>
      <c r="BV692" s="229"/>
      <c r="BW692" s="229"/>
      <c r="BX692" s="229"/>
      <c r="BY692" s="229"/>
      <c r="BZ692" s="229"/>
      <c r="CA692" s="229"/>
      <c r="CB692" s="229"/>
      <c r="CC692" s="229"/>
      <c r="CD692" s="229"/>
      <c r="CE692" s="229"/>
      <c r="CF692" s="229"/>
      <c r="CG692" s="229"/>
      <c r="CH692" s="229"/>
      <c r="CI692" s="229"/>
      <c r="CJ692" s="229"/>
      <c r="CK692" s="229"/>
      <c r="CL692" s="229"/>
      <c r="CM692" s="229"/>
      <c r="CN692" s="229"/>
      <c r="CO692" s="229"/>
      <c r="CP692" s="229"/>
      <c r="CQ692" s="229"/>
      <c r="CR692" s="229"/>
      <c r="CS692" s="229"/>
      <c r="CT692" s="229"/>
      <c r="CU692" s="229"/>
      <c r="CV692" s="229"/>
      <c r="CW692" s="229"/>
      <c r="CX692" s="229"/>
      <c r="CY692" s="229"/>
      <c r="CZ692" s="229"/>
      <c r="DA692" s="229"/>
      <c r="DB692" s="229"/>
      <c r="DC692" s="229"/>
      <c r="DD692" s="229"/>
      <c r="DE692" s="229"/>
      <c r="DF692" s="229"/>
      <c r="DG692" s="229"/>
      <c r="DH692" s="229"/>
      <c r="DI692" s="229"/>
      <c r="DJ692" s="229"/>
      <c r="DK692" s="229"/>
      <c r="DL692" s="229"/>
      <c r="DM692" s="229"/>
      <c r="DN692" s="229"/>
      <c r="DO692" s="229"/>
      <c r="DP692" s="229"/>
      <c r="DQ692" s="229"/>
      <c r="DR692" s="229"/>
      <c r="DS692" s="229"/>
      <c r="DT692" s="229"/>
      <c r="DU692" s="229"/>
      <c r="DV692" s="229"/>
      <c r="DW692" s="229"/>
      <c r="DX692" s="229"/>
      <c r="DY692" s="229"/>
      <c r="DZ692" s="229"/>
      <c r="EA692" s="229"/>
    </row>
    <row r="693" spans="1:131" s="199" customFormat="1" ht="32.25" customHeight="1">
      <c r="A693" s="197" t="s">
        <v>481</v>
      </c>
      <c r="B693" s="223"/>
      <c r="C693" s="223"/>
      <c r="D693" s="225">
        <f>D694+D701</f>
        <v>0</v>
      </c>
      <c r="E693" s="225">
        <f>E694+E701</f>
        <v>2207600</v>
      </c>
      <c r="F693" s="225">
        <f>D693+E693</f>
        <v>2207600</v>
      </c>
      <c r="G693" s="225">
        <f>G694+G701</f>
        <v>0</v>
      </c>
      <c r="H693" s="225">
        <f>H694+H701</f>
        <v>1900000</v>
      </c>
      <c r="I693" s="225">
        <f>I694+I701</f>
        <v>0</v>
      </c>
      <c r="J693" s="225">
        <f>G693+H693</f>
        <v>1900000</v>
      </c>
      <c r="K693" s="225">
        <f>K694+K701</f>
        <v>0</v>
      </c>
      <c r="L693" s="225">
        <f>L694+L701</f>
        <v>0</v>
      </c>
      <c r="M693" s="225">
        <f>M694+M701</f>
        <v>0</v>
      </c>
      <c r="N693" s="225">
        <f>N694+N701</f>
        <v>0</v>
      </c>
      <c r="O693" s="225">
        <f>O694+O701</f>
        <v>2050000</v>
      </c>
      <c r="P693" s="225">
        <f>N693+O693</f>
        <v>2050000</v>
      </c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198"/>
      <c r="AT693" s="198"/>
      <c r="AU693" s="198"/>
      <c r="AV693" s="198"/>
      <c r="AW693" s="198"/>
      <c r="AX693" s="198"/>
      <c r="AY693" s="198"/>
      <c r="AZ693" s="19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  <c r="BZ693" s="198"/>
      <c r="CA693" s="198"/>
      <c r="CB693" s="198"/>
      <c r="CC693" s="198"/>
      <c r="CD693" s="198"/>
      <c r="CE693" s="198"/>
      <c r="CF693" s="198"/>
      <c r="CG693" s="198"/>
      <c r="CH693" s="198"/>
      <c r="CI693" s="198"/>
      <c r="CJ693" s="198"/>
      <c r="CK693" s="198"/>
      <c r="CL693" s="198"/>
      <c r="CM693" s="198"/>
      <c r="CN693" s="198"/>
      <c r="CO693" s="198"/>
      <c r="CP693" s="198"/>
      <c r="CQ693" s="198"/>
      <c r="CR693" s="198"/>
      <c r="CS693" s="198"/>
      <c r="CT693" s="198"/>
      <c r="CU693" s="198"/>
      <c r="CV693" s="198"/>
      <c r="CW693" s="198"/>
      <c r="CX693" s="198"/>
      <c r="CY693" s="198"/>
      <c r="CZ693" s="198"/>
      <c r="DA693" s="198"/>
      <c r="DB693" s="198"/>
      <c r="DC693" s="198"/>
      <c r="DD693" s="198"/>
      <c r="DE693" s="198"/>
      <c r="DF693" s="198"/>
      <c r="DG693" s="198"/>
      <c r="DH693" s="198"/>
      <c r="DI693" s="198"/>
      <c r="DJ693" s="198"/>
      <c r="DK693" s="198"/>
      <c r="DL693" s="198"/>
      <c r="DM693" s="198"/>
      <c r="DN693" s="198"/>
      <c r="DO693" s="198"/>
      <c r="DP693" s="198"/>
      <c r="DQ693" s="198"/>
      <c r="DR693" s="198"/>
      <c r="DS693" s="198"/>
      <c r="DT693" s="198"/>
      <c r="DU693" s="198"/>
      <c r="DV693" s="198"/>
      <c r="DW693" s="198"/>
      <c r="DX693" s="198"/>
      <c r="DY693" s="198"/>
      <c r="DZ693" s="198"/>
      <c r="EA693" s="198"/>
    </row>
    <row r="694" spans="1:131" s="27" customFormat="1" ht="38.25" customHeight="1">
      <c r="A694" s="87" t="s">
        <v>482</v>
      </c>
      <c r="B694" s="35"/>
      <c r="C694" s="35"/>
      <c r="D694" s="31"/>
      <c r="E694" s="31">
        <f>E696</f>
        <v>300000</v>
      </c>
      <c r="F694" s="31">
        <f>E694</f>
        <v>300000</v>
      </c>
      <c r="G694" s="31"/>
      <c r="H694" s="31">
        <f>H696</f>
        <v>300000</v>
      </c>
      <c r="I694" s="31"/>
      <c r="J694" s="31">
        <f>H694</f>
        <v>300000</v>
      </c>
      <c r="K694" s="31"/>
      <c r="L694" s="31"/>
      <c r="M694" s="31"/>
      <c r="N694" s="31"/>
      <c r="O694" s="31">
        <f>O696</f>
        <v>350000</v>
      </c>
      <c r="P694" s="31">
        <f>O694</f>
        <v>350000</v>
      </c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</row>
    <row r="695" spans="1:16" ht="13.5" customHeight="1">
      <c r="A695" s="10" t="s">
        <v>2</v>
      </c>
      <c r="B695" s="11"/>
      <c r="C695" s="1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ht="26.25" customHeight="1">
      <c r="A696" s="262" t="s">
        <v>258</v>
      </c>
      <c r="B696" s="11"/>
      <c r="C696" s="11"/>
      <c r="D696" s="30"/>
      <c r="E696" s="30">
        <f>250000+50000</f>
        <v>300000</v>
      </c>
      <c r="F696" s="30">
        <f>E696</f>
        <v>300000</v>
      </c>
      <c r="G696" s="30"/>
      <c r="H696" s="30">
        <v>300000</v>
      </c>
      <c r="I696" s="30"/>
      <c r="J696" s="30">
        <f>H696</f>
        <v>300000</v>
      </c>
      <c r="K696" s="30"/>
      <c r="L696" s="30"/>
      <c r="M696" s="30"/>
      <c r="N696" s="30"/>
      <c r="O696" s="30">
        <v>350000</v>
      </c>
      <c r="P696" s="30">
        <f>O696</f>
        <v>350000</v>
      </c>
    </row>
    <row r="697" spans="1:16" ht="16.5" customHeight="1">
      <c r="A697" s="3" t="s">
        <v>3</v>
      </c>
      <c r="B697" s="11"/>
      <c r="C697" s="1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</row>
    <row r="698" spans="1:16" ht="24.75" customHeight="1">
      <c r="A698" s="6" t="s">
        <v>158</v>
      </c>
      <c r="B698" s="11"/>
      <c r="C698" s="11"/>
      <c r="D698" s="30"/>
      <c r="E698" s="121">
        <f>E696/E700</f>
        <v>214.28571428571428</v>
      </c>
      <c r="F698" s="121">
        <f>E698</f>
        <v>214.28571428571428</v>
      </c>
      <c r="G698" s="30"/>
      <c r="H698" s="121">
        <f>H696/H700</f>
        <v>200.80321285140562</v>
      </c>
      <c r="I698" s="121"/>
      <c r="J698" s="121">
        <f>H698</f>
        <v>200.80321285140562</v>
      </c>
      <c r="K698" s="121"/>
      <c r="L698" s="121"/>
      <c r="M698" s="121"/>
      <c r="N698" s="121"/>
      <c r="O698" s="121">
        <f>O696/O700</f>
        <v>220.95959595959596</v>
      </c>
      <c r="P698" s="121">
        <f>P696/P700</f>
        <v>220.95959595959596</v>
      </c>
    </row>
    <row r="699" spans="1:16" ht="17.25" customHeight="1">
      <c r="A699" s="261" t="s">
        <v>5</v>
      </c>
      <c r="B699" s="11"/>
      <c r="C699" s="1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ht="15" customHeight="1">
      <c r="A700" s="6" t="s">
        <v>259</v>
      </c>
      <c r="B700" s="11"/>
      <c r="C700" s="11"/>
      <c r="D700" s="30"/>
      <c r="E700" s="30">
        <v>1400</v>
      </c>
      <c r="F700" s="30">
        <f>E700</f>
        <v>1400</v>
      </c>
      <c r="G700" s="30"/>
      <c r="H700" s="30">
        <v>1494</v>
      </c>
      <c r="I700" s="30"/>
      <c r="J700" s="30">
        <f>H700</f>
        <v>1494</v>
      </c>
      <c r="K700" s="30"/>
      <c r="L700" s="30"/>
      <c r="M700" s="30"/>
      <c r="N700" s="30"/>
      <c r="O700" s="30">
        <v>1584</v>
      </c>
      <c r="P700" s="30">
        <v>1584</v>
      </c>
    </row>
    <row r="701" spans="1:131" s="89" customFormat="1" ht="33.75" customHeight="1">
      <c r="A701" s="87" t="s">
        <v>488</v>
      </c>
      <c r="B701" s="128"/>
      <c r="C701" s="128"/>
      <c r="D701" s="126"/>
      <c r="E701" s="126">
        <f>E703</f>
        <v>1907600</v>
      </c>
      <c r="F701" s="126">
        <f>E701</f>
        <v>1907600</v>
      </c>
      <c r="G701" s="126"/>
      <c r="H701" s="126">
        <f>H703</f>
        <v>1600000</v>
      </c>
      <c r="I701" s="126"/>
      <c r="J701" s="126">
        <f>H701</f>
        <v>1600000</v>
      </c>
      <c r="K701" s="126"/>
      <c r="L701" s="126"/>
      <c r="M701" s="126"/>
      <c r="N701" s="126"/>
      <c r="O701" s="126">
        <f>O703</f>
        <v>1700000</v>
      </c>
      <c r="P701" s="126">
        <f>O701</f>
        <v>1700000</v>
      </c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20"/>
      <c r="BS701" s="120"/>
      <c r="BT701" s="120"/>
      <c r="BU701" s="120"/>
      <c r="BV701" s="120"/>
      <c r="BW701" s="120"/>
      <c r="BX701" s="120"/>
      <c r="BY701" s="120"/>
      <c r="BZ701" s="120"/>
      <c r="CA701" s="120"/>
      <c r="CB701" s="120"/>
      <c r="CC701" s="120"/>
      <c r="CD701" s="120"/>
      <c r="CE701" s="120"/>
      <c r="CF701" s="120"/>
      <c r="CG701" s="120"/>
      <c r="CH701" s="120"/>
      <c r="CI701" s="120"/>
      <c r="CJ701" s="120"/>
      <c r="CK701" s="120"/>
      <c r="CL701" s="120"/>
      <c r="CM701" s="120"/>
      <c r="CN701" s="120"/>
      <c r="CO701" s="120"/>
      <c r="CP701" s="120"/>
      <c r="CQ701" s="120"/>
      <c r="CR701" s="120"/>
      <c r="CS701" s="120"/>
      <c r="CT701" s="120"/>
      <c r="CU701" s="120"/>
      <c r="CV701" s="120"/>
      <c r="CW701" s="120"/>
      <c r="CX701" s="120"/>
      <c r="CY701" s="120"/>
      <c r="CZ701" s="120"/>
      <c r="DA701" s="120"/>
      <c r="DB701" s="120"/>
      <c r="DC701" s="120"/>
      <c r="DD701" s="120"/>
      <c r="DE701" s="120"/>
      <c r="DF701" s="120"/>
      <c r="DG701" s="120"/>
      <c r="DH701" s="120"/>
      <c r="DI701" s="120"/>
      <c r="DJ701" s="120"/>
      <c r="DK701" s="120"/>
      <c r="DL701" s="120"/>
      <c r="DM701" s="120"/>
      <c r="DN701" s="120"/>
      <c r="DO701" s="120"/>
      <c r="DP701" s="120"/>
      <c r="DQ701" s="120"/>
      <c r="DR701" s="120"/>
      <c r="DS701" s="120"/>
      <c r="DT701" s="120"/>
      <c r="DU701" s="120"/>
      <c r="DV701" s="120"/>
      <c r="DW701" s="120"/>
      <c r="DX701" s="120"/>
      <c r="DY701" s="120"/>
      <c r="DZ701" s="120"/>
      <c r="EA701" s="120"/>
    </row>
    <row r="702" spans="1:16" ht="15" customHeight="1">
      <c r="A702" s="10" t="s">
        <v>2</v>
      </c>
      <c r="B702" s="11"/>
      <c r="C702" s="1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24.75" customHeight="1">
      <c r="A703" s="262" t="s">
        <v>23</v>
      </c>
      <c r="B703" s="11"/>
      <c r="C703" s="11"/>
      <c r="D703" s="30"/>
      <c r="E703" s="30">
        <f>1500000+407600</f>
        <v>1907600</v>
      </c>
      <c r="F703" s="30">
        <f>E703</f>
        <v>1907600</v>
      </c>
      <c r="G703" s="30"/>
      <c r="H703" s="30">
        <v>1600000</v>
      </c>
      <c r="I703" s="30"/>
      <c r="J703" s="30">
        <f>H703</f>
        <v>1600000</v>
      </c>
      <c r="K703" s="30"/>
      <c r="L703" s="30"/>
      <c r="M703" s="30"/>
      <c r="N703" s="30"/>
      <c r="O703" s="30">
        <v>1700000</v>
      </c>
      <c r="P703" s="30">
        <f>O703</f>
        <v>1700000</v>
      </c>
    </row>
    <row r="704" spans="1:16" ht="15" customHeight="1">
      <c r="A704" s="3" t="s">
        <v>3</v>
      </c>
      <c r="B704" s="11"/>
      <c r="C704" s="1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28.5" customHeight="1">
      <c r="A705" s="6" t="s">
        <v>63</v>
      </c>
      <c r="B705" s="11"/>
      <c r="C705" s="11"/>
      <c r="D705" s="30"/>
      <c r="E705" s="30">
        <v>13</v>
      </c>
      <c r="F705" s="30">
        <f>E705</f>
        <v>13</v>
      </c>
      <c r="G705" s="30"/>
      <c r="H705" s="30">
        <v>9</v>
      </c>
      <c r="I705" s="30"/>
      <c r="J705" s="30">
        <f>H705</f>
        <v>9</v>
      </c>
      <c r="K705" s="30"/>
      <c r="L705" s="30"/>
      <c r="M705" s="30"/>
      <c r="N705" s="30"/>
      <c r="O705" s="30">
        <v>9</v>
      </c>
      <c r="P705" s="30">
        <f>O705</f>
        <v>9</v>
      </c>
    </row>
    <row r="706" spans="1:16" ht="15" customHeight="1">
      <c r="A706" s="3" t="s">
        <v>5</v>
      </c>
      <c r="B706" s="11"/>
      <c r="C706" s="1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</row>
    <row r="707" spans="1:16" ht="35.25" customHeight="1">
      <c r="A707" s="6" t="s">
        <v>280</v>
      </c>
      <c r="B707" s="11"/>
      <c r="C707" s="11"/>
      <c r="D707" s="30"/>
      <c r="E707" s="30">
        <f>E703/E705</f>
        <v>146738.46153846153</v>
      </c>
      <c r="F707" s="30">
        <f>E707</f>
        <v>146738.46153846153</v>
      </c>
      <c r="G707" s="30"/>
      <c r="H707" s="30">
        <f>H703/H705</f>
        <v>177777.77777777778</v>
      </c>
      <c r="I707" s="30"/>
      <c r="J707" s="30">
        <f>H707</f>
        <v>177777.77777777778</v>
      </c>
      <c r="K707" s="30"/>
      <c r="L707" s="30"/>
      <c r="M707" s="30"/>
      <c r="N707" s="30"/>
      <c r="O707" s="30">
        <f>O703/O705</f>
        <v>188888.88888888888</v>
      </c>
      <c r="P707" s="30">
        <f>O707</f>
        <v>188888.88888888888</v>
      </c>
    </row>
    <row r="708" spans="1:131" s="205" customFormat="1" ht="27.75" customHeight="1">
      <c r="A708" s="202" t="s">
        <v>127</v>
      </c>
      <c r="B708" s="202"/>
      <c r="C708" s="202"/>
      <c r="D708" s="203">
        <f>D710</f>
        <v>1786259</v>
      </c>
      <c r="E708" s="203">
        <f>E710</f>
        <v>85000</v>
      </c>
      <c r="F708" s="203">
        <f>F710</f>
        <v>1871259</v>
      </c>
      <c r="G708" s="203">
        <f>G710</f>
        <v>320100</v>
      </c>
      <c r="H708" s="203"/>
      <c r="I708" s="203">
        <f>I710</f>
        <v>0</v>
      </c>
      <c r="J708" s="203">
        <f>G708</f>
        <v>320100</v>
      </c>
      <c r="K708" s="203" t="e">
        <f>#REF!+K710</f>
        <v>#REF!</v>
      </c>
      <c r="L708" s="203" t="e">
        <f>#REF!+L710</f>
        <v>#REF!</v>
      </c>
      <c r="M708" s="203" t="e">
        <f>#REF!+M710</f>
        <v>#REF!</v>
      </c>
      <c r="N708" s="203">
        <f>N710</f>
        <v>339300</v>
      </c>
      <c r="O708" s="203"/>
      <c r="P708" s="203">
        <f>N708+O708</f>
        <v>339300</v>
      </c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  <c r="BZ708" s="204"/>
      <c r="CA708" s="204"/>
      <c r="CB708" s="204"/>
      <c r="CC708" s="204"/>
      <c r="CD708" s="204"/>
      <c r="CE708" s="204"/>
      <c r="CF708" s="204"/>
      <c r="CG708" s="204"/>
      <c r="CH708" s="204"/>
      <c r="CI708" s="204"/>
      <c r="CJ708" s="204"/>
      <c r="CK708" s="204"/>
      <c r="CL708" s="204"/>
      <c r="CM708" s="204"/>
      <c r="CN708" s="204"/>
      <c r="CO708" s="204"/>
      <c r="CP708" s="204"/>
      <c r="CQ708" s="204"/>
      <c r="CR708" s="204"/>
      <c r="CS708" s="204"/>
      <c r="CT708" s="204"/>
      <c r="CU708" s="204"/>
      <c r="CV708" s="204"/>
      <c r="CW708" s="204"/>
      <c r="CX708" s="204"/>
      <c r="CY708" s="204"/>
      <c r="CZ708" s="204"/>
      <c r="DA708" s="204"/>
      <c r="DB708" s="204"/>
      <c r="DC708" s="204"/>
      <c r="DD708" s="204"/>
      <c r="DE708" s="204"/>
      <c r="DF708" s="204"/>
      <c r="DG708" s="204"/>
      <c r="DH708" s="204"/>
      <c r="DI708" s="204"/>
      <c r="DJ708" s="204"/>
      <c r="DK708" s="204"/>
      <c r="DL708" s="204"/>
      <c r="DM708" s="204"/>
      <c r="DN708" s="204"/>
      <c r="DO708" s="204"/>
      <c r="DP708" s="204"/>
      <c r="DQ708" s="204"/>
      <c r="DR708" s="204"/>
      <c r="DS708" s="204"/>
      <c r="DT708" s="204"/>
      <c r="DU708" s="204"/>
      <c r="DV708" s="204"/>
      <c r="DW708" s="204"/>
      <c r="DX708" s="204"/>
      <c r="DY708" s="204"/>
      <c r="DZ708" s="204"/>
      <c r="EA708" s="204"/>
    </row>
    <row r="709" spans="1:131" s="78" customFormat="1" ht="34.5" customHeight="1">
      <c r="A709" s="74" t="s">
        <v>188</v>
      </c>
      <c r="B709" s="85"/>
      <c r="C709" s="85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  <c r="CO709" s="77"/>
      <c r="CP709" s="77"/>
      <c r="CQ709" s="77"/>
      <c r="CR709" s="77"/>
      <c r="CS709" s="77"/>
      <c r="CT709" s="77"/>
      <c r="CU709" s="77"/>
      <c r="CV709" s="77"/>
      <c r="CW709" s="77"/>
      <c r="CX709" s="77"/>
      <c r="CY709" s="77"/>
      <c r="CZ709" s="77"/>
      <c r="DA709" s="77"/>
      <c r="DB709" s="77"/>
      <c r="DC709" s="77"/>
      <c r="DD709" s="77"/>
      <c r="DE709" s="77"/>
      <c r="DF709" s="77"/>
      <c r="DG709" s="77"/>
      <c r="DH709" s="77"/>
      <c r="DI709" s="77"/>
      <c r="DJ709" s="77"/>
      <c r="DK709" s="77"/>
      <c r="DL709" s="77"/>
      <c r="DM709" s="77"/>
      <c r="DN709" s="77"/>
      <c r="DO709" s="77"/>
      <c r="DP709" s="77"/>
      <c r="DQ709" s="77"/>
      <c r="DR709" s="77"/>
      <c r="DS709" s="77"/>
      <c r="DT709" s="77"/>
      <c r="DU709" s="77"/>
      <c r="DV709" s="77"/>
      <c r="DW709" s="77"/>
      <c r="DX709" s="77"/>
      <c r="DY709" s="77"/>
      <c r="DZ709" s="77"/>
      <c r="EA709" s="77"/>
    </row>
    <row r="710" spans="1:131" s="232" customFormat="1" ht="44.25" customHeight="1">
      <c r="A710" s="196" t="s">
        <v>489</v>
      </c>
      <c r="B710" s="197"/>
      <c r="C710" s="197"/>
      <c r="D710" s="195">
        <f>D712</f>
        <v>1786259</v>
      </c>
      <c r="E710" s="195">
        <f>E712</f>
        <v>85000</v>
      </c>
      <c r="F710" s="195">
        <f>D710+E710</f>
        <v>1871259</v>
      </c>
      <c r="G710" s="195">
        <f>G712</f>
        <v>320100</v>
      </c>
      <c r="H710" s="195"/>
      <c r="I710" s="195">
        <f>I712</f>
        <v>0</v>
      </c>
      <c r="J710" s="195">
        <f>G710</f>
        <v>320100</v>
      </c>
      <c r="K710" s="195"/>
      <c r="L710" s="195"/>
      <c r="M710" s="195"/>
      <c r="N710" s="195">
        <f>N712</f>
        <v>339300</v>
      </c>
      <c r="O710" s="195"/>
      <c r="P710" s="195">
        <f>N710+O710</f>
        <v>339300</v>
      </c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  <c r="AA710" s="231"/>
      <c r="AB710" s="231"/>
      <c r="AC710" s="231"/>
      <c r="AD710" s="231"/>
      <c r="AE710" s="231"/>
      <c r="AF710" s="231"/>
      <c r="AG710" s="231"/>
      <c r="AH710" s="231"/>
      <c r="AI710" s="231"/>
      <c r="AJ710" s="231"/>
      <c r="AK710" s="231"/>
      <c r="AL710" s="231"/>
      <c r="AM710" s="231"/>
      <c r="AN710" s="231"/>
      <c r="AO710" s="231"/>
      <c r="AP710" s="231"/>
      <c r="AQ710" s="231"/>
      <c r="AR710" s="231"/>
      <c r="AS710" s="231"/>
      <c r="AT710" s="231"/>
      <c r="AU710" s="231"/>
      <c r="AV710" s="231"/>
      <c r="AW710" s="231"/>
      <c r="AX710" s="231"/>
      <c r="AY710" s="231"/>
      <c r="AZ710" s="231"/>
      <c r="BA710" s="231"/>
      <c r="BB710" s="231"/>
      <c r="BC710" s="231"/>
      <c r="BD710" s="231"/>
      <c r="BE710" s="231"/>
      <c r="BF710" s="231"/>
      <c r="BG710" s="231"/>
      <c r="BH710" s="231"/>
      <c r="BI710" s="231"/>
      <c r="BJ710" s="231"/>
      <c r="BK710" s="231"/>
      <c r="BL710" s="231"/>
      <c r="BM710" s="231"/>
      <c r="BN710" s="231"/>
      <c r="BO710" s="231"/>
      <c r="BP710" s="231"/>
      <c r="BQ710" s="231"/>
      <c r="BR710" s="231"/>
      <c r="BS710" s="231"/>
      <c r="BT710" s="231"/>
      <c r="BU710" s="231"/>
      <c r="BV710" s="231"/>
      <c r="BW710" s="231"/>
      <c r="BX710" s="231"/>
      <c r="BY710" s="231"/>
      <c r="BZ710" s="231"/>
      <c r="CA710" s="231"/>
      <c r="CB710" s="231"/>
      <c r="CC710" s="231"/>
      <c r="CD710" s="231"/>
      <c r="CE710" s="231"/>
      <c r="CF710" s="231"/>
      <c r="CG710" s="231"/>
      <c r="CH710" s="231"/>
      <c r="CI710" s="231"/>
      <c r="CJ710" s="231"/>
      <c r="CK710" s="231"/>
      <c r="CL710" s="231"/>
      <c r="CM710" s="231"/>
      <c r="CN710" s="231"/>
      <c r="CO710" s="231"/>
      <c r="CP710" s="231"/>
      <c r="CQ710" s="231"/>
      <c r="CR710" s="231"/>
      <c r="CS710" s="231"/>
      <c r="CT710" s="231"/>
      <c r="CU710" s="231"/>
      <c r="CV710" s="231"/>
      <c r="CW710" s="231"/>
      <c r="CX710" s="231"/>
      <c r="CY710" s="231"/>
      <c r="CZ710" s="231"/>
      <c r="DA710" s="231"/>
      <c r="DB710" s="231"/>
      <c r="DC710" s="231"/>
      <c r="DD710" s="231"/>
      <c r="DE710" s="231"/>
      <c r="DF710" s="231"/>
      <c r="DG710" s="231"/>
      <c r="DH710" s="231"/>
      <c r="DI710" s="231"/>
      <c r="DJ710" s="231"/>
      <c r="DK710" s="231"/>
      <c r="DL710" s="231"/>
      <c r="DM710" s="231"/>
      <c r="DN710" s="231"/>
      <c r="DO710" s="231"/>
      <c r="DP710" s="231"/>
      <c r="DQ710" s="231"/>
      <c r="DR710" s="231"/>
      <c r="DS710" s="231"/>
      <c r="DT710" s="231"/>
      <c r="DU710" s="231"/>
      <c r="DV710" s="231"/>
      <c r="DW710" s="231"/>
      <c r="DX710" s="231"/>
      <c r="DY710" s="231"/>
      <c r="DZ710" s="231"/>
      <c r="EA710" s="231"/>
    </row>
    <row r="711" spans="1:16" ht="11.25">
      <c r="A711" s="3" t="s">
        <v>2</v>
      </c>
      <c r="B711" s="4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35.25" customHeight="1">
      <c r="A712" s="6" t="s">
        <v>128</v>
      </c>
      <c r="B712" s="4"/>
      <c r="C712" s="4"/>
      <c r="D712" s="5">
        <f>4841800+1541959+29300-85000+5700000+1157400-4541800-5700000-1157400</f>
        <v>1786259</v>
      </c>
      <c r="E712" s="5">
        <f>0+85000</f>
        <v>85000</v>
      </c>
      <c r="F712" s="5">
        <f>D712</f>
        <v>1786259</v>
      </c>
      <c r="G712" s="5">
        <v>320100</v>
      </c>
      <c r="H712" s="5"/>
      <c r="I712" s="5"/>
      <c r="J712" s="5">
        <f>G712+H712</f>
        <v>320100</v>
      </c>
      <c r="K712" s="5"/>
      <c r="L712" s="5"/>
      <c r="M712" s="5"/>
      <c r="N712" s="5">
        <v>339300</v>
      </c>
      <c r="O712" s="5"/>
      <c r="P712" s="5">
        <f>N712+O712</f>
        <v>339300</v>
      </c>
    </row>
    <row r="713" spans="1:16" ht="11.25">
      <c r="A713" s="3" t="s">
        <v>3</v>
      </c>
      <c r="B713" s="4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39.75" customHeight="1">
      <c r="A714" s="6" t="s">
        <v>129</v>
      </c>
      <c r="B714" s="4"/>
      <c r="C714" s="4"/>
      <c r="D714" s="5">
        <v>4</v>
      </c>
      <c r="E714" s="5">
        <v>1</v>
      </c>
      <c r="F714" s="5">
        <f>D714</f>
        <v>4</v>
      </c>
      <c r="G714" s="5">
        <v>1</v>
      </c>
      <c r="H714" s="5"/>
      <c r="I714" s="5"/>
      <c r="J714" s="5">
        <f>G714</f>
        <v>1</v>
      </c>
      <c r="K714" s="5"/>
      <c r="L714" s="5"/>
      <c r="M714" s="5"/>
      <c r="N714" s="5">
        <v>1</v>
      </c>
      <c r="O714" s="5"/>
      <c r="P714" s="5">
        <f>N714+O714</f>
        <v>1</v>
      </c>
    </row>
    <row r="715" spans="1:16" ht="11.25">
      <c r="A715" s="3" t="s">
        <v>5</v>
      </c>
      <c r="B715" s="4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40.5" customHeight="1">
      <c r="A716" s="6" t="s">
        <v>130</v>
      </c>
      <c r="B716" s="4"/>
      <c r="C716" s="4"/>
      <c r="D716" s="5">
        <f>D712/D714</f>
        <v>446564.75</v>
      </c>
      <c r="E716" s="5">
        <f>E712/E714</f>
        <v>85000</v>
      </c>
      <c r="F716" s="5">
        <f>F712/F714</f>
        <v>446564.75</v>
      </c>
      <c r="G716" s="5">
        <f>G712/G714</f>
        <v>320100</v>
      </c>
      <c r="H716" s="5"/>
      <c r="I716" s="5"/>
      <c r="J716" s="5">
        <f>G716+H716</f>
        <v>320100</v>
      </c>
      <c r="K716" s="5"/>
      <c r="L716" s="5"/>
      <c r="M716" s="5"/>
      <c r="N716" s="5">
        <f>N712/N714</f>
        <v>339300</v>
      </c>
      <c r="O716" s="5"/>
      <c r="P716" s="5">
        <f>P712/P714</f>
        <v>339300</v>
      </c>
    </row>
    <row r="717" spans="1:131" s="205" customFormat="1" ht="22.5" customHeight="1">
      <c r="A717" s="202" t="s">
        <v>133</v>
      </c>
      <c r="B717" s="233"/>
      <c r="C717" s="233"/>
      <c r="D717" s="203">
        <f>D719</f>
        <v>31592000</v>
      </c>
      <c r="E717" s="203">
        <f aca="true" t="shared" si="45" ref="E717:Q717">E719</f>
        <v>200000</v>
      </c>
      <c r="F717" s="203">
        <f t="shared" si="45"/>
        <v>31792000</v>
      </c>
      <c r="G717" s="203">
        <f t="shared" si="45"/>
        <v>3680000</v>
      </c>
      <c r="H717" s="203">
        <f t="shared" si="45"/>
        <v>0</v>
      </c>
      <c r="I717" s="203">
        <f t="shared" si="45"/>
        <v>3568484</v>
      </c>
      <c r="J717" s="203">
        <f t="shared" si="45"/>
        <v>3680000</v>
      </c>
      <c r="K717" s="203">
        <f t="shared" si="45"/>
        <v>3568484</v>
      </c>
      <c r="L717" s="203">
        <f t="shared" si="45"/>
        <v>3568484</v>
      </c>
      <c r="M717" s="203">
        <f t="shared" si="45"/>
        <v>3568484</v>
      </c>
      <c r="N717" s="203">
        <f t="shared" si="45"/>
        <v>3900300</v>
      </c>
      <c r="O717" s="203">
        <f t="shared" si="45"/>
        <v>0</v>
      </c>
      <c r="P717" s="203">
        <f t="shared" si="45"/>
        <v>3900300</v>
      </c>
      <c r="Q717" s="203">
        <f t="shared" si="45"/>
        <v>0</v>
      </c>
      <c r="R717" s="204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  <c r="AC717" s="204"/>
      <c r="AD717" s="204"/>
      <c r="AE717" s="204"/>
      <c r="AF717" s="204"/>
      <c r="AG717" s="204"/>
      <c r="AH717" s="204"/>
      <c r="AI717" s="204"/>
      <c r="AJ717" s="204"/>
      <c r="AK717" s="204"/>
      <c r="AL717" s="204"/>
      <c r="AM717" s="204"/>
      <c r="AN717" s="204"/>
      <c r="AO717" s="204"/>
      <c r="AP717" s="204"/>
      <c r="AQ717" s="204"/>
      <c r="AR717" s="204"/>
      <c r="AS717" s="204"/>
      <c r="AT717" s="204"/>
      <c r="AU717" s="204"/>
      <c r="AV717" s="204"/>
      <c r="AW717" s="204"/>
      <c r="AX717" s="204"/>
      <c r="AY717" s="204"/>
      <c r="AZ717" s="204"/>
      <c r="BA717" s="204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  <c r="BZ717" s="204"/>
      <c r="CA717" s="204"/>
      <c r="CB717" s="204"/>
      <c r="CC717" s="204"/>
      <c r="CD717" s="204"/>
      <c r="CE717" s="204"/>
      <c r="CF717" s="204"/>
      <c r="CG717" s="204"/>
      <c r="CH717" s="204"/>
      <c r="CI717" s="204"/>
      <c r="CJ717" s="204"/>
      <c r="CK717" s="204"/>
      <c r="CL717" s="204"/>
      <c r="CM717" s="204"/>
      <c r="CN717" s="204"/>
      <c r="CO717" s="204"/>
      <c r="CP717" s="204"/>
      <c r="CQ717" s="204"/>
      <c r="CR717" s="204"/>
      <c r="CS717" s="204"/>
      <c r="CT717" s="204"/>
      <c r="CU717" s="204"/>
      <c r="CV717" s="204"/>
      <c r="CW717" s="204"/>
      <c r="CX717" s="204"/>
      <c r="CY717" s="204"/>
      <c r="CZ717" s="204"/>
      <c r="DA717" s="204"/>
      <c r="DB717" s="204"/>
      <c r="DC717" s="204"/>
      <c r="DD717" s="204"/>
      <c r="DE717" s="204"/>
      <c r="DF717" s="204"/>
      <c r="DG717" s="204"/>
      <c r="DH717" s="204"/>
      <c r="DI717" s="204"/>
      <c r="DJ717" s="204"/>
      <c r="DK717" s="204"/>
      <c r="DL717" s="204"/>
      <c r="DM717" s="204"/>
      <c r="DN717" s="204"/>
      <c r="DO717" s="204"/>
      <c r="DP717" s="204"/>
      <c r="DQ717" s="204"/>
      <c r="DR717" s="204"/>
      <c r="DS717" s="204"/>
      <c r="DT717" s="204"/>
      <c r="DU717" s="204"/>
      <c r="DV717" s="204"/>
      <c r="DW717" s="204"/>
      <c r="DX717" s="204"/>
      <c r="DY717" s="204"/>
      <c r="DZ717" s="204"/>
      <c r="EA717" s="204"/>
    </row>
    <row r="718" spans="1:16" ht="23.25" customHeight="1">
      <c r="A718" s="6" t="s">
        <v>66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31" s="199" customFormat="1" ht="45.75" customHeight="1">
      <c r="A719" s="196" t="s">
        <v>531</v>
      </c>
      <c r="B719" s="197"/>
      <c r="C719" s="197"/>
      <c r="D719" s="195">
        <f>D720+D730+D743+D746+D755+D762+D815+D822+D829+D836+D839+D842+D849+D852</f>
        <v>31592000</v>
      </c>
      <c r="E719" s="195">
        <f>E720+E730+E746+E755+E762+E815+E822+E829</f>
        <v>200000</v>
      </c>
      <c r="F719" s="195">
        <f>D719+E719</f>
        <v>31792000</v>
      </c>
      <c r="G719" s="195">
        <f>G720+G730+G746+G755+G762+G815+G822+G829</f>
        <v>3680000</v>
      </c>
      <c r="H719" s="195">
        <f>H720+H730+H746+H755+H762+H815+H822+H829</f>
        <v>0</v>
      </c>
      <c r="I719" s="195">
        <f>I720+I730+I746+I755+I762+I815+I822+I829</f>
        <v>3568484</v>
      </c>
      <c r="J719" s="195">
        <f>G719+H719</f>
        <v>3680000</v>
      </c>
      <c r="K719" s="195">
        <f>K720+K730+K746+K755+K762+K815+K822+K829</f>
        <v>3568484</v>
      </c>
      <c r="L719" s="195">
        <f>L720+L730+L746+L755+L762+L815+L822+L829</f>
        <v>3568484</v>
      </c>
      <c r="M719" s="195">
        <f>M720+M730+M746+M755+M762+M815+M822+M829</f>
        <v>3568484</v>
      </c>
      <c r="N719" s="195">
        <f>N720+N730+N746+N755+N762+N815+N822+N829</f>
        <v>3900300</v>
      </c>
      <c r="O719" s="195">
        <f>O720+O730+O746+O755+O762+O815+O822+O829</f>
        <v>0</v>
      </c>
      <c r="P719" s="195">
        <f>N719+O719</f>
        <v>3900300</v>
      </c>
      <c r="Q719" s="198"/>
      <c r="R719" s="198"/>
      <c r="S719" s="198"/>
      <c r="T719" s="198"/>
      <c r="U719" s="198"/>
      <c r="V719" s="198"/>
      <c r="W719" s="198"/>
      <c r="X719" s="198"/>
      <c r="Y719" s="198"/>
      <c r="Z719" s="198"/>
      <c r="AA719" s="198"/>
      <c r="AB719" s="198"/>
      <c r="AC719" s="198"/>
      <c r="AD719" s="198"/>
      <c r="AE719" s="198"/>
      <c r="AF719" s="198"/>
      <c r="AG719" s="198"/>
      <c r="AH719" s="198"/>
      <c r="AI719" s="198"/>
      <c r="AJ719" s="198"/>
      <c r="AK719" s="198"/>
      <c r="AL719" s="198"/>
      <c r="AM719" s="198"/>
      <c r="AN719" s="198"/>
      <c r="AO719" s="198"/>
      <c r="AP719" s="198"/>
      <c r="AQ719" s="198"/>
      <c r="AR719" s="198"/>
      <c r="AS719" s="198"/>
      <c r="AT719" s="198"/>
      <c r="AU719" s="198"/>
      <c r="AV719" s="198"/>
      <c r="AW719" s="198"/>
      <c r="AX719" s="198"/>
      <c r="AY719" s="198"/>
      <c r="AZ719" s="19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  <c r="BZ719" s="198"/>
      <c r="CA719" s="198"/>
      <c r="CB719" s="198"/>
      <c r="CC719" s="198"/>
      <c r="CD719" s="198"/>
      <c r="CE719" s="198"/>
      <c r="CF719" s="198"/>
      <c r="CG719" s="198"/>
      <c r="CH719" s="198"/>
      <c r="CI719" s="198"/>
      <c r="CJ719" s="198"/>
      <c r="CK719" s="198"/>
      <c r="CL719" s="198"/>
      <c r="CM719" s="198"/>
      <c r="CN719" s="198"/>
      <c r="CO719" s="198"/>
      <c r="CP719" s="198"/>
      <c r="CQ719" s="198"/>
      <c r="CR719" s="198"/>
      <c r="CS719" s="198"/>
      <c r="CT719" s="198"/>
      <c r="CU719" s="198"/>
      <c r="CV719" s="198"/>
      <c r="CW719" s="198"/>
      <c r="CX719" s="198"/>
      <c r="CY719" s="198"/>
      <c r="CZ719" s="198"/>
      <c r="DA719" s="198"/>
      <c r="DB719" s="198"/>
      <c r="DC719" s="198"/>
      <c r="DD719" s="198"/>
      <c r="DE719" s="198"/>
      <c r="DF719" s="198"/>
      <c r="DG719" s="198"/>
      <c r="DH719" s="198"/>
      <c r="DI719" s="198"/>
      <c r="DJ719" s="198"/>
      <c r="DK719" s="198"/>
      <c r="DL719" s="198"/>
      <c r="DM719" s="198"/>
      <c r="DN719" s="198"/>
      <c r="DO719" s="198"/>
      <c r="DP719" s="198"/>
      <c r="DQ719" s="198"/>
      <c r="DR719" s="198"/>
      <c r="DS719" s="198"/>
      <c r="DT719" s="198"/>
      <c r="DU719" s="198"/>
      <c r="DV719" s="198"/>
      <c r="DW719" s="198"/>
      <c r="DX719" s="198"/>
      <c r="DY719" s="198"/>
      <c r="DZ719" s="198"/>
      <c r="EA719" s="198"/>
    </row>
    <row r="720" spans="1:131" s="89" customFormat="1" ht="45">
      <c r="A720" s="87" t="s">
        <v>512</v>
      </c>
      <c r="B720" s="79"/>
      <c r="C720" s="79"/>
      <c r="D720" s="83">
        <f>3448500+120000+200000+275000-3448500</f>
        <v>595000</v>
      </c>
      <c r="E720" s="83"/>
      <c r="F720" s="83">
        <f>D720</f>
        <v>595000</v>
      </c>
      <c r="G720" s="83">
        <f>G722</f>
        <v>3680000</v>
      </c>
      <c r="H720" s="83"/>
      <c r="I720" s="83">
        <f>3448484+120000</f>
        <v>3568484</v>
      </c>
      <c r="J720" s="83">
        <f>G720</f>
        <v>3680000</v>
      </c>
      <c r="K720" s="83">
        <f>3448484+120000</f>
        <v>3568484</v>
      </c>
      <c r="L720" s="83">
        <f>3448484+120000</f>
        <v>3568484</v>
      </c>
      <c r="M720" s="83">
        <f>3448484+120000</f>
        <v>3568484</v>
      </c>
      <c r="N720" s="83">
        <f>N722</f>
        <v>3900300</v>
      </c>
      <c r="O720" s="83"/>
      <c r="P720" s="83">
        <f>N720</f>
        <v>3900300</v>
      </c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20"/>
      <c r="CQ720" s="120"/>
      <c r="CR720" s="120"/>
      <c r="CS720" s="120"/>
      <c r="CT720" s="120"/>
      <c r="CU720" s="120"/>
      <c r="CV720" s="120"/>
      <c r="CW720" s="120"/>
      <c r="CX720" s="120"/>
      <c r="CY720" s="120"/>
      <c r="CZ720" s="120"/>
      <c r="DA720" s="120"/>
      <c r="DB720" s="120"/>
      <c r="DC720" s="120"/>
      <c r="DD720" s="120"/>
      <c r="DE720" s="120"/>
      <c r="DF720" s="120"/>
      <c r="DG720" s="120"/>
      <c r="DH720" s="120"/>
      <c r="DI720" s="120"/>
      <c r="DJ720" s="120"/>
      <c r="DK720" s="120"/>
      <c r="DL720" s="120"/>
      <c r="DM720" s="120"/>
      <c r="DN720" s="120"/>
      <c r="DO720" s="120"/>
      <c r="DP720" s="120"/>
      <c r="DQ720" s="120"/>
      <c r="DR720" s="120"/>
      <c r="DS720" s="120"/>
      <c r="DT720" s="120"/>
      <c r="DU720" s="120"/>
      <c r="DV720" s="120"/>
      <c r="DW720" s="120"/>
      <c r="DX720" s="120"/>
      <c r="DY720" s="120"/>
      <c r="DZ720" s="120"/>
      <c r="EA720" s="120"/>
    </row>
    <row r="721" spans="1:16" ht="12" customHeight="1">
      <c r="A721" s="3" t="s">
        <v>2</v>
      </c>
      <c r="B721" s="4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3.5" customHeight="1">
      <c r="A722" s="6" t="s">
        <v>23</v>
      </c>
      <c r="B722" s="4"/>
      <c r="C722" s="4"/>
      <c r="D722" s="5">
        <f>D720</f>
        <v>595000</v>
      </c>
      <c r="E722" s="5"/>
      <c r="F722" s="5">
        <f>D722</f>
        <v>595000</v>
      </c>
      <c r="G722" s="5">
        <v>3680000</v>
      </c>
      <c r="H722" s="5"/>
      <c r="I722" s="5"/>
      <c r="J722" s="5">
        <f>SUM(G722)</f>
        <v>3680000</v>
      </c>
      <c r="K722" s="5"/>
      <c r="L722" s="5"/>
      <c r="M722" s="5"/>
      <c r="N722" s="5">
        <v>3900300</v>
      </c>
      <c r="O722" s="5"/>
      <c r="P722" s="5">
        <f>N722</f>
        <v>3900300</v>
      </c>
    </row>
    <row r="723" spans="1:16" ht="12" customHeight="1">
      <c r="A723" s="3" t="s">
        <v>3</v>
      </c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37.5" customHeight="1">
      <c r="A724" s="6" t="s">
        <v>131</v>
      </c>
      <c r="B724" s="4"/>
      <c r="C724" s="4"/>
      <c r="D724" s="5">
        <v>12</v>
      </c>
      <c r="E724" s="5"/>
      <c r="F724" s="5">
        <v>12</v>
      </c>
      <c r="G724" s="5">
        <v>12</v>
      </c>
      <c r="H724" s="5"/>
      <c r="I724" s="5"/>
      <c r="J724" s="5">
        <v>12</v>
      </c>
      <c r="K724" s="5"/>
      <c r="L724" s="5"/>
      <c r="M724" s="5"/>
      <c r="N724" s="5">
        <v>12</v>
      </c>
      <c r="O724" s="5"/>
      <c r="P724" s="5">
        <v>12</v>
      </c>
    </row>
    <row r="725" spans="1:16" ht="11.25">
      <c r="A725" s="3" t="s">
        <v>5</v>
      </c>
      <c r="B725" s="4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36" customHeight="1">
      <c r="A726" s="6" t="s">
        <v>132</v>
      </c>
      <c r="B726" s="4"/>
      <c r="C726" s="4"/>
      <c r="D726" s="5">
        <f>SUM(D722)/D724</f>
        <v>49583.333333333336</v>
      </c>
      <c r="E726" s="5"/>
      <c r="F726" s="5">
        <f>D726</f>
        <v>49583.333333333336</v>
      </c>
      <c r="G726" s="5">
        <f>SUM(G722)/G724</f>
        <v>306666.6666666667</v>
      </c>
      <c r="H726" s="5"/>
      <c r="I726" s="5"/>
      <c r="J726" s="5">
        <f>SUM(J722)/J724</f>
        <v>306666.6666666667</v>
      </c>
      <c r="K726" s="5"/>
      <c r="L726" s="5"/>
      <c r="M726" s="5"/>
      <c r="N726" s="5">
        <f>SUM(N722)/N724</f>
        <v>325025</v>
      </c>
      <c r="O726" s="5"/>
      <c r="P726" s="5">
        <f>SUM(P722)/P724</f>
        <v>325025</v>
      </c>
    </row>
    <row r="727" spans="1:16" ht="24" customHeight="1" hidden="1">
      <c r="A727" s="22" t="s">
        <v>172</v>
      </c>
      <c r="B727" s="4"/>
      <c r="C727" s="4"/>
      <c r="D727" s="5">
        <f>D729</f>
        <v>14000000</v>
      </c>
      <c r="E727" s="5"/>
      <c r="F727" s="5">
        <f>F729</f>
        <v>14000000</v>
      </c>
      <c r="G727" s="5">
        <f>G729</f>
        <v>45705000</v>
      </c>
      <c r="H727" s="5"/>
      <c r="I727" s="5"/>
      <c r="J727" s="5">
        <f>G727</f>
        <v>45705000</v>
      </c>
      <c r="K727" s="5"/>
      <c r="L727" s="5"/>
      <c r="M727" s="5"/>
      <c r="N727" s="5"/>
      <c r="O727" s="5"/>
      <c r="P727" s="5"/>
    </row>
    <row r="728" spans="1:16" ht="16.5" customHeight="1" hidden="1">
      <c r="A728" s="3" t="s">
        <v>2</v>
      </c>
      <c r="B728" s="4"/>
      <c r="C728" s="4"/>
      <c r="D728" s="5"/>
      <c r="E728" s="5"/>
      <c r="F728" s="5"/>
      <c r="G728" s="92">
        <v>1</v>
      </c>
      <c r="H728" s="92"/>
      <c r="I728" s="92"/>
      <c r="J728" s="92"/>
      <c r="K728" s="92"/>
      <c r="L728" s="92"/>
      <c r="M728" s="92"/>
      <c r="N728" s="92"/>
      <c r="O728" s="5"/>
      <c r="P728" s="5"/>
    </row>
    <row r="729" spans="1:16" ht="12.75" customHeight="1" hidden="1">
      <c r="A729" s="3" t="s">
        <v>23</v>
      </c>
      <c r="B729" s="4"/>
      <c r="C729" s="4"/>
      <c r="D729" s="5">
        <f>3000000+2000000+3000000+1000000+3000000+2000000</f>
        <v>14000000</v>
      </c>
      <c r="E729" s="5"/>
      <c r="F729" s="5">
        <f>3000000+2000000+3000000+1000000+3000000+2000000</f>
        <v>14000000</v>
      </c>
      <c r="G729" s="5">
        <f>0+4000000+2725000+3000000+9000000+3000000+3000000+3000000+3200000+4000000+3500000+5000000+2280000</f>
        <v>45705000</v>
      </c>
      <c r="H729" s="5"/>
      <c r="I729" s="5"/>
      <c r="J729" s="5">
        <f>G729</f>
        <v>45705000</v>
      </c>
      <c r="K729" s="5"/>
      <c r="L729" s="5"/>
      <c r="M729" s="5"/>
      <c r="N729" s="5"/>
      <c r="O729" s="5"/>
      <c r="P729" s="5"/>
    </row>
    <row r="730" spans="1:131" s="78" customFormat="1" ht="34.5" customHeight="1">
      <c r="A730" s="87" t="s">
        <v>490</v>
      </c>
      <c r="B730" s="75"/>
      <c r="C730" s="75"/>
      <c r="D730" s="83">
        <f>18600000-6500000-5535000</f>
        <v>6565000</v>
      </c>
      <c r="E730" s="83"/>
      <c r="F730" s="83">
        <f>D730</f>
        <v>6565000</v>
      </c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  <c r="CO730" s="77"/>
      <c r="CP730" s="77"/>
      <c r="CQ730" s="77"/>
      <c r="CR730" s="77"/>
      <c r="CS730" s="77"/>
      <c r="CT730" s="77"/>
      <c r="CU730" s="77"/>
      <c r="CV730" s="77"/>
      <c r="CW730" s="77"/>
      <c r="CX730" s="77"/>
      <c r="CY730" s="77"/>
      <c r="CZ730" s="77"/>
      <c r="DA730" s="77"/>
      <c r="DB730" s="77"/>
      <c r="DC730" s="77"/>
      <c r="DD730" s="77"/>
      <c r="DE730" s="77"/>
      <c r="DF730" s="77"/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</row>
    <row r="731" spans="1:16" ht="15.75" customHeight="1">
      <c r="A731" s="3" t="s">
        <v>2</v>
      </c>
      <c r="B731" s="4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5.75" customHeight="1">
      <c r="A732" s="3" t="s">
        <v>23</v>
      </c>
      <c r="B732" s="4"/>
      <c r="C732" s="4"/>
      <c r="D732" s="5">
        <f>D730</f>
        <v>6565000</v>
      </c>
      <c r="E732" s="5"/>
      <c r="F732" s="5">
        <f>D732</f>
        <v>6565000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35.25" customHeight="1" hidden="1">
      <c r="A733" s="22" t="s">
        <v>182</v>
      </c>
      <c r="B733" s="4"/>
      <c r="C733" s="4"/>
      <c r="D733" s="5"/>
      <c r="E733" s="5"/>
      <c r="F733" s="5"/>
      <c r="G733" s="5">
        <f>G735</f>
        <v>1000000</v>
      </c>
      <c r="H733" s="5">
        <f>H735</f>
        <v>0</v>
      </c>
      <c r="I733" s="5">
        <f>I735</f>
        <v>0</v>
      </c>
      <c r="J733" s="5">
        <f>J735</f>
        <v>1000000</v>
      </c>
      <c r="K733" s="5"/>
      <c r="L733" s="5"/>
      <c r="M733" s="5"/>
      <c r="N733" s="5">
        <f>N735</f>
        <v>1000000</v>
      </c>
      <c r="O733" s="5"/>
      <c r="P733" s="5">
        <f>N733</f>
        <v>1000000</v>
      </c>
    </row>
    <row r="734" spans="1:16" ht="12.75" customHeight="1" hidden="1">
      <c r="A734" s="3" t="s">
        <v>2</v>
      </c>
      <c r="B734" s="4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.75" customHeight="1" hidden="1">
      <c r="A735" s="3" t="s">
        <v>23</v>
      </c>
      <c r="B735" s="4"/>
      <c r="C735" s="4"/>
      <c r="D735" s="5"/>
      <c r="E735" s="5"/>
      <c r="F735" s="5"/>
      <c r="G735" s="5">
        <v>1000000</v>
      </c>
      <c r="H735" s="5"/>
      <c r="I735" s="5"/>
      <c r="J735" s="5">
        <f>G735+H735</f>
        <v>1000000</v>
      </c>
      <c r="K735" s="5"/>
      <c r="L735" s="5"/>
      <c r="M735" s="5"/>
      <c r="N735" s="5">
        <v>1000000</v>
      </c>
      <c r="O735" s="5"/>
      <c r="P735" s="5">
        <f>N735</f>
        <v>1000000</v>
      </c>
    </row>
    <row r="736" spans="1:131" s="27" customFormat="1" ht="25.5" customHeight="1" hidden="1">
      <c r="A736" s="22" t="s">
        <v>173</v>
      </c>
      <c r="B736" s="23"/>
      <c r="C736" s="23"/>
      <c r="D736" s="24">
        <f>D738</f>
        <v>70000</v>
      </c>
      <c r="E736" s="24"/>
      <c r="F736" s="24">
        <f>D736+E736</f>
        <v>70000</v>
      </c>
      <c r="G736" s="24">
        <f>G740*G742</f>
        <v>0</v>
      </c>
      <c r="H736" s="24"/>
      <c r="I736" s="24"/>
      <c r="J736" s="24">
        <f>G736</f>
        <v>0</v>
      </c>
      <c r="K736" s="24"/>
      <c r="L736" s="24"/>
      <c r="M736" s="24"/>
      <c r="N736" s="24">
        <f>N742*N740</f>
        <v>0</v>
      </c>
      <c r="O736" s="24"/>
      <c r="P736" s="24">
        <f>N736</f>
        <v>0</v>
      </c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</row>
    <row r="737" spans="1:16" ht="11.25" hidden="1">
      <c r="A737" s="3" t="s">
        <v>2</v>
      </c>
      <c r="B737" s="4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4.25" customHeight="1" hidden="1">
      <c r="A738" s="6" t="s">
        <v>23</v>
      </c>
      <c r="B738" s="4"/>
      <c r="C738" s="4"/>
      <c r="D738" s="5">
        <f>D740*D742</f>
        <v>70000</v>
      </c>
      <c r="E738" s="5"/>
      <c r="F738" s="5">
        <f>D738+E738</f>
        <v>70000</v>
      </c>
      <c r="G738" s="5"/>
      <c r="H738" s="5"/>
      <c r="I738" s="5"/>
      <c r="J738" s="5">
        <f>G738</f>
        <v>0</v>
      </c>
      <c r="K738" s="5"/>
      <c r="L738" s="5"/>
      <c r="M738" s="5"/>
      <c r="N738" s="5"/>
      <c r="O738" s="5"/>
      <c r="P738" s="5">
        <f>N738</f>
        <v>0</v>
      </c>
    </row>
    <row r="739" spans="1:16" ht="11.25" hidden="1">
      <c r="A739" s="3" t="s">
        <v>3</v>
      </c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23.25" customHeight="1" hidden="1">
      <c r="A740" s="6" t="s">
        <v>67</v>
      </c>
      <c r="B740" s="4"/>
      <c r="C740" s="4"/>
      <c r="D740" s="5">
        <v>2</v>
      </c>
      <c r="E740" s="5"/>
      <c r="F740" s="5">
        <f>D740+E740</f>
        <v>2</v>
      </c>
      <c r="G740" s="5"/>
      <c r="H740" s="5"/>
      <c r="I740" s="5"/>
      <c r="J740" s="5">
        <v>0</v>
      </c>
      <c r="K740" s="5"/>
      <c r="L740" s="5"/>
      <c r="M740" s="5"/>
      <c r="N740" s="5"/>
      <c r="O740" s="5"/>
      <c r="P740" s="5">
        <v>0</v>
      </c>
    </row>
    <row r="741" spans="1:16" ht="11.25" hidden="1">
      <c r="A741" s="3" t="s">
        <v>5</v>
      </c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24.75" customHeight="1" hidden="1">
      <c r="A742" s="6" t="s">
        <v>68</v>
      </c>
      <c r="B742" s="4"/>
      <c r="C742" s="4"/>
      <c r="D742" s="5">
        <v>35000</v>
      </c>
      <c r="E742" s="5"/>
      <c r="F742" s="5">
        <f>D742+E742</f>
        <v>35000</v>
      </c>
      <c r="G742" s="5"/>
      <c r="H742" s="5"/>
      <c r="I742" s="5"/>
      <c r="J742" s="5">
        <f>G742</f>
        <v>0</v>
      </c>
      <c r="K742" s="5"/>
      <c r="L742" s="5"/>
      <c r="M742" s="5"/>
      <c r="N742" s="5"/>
      <c r="O742" s="5"/>
      <c r="P742" s="5">
        <v>0</v>
      </c>
    </row>
    <row r="743" spans="1:131" s="78" customFormat="1" ht="40.5" customHeight="1">
      <c r="A743" s="87" t="s">
        <v>491</v>
      </c>
      <c r="B743" s="75"/>
      <c r="C743" s="75"/>
      <c r="D743" s="83">
        <f>13000000-350000</f>
        <v>12650000</v>
      </c>
      <c r="E743" s="83"/>
      <c r="F743" s="83">
        <f>D743</f>
        <v>12650000</v>
      </c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  <c r="BM743" s="77"/>
      <c r="BN743" s="77"/>
      <c r="BO743" s="77"/>
      <c r="BP743" s="77"/>
      <c r="BQ743" s="77"/>
      <c r="BR743" s="77"/>
      <c r="BS743" s="77"/>
      <c r="BT743" s="77"/>
      <c r="BU743" s="77"/>
      <c r="BV743" s="77"/>
      <c r="BW743" s="77"/>
      <c r="BX743" s="77"/>
      <c r="BY743" s="77"/>
      <c r="BZ743" s="77"/>
      <c r="CA743" s="77"/>
      <c r="CB743" s="77"/>
      <c r="CC743" s="77"/>
      <c r="CD743" s="77"/>
      <c r="CE743" s="77"/>
      <c r="CF743" s="77"/>
      <c r="CG743" s="77"/>
      <c r="CH743" s="77"/>
      <c r="CI743" s="77"/>
      <c r="CJ743" s="77"/>
      <c r="CK743" s="77"/>
      <c r="CL743" s="77"/>
      <c r="CM743" s="77"/>
      <c r="CN743" s="77"/>
      <c r="CO743" s="77"/>
      <c r="CP743" s="77"/>
      <c r="CQ743" s="77"/>
      <c r="CR743" s="77"/>
      <c r="CS743" s="77"/>
      <c r="CT743" s="77"/>
      <c r="CU743" s="77"/>
      <c r="CV743" s="77"/>
      <c r="CW743" s="77"/>
      <c r="CX743" s="77"/>
      <c r="CY743" s="77"/>
      <c r="CZ743" s="77"/>
      <c r="DA743" s="77"/>
      <c r="DB743" s="77"/>
      <c r="DC743" s="77"/>
      <c r="DD743" s="77"/>
      <c r="DE743" s="77"/>
      <c r="DF743" s="77"/>
      <c r="DG743" s="77"/>
      <c r="DH743" s="77"/>
      <c r="DI743" s="77"/>
      <c r="DJ743" s="77"/>
      <c r="DK743" s="77"/>
      <c r="DL743" s="77"/>
      <c r="DM743" s="77"/>
      <c r="DN743" s="77"/>
      <c r="DO743" s="77"/>
      <c r="DP743" s="77"/>
      <c r="DQ743" s="77"/>
      <c r="DR743" s="77"/>
      <c r="DS743" s="77"/>
      <c r="DT743" s="77"/>
      <c r="DU743" s="77"/>
      <c r="DV743" s="77"/>
      <c r="DW743" s="77"/>
      <c r="DX743" s="77"/>
      <c r="DY743" s="77"/>
      <c r="DZ743" s="77"/>
      <c r="EA743" s="77"/>
    </row>
    <row r="744" spans="1:16" ht="15.75" customHeight="1">
      <c r="A744" s="3" t="s">
        <v>2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5.75" customHeight="1">
      <c r="A745" s="3" t="s">
        <v>23</v>
      </c>
      <c r="B745" s="4"/>
      <c r="C745" s="4"/>
      <c r="D745" s="5">
        <f>D743</f>
        <v>12650000</v>
      </c>
      <c r="E745" s="5"/>
      <c r="F745" s="5">
        <f>D745</f>
        <v>12650000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31" s="89" customFormat="1" ht="15" customHeight="1">
      <c r="A746" s="87" t="s">
        <v>492</v>
      </c>
      <c r="B746" s="79"/>
      <c r="C746" s="79"/>
      <c r="D746" s="83">
        <f>405500-405500</f>
        <v>0</v>
      </c>
      <c r="E746" s="83"/>
      <c r="F746" s="83">
        <f>D746</f>
        <v>0</v>
      </c>
      <c r="G746" s="83"/>
      <c r="H746" s="83"/>
      <c r="I746" s="83"/>
      <c r="J746" s="86"/>
      <c r="K746" s="83"/>
      <c r="L746" s="83"/>
      <c r="M746" s="83"/>
      <c r="N746" s="83"/>
      <c r="O746" s="83"/>
      <c r="P746" s="83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20"/>
      <c r="BS746" s="120"/>
      <c r="BT746" s="120"/>
      <c r="BU746" s="120"/>
      <c r="BV746" s="120"/>
      <c r="BW746" s="120"/>
      <c r="BX746" s="120"/>
      <c r="BY746" s="120"/>
      <c r="BZ746" s="120"/>
      <c r="CA746" s="120"/>
      <c r="CB746" s="120"/>
      <c r="CC746" s="120"/>
      <c r="CD746" s="120"/>
      <c r="CE746" s="120"/>
      <c r="CF746" s="120"/>
      <c r="CG746" s="120"/>
      <c r="CH746" s="120"/>
      <c r="CI746" s="120"/>
      <c r="CJ746" s="120"/>
      <c r="CK746" s="120"/>
      <c r="CL746" s="120"/>
      <c r="CM746" s="120"/>
      <c r="CN746" s="120"/>
      <c r="CO746" s="120"/>
      <c r="CP746" s="120"/>
      <c r="CQ746" s="120"/>
      <c r="CR746" s="120"/>
      <c r="CS746" s="120"/>
      <c r="CT746" s="120"/>
      <c r="CU746" s="120"/>
      <c r="CV746" s="120"/>
      <c r="CW746" s="120"/>
      <c r="CX746" s="120"/>
      <c r="CY746" s="120"/>
      <c r="CZ746" s="120"/>
      <c r="DA746" s="120"/>
      <c r="DB746" s="120"/>
      <c r="DC746" s="120"/>
      <c r="DD746" s="120"/>
      <c r="DE746" s="120"/>
      <c r="DF746" s="120"/>
      <c r="DG746" s="120"/>
      <c r="DH746" s="120"/>
      <c r="DI746" s="120"/>
      <c r="DJ746" s="120"/>
      <c r="DK746" s="120"/>
      <c r="DL746" s="120"/>
      <c r="DM746" s="120"/>
      <c r="DN746" s="120"/>
      <c r="DO746" s="120"/>
      <c r="DP746" s="120"/>
      <c r="DQ746" s="120"/>
      <c r="DR746" s="120"/>
      <c r="DS746" s="120"/>
      <c r="DT746" s="120"/>
      <c r="DU746" s="120"/>
      <c r="DV746" s="120"/>
      <c r="DW746" s="120"/>
      <c r="DX746" s="120"/>
      <c r="DY746" s="120"/>
      <c r="DZ746" s="120"/>
      <c r="EA746" s="120"/>
    </row>
    <row r="747" spans="1:16" ht="12" customHeight="1">
      <c r="A747" s="3" t="s">
        <v>2</v>
      </c>
      <c r="B747" s="4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 customHeight="1">
      <c r="A748" s="6" t="s">
        <v>23</v>
      </c>
      <c r="B748" s="4"/>
      <c r="C748" s="4"/>
      <c r="D748" s="5">
        <f>D746</f>
        <v>0</v>
      </c>
      <c r="E748" s="5"/>
      <c r="F748" s="5">
        <f>D748</f>
        <v>0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 customHeight="1">
      <c r="A749" s="3" t="s">
        <v>3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24.75" customHeight="1">
      <c r="A750" s="6" t="s">
        <v>80</v>
      </c>
      <c r="B750" s="4"/>
      <c r="C750" s="4"/>
      <c r="D750" s="5">
        <v>50</v>
      </c>
      <c r="E750" s="5"/>
      <c r="F750" s="5">
        <v>57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5.75" customHeight="1">
      <c r="A751" s="6" t="s">
        <v>78</v>
      </c>
      <c r="B751" s="4"/>
      <c r="C751" s="4"/>
      <c r="D751" s="5">
        <v>50</v>
      </c>
      <c r="E751" s="5"/>
      <c r="F751" s="5">
        <f>D751</f>
        <v>50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.75" customHeight="1">
      <c r="A752" s="3" t="s">
        <v>5</v>
      </c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24.75" customHeight="1">
      <c r="A753" s="6" t="s">
        <v>79</v>
      </c>
      <c r="B753" s="4"/>
      <c r="C753" s="4"/>
      <c r="D753" s="5">
        <v>1950.89</v>
      </c>
      <c r="E753" s="5"/>
      <c r="F753" s="5">
        <f>D753</f>
        <v>1950.89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22.5">
      <c r="A754" s="6" t="s">
        <v>81</v>
      </c>
      <c r="B754" s="4"/>
      <c r="C754" s="4"/>
      <c r="D754" s="5">
        <f>D748/D751</f>
        <v>0</v>
      </c>
      <c r="E754" s="5"/>
      <c r="F754" s="5">
        <f>D754</f>
        <v>0</v>
      </c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31" s="89" customFormat="1" ht="33.75">
      <c r="A755" s="87" t="s">
        <v>493</v>
      </c>
      <c r="B755" s="79"/>
      <c r="C755" s="79"/>
      <c r="D755" s="83">
        <f>360000-210000</f>
        <v>150000</v>
      </c>
      <c r="E755" s="83"/>
      <c r="F755" s="83">
        <f>D755</f>
        <v>150000</v>
      </c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20"/>
      <c r="BS755" s="120"/>
      <c r="BT755" s="120"/>
      <c r="BU755" s="120"/>
      <c r="BV755" s="120"/>
      <c r="BW755" s="120"/>
      <c r="BX755" s="120"/>
      <c r="BY755" s="120"/>
      <c r="BZ755" s="120"/>
      <c r="CA755" s="120"/>
      <c r="CB755" s="120"/>
      <c r="CC755" s="120"/>
      <c r="CD755" s="120"/>
      <c r="CE755" s="120"/>
      <c r="CF755" s="120"/>
      <c r="CG755" s="120"/>
      <c r="CH755" s="120"/>
      <c r="CI755" s="120"/>
      <c r="CJ755" s="120"/>
      <c r="CK755" s="120"/>
      <c r="CL755" s="120"/>
      <c r="CM755" s="120"/>
      <c r="CN755" s="120"/>
      <c r="CO755" s="120"/>
      <c r="CP755" s="120"/>
      <c r="CQ755" s="120"/>
      <c r="CR755" s="120"/>
      <c r="CS755" s="120"/>
      <c r="CT755" s="120"/>
      <c r="CU755" s="120"/>
      <c r="CV755" s="120"/>
      <c r="CW755" s="120"/>
      <c r="CX755" s="120"/>
      <c r="CY755" s="120"/>
      <c r="CZ755" s="120"/>
      <c r="DA755" s="120"/>
      <c r="DB755" s="120"/>
      <c r="DC755" s="120"/>
      <c r="DD755" s="120"/>
      <c r="DE755" s="120"/>
      <c r="DF755" s="120"/>
      <c r="DG755" s="120"/>
      <c r="DH755" s="120"/>
      <c r="DI755" s="120"/>
      <c r="DJ755" s="120"/>
      <c r="DK755" s="120"/>
      <c r="DL755" s="120"/>
      <c r="DM755" s="120"/>
      <c r="DN755" s="120"/>
      <c r="DO755" s="120"/>
      <c r="DP755" s="120"/>
      <c r="DQ755" s="120"/>
      <c r="DR755" s="120"/>
      <c r="DS755" s="120"/>
      <c r="DT755" s="120"/>
      <c r="DU755" s="120"/>
      <c r="DV755" s="120"/>
      <c r="DW755" s="120"/>
      <c r="DX755" s="120"/>
      <c r="DY755" s="120"/>
      <c r="DZ755" s="120"/>
      <c r="EA755" s="120"/>
    </row>
    <row r="756" spans="1:16" ht="11.25" customHeight="1">
      <c r="A756" s="3" t="s">
        <v>2</v>
      </c>
      <c r="B756" s="4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24"/>
    </row>
    <row r="757" spans="1:16" ht="14.25" customHeight="1">
      <c r="A757" s="6" t="s">
        <v>23</v>
      </c>
      <c r="B757" s="4"/>
      <c r="C757" s="4"/>
      <c r="D757" s="5">
        <f>D755</f>
        <v>150000</v>
      </c>
      <c r="E757" s="5"/>
      <c r="F757" s="5">
        <f>D757+E757</f>
        <v>150000</v>
      </c>
      <c r="G757" s="5"/>
      <c r="H757" s="5"/>
      <c r="I757" s="5"/>
      <c r="J757" s="5"/>
      <c r="K757" s="5"/>
      <c r="L757" s="5"/>
      <c r="M757" s="5"/>
      <c r="N757" s="5"/>
      <c r="O757" s="5"/>
      <c r="P757" s="24"/>
    </row>
    <row r="758" spans="1:16" ht="10.5" customHeight="1">
      <c r="A758" s="3" t="s">
        <v>3</v>
      </c>
      <c r="B758" s="4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24"/>
    </row>
    <row r="759" spans="1:16" ht="24.75" customHeight="1">
      <c r="A759" s="6" t="s">
        <v>83</v>
      </c>
      <c r="B759" s="4"/>
      <c r="C759" s="4"/>
      <c r="D759" s="5">
        <v>150</v>
      </c>
      <c r="E759" s="5"/>
      <c r="F759" s="5">
        <f>D759</f>
        <v>150</v>
      </c>
      <c r="G759" s="5"/>
      <c r="H759" s="5"/>
      <c r="I759" s="5"/>
      <c r="J759" s="5"/>
      <c r="K759" s="5"/>
      <c r="L759" s="5"/>
      <c r="M759" s="5"/>
      <c r="N759" s="5"/>
      <c r="O759" s="5"/>
      <c r="P759" s="24"/>
    </row>
    <row r="760" spans="1:16" ht="11.25">
      <c r="A760" s="3" t="s">
        <v>5</v>
      </c>
      <c r="B760" s="4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24"/>
    </row>
    <row r="761" spans="1:16" ht="24.75" customHeight="1">
      <c r="A761" s="6" t="s">
        <v>84</v>
      </c>
      <c r="B761" s="4"/>
      <c r="C761" s="4"/>
      <c r="D761" s="5">
        <f>D757/D759</f>
        <v>1000</v>
      </c>
      <c r="E761" s="5"/>
      <c r="F761" s="5">
        <f>D761</f>
        <v>1000</v>
      </c>
      <c r="G761" s="5"/>
      <c r="H761" s="5"/>
      <c r="I761" s="5"/>
      <c r="J761" s="5"/>
      <c r="K761" s="5"/>
      <c r="L761" s="5"/>
      <c r="M761" s="5"/>
      <c r="N761" s="5"/>
      <c r="O761" s="5"/>
      <c r="P761" s="24"/>
    </row>
    <row r="762" spans="1:131" s="89" customFormat="1" ht="36.75" customHeight="1">
      <c r="A762" s="87" t="s">
        <v>564</v>
      </c>
      <c r="B762" s="79"/>
      <c r="C762" s="79"/>
      <c r="D762" s="83">
        <f>800000-250000</f>
        <v>550000</v>
      </c>
      <c r="E762" s="83">
        <f>500000-300000</f>
        <v>200000</v>
      </c>
      <c r="F762" s="83">
        <f>D762+E762</f>
        <v>750000</v>
      </c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0"/>
      <c r="DM762" s="120"/>
      <c r="DN762" s="120"/>
      <c r="DO762" s="120"/>
      <c r="DP762" s="120"/>
      <c r="DQ762" s="120"/>
      <c r="DR762" s="120"/>
      <c r="DS762" s="120"/>
      <c r="DT762" s="120"/>
      <c r="DU762" s="120"/>
      <c r="DV762" s="120"/>
      <c r="DW762" s="120"/>
      <c r="DX762" s="120"/>
      <c r="DY762" s="120"/>
      <c r="DZ762" s="120"/>
      <c r="EA762" s="120"/>
    </row>
    <row r="763" spans="1:16" ht="11.25">
      <c r="A763" s="3" t="s">
        <v>2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22.5">
      <c r="A764" s="6" t="s">
        <v>553</v>
      </c>
      <c r="B764" s="4"/>
      <c r="C764" s="4"/>
      <c r="D764" s="5">
        <f>D762</f>
        <v>550000</v>
      </c>
      <c r="E764" s="5">
        <f>E762</f>
        <v>200000</v>
      </c>
      <c r="F764" s="5">
        <f>D764+E764</f>
        <v>750000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22.5">
      <c r="A765" s="6" t="s">
        <v>167</v>
      </c>
      <c r="B765" s="4"/>
      <c r="C765" s="4"/>
      <c r="D765" s="5">
        <f>35000+10000</f>
        <v>45000</v>
      </c>
      <c r="E765" s="5"/>
      <c r="F765" s="5">
        <f>D765+E765</f>
        <v>45000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1.25">
      <c r="A766" s="3" t="s">
        <v>3</v>
      </c>
      <c r="B766" s="4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22.5">
      <c r="A767" s="263" t="s">
        <v>100</v>
      </c>
      <c r="B767" s="4"/>
      <c r="C767" s="4"/>
      <c r="D767" s="5">
        <v>5</v>
      </c>
      <c r="E767" s="5">
        <v>1</v>
      </c>
      <c r="F767" s="5">
        <f>D767+E767</f>
        <v>6</v>
      </c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22.5">
      <c r="A768" s="263" t="s">
        <v>165</v>
      </c>
      <c r="B768" s="4"/>
      <c r="C768" s="4"/>
      <c r="D768" s="5">
        <v>1</v>
      </c>
      <c r="E768" s="5"/>
      <c r="F768" s="5">
        <f>D768+E768</f>
        <v>1</v>
      </c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1.25">
      <c r="A769" s="3" t="s">
        <v>5</v>
      </c>
      <c r="B769" s="4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22.5">
      <c r="A770" s="6" t="s">
        <v>115</v>
      </c>
      <c r="B770" s="4"/>
      <c r="C770" s="4"/>
      <c r="D770" s="5">
        <f>D764/D767</f>
        <v>110000</v>
      </c>
      <c r="E770" s="5">
        <f>E764/E767</f>
        <v>200000</v>
      </c>
      <c r="F770" s="5">
        <f>D770+E770</f>
        <v>310000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22.5" hidden="1">
      <c r="A771" s="254" t="s">
        <v>166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1.25" hidden="1">
      <c r="A772" s="254"/>
      <c r="B772" s="4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31" s="27" customFormat="1" ht="24.75" customHeight="1" hidden="1">
      <c r="A773" s="255" t="s">
        <v>174</v>
      </c>
      <c r="B773" s="23"/>
      <c r="C773" s="23"/>
      <c r="D773" s="24">
        <f>D775</f>
        <v>100000</v>
      </c>
      <c r="E773" s="24"/>
      <c r="F773" s="24">
        <f>D773+E773</f>
        <v>100000</v>
      </c>
      <c r="G773" s="24">
        <f>G777*G779</f>
        <v>130000</v>
      </c>
      <c r="H773" s="24"/>
      <c r="I773" s="24"/>
      <c r="J773" s="24">
        <f>G773+H773</f>
        <v>130000</v>
      </c>
      <c r="K773" s="24"/>
      <c r="L773" s="24"/>
      <c r="M773" s="24"/>
      <c r="N773" s="24">
        <f>N779*N777</f>
        <v>350000</v>
      </c>
      <c r="O773" s="24">
        <f>O779*O777</f>
        <v>0</v>
      </c>
      <c r="P773" s="24">
        <f>P779*P777</f>
        <v>350000</v>
      </c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</row>
    <row r="774" spans="1:16" ht="11.25" hidden="1">
      <c r="A774" s="253" t="s">
        <v>2</v>
      </c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1.25" hidden="1">
      <c r="A775" s="254" t="s">
        <v>23</v>
      </c>
      <c r="B775" s="4"/>
      <c r="C775" s="4"/>
      <c r="D775" s="5">
        <f>D777*D779</f>
        <v>100000</v>
      </c>
      <c r="E775" s="5"/>
      <c r="F775" s="5">
        <f>D775+E775</f>
        <v>100000</v>
      </c>
      <c r="G775" s="5">
        <f>G777*G779</f>
        <v>130000</v>
      </c>
      <c r="H775" s="5"/>
      <c r="I775" s="5"/>
      <c r="J775" s="5">
        <f>G775+H775</f>
        <v>130000</v>
      </c>
      <c r="K775" s="5"/>
      <c r="L775" s="5"/>
      <c r="M775" s="5"/>
      <c r="N775" s="5">
        <f>N777*N779</f>
        <v>350000</v>
      </c>
      <c r="O775" s="5"/>
      <c r="P775" s="5">
        <f>N775+O775</f>
        <v>350000</v>
      </c>
    </row>
    <row r="776" spans="1:16" ht="11.25" hidden="1">
      <c r="A776" s="253" t="s">
        <v>3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4.25" customHeight="1" hidden="1">
      <c r="A777" s="254" t="s">
        <v>110</v>
      </c>
      <c r="B777" s="4"/>
      <c r="C777" s="4"/>
      <c r="D777" s="5">
        <v>8</v>
      </c>
      <c r="E777" s="5"/>
      <c r="F777" s="5">
        <f>D777+E777</f>
        <v>8</v>
      </c>
      <c r="G777" s="5">
        <v>2</v>
      </c>
      <c r="H777" s="5"/>
      <c r="I777" s="5"/>
      <c r="J777" s="5">
        <f>G777+H777</f>
        <v>2</v>
      </c>
      <c r="K777" s="5"/>
      <c r="L777" s="5"/>
      <c r="M777" s="5"/>
      <c r="N777" s="5">
        <v>5</v>
      </c>
      <c r="O777" s="5"/>
      <c r="P777" s="5">
        <f>N777+O777</f>
        <v>5</v>
      </c>
    </row>
    <row r="778" spans="1:16" ht="12" customHeight="1" hidden="1">
      <c r="A778" s="253" t="s">
        <v>5</v>
      </c>
      <c r="B778" s="4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24.75" customHeight="1" hidden="1">
      <c r="A779" s="254" t="s">
        <v>95</v>
      </c>
      <c r="B779" s="4"/>
      <c r="C779" s="4"/>
      <c r="D779" s="5">
        <f>100000/8</f>
        <v>12500</v>
      </c>
      <c r="E779" s="5"/>
      <c r="F779" s="5">
        <f>D779+E779</f>
        <v>12500</v>
      </c>
      <c r="G779" s="5">
        <v>65000</v>
      </c>
      <c r="H779" s="5"/>
      <c r="I779" s="5"/>
      <c r="J779" s="5">
        <f>G779+H779</f>
        <v>65000</v>
      </c>
      <c r="K779" s="5"/>
      <c r="L779" s="5"/>
      <c r="M779" s="5"/>
      <c r="N779" s="5">
        <v>70000</v>
      </c>
      <c r="O779" s="5"/>
      <c r="P779" s="5">
        <f>N779+O779</f>
        <v>70000</v>
      </c>
    </row>
    <row r="780" spans="1:17" ht="33.75" hidden="1">
      <c r="A780" s="255" t="s">
        <v>175</v>
      </c>
      <c r="B780" s="23"/>
      <c r="C780" s="23"/>
      <c r="D780" s="12"/>
      <c r="E780" s="24">
        <f>E782</f>
        <v>50000</v>
      </c>
      <c r="F780" s="24">
        <f>F782</f>
        <v>50000</v>
      </c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38"/>
    </row>
    <row r="781" spans="1:17" ht="11.25" hidden="1">
      <c r="A781" s="253" t="s">
        <v>2</v>
      </c>
      <c r="B781" s="4"/>
      <c r="C781" s="4"/>
      <c r="D781" s="12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38"/>
    </row>
    <row r="782" spans="1:17" ht="11.25" hidden="1">
      <c r="A782" s="254" t="s">
        <v>23</v>
      </c>
      <c r="B782" s="4"/>
      <c r="C782" s="4"/>
      <c r="D782" s="12"/>
      <c r="E782" s="5">
        <f>E784*E786</f>
        <v>50000</v>
      </c>
      <c r="F782" s="5">
        <f>F784*F786</f>
        <v>50000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39"/>
    </row>
    <row r="783" spans="1:17" ht="11.25" hidden="1">
      <c r="A783" s="3" t="s">
        <v>3</v>
      </c>
      <c r="B783" s="4"/>
      <c r="C783" s="4"/>
      <c r="D783" s="12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39"/>
    </row>
    <row r="784" spans="1:17" ht="11.25" hidden="1">
      <c r="A784" s="6" t="s">
        <v>110</v>
      </c>
      <c r="B784" s="4"/>
      <c r="C784" s="4"/>
      <c r="D784" s="12"/>
      <c r="E784" s="5">
        <v>1</v>
      </c>
      <c r="F784" s="5">
        <v>1</v>
      </c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39">
        <v>5500</v>
      </c>
    </row>
    <row r="785" spans="1:17" ht="11.25" hidden="1">
      <c r="A785" s="3" t="s">
        <v>5</v>
      </c>
      <c r="B785" s="4"/>
      <c r="C785" s="4"/>
      <c r="D785" s="12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14"/>
    </row>
    <row r="786" spans="1:17" ht="22.5" hidden="1">
      <c r="A786" s="6" t="s">
        <v>95</v>
      </c>
      <c r="B786" s="4"/>
      <c r="C786" s="4"/>
      <c r="D786" s="12"/>
      <c r="E786" s="5">
        <v>50000</v>
      </c>
      <c r="F786" s="5">
        <v>50000</v>
      </c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14"/>
    </row>
    <row r="787" spans="1:17" ht="33.75" hidden="1">
      <c r="A787" s="22" t="s">
        <v>176</v>
      </c>
      <c r="B787" s="23"/>
      <c r="C787" s="23"/>
      <c r="D787" s="24">
        <f>D789</f>
        <v>790000</v>
      </c>
      <c r="E787" s="24"/>
      <c r="F787" s="24">
        <f>F789</f>
        <v>790000</v>
      </c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14"/>
    </row>
    <row r="788" spans="1:17" ht="11.25" hidden="1">
      <c r="A788" s="3" t="s">
        <v>2</v>
      </c>
      <c r="B788" s="4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14"/>
    </row>
    <row r="789" spans="1:17" ht="11.25" hidden="1">
      <c r="A789" s="6" t="s">
        <v>23</v>
      </c>
      <c r="B789" s="4"/>
      <c r="C789" s="4"/>
      <c r="D789" s="5">
        <f>D791*D793</f>
        <v>790000</v>
      </c>
      <c r="E789" s="5"/>
      <c r="F789" s="5">
        <f>F791*F793</f>
        <v>790000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14"/>
    </row>
    <row r="790" spans="1:17" ht="11.25" hidden="1">
      <c r="A790" s="3" t="s">
        <v>3</v>
      </c>
      <c r="B790" s="4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11.25" hidden="1">
      <c r="A791" s="6" t="s">
        <v>110</v>
      </c>
      <c r="B791" s="4"/>
      <c r="C791" s="4"/>
      <c r="D791" s="5">
        <v>1</v>
      </c>
      <c r="E791" s="5"/>
      <c r="F791" s="5">
        <v>1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4"/>
    </row>
    <row r="792" spans="1:17" ht="11.25" hidden="1">
      <c r="A792" s="3" t="s">
        <v>5</v>
      </c>
      <c r="B792" s="4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14"/>
    </row>
    <row r="793" spans="1:17" ht="22.5" hidden="1">
      <c r="A793" s="6" t="s">
        <v>95</v>
      </c>
      <c r="B793" s="4"/>
      <c r="C793" s="4"/>
      <c r="D793" s="5">
        <v>790000</v>
      </c>
      <c r="E793" s="5"/>
      <c r="F793" s="5">
        <v>790000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36" customHeight="1" hidden="1">
      <c r="A794" s="87" t="s">
        <v>177</v>
      </c>
      <c r="B794" s="23"/>
      <c r="C794" s="23"/>
      <c r="D794" s="24"/>
      <c r="E794" s="24">
        <f>E796</f>
        <v>320000</v>
      </c>
      <c r="F794" s="24">
        <f>F796</f>
        <v>320000</v>
      </c>
      <c r="G794" s="24"/>
      <c r="H794" s="24"/>
      <c r="I794" s="24"/>
      <c r="J794" s="24"/>
      <c r="K794" s="24"/>
      <c r="L794" s="24"/>
      <c r="M794" s="24"/>
      <c r="N794" s="24"/>
      <c r="O794" s="24">
        <f>O796</f>
        <v>1021000</v>
      </c>
      <c r="P794" s="24">
        <f>N794+O794</f>
        <v>1021000</v>
      </c>
      <c r="Q794" s="14"/>
    </row>
    <row r="795" spans="1:17" ht="11.25" hidden="1">
      <c r="A795" s="3" t="s">
        <v>2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24"/>
      <c r="Q795" s="14"/>
    </row>
    <row r="796" spans="1:17" ht="11.25" hidden="1">
      <c r="A796" s="6" t="s">
        <v>23</v>
      </c>
      <c r="B796" s="4"/>
      <c r="C796" s="4"/>
      <c r="D796" s="5"/>
      <c r="E796" s="5">
        <f>E798*E800</f>
        <v>320000</v>
      </c>
      <c r="F796" s="5">
        <f>F798*F800</f>
        <v>320000</v>
      </c>
      <c r="G796" s="5"/>
      <c r="H796" s="5"/>
      <c r="I796" s="5"/>
      <c r="J796" s="5"/>
      <c r="K796" s="5"/>
      <c r="L796" s="5"/>
      <c r="M796" s="5"/>
      <c r="N796" s="5"/>
      <c r="O796" s="5">
        <v>1021000</v>
      </c>
      <c r="P796" s="5">
        <f>N796+O796</f>
        <v>1021000</v>
      </c>
      <c r="Q796" s="14"/>
    </row>
    <row r="797" spans="1:17" ht="11.25" hidden="1">
      <c r="A797" s="3" t="s">
        <v>3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11.25" hidden="1">
      <c r="A798" s="6" t="s">
        <v>110</v>
      </c>
      <c r="B798" s="4"/>
      <c r="C798" s="4"/>
      <c r="D798" s="5"/>
      <c r="E798" s="5">
        <v>1</v>
      </c>
      <c r="F798" s="5">
        <v>1</v>
      </c>
      <c r="G798" s="5"/>
      <c r="H798" s="5"/>
      <c r="I798" s="5"/>
      <c r="J798" s="5"/>
      <c r="K798" s="5"/>
      <c r="L798" s="5"/>
      <c r="M798" s="5"/>
      <c r="N798" s="5"/>
      <c r="O798" s="5">
        <v>1</v>
      </c>
      <c r="P798" s="5">
        <f>N798+O798</f>
        <v>1</v>
      </c>
      <c r="Q798" s="14"/>
    </row>
    <row r="799" spans="1:17" ht="11.25" hidden="1">
      <c r="A799" s="3" t="s">
        <v>5</v>
      </c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4"/>
    </row>
    <row r="800" spans="1:131" ht="11.25" hidden="1">
      <c r="A800" s="6" t="s">
        <v>153</v>
      </c>
      <c r="B800" s="4"/>
      <c r="C800" s="4"/>
      <c r="D800" s="5"/>
      <c r="E800" s="5">
        <v>320000</v>
      </c>
      <c r="F800" s="5">
        <v>320000</v>
      </c>
      <c r="G800" s="5"/>
      <c r="H800" s="5"/>
      <c r="I800" s="5"/>
      <c r="J800" s="5"/>
      <c r="K800" s="5"/>
      <c r="L800" s="5"/>
      <c r="M800" s="5"/>
      <c r="N800" s="5"/>
      <c r="O800" s="5">
        <v>1021000</v>
      </c>
      <c r="P800" s="5">
        <f>N800+O800</f>
        <v>1021000</v>
      </c>
      <c r="Q800" s="1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</row>
    <row r="801" spans="1:17" ht="24" customHeight="1" hidden="1">
      <c r="A801" s="22" t="s">
        <v>178</v>
      </c>
      <c r="B801" s="23"/>
      <c r="C801" s="23"/>
      <c r="D801" s="24"/>
      <c r="E801" s="24">
        <f>E803</f>
        <v>0</v>
      </c>
      <c r="F801" s="24">
        <f>F803</f>
        <v>0</v>
      </c>
      <c r="G801" s="24">
        <f>G803</f>
        <v>1952000</v>
      </c>
      <c r="H801" s="24"/>
      <c r="I801" s="24"/>
      <c r="J801" s="24">
        <f>J803</f>
        <v>1952000</v>
      </c>
      <c r="K801" s="24"/>
      <c r="L801" s="24"/>
      <c r="M801" s="24"/>
      <c r="N801" s="24"/>
      <c r="O801" s="24"/>
      <c r="P801" s="24"/>
      <c r="Q801" s="14"/>
    </row>
    <row r="802" spans="1:17" ht="11.25" hidden="1">
      <c r="A802" s="3" t="s">
        <v>2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4"/>
    </row>
    <row r="803" spans="1:17" ht="11.25" hidden="1">
      <c r="A803" s="6" t="s">
        <v>23</v>
      </c>
      <c r="B803" s="4"/>
      <c r="C803" s="4"/>
      <c r="D803" s="5"/>
      <c r="E803" s="5">
        <f>E805*E807</f>
        <v>0</v>
      </c>
      <c r="F803" s="5">
        <f>F805*F807</f>
        <v>0</v>
      </c>
      <c r="G803" s="5">
        <f>G805*G807</f>
        <v>1952000</v>
      </c>
      <c r="H803" s="5"/>
      <c r="I803" s="5"/>
      <c r="J803" s="5">
        <f>G803</f>
        <v>1952000</v>
      </c>
      <c r="K803" s="5"/>
      <c r="L803" s="5"/>
      <c r="M803" s="5"/>
      <c r="N803" s="5"/>
      <c r="O803" s="5"/>
      <c r="P803" s="5"/>
      <c r="Q803" s="14"/>
    </row>
    <row r="804" spans="1:17" ht="11.25" hidden="1">
      <c r="A804" s="3" t="s">
        <v>3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7" ht="11.25" hidden="1">
      <c r="A805" s="6" t="s">
        <v>110</v>
      </c>
      <c r="B805" s="4"/>
      <c r="C805" s="4"/>
      <c r="D805" s="5"/>
      <c r="E805" s="5">
        <v>0</v>
      </c>
      <c r="F805" s="5">
        <v>0</v>
      </c>
      <c r="G805" s="5">
        <v>1</v>
      </c>
      <c r="H805" s="5"/>
      <c r="I805" s="5"/>
      <c r="J805" s="5">
        <f>G805</f>
        <v>1</v>
      </c>
      <c r="K805" s="5"/>
      <c r="L805" s="5"/>
      <c r="M805" s="5"/>
      <c r="N805" s="5"/>
      <c r="O805" s="5"/>
      <c r="P805" s="5"/>
      <c r="Q805" s="14"/>
    </row>
    <row r="806" spans="1:17" ht="11.25" hidden="1">
      <c r="A806" s="3" t="s">
        <v>5</v>
      </c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4"/>
    </row>
    <row r="807" spans="1:131" ht="11.25" hidden="1">
      <c r="A807" s="6" t="s">
        <v>153</v>
      </c>
      <c r="B807" s="4"/>
      <c r="C807" s="4"/>
      <c r="D807" s="5"/>
      <c r="E807" s="5"/>
      <c r="F807" s="5">
        <v>0</v>
      </c>
      <c r="G807" s="5">
        <f>2300000-348000</f>
        <v>1952000</v>
      </c>
      <c r="H807" s="5"/>
      <c r="I807" s="5"/>
      <c r="J807" s="5">
        <f>G807</f>
        <v>1952000</v>
      </c>
      <c r="K807" s="5"/>
      <c r="L807" s="5"/>
      <c r="M807" s="5"/>
      <c r="N807" s="5"/>
      <c r="O807" s="5"/>
      <c r="P807" s="5"/>
      <c r="Q807" s="1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</row>
    <row r="808" spans="1:131" ht="22.5" hidden="1">
      <c r="A808" s="22" t="s">
        <v>179</v>
      </c>
      <c r="B808" s="4"/>
      <c r="C808" s="4"/>
      <c r="D808" s="5"/>
      <c r="E808" s="5"/>
      <c r="F808" s="5"/>
      <c r="G808" s="24">
        <f>G810</f>
        <v>920000</v>
      </c>
      <c r="H808" s="5"/>
      <c r="I808" s="5"/>
      <c r="J808" s="24">
        <f>G808</f>
        <v>920000</v>
      </c>
      <c r="K808" s="5"/>
      <c r="L808" s="5"/>
      <c r="M808" s="5"/>
      <c r="N808" s="5"/>
      <c r="O808" s="5"/>
      <c r="P808" s="5"/>
      <c r="Q808" s="1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</row>
    <row r="809" spans="1:131" ht="11.25" hidden="1">
      <c r="A809" s="3" t="s">
        <v>2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</row>
    <row r="810" spans="1:131" ht="11.25" hidden="1">
      <c r="A810" s="6" t="s">
        <v>23</v>
      </c>
      <c r="B810" s="4"/>
      <c r="C810" s="4"/>
      <c r="D810" s="5"/>
      <c r="E810" s="5"/>
      <c r="F810" s="5"/>
      <c r="G810" s="5">
        <f>3200000-2280000</f>
        <v>920000</v>
      </c>
      <c r="H810" s="5"/>
      <c r="I810" s="5"/>
      <c r="J810" s="5">
        <f>G810</f>
        <v>920000</v>
      </c>
      <c r="K810" s="5"/>
      <c r="L810" s="5"/>
      <c r="M810" s="5"/>
      <c r="N810" s="5"/>
      <c r="O810" s="5"/>
      <c r="P810" s="5"/>
      <c r="Q810" s="1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</row>
    <row r="811" spans="1:131" ht="11.25" hidden="1">
      <c r="A811" s="3" t="s">
        <v>3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</row>
    <row r="812" spans="1:131" ht="11.25" hidden="1">
      <c r="A812" s="6" t="s">
        <v>110</v>
      </c>
      <c r="B812" s="4"/>
      <c r="C812" s="4"/>
      <c r="D812" s="5"/>
      <c r="E812" s="5"/>
      <c r="F812" s="5"/>
      <c r="G812" s="5">
        <v>17</v>
      </c>
      <c r="H812" s="5"/>
      <c r="I812" s="5"/>
      <c r="J812" s="5">
        <f>G812</f>
        <v>17</v>
      </c>
      <c r="K812" s="5"/>
      <c r="L812" s="5"/>
      <c r="M812" s="5"/>
      <c r="N812" s="5"/>
      <c r="O812" s="5"/>
      <c r="P812" s="5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11.25" hidden="1">
      <c r="A813" s="3" t="s">
        <v>5</v>
      </c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6" t="s">
        <v>153</v>
      </c>
      <c r="B814" s="4"/>
      <c r="C814" s="4"/>
      <c r="D814" s="5"/>
      <c r="E814" s="5"/>
      <c r="F814" s="5"/>
      <c r="G814" s="5">
        <v>54117.65</v>
      </c>
      <c r="H814" s="5"/>
      <c r="I814" s="5"/>
      <c r="J814" s="5">
        <f>G814</f>
        <v>54117.65</v>
      </c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7" s="89" customFormat="1" ht="11.25">
      <c r="A815" s="87" t="s">
        <v>494</v>
      </c>
      <c r="B815" s="79"/>
      <c r="C815" s="79"/>
      <c r="D815" s="83">
        <f>13000-13000</f>
        <v>0</v>
      </c>
      <c r="E815" s="83"/>
      <c r="F815" s="83">
        <f>D815</f>
        <v>0</v>
      </c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8"/>
    </row>
    <row r="816" spans="1:131" ht="11.25">
      <c r="A816" s="3" t="s">
        <v>2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>
      <c r="A817" s="6" t="s">
        <v>23</v>
      </c>
      <c r="B817" s="4"/>
      <c r="C817" s="4"/>
      <c r="D817" s="5">
        <f>D815</f>
        <v>0</v>
      </c>
      <c r="E817" s="5"/>
      <c r="F817" s="5">
        <f>D817</f>
        <v>0</v>
      </c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>
      <c r="A818" s="3" t="s">
        <v>3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>
      <c r="A819" s="6" t="s">
        <v>171</v>
      </c>
      <c r="B819" s="4"/>
      <c r="C819" s="4"/>
      <c r="D819" s="5"/>
      <c r="E819" s="5"/>
      <c r="F819" s="5">
        <f>D819</f>
        <v>0</v>
      </c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31" ht="11.25">
      <c r="A820" s="3" t="s">
        <v>5</v>
      </c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>
      <c r="A821" s="6" t="s">
        <v>153</v>
      </c>
      <c r="B821" s="4"/>
      <c r="C821" s="4"/>
      <c r="D821" s="5" t="e">
        <f>D817/D819</f>
        <v>#DIV/0!</v>
      </c>
      <c r="E821" s="5"/>
      <c r="F821" s="5" t="e">
        <f>D821</f>
        <v>#DIV/0!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7" s="78" customFormat="1" ht="22.5">
      <c r="A822" s="87" t="s">
        <v>495</v>
      </c>
      <c r="B822" s="75"/>
      <c r="C822" s="75"/>
      <c r="D822" s="83"/>
      <c r="E822" s="83">
        <f>30000-30000</f>
        <v>0</v>
      </c>
      <c r="F822" s="83">
        <f>E822</f>
        <v>0</v>
      </c>
      <c r="G822" s="83"/>
      <c r="H822" s="83"/>
      <c r="I822" s="76"/>
      <c r="J822" s="83"/>
      <c r="K822" s="76"/>
      <c r="L822" s="76"/>
      <c r="M822" s="76"/>
      <c r="N822" s="76"/>
      <c r="O822" s="76"/>
      <c r="P822" s="76"/>
      <c r="Q822" s="234"/>
    </row>
    <row r="823" spans="1:131" ht="11.25">
      <c r="A823" s="3" t="s">
        <v>2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6" t="s">
        <v>23</v>
      </c>
      <c r="B824" s="4"/>
      <c r="C824" s="4"/>
      <c r="D824" s="5"/>
      <c r="E824" s="5">
        <f>E822</f>
        <v>0</v>
      </c>
      <c r="F824" s="5">
        <f>E824</f>
        <v>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3" t="s">
        <v>3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>
      <c r="A826" s="6" t="s">
        <v>171</v>
      </c>
      <c r="B826" s="4"/>
      <c r="C826" s="4"/>
      <c r="D826" s="5"/>
      <c r="E826" s="5">
        <f>2-2</f>
        <v>0</v>
      </c>
      <c r="F826" s="5">
        <f>E826</f>
        <v>0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31" ht="11.25">
      <c r="A827" s="3" t="s">
        <v>5</v>
      </c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>
      <c r="A828" s="6" t="s">
        <v>153</v>
      </c>
      <c r="B828" s="4"/>
      <c r="C828" s="4"/>
      <c r="D828" s="5"/>
      <c r="E828" s="5">
        <v>0</v>
      </c>
      <c r="F828" s="5">
        <f>E828</f>
        <v>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7" s="78" customFormat="1" ht="30.75" customHeight="1">
      <c r="A829" s="87" t="s">
        <v>511</v>
      </c>
      <c r="B829" s="75"/>
      <c r="C829" s="75"/>
      <c r="D829" s="83">
        <f>300000-200000</f>
        <v>100000</v>
      </c>
      <c r="E829" s="83"/>
      <c r="F829" s="83">
        <f>D829</f>
        <v>100000</v>
      </c>
      <c r="G829" s="76"/>
      <c r="H829" s="76"/>
      <c r="I829" s="76"/>
      <c r="J829" s="76"/>
      <c r="K829" s="76"/>
      <c r="L829" s="76"/>
      <c r="M829" s="76"/>
      <c r="N829" s="83"/>
      <c r="O829" s="83"/>
      <c r="P829" s="83"/>
      <c r="Q829" s="234"/>
    </row>
    <row r="830" spans="1:131" ht="11.25">
      <c r="A830" s="6" t="s">
        <v>2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>
      <c r="A831" s="6" t="s">
        <v>23</v>
      </c>
      <c r="B831" s="4"/>
      <c r="C831" s="4"/>
      <c r="D831" s="5">
        <f>D829</f>
        <v>100000</v>
      </c>
      <c r="E831" s="5"/>
      <c r="F831" s="5">
        <f>F829</f>
        <v>100000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>
      <c r="A832" s="6" t="s">
        <v>474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>
      <c r="A833" s="6" t="s">
        <v>171</v>
      </c>
      <c r="B833" s="4"/>
      <c r="C833" s="4"/>
      <c r="D833" s="5">
        <v>6</v>
      </c>
      <c r="E833" s="5"/>
      <c r="F833" s="5">
        <v>6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31" ht="11.25">
      <c r="A834" s="6" t="s">
        <v>475</v>
      </c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>
      <c r="A835" s="6" t="s">
        <v>153</v>
      </c>
      <c r="B835" s="4"/>
      <c r="C835" s="4"/>
      <c r="D835" s="5">
        <f>D831/D833</f>
        <v>16666.666666666668</v>
      </c>
      <c r="E835" s="5"/>
      <c r="F835" s="5">
        <f>D835</f>
        <v>16666.666666666668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45">
      <c r="A836" s="87" t="s">
        <v>496</v>
      </c>
      <c r="B836" s="4"/>
      <c r="C836" s="4"/>
      <c r="D836" s="24">
        <f>D838</f>
        <v>3350000</v>
      </c>
      <c r="E836" s="5"/>
      <c r="F836" s="24">
        <f aca="true" t="shared" si="46" ref="F836:F841">D836</f>
        <v>3350000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3" t="s">
        <v>2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3" t="s">
        <v>23</v>
      </c>
      <c r="B838" s="4"/>
      <c r="C838" s="4"/>
      <c r="D838" s="5">
        <v>3350000</v>
      </c>
      <c r="E838" s="5"/>
      <c r="F838" s="5">
        <f t="shared" si="46"/>
        <v>3350000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33.75">
      <c r="A839" s="87" t="s">
        <v>497</v>
      </c>
      <c r="B839" s="4"/>
      <c r="C839" s="4"/>
      <c r="D839" s="24">
        <f>D841</f>
        <v>2000000</v>
      </c>
      <c r="E839" s="5"/>
      <c r="F839" s="24">
        <f t="shared" si="46"/>
        <v>2000000</v>
      </c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>
      <c r="A840" s="3" t="s">
        <v>2</v>
      </c>
      <c r="B840" s="4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>
      <c r="A841" s="3" t="s">
        <v>23</v>
      </c>
      <c r="B841" s="4"/>
      <c r="C841" s="4"/>
      <c r="D841" s="5">
        <v>2000000</v>
      </c>
      <c r="E841" s="5"/>
      <c r="F841" s="5">
        <f t="shared" si="46"/>
        <v>2000000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22.5">
      <c r="A842" s="87" t="s">
        <v>532</v>
      </c>
      <c r="B842" s="4"/>
      <c r="C842" s="4"/>
      <c r="D842" s="18">
        <f>D844</f>
        <v>30000</v>
      </c>
      <c r="E842" s="18"/>
      <c r="F842" s="18">
        <f>D842+E842</f>
        <v>30000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>
      <c r="A843" s="3" t="s">
        <v>2</v>
      </c>
      <c r="B843" s="4"/>
      <c r="C843" s="4"/>
      <c r="D843" s="5"/>
      <c r="E843" s="5"/>
      <c r="F843" s="5">
        <f aca="true" t="shared" si="47" ref="F843:F851">D843+E843</f>
        <v>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>
      <c r="A844" s="6" t="s">
        <v>23</v>
      </c>
      <c r="B844" s="4"/>
      <c r="C844" s="4"/>
      <c r="D844" s="5">
        <f>D846*D848</f>
        <v>30000</v>
      </c>
      <c r="E844" s="5"/>
      <c r="F844" s="5">
        <f t="shared" si="47"/>
        <v>30000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3" t="s">
        <v>3</v>
      </c>
      <c r="B845" s="4"/>
      <c r="C845" s="4"/>
      <c r="D845" s="5"/>
      <c r="E845" s="5"/>
      <c r="F845" s="5">
        <f t="shared" si="47"/>
        <v>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>
      <c r="A846" s="6" t="s">
        <v>171</v>
      </c>
      <c r="B846" s="4"/>
      <c r="C846" s="4"/>
      <c r="D846" s="5">
        <v>2</v>
      </c>
      <c r="E846" s="5"/>
      <c r="F846" s="5">
        <f t="shared" si="47"/>
        <v>2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>
      <c r="A847" s="3" t="s">
        <v>5</v>
      </c>
      <c r="B847" s="4"/>
      <c r="C847" s="4"/>
      <c r="D847" s="5"/>
      <c r="E847" s="5"/>
      <c r="F847" s="5">
        <f t="shared" si="47"/>
        <v>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6" t="s">
        <v>153</v>
      </c>
      <c r="B848" s="4"/>
      <c r="C848" s="4"/>
      <c r="D848" s="5">
        <v>15000</v>
      </c>
      <c r="E848" s="5"/>
      <c r="F848" s="5">
        <f t="shared" si="47"/>
        <v>15000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33.75">
      <c r="A849" s="87" t="s">
        <v>544</v>
      </c>
      <c r="B849" s="4"/>
      <c r="C849" s="4"/>
      <c r="D849" s="18">
        <f>D851</f>
        <v>5602000</v>
      </c>
      <c r="E849" s="18"/>
      <c r="F849" s="18">
        <f t="shared" si="47"/>
        <v>5602000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>
      <c r="A850" s="3" t="s">
        <v>2</v>
      </c>
      <c r="B850" s="4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>
      <c r="A851" s="3" t="s">
        <v>23</v>
      </c>
      <c r="B851" s="4"/>
      <c r="C851" s="4"/>
      <c r="D851" s="5">
        <f>0+5630000-28000</f>
        <v>5602000</v>
      </c>
      <c r="E851" s="5"/>
      <c r="F851" s="5">
        <f t="shared" si="47"/>
        <v>5602000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33.75">
      <c r="A852" s="87" t="s">
        <v>545</v>
      </c>
      <c r="B852" s="4"/>
      <c r="C852" s="4"/>
      <c r="D852" s="18">
        <f>D854</f>
        <v>0</v>
      </c>
      <c r="E852" s="18"/>
      <c r="F852" s="18">
        <f>D852+E852</f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>
      <c r="A853" s="3" t="s">
        <v>2</v>
      </c>
      <c r="B853" s="4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11.25">
      <c r="A854" s="3" t="s">
        <v>23</v>
      </c>
      <c r="B854" s="4"/>
      <c r="C854" s="4"/>
      <c r="D854" s="5">
        <f>3830000-3830000</f>
        <v>0</v>
      </c>
      <c r="E854" s="5"/>
      <c r="F854" s="5">
        <f>D854+E854</f>
        <v>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7" s="205" customFormat="1" ht="27.75" customHeight="1">
      <c r="A855" s="202" t="s">
        <v>134</v>
      </c>
      <c r="B855" s="233"/>
      <c r="C855" s="233"/>
      <c r="D855" s="203">
        <f>D857</f>
        <v>1998000</v>
      </c>
      <c r="E855" s="203"/>
      <c r="F855" s="203">
        <f>D855</f>
        <v>1998000</v>
      </c>
      <c r="G855" s="203">
        <f>G857</f>
        <v>4001300</v>
      </c>
      <c r="H855" s="203"/>
      <c r="I855" s="203">
        <f>I857</f>
        <v>0</v>
      </c>
      <c r="J855" s="203">
        <f>J857</f>
        <v>4001300</v>
      </c>
      <c r="K855" s="203"/>
      <c r="L855" s="203"/>
      <c r="M855" s="203"/>
      <c r="N855" s="203">
        <f>N857</f>
        <v>4241300</v>
      </c>
      <c r="O855" s="203"/>
      <c r="P855" s="203">
        <f>P857</f>
        <v>4241300</v>
      </c>
      <c r="Q855" s="235"/>
    </row>
    <row r="856" spans="1:131" ht="65.25" customHeight="1">
      <c r="A856" s="6" t="s">
        <v>85</v>
      </c>
      <c r="B856" s="4"/>
      <c r="C856" s="4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1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</row>
    <row r="857" spans="1:17" s="237" customFormat="1" ht="25.5">
      <c r="A857" s="196" t="s">
        <v>498</v>
      </c>
      <c r="B857" s="197"/>
      <c r="C857" s="197"/>
      <c r="D857" s="225">
        <f>D858+D865+D872</f>
        <v>1998000</v>
      </c>
      <c r="E857" s="225">
        <f aca="true" t="shared" si="48" ref="E857:O857">E858+E865</f>
        <v>0</v>
      </c>
      <c r="F857" s="225">
        <f>D857+E857</f>
        <v>1998000</v>
      </c>
      <c r="G857" s="225">
        <f t="shared" si="48"/>
        <v>4001300</v>
      </c>
      <c r="H857" s="225">
        <f t="shared" si="48"/>
        <v>0</v>
      </c>
      <c r="I857" s="225">
        <f t="shared" si="48"/>
        <v>0</v>
      </c>
      <c r="J857" s="225">
        <f>G857+H857</f>
        <v>4001300</v>
      </c>
      <c r="K857" s="225">
        <f t="shared" si="48"/>
        <v>0</v>
      </c>
      <c r="L857" s="225">
        <f t="shared" si="48"/>
        <v>0</v>
      </c>
      <c r="M857" s="225">
        <f t="shared" si="48"/>
        <v>0</v>
      </c>
      <c r="N857" s="225">
        <f t="shared" si="48"/>
        <v>4241300</v>
      </c>
      <c r="O857" s="225">
        <f t="shared" si="48"/>
        <v>0</v>
      </c>
      <c r="P857" s="225">
        <f>N857+O857</f>
        <v>4241300</v>
      </c>
      <c r="Q857" s="236"/>
    </row>
    <row r="858" spans="1:17" s="43" customFormat="1" ht="45">
      <c r="A858" s="41" t="s">
        <v>516</v>
      </c>
      <c r="B858" s="23"/>
      <c r="C858" s="23"/>
      <c r="D858" s="126">
        <f>1500000-900000</f>
        <v>600000</v>
      </c>
      <c r="E858" s="126"/>
      <c r="F858" s="126">
        <f>D858+E858</f>
        <v>600000</v>
      </c>
      <c r="G858" s="83">
        <v>1600500</v>
      </c>
      <c r="H858" s="83"/>
      <c r="I858" s="83">
        <f>I862*I864</f>
        <v>0</v>
      </c>
      <c r="J858" s="83">
        <f>G858</f>
        <v>1600500</v>
      </c>
      <c r="K858" s="83">
        <f>K862*K864</f>
        <v>0</v>
      </c>
      <c r="L858" s="83">
        <f>L862*L864</f>
        <v>0</v>
      </c>
      <c r="M858" s="83">
        <f>M862*M864</f>
        <v>0</v>
      </c>
      <c r="N858" s="83">
        <v>1696500</v>
      </c>
      <c r="O858" s="83"/>
      <c r="P858" s="83">
        <f>N858</f>
        <v>1696500</v>
      </c>
      <c r="Q858" s="42"/>
    </row>
    <row r="859" spans="1:17" s="33" customFormat="1" ht="11.25">
      <c r="A859" s="3" t="s">
        <v>2</v>
      </c>
      <c r="B859" s="25"/>
      <c r="C859" s="25"/>
      <c r="D859" s="100"/>
      <c r="E859" s="100"/>
      <c r="F859" s="172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40"/>
    </row>
    <row r="860" spans="1:17" s="33" customFormat="1" ht="27.75" customHeight="1">
      <c r="A860" s="6" t="s">
        <v>86</v>
      </c>
      <c r="B860" s="25"/>
      <c r="C860" s="25"/>
      <c r="D860" s="141">
        <v>500</v>
      </c>
      <c r="E860" s="100"/>
      <c r="F860" s="172"/>
      <c r="G860" s="76">
        <v>500</v>
      </c>
      <c r="H860" s="86"/>
      <c r="I860" s="86"/>
      <c r="J860" s="76">
        <f>G860+H860</f>
        <v>500</v>
      </c>
      <c r="K860" s="86"/>
      <c r="L860" s="86"/>
      <c r="M860" s="86"/>
      <c r="N860" s="76">
        <f>N862</f>
        <v>500</v>
      </c>
      <c r="O860" s="76"/>
      <c r="P860" s="76">
        <f>N860+O860</f>
        <v>500</v>
      </c>
      <c r="Q860" s="40"/>
    </row>
    <row r="861" spans="1:17" s="33" customFormat="1" ht="11.25">
      <c r="A861" s="3" t="s">
        <v>3</v>
      </c>
      <c r="B861" s="25"/>
      <c r="C861" s="25"/>
      <c r="D861" s="100"/>
      <c r="E861" s="100"/>
      <c r="F861" s="172"/>
      <c r="G861" s="86"/>
      <c r="H861" s="86"/>
      <c r="I861" s="86"/>
      <c r="J861" s="76"/>
      <c r="K861" s="86"/>
      <c r="L861" s="86"/>
      <c r="M861" s="86"/>
      <c r="N861" s="86"/>
      <c r="O861" s="86"/>
      <c r="P861" s="76"/>
      <c r="Q861" s="40"/>
    </row>
    <row r="862" spans="1:17" s="33" customFormat="1" ht="22.5">
      <c r="A862" s="6" t="s">
        <v>87</v>
      </c>
      <c r="B862" s="25"/>
      <c r="C862" s="25"/>
      <c r="D862" s="141">
        <v>500</v>
      </c>
      <c r="E862" s="100"/>
      <c r="F862" s="172"/>
      <c r="G862" s="76">
        <f>G860</f>
        <v>500</v>
      </c>
      <c r="H862" s="76"/>
      <c r="I862" s="76"/>
      <c r="J862" s="76">
        <f>G862+H862</f>
        <v>500</v>
      </c>
      <c r="K862" s="76">
        <f>K860</f>
        <v>0</v>
      </c>
      <c r="L862" s="76">
        <f>L860</f>
        <v>0</v>
      </c>
      <c r="M862" s="76">
        <f>M860</f>
        <v>0</v>
      </c>
      <c r="N862" s="76">
        <v>500</v>
      </c>
      <c r="O862" s="76"/>
      <c r="P862" s="76">
        <f>N862+O862</f>
        <v>500</v>
      </c>
      <c r="Q862" s="40"/>
    </row>
    <row r="863" spans="1:17" s="33" customFormat="1" ht="11.25">
      <c r="A863" s="3" t="s">
        <v>5</v>
      </c>
      <c r="B863" s="25"/>
      <c r="C863" s="25"/>
      <c r="D863" s="100"/>
      <c r="E863" s="100"/>
      <c r="F863" s="172"/>
      <c r="G863" s="86"/>
      <c r="H863" s="86"/>
      <c r="I863" s="86"/>
      <c r="J863" s="76"/>
      <c r="K863" s="86"/>
      <c r="L863" s="86"/>
      <c r="M863" s="86"/>
      <c r="N863" s="86"/>
      <c r="O863" s="86"/>
      <c r="P863" s="76"/>
      <c r="Q863" s="40"/>
    </row>
    <row r="864" spans="1:17" s="33" customFormat="1" ht="17.25" customHeight="1">
      <c r="A864" s="6" t="s">
        <v>88</v>
      </c>
      <c r="B864" s="25"/>
      <c r="C864" s="25"/>
      <c r="D864" s="100">
        <f>D858/D860</f>
        <v>1200</v>
      </c>
      <c r="E864" s="100"/>
      <c r="F864" s="172"/>
      <c r="G864" s="76">
        <f>G858/G862</f>
        <v>3201</v>
      </c>
      <c r="H864" s="86"/>
      <c r="I864" s="86"/>
      <c r="J864" s="76">
        <f>G864+H864</f>
        <v>3201</v>
      </c>
      <c r="K864" s="86"/>
      <c r="L864" s="86"/>
      <c r="M864" s="86"/>
      <c r="N864" s="76">
        <f>N858/N862</f>
        <v>3393</v>
      </c>
      <c r="O864" s="76"/>
      <c r="P864" s="76">
        <f>N864+O864</f>
        <v>3393</v>
      </c>
      <c r="Q864" s="40"/>
    </row>
    <row r="865" spans="1:17" s="45" customFormat="1" ht="65.25" customHeight="1">
      <c r="A865" s="41" t="s">
        <v>515</v>
      </c>
      <c r="B865" s="22"/>
      <c r="C865" s="22"/>
      <c r="D865" s="126">
        <f>2250000-1052000</f>
        <v>1198000</v>
      </c>
      <c r="E865" s="126"/>
      <c r="F865" s="126">
        <f>D865+E865</f>
        <v>1198000</v>
      </c>
      <c r="G865" s="83">
        <v>2400800</v>
      </c>
      <c r="H865" s="83"/>
      <c r="I865" s="83">
        <f>I869*I871</f>
        <v>0</v>
      </c>
      <c r="J865" s="83">
        <f>G865</f>
        <v>2400800</v>
      </c>
      <c r="K865" s="83">
        <f>K869*K871</f>
        <v>0</v>
      </c>
      <c r="L865" s="83">
        <f>L869*L871</f>
        <v>0</v>
      </c>
      <c r="M865" s="83">
        <f>M869*M871</f>
        <v>0</v>
      </c>
      <c r="N865" s="83">
        <v>2544800</v>
      </c>
      <c r="O865" s="83"/>
      <c r="P865" s="83">
        <f>N865</f>
        <v>2544800</v>
      </c>
      <c r="Q865" s="44"/>
    </row>
    <row r="866" spans="1:131" ht="11.25">
      <c r="A866" s="3" t="s">
        <v>2</v>
      </c>
      <c r="B866" s="4"/>
      <c r="C866" s="4"/>
      <c r="D866" s="173"/>
      <c r="E866" s="173"/>
      <c r="F866" s="173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1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</row>
    <row r="867" spans="1:131" ht="22.5">
      <c r="A867" s="6" t="s">
        <v>86</v>
      </c>
      <c r="B867" s="4"/>
      <c r="C867" s="4"/>
      <c r="D867" s="138">
        <v>30</v>
      </c>
      <c r="E867" s="138"/>
      <c r="F867" s="138">
        <f>D867</f>
        <v>30</v>
      </c>
      <c r="G867" s="138">
        <f>G869</f>
        <v>30</v>
      </c>
      <c r="H867" s="138"/>
      <c r="I867" s="138"/>
      <c r="J867" s="76">
        <f>G867+H867</f>
        <v>30</v>
      </c>
      <c r="K867" s="138">
        <f>H867</f>
        <v>0</v>
      </c>
      <c r="L867" s="138">
        <f>J867</f>
        <v>30</v>
      </c>
      <c r="M867" s="138">
        <f>K867</f>
        <v>0</v>
      </c>
      <c r="N867" s="138">
        <f>N869</f>
        <v>30</v>
      </c>
      <c r="O867" s="138"/>
      <c r="P867" s="138">
        <f>N867</f>
        <v>30</v>
      </c>
      <c r="Q867" s="1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</row>
    <row r="868" spans="1:131" ht="11.25">
      <c r="A868" s="3" t="s">
        <v>3</v>
      </c>
      <c r="B868" s="4"/>
      <c r="C868" s="4"/>
      <c r="D868" s="138"/>
      <c r="E868" s="138"/>
      <c r="F868" s="138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31" ht="32.25" customHeight="1">
      <c r="A869" s="6" t="s">
        <v>252</v>
      </c>
      <c r="B869" s="4"/>
      <c r="C869" s="4"/>
      <c r="D869" s="138">
        <v>30</v>
      </c>
      <c r="E869" s="138"/>
      <c r="F869" s="138">
        <f>D869</f>
        <v>30</v>
      </c>
      <c r="G869" s="76">
        <v>30</v>
      </c>
      <c r="H869" s="76"/>
      <c r="I869" s="76"/>
      <c r="J869" s="76">
        <f>G869+H869</f>
        <v>30</v>
      </c>
      <c r="K869" s="76"/>
      <c r="L869" s="76"/>
      <c r="M869" s="76"/>
      <c r="N869" s="76">
        <v>30</v>
      </c>
      <c r="O869" s="76"/>
      <c r="P869" s="76">
        <f>N869</f>
        <v>30</v>
      </c>
      <c r="Q869" s="1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</row>
    <row r="870" spans="1:131" ht="11.25">
      <c r="A870" s="3" t="s">
        <v>5</v>
      </c>
      <c r="B870" s="4"/>
      <c r="C870" s="4"/>
      <c r="D870" s="138"/>
      <c r="E870" s="138"/>
      <c r="F870" s="138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22.5">
      <c r="A871" s="6" t="s">
        <v>88</v>
      </c>
      <c r="B871" s="4"/>
      <c r="C871" s="4"/>
      <c r="D871" s="138">
        <f>D865/D869</f>
        <v>39933.333333333336</v>
      </c>
      <c r="E871" s="138"/>
      <c r="F871" s="138">
        <f>D871</f>
        <v>39933.333333333336</v>
      </c>
      <c r="G871" s="76">
        <f>G865/G867</f>
        <v>80026.66666666667</v>
      </c>
      <c r="H871" s="76"/>
      <c r="I871" s="76"/>
      <c r="J871" s="76">
        <f>G871+H871</f>
        <v>80026.66666666667</v>
      </c>
      <c r="K871" s="76"/>
      <c r="L871" s="76"/>
      <c r="M871" s="76"/>
      <c r="N871" s="76">
        <f>N865/N867</f>
        <v>84826.66666666667</v>
      </c>
      <c r="O871" s="76"/>
      <c r="P871" s="76">
        <f>N871</f>
        <v>84826.66666666667</v>
      </c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7" s="270" customFormat="1" ht="67.5">
      <c r="A872" s="265" t="s">
        <v>554</v>
      </c>
      <c r="B872" s="266"/>
      <c r="C872" s="266"/>
      <c r="D872" s="267">
        <f>D876*D878</f>
        <v>200000</v>
      </c>
      <c r="E872" s="267"/>
      <c r="F872" s="267">
        <f>D872</f>
        <v>200000</v>
      </c>
      <c r="G872" s="268"/>
      <c r="H872" s="268"/>
      <c r="I872" s="268"/>
      <c r="J872" s="268"/>
      <c r="K872" s="268"/>
      <c r="L872" s="268"/>
      <c r="M872" s="268"/>
      <c r="N872" s="268"/>
      <c r="O872" s="268"/>
      <c r="P872" s="268"/>
      <c r="Q872" s="269"/>
    </row>
    <row r="873" spans="1:131" ht="11.25">
      <c r="A873" s="3" t="s">
        <v>2</v>
      </c>
      <c r="B873" s="4"/>
      <c r="C873" s="4"/>
      <c r="D873" s="138"/>
      <c r="E873" s="138"/>
      <c r="F873" s="138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22.5">
      <c r="A874" s="74" t="s">
        <v>86</v>
      </c>
      <c r="B874" s="75"/>
      <c r="C874" s="75"/>
      <c r="D874" s="138">
        <v>2</v>
      </c>
      <c r="E874" s="138"/>
      <c r="F874" s="138">
        <f>D874</f>
        <v>2</v>
      </c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11.25">
      <c r="A875" s="167" t="s">
        <v>3</v>
      </c>
      <c r="B875" s="75"/>
      <c r="C875" s="75"/>
      <c r="D875" s="138"/>
      <c r="E875" s="138"/>
      <c r="F875" s="138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22.5">
      <c r="A876" s="74" t="s">
        <v>252</v>
      </c>
      <c r="B876" s="75"/>
      <c r="C876" s="75"/>
      <c r="D876" s="138">
        <v>2</v>
      </c>
      <c r="E876" s="138"/>
      <c r="F876" s="138">
        <f>D876</f>
        <v>2</v>
      </c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31" ht="11.25">
      <c r="A877" s="167" t="s">
        <v>5</v>
      </c>
      <c r="B877" s="75"/>
      <c r="C877" s="75"/>
      <c r="D877" s="138"/>
      <c r="E877" s="138"/>
      <c r="F877" s="138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1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  <c r="DQ877" s="34"/>
      <c r="DR877" s="34"/>
      <c r="DS877" s="34"/>
      <c r="DT877" s="34"/>
      <c r="DU877" s="34"/>
      <c r="DV877" s="34"/>
      <c r="DW877" s="34"/>
      <c r="DX877" s="34"/>
      <c r="DY877" s="34"/>
      <c r="DZ877" s="34"/>
      <c r="EA877" s="34"/>
    </row>
    <row r="878" spans="1:131" ht="22.5">
      <c r="A878" s="74" t="s">
        <v>88</v>
      </c>
      <c r="B878" s="75"/>
      <c r="C878" s="75"/>
      <c r="D878" s="138">
        <v>100000</v>
      </c>
      <c r="E878" s="138"/>
      <c r="F878" s="138">
        <f>D878</f>
        <v>100000</v>
      </c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11.25">
      <c r="A879" s="74"/>
      <c r="B879" s="75"/>
      <c r="C879" s="75"/>
      <c r="D879" s="138"/>
      <c r="E879" s="138"/>
      <c r="F879" s="138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7" s="205" customFormat="1" ht="33.75" customHeight="1">
      <c r="A880" s="202" t="s">
        <v>135</v>
      </c>
      <c r="B880" s="233"/>
      <c r="C880" s="233"/>
      <c r="D880" s="203">
        <f>D882</f>
        <v>0</v>
      </c>
      <c r="E880" s="203">
        <f>E882</f>
        <v>5619530</v>
      </c>
      <c r="F880" s="203">
        <f aca="true" t="shared" si="49" ref="F880:P880">F882</f>
        <v>5619530</v>
      </c>
      <c r="G880" s="203">
        <f t="shared" si="49"/>
        <v>0</v>
      </c>
      <c r="H880" s="203">
        <f t="shared" si="49"/>
        <v>0</v>
      </c>
      <c r="I880" s="203">
        <f t="shared" si="49"/>
        <v>0</v>
      </c>
      <c r="J880" s="203">
        <f t="shared" si="49"/>
        <v>0</v>
      </c>
      <c r="K880" s="203">
        <f t="shared" si="49"/>
        <v>0</v>
      </c>
      <c r="L880" s="203">
        <f t="shared" si="49"/>
        <v>0</v>
      </c>
      <c r="M880" s="203">
        <f t="shared" si="49"/>
        <v>0</v>
      </c>
      <c r="N880" s="203">
        <f t="shared" si="49"/>
        <v>0</v>
      </c>
      <c r="O880" s="203">
        <f t="shared" si="49"/>
        <v>0</v>
      </c>
      <c r="P880" s="203">
        <f t="shared" si="49"/>
        <v>0</v>
      </c>
      <c r="Q880" s="235"/>
    </row>
    <row r="881" spans="1:131" ht="22.5">
      <c r="A881" s="6" t="s">
        <v>90</v>
      </c>
      <c r="B881" s="4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7" s="199" customFormat="1" ht="38.25">
      <c r="A882" s="196" t="s">
        <v>499</v>
      </c>
      <c r="B882" s="197"/>
      <c r="C882" s="197"/>
      <c r="D882" s="195"/>
      <c r="E882" s="195">
        <f>E884</f>
        <v>5619530</v>
      </c>
      <c r="F882" s="195">
        <f>D882+E882</f>
        <v>5619530</v>
      </c>
      <c r="G882" s="195"/>
      <c r="H882" s="195">
        <f>H886*H888</f>
        <v>0</v>
      </c>
      <c r="I882" s="195">
        <f>I884</f>
        <v>0</v>
      </c>
      <c r="J882" s="195">
        <f>H882+I882</f>
        <v>0</v>
      </c>
      <c r="K882" s="195"/>
      <c r="L882" s="195"/>
      <c r="M882" s="195"/>
      <c r="N882" s="195"/>
      <c r="O882" s="195">
        <f>O886*O888</f>
        <v>0</v>
      </c>
      <c r="P882" s="195">
        <f>O882</f>
        <v>0</v>
      </c>
      <c r="Q882" s="236"/>
    </row>
    <row r="883" spans="1:131" ht="11.25">
      <c r="A883" s="3" t="s">
        <v>2</v>
      </c>
      <c r="B883" s="4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>
      <c r="A884" s="6" t="s">
        <v>23</v>
      </c>
      <c r="B884" s="4"/>
      <c r="C884" s="4"/>
      <c r="D884" s="5"/>
      <c r="E884" s="5">
        <f>20042050-14427520+5000</f>
        <v>5619530</v>
      </c>
      <c r="F884" s="5">
        <f>D884+E884</f>
        <v>5619530</v>
      </c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31" ht="11.25">
      <c r="A885" s="3" t="s">
        <v>3</v>
      </c>
      <c r="B885" s="4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31" ht="33.75">
      <c r="A886" s="6" t="s">
        <v>91</v>
      </c>
      <c r="B886" s="4"/>
      <c r="C886" s="4"/>
      <c r="D886" s="5"/>
      <c r="E886" s="5">
        <v>2</v>
      </c>
      <c r="F886" s="5">
        <f>D886+E886</f>
        <v>2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31" ht="11.25">
      <c r="A887" s="3" t="s">
        <v>5</v>
      </c>
      <c r="B887" s="4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31" ht="24.75" customHeight="1">
      <c r="A888" s="6" t="s">
        <v>92</v>
      </c>
      <c r="B888" s="4"/>
      <c r="C888" s="4"/>
      <c r="D888" s="5"/>
      <c r="E888" s="5">
        <f>E884/E886</f>
        <v>2809765</v>
      </c>
      <c r="F888" s="5">
        <f>D888+E888</f>
        <v>2809765</v>
      </c>
      <c r="G888" s="5"/>
      <c r="H888" s="5"/>
      <c r="I888" s="5"/>
      <c r="J888" s="5"/>
      <c r="K888" s="5"/>
      <c r="L888" s="5"/>
      <c r="M888" s="5"/>
      <c r="N888" s="5"/>
      <c r="O888" s="5"/>
      <c r="P888" s="47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7" s="205" customFormat="1" ht="22.5" customHeight="1">
      <c r="A889" s="202" t="s">
        <v>136</v>
      </c>
      <c r="B889" s="233"/>
      <c r="C889" s="233"/>
      <c r="D889" s="203">
        <f>D891</f>
        <v>8550000</v>
      </c>
      <c r="E889" s="203">
        <f aca="true" t="shared" si="50" ref="E889:P889">E891</f>
        <v>6450000</v>
      </c>
      <c r="F889" s="203">
        <f t="shared" si="50"/>
        <v>15000000</v>
      </c>
      <c r="G889" s="203">
        <f t="shared" si="50"/>
        <v>0</v>
      </c>
      <c r="H889" s="203">
        <f t="shared" si="50"/>
        <v>0</v>
      </c>
      <c r="I889" s="203">
        <f t="shared" si="50"/>
        <v>0</v>
      </c>
      <c r="J889" s="203">
        <f t="shared" si="50"/>
        <v>0</v>
      </c>
      <c r="K889" s="203">
        <f t="shared" si="50"/>
        <v>0</v>
      </c>
      <c r="L889" s="203">
        <f t="shared" si="50"/>
        <v>0</v>
      </c>
      <c r="M889" s="203">
        <f t="shared" si="50"/>
        <v>0</v>
      </c>
      <c r="N889" s="203">
        <f t="shared" si="50"/>
        <v>0</v>
      </c>
      <c r="O889" s="203">
        <f t="shared" si="50"/>
        <v>0</v>
      </c>
      <c r="P889" s="203">
        <f t="shared" si="50"/>
        <v>0</v>
      </c>
      <c r="Q889" s="235"/>
    </row>
    <row r="890" spans="1:131" ht="56.25">
      <c r="A890" s="6" t="s">
        <v>170</v>
      </c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7" s="199" customFormat="1" ht="49.5" customHeight="1">
      <c r="A891" s="196" t="s">
        <v>500</v>
      </c>
      <c r="B891" s="197"/>
      <c r="C891" s="197"/>
      <c r="D891" s="195">
        <f>D893</f>
        <v>8550000</v>
      </c>
      <c r="E891" s="195">
        <f>E893</f>
        <v>6450000</v>
      </c>
      <c r="F891" s="195">
        <f>D891+E891</f>
        <v>15000000</v>
      </c>
      <c r="G891" s="195">
        <f>G893</f>
        <v>0</v>
      </c>
      <c r="H891" s="195">
        <f>H893</f>
        <v>0</v>
      </c>
      <c r="I891" s="195">
        <f>G891+H891</f>
        <v>0</v>
      </c>
      <c r="J891" s="195">
        <f>G891+H891</f>
        <v>0</v>
      </c>
      <c r="K891" s="195"/>
      <c r="L891" s="195"/>
      <c r="M891" s="195"/>
      <c r="N891" s="195">
        <f>N895*N897</f>
        <v>0</v>
      </c>
      <c r="O891" s="195">
        <f>O895*O897</f>
        <v>0</v>
      </c>
      <c r="P891" s="195">
        <f>N891+O891</f>
        <v>0</v>
      </c>
      <c r="Q891" s="236"/>
    </row>
    <row r="892" spans="1:131" ht="11.25">
      <c r="A892" s="3" t="s">
        <v>2</v>
      </c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11.25">
      <c r="A893" s="6" t="s">
        <v>23</v>
      </c>
      <c r="B893" s="4"/>
      <c r="C893" s="4"/>
      <c r="D893" s="5">
        <v>8550000</v>
      </c>
      <c r="E893" s="5">
        <v>6450000</v>
      </c>
      <c r="F893" s="5">
        <f>D893+E893</f>
        <v>15000000</v>
      </c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31" ht="11.25">
      <c r="A894" s="3" t="s">
        <v>3</v>
      </c>
      <c r="B894" s="4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1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</row>
    <row r="895" spans="1:131" ht="22.5">
      <c r="A895" s="6" t="s">
        <v>98</v>
      </c>
      <c r="B895" s="4"/>
      <c r="C895" s="4"/>
      <c r="D895" s="5">
        <v>2</v>
      </c>
      <c r="E895" s="5">
        <v>2</v>
      </c>
      <c r="F895" s="5">
        <f>D895+E895</f>
        <v>4</v>
      </c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31" ht="11.25">
      <c r="A896" s="3" t="s">
        <v>5</v>
      </c>
      <c r="B896" s="4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1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  <c r="DQ896" s="34"/>
      <c r="DR896" s="34"/>
      <c r="DS896" s="34"/>
      <c r="DT896" s="34"/>
      <c r="DU896" s="34"/>
      <c r="DV896" s="34"/>
      <c r="DW896" s="34"/>
      <c r="DX896" s="34"/>
      <c r="DY896" s="34"/>
      <c r="DZ896" s="34"/>
      <c r="EA896" s="34"/>
    </row>
    <row r="897" spans="1:131" ht="22.5">
      <c r="A897" s="6" t="s">
        <v>99</v>
      </c>
      <c r="B897" s="4"/>
      <c r="C897" s="4"/>
      <c r="D897" s="5">
        <f>D893/D895</f>
        <v>4275000</v>
      </c>
      <c r="E897" s="5">
        <f>E893/E895</f>
        <v>3225000</v>
      </c>
      <c r="F897" s="5">
        <f>D897+E897</f>
        <v>7500000</v>
      </c>
      <c r="G897" s="5"/>
      <c r="H897" s="5"/>
      <c r="I897" s="5"/>
      <c r="J897" s="13"/>
      <c r="K897" s="13"/>
      <c r="L897" s="13"/>
      <c r="M897" s="13"/>
      <c r="N897" s="13"/>
      <c r="O897" s="13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7" s="106" customFormat="1" ht="11.25" customHeight="1" hidden="1">
      <c r="A898" s="102" t="s">
        <v>160</v>
      </c>
      <c r="B898" s="102"/>
      <c r="C898" s="102"/>
      <c r="D898" s="103">
        <f>D902</f>
        <v>0</v>
      </c>
      <c r="E898" s="103">
        <f>E902</f>
        <v>2275980</v>
      </c>
      <c r="F898" s="103">
        <f>D898+E898</f>
        <v>2275980</v>
      </c>
      <c r="G898" s="103">
        <v>0</v>
      </c>
      <c r="H898" s="103">
        <f>H900</f>
        <v>1108600</v>
      </c>
      <c r="I898" s="103" t="e">
        <f>#REF!</f>
        <v>#REF!</v>
      </c>
      <c r="J898" s="104">
        <f>J900</f>
        <v>1108600</v>
      </c>
      <c r="K898" s="104" t="e">
        <f>#REF!</f>
        <v>#REF!</v>
      </c>
      <c r="L898" s="104" t="e">
        <f>#REF!</f>
        <v>#REF!</v>
      </c>
      <c r="M898" s="104" t="e">
        <f>#REF!</f>
        <v>#REF!</v>
      </c>
      <c r="N898" s="104">
        <v>0</v>
      </c>
      <c r="O898" s="104">
        <f>O900</f>
        <v>54066467</v>
      </c>
      <c r="P898" s="103">
        <f>N898+O898</f>
        <v>54066467</v>
      </c>
      <c r="Q898" s="105" t="e">
        <f>#REF!</f>
        <v>#REF!</v>
      </c>
    </row>
    <row r="899" spans="1:17" s="111" customFormat="1" ht="33.75" customHeight="1" hidden="1">
      <c r="A899" s="107" t="s">
        <v>161</v>
      </c>
      <c r="B899" s="108"/>
      <c r="C899" s="108"/>
      <c r="D899" s="96"/>
      <c r="E899" s="96"/>
      <c r="F899" s="96"/>
      <c r="G899" s="96"/>
      <c r="H899" s="96"/>
      <c r="I899" s="96"/>
      <c r="J899" s="109"/>
      <c r="K899" s="109"/>
      <c r="L899" s="109"/>
      <c r="M899" s="109"/>
      <c r="N899" s="109"/>
      <c r="O899" s="109"/>
      <c r="P899" s="103"/>
      <c r="Q899" s="110"/>
    </row>
    <row r="900" spans="1:17" s="106" customFormat="1" ht="22.5" customHeight="1" hidden="1">
      <c r="A900" s="112" t="s">
        <v>184</v>
      </c>
      <c r="B900" s="102"/>
      <c r="C900" s="102"/>
      <c r="D900" s="103"/>
      <c r="E900" s="103">
        <v>2275980</v>
      </c>
      <c r="F900" s="103">
        <v>2275980</v>
      </c>
      <c r="G900" s="103"/>
      <c r="H900" s="103">
        <f>H902</f>
        <v>1108600</v>
      </c>
      <c r="I900" s="103"/>
      <c r="J900" s="104">
        <f>H900</f>
        <v>1108600</v>
      </c>
      <c r="K900" s="104"/>
      <c r="L900" s="104"/>
      <c r="M900" s="104"/>
      <c r="N900" s="104"/>
      <c r="O900" s="104">
        <f>O902</f>
        <v>54066467</v>
      </c>
      <c r="P900" s="103">
        <f aca="true" t="shared" si="51" ref="P900:P906">N900+O900</f>
        <v>54066467</v>
      </c>
      <c r="Q900" s="105"/>
    </row>
    <row r="901" spans="1:17" s="111" customFormat="1" ht="11.25" customHeight="1" hidden="1">
      <c r="A901" s="113" t="s">
        <v>2</v>
      </c>
      <c r="B901" s="108"/>
      <c r="C901" s="108"/>
      <c r="D901" s="96"/>
      <c r="E901" s="96"/>
      <c r="F901" s="96"/>
      <c r="G901" s="96"/>
      <c r="H901" s="96"/>
      <c r="I901" s="96"/>
      <c r="J901" s="109"/>
      <c r="K901" s="109"/>
      <c r="L901" s="109"/>
      <c r="M901" s="109"/>
      <c r="N901" s="109"/>
      <c r="O901" s="109"/>
      <c r="P901" s="103"/>
      <c r="Q901" s="110"/>
    </row>
    <row r="902" spans="1:17" s="111" customFormat="1" ht="11.25" customHeight="1" hidden="1">
      <c r="A902" s="107" t="s">
        <v>23</v>
      </c>
      <c r="B902" s="108"/>
      <c r="C902" s="108"/>
      <c r="D902" s="96"/>
      <c r="E902" s="96">
        <f>2178000+97980</f>
        <v>2275980</v>
      </c>
      <c r="F902" s="96">
        <f>D902+E902</f>
        <v>2275980</v>
      </c>
      <c r="G902" s="96"/>
      <c r="H902" s="96">
        <v>1108600</v>
      </c>
      <c r="I902" s="96"/>
      <c r="J902" s="109">
        <f>H902</f>
        <v>1108600</v>
      </c>
      <c r="K902" s="109"/>
      <c r="L902" s="109"/>
      <c r="M902" s="109"/>
      <c r="N902" s="109"/>
      <c r="O902" s="109">
        <v>54066467</v>
      </c>
      <c r="P902" s="96">
        <f t="shared" si="51"/>
        <v>54066467</v>
      </c>
      <c r="Q902" s="110"/>
    </row>
    <row r="903" spans="1:17" s="111" customFormat="1" ht="11.25" customHeight="1" hidden="1">
      <c r="A903" s="113" t="s">
        <v>3</v>
      </c>
      <c r="B903" s="108"/>
      <c r="C903" s="108"/>
      <c r="D903" s="96"/>
      <c r="E903" s="96"/>
      <c r="F903" s="96"/>
      <c r="G903" s="96"/>
      <c r="H903" s="96"/>
      <c r="I903" s="96"/>
      <c r="J903" s="109"/>
      <c r="K903" s="109"/>
      <c r="L903" s="109"/>
      <c r="M903" s="109"/>
      <c r="N903" s="109"/>
      <c r="O903" s="109"/>
      <c r="P903" s="96"/>
      <c r="Q903" s="110"/>
    </row>
    <row r="904" spans="1:17" s="111" customFormat="1" ht="22.5" customHeight="1" hidden="1">
      <c r="A904" s="107" t="s">
        <v>162</v>
      </c>
      <c r="B904" s="108"/>
      <c r="C904" s="108"/>
      <c r="D904" s="96"/>
      <c r="E904" s="96">
        <v>63</v>
      </c>
      <c r="F904" s="96">
        <v>63</v>
      </c>
      <c r="G904" s="96"/>
      <c r="H904" s="96">
        <v>22</v>
      </c>
      <c r="I904" s="96"/>
      <c r="J904" s="109">
        <f>H904</f>
        <v>22</v>
      </c>
      <c r="K904" s="109"/>
      <c r="L904" s="109"/>
      <c r="M904" s="109"/>
      <c r="N904" s="109"/>
      <c r="O904" s="109">
        <v>1339</v>
      </c>
      <c r="P904" s="96">
        <f t="shared" si="51"/>
        <v>1339</v>
      </c>
      <c r="Q904" s="110"/>
    </row>
    <row r="905" spans="1:17" s="111" customFormat="1" ht="11.25" customHeight="1" hidden="1">
      <c r="A905" s="113" t="s">
        <v>5</v>
      </c>
      <c r="B905" s="108"/>
      <c r="C905" s="108"/>
      <c r="D905" s="96"/>
      <c r="E905" s="96"/>
      <c r="F905" s="96"/>
      <c r="G905" s="96"/>
      <c r="H905" s="96"/>
      <c r="I905" s="96"/>
      <c r="J905" s="109"/>
      <c r="K905" s="109"/>
      <c r="L905" s="109"/>
      <c r="M905" s="109"/>
      <c r="N905" s="109"/>
      <c r="O905" s="109"/>
      <c r="P905" s="96"/>
      <c r="Q905" s="110"/>
    </row>
    <row r="906" spans="1:17" s="111" customFormat="1" ht="22.5" customHeight="1" hidden="1">
      <c r="A906" s="107" t="s">
        <v>163</v>
      </c>
      <c r="B906" s="108"/>
      <c r="C906" s="108"/>
      <c r="D906" s="96"/>
      <c r="E906" s="96">
        <v>36300</v>
      </c>
      <c r="F906" s="96">
        <v>36300</v>
      </c>
      <c r="G906" s="96"/>
      <c r="H906" s="96">
        <v>50390.91</v>
      </c>
      <c r="I906" s="96"/>
      <c r="J906" s="109">
        <f>H906</f>
        <v>50390.91</v>
      </c>
      <c r="K906" s="109"/>
      <c r="L906" s="109"/>
      <c r="M906" s="109"/>
      <c r="N906" s="109"/>
      <c r="O906" s="109">
        <v>40378.24</v>
      </c>
      <c r="P906" s="96">
        <f t="shared" si="51"/>
        <v>40378.24</v>
      </c>
      <c r="Q906" s="110"/>
    </row>
    <row r="907" spans="1:17" s="205" customFormat="1" ht="31.5" customHeight="1">
      <c r="A907" s="202" t="s">
        <v>154</v>
      </c>
      <c r="B907" s="233"/>
      <c r="C907" s="233"/>
      <c r="D907" s="203">
        <f>D909</f>
        <v>100000</v>
      </c>
      <c r="E907" s="203"/>
      <c r="F907" s="203">
        <f aca="true" t="shared" si="52" ref="F907:Q907">F909</f>
        <v>100000</v>
      </c>
      <c r="G907" s="203">
        <f t="shared" si="52"/>
        <v>320000</v>
      </c>
      <c r="H907" s="203"/>
      <c r="I907" s="203">
        <f t="shared" si="52"/>
        <v>0</v>
      </c>
      <c r="J907" s="203">
        <f t="shared" si="52"/>
        <v>320000</v>
      </c>
      <c r="K907" s="203">
        <f t="shared" si="52"/>
        <v>0</v>
      </c>
      <c r="L907" s="203">
        <f t="shared" si="52"/>
        <v>0</v>
      </c>
      <c r="M907" s="203">
        <f t="shared" si="52"/>
        <v>0</v>
      </c>
      <c r="N907" s="203">
        <f>N909</f>
        <v>340000</v>
      </c>
      <c r="O907" s="203"/>
      <c r="P907" s="203">
        <f t="shared" si="52"/>
        <v>340000</v>
      </c>
      <c r="Q907" s="203">
        <f t="shared" si="52"/>
        <v>0</v>
      </c>
    </row>
    <row r="908" spans="1:131" ht="22.5" customHeight="1">
      <c r="A908" s="6" t="s">
        <v>138</v>
      </c>
      <c r="B908" s="4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1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</row>
    <row r="909" spans="1:17" s="199" customFormat="1" ht="43.5" customHeight="1">
      <c r="A909" s="196" t="s">
        <v>501</v>
      </c>
      <c r="B909" s="197"/>
      <c r="C909" s="197"/>
      <c r="D909" s="225">
        <f>D911</f>
        <v>100000</v>
      </c>
      <c r="E909" s="225"/>
      <c r="F909" s="225">
        <f>D909+E909</f>
        <v>100000</v>
      </c>
      <c r="G909" s="195">
        <f>G911</f>
        <v>320000</v>
      </c>
      <c r="H909" s="195"/>
      <c r="I909" s="195"/>
      <c r="J909" s="195">
        <f>J911</f>
        <v>320000</v>
      </c>
      <c r="K909" s="195"/>
      <c r="L909" s="195"/>
      <c r="M909" s="195"/>
      <c r="N909" s="195">
        <f>N911</f>
        <v>340000</v>
      </c>
      <c r="O909" s="195"/>
      <c r="P909" s="195">
        <f>N909</f>
        <v>340000</v>
      </c>
      <c r="Q909" s="236"/>
    </row>
    <row r="910" spans="1:131" ht="11.25" customHeight="1">
      <c r="A910" s="3" t="s">
        <v>2</v>
      </c>
      <c r="B910" s="4"/>
      <c r="C910" s="4"/>
      <c r="D910" s="46"/>
      <c r="E910" s="46"/>
      <c r="F910" s="46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1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  <c r="DQ910" s="34"/>
      <c r="DR910" s="34"/>
      <c r="DS910" s="34"/>
      <c r="DT910" s="34"/>
      <c r="DU910" s="34"/>
      <c r="DV910" s="34"/>
      <c r="DW910" s="34"/>
      <c r="DX910" s="34"/>
      <c r="DY910" s="34"/>
      <c r="DZ910" s="34"/>
      <c r="EA910" s="34"/>
    </row>
    <row r="911" spans="1:131" ht="10.5" customHeight="1">
      <c r="A911" s="6" t="s">
        <v>23</v>
      </c>
      <c r="B911" s="4"/>
      <c r="C911" s="4"/>
      <c r="D911" s="46">
        <f>300000-200000</f>
        <v>100000</v>
      </c>
      <c r="E911" s="46"/>
      <c r="F911" s="46">
        <f>D911+E911</f>
        <v>100000</v>
      </c>
      <c r="G911" s="5">
        <v>320000</v>
      </c>
      <c r="H911" s="5"/>
      <c r="I911" s="5"/>
      <c r="J911" s="5">
        <f>G911+H911</f>
        <v>320000</v>
      </c>
      <c r="K911" s="5"/>
      <c r="L911" s="5"/>
      <c r="M911" s="5"/>
      <c r="N911" s="5">
        <v>340000</v>
      </c>
      <c r="O911" s="5"/>
      <c r="P911" s="5">
        <f>P914*P916</f>
        <v>340000</v>
      </c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31" ht="13.5" customHeight="1">
      <c r="A912" s="3" t="s">
        <v>3</v>
      </c>
      <c r="B912" s="4"/>
      <c r="C912" s="4"/>
      <c r="D912" s="46"/>
      <c r="E912" s="46"/>
      <c r="F912" s="4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1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  <c r="DQ912" s="34"/>
      <c r="DR912" s="34"/>
      <c r="DS912" s="34"/>
      <c r="DT912" s="34"/>
      <c r="DU912" s="34"/>
      <c r="DV912" s="34"/>
      <c r="DW912" s="34"/>
      <c r="DX912" s="34"/>
      <c r="DY912" s="34"/>
      <c r="DZ912" s="34"/>
      <c r="EA912" s="34"/>
    </row>
    <row r="913" spans="1:131" ht="1.5" customHeight="1">
      <c r="A913" s="6" t="s">
        <v>89</v>
      </c>
      <c r="B913" s="4"/>
      <c r="C913" s="4"/>
      <c r="D913" s="46"/>
      <c r="E913" s="46"/>
      <c r="F913" s="46">
        <f>D913+E913</f>
        <v>0</v>
      </c>
      <c r="G913" s="46"/>
      <c r="H913" s="46"/>
      <c r="I913" s="46"/>
      <c r="J913" s="46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31" ht="15" customHeight="1">
      <c r="A914" s="6" t="s">
        <v>93</v>
      </c>
      <c r="B914" s="4"/>
      <c r="C914" s="4"/>
      <c r="D914" s="278">
        <v>5</v>
      </c>
      <c r="E914" s="278"/>
      <c r="F914" s="278">
        <f>D914+E914</f>
        <v>5</v>
      </c>
      <c r="G914" s="278">
        <v>20</v>
      </c>
      <c r="H914" s="278"/>
      <c r="I914" s="278"/>
      <c r="J914" s="278">
        <f>G914+H914</f>
        <v>20</v>
      </c>
      <c r="K914" s="5"/>
      <c r="L914" s="5"/>
      <c r="M914" s="5"/>
      <c r="N914" s="91">
        <v>20</v>
      </c>
      <c r="O914" s="5"/>
      <c r="P914" s="91">
        <f>N914</f>
        <v>20</v>
      </c>
      <c r="Q914" s="1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</row>
    <row r="915" spans="1:131" ht="10.5" customHeight="1">
      <c r="A915" s="3" t="s">
        <v>5</v>
      </c>
      <c r="B915" s="4"/>
      <c r="C915" s="4"/>
      <c r="D915" s="46"/>
      <c r="E915" s="46"/>
      <c r="F915" s="4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22.5" customHeight="1">
      <c r="A916" s="6" t="s">
        <v>94</v>
      </c>
      <c r="B916" s="4"/>
      <c r="C916" s="4"/>
      <c r="D916" s="5">
        <f>D911/D914</f>
        <v>20000</v>
      </c>
      <c r="E916" s="5"/>
      <c r="F916" s="46">
        <f>D916+E916</f>
        <v>20000</v>
      </c>
      <c r="G916" s="5">
        <f>G911/G914</f>
        <v>16000</v>
      </c>
      <c r="H916" s="5"/>
      <c r="I916" s="5"/>
      <c r="J916" s="5">
        <f>G916+H916</f>
        <v>16000</v>
      </c>
      <c r="K916" s="5"/>
      <c r="L916" s="5"/>
      <c r="M916" s="5"/>
      <c r="N916" s="5">
        <f>N911/N914</f>
        <v>17000</v>
      </c>
      <c r="O916" s="5"/>
      <c r="P916" s="5">
        <f>N916</f>
        <v>17000</v>
      </c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7" s="205" customFormat="1" ht="29.25" customHeight="1">
      <c r="A917" s="238" t="s">
        <v>155</v>
      </c>
      <c r="B917" s="233"/>
      <c r="C917" s="233"/>
      <c r="D917" s="203">
        <f>D918</f>
        <v>210000</v>
      </c>
      <c r="E917" s="203"/>
      <c r="F917" s="203">
        <f>F918</f>
        <v>210000</v>
      </c>
      <c r="G917" s="203">
        <f>G918</f>
        <v>831732</v>
      </c>
      <c r="H917" s="203"/>
      <c r="I917" s="203">
        <f>I918</f>
        <v>0</v>
      </c>
      <c r="J917" s="203">
        <f>G917</f>
        <v>831732</v>
      </c>
      <c r="K917" s="239"/>
      <c r="L917" s="239"/>
      <c r="M917" s="239"/>
      <c r="N917" s="203">
        <f>N918</f>
        <v>828635</v>
      </c>
      <c r="O917" s="203"/>
      <c r="P917" s="203">
        <f>N917</f>
        <v>828635</v>
      </c>
      <c r="Q917" s="235"/>
    </row>
    <row r="918" spans="1:17" s="199" customFormat="1" ht="30.75" customHeight="1">
      <c r="A918" s="196" t="s">
        <v>502</v>
      </c>
      <c r="B918" s="197"/>
      <c r="C918" s="197"/>
      <c r="D918" s="195">
        <f>D920</f>
        <v>210000</v>
      </c>
      <c r="E918" s="195"/>
      <c r="F918" s="240">
        <f>D918</f>
        <v>210000</v>
      </c>
      <c r="G918" s="195">
        <f>G922*G924</f>
        <v>831732</v>
      </c>
      <c r="H918" s="195"/>
      <c r="I918" s="195"/>
      <c r="J918" s="195">
        <f>G918</f>
        <v>831732</v>
      </c>
      <c r="K918" s="195"/>
      <c r="L918" s="195"/>
      <c r="M918" s="195"/>
      <c r="N918" s="195">
        <f>N922*N924</f>
        <v>828635</v>
      </c>
      <c r="O918" s="195"/>
      <c r="P918" s="195">
        <f>N918</f>
        <v>828635</v>
      </c>
      <c r="Q918" s="236"/>
    </row>
    <row r="919" spans="1:131" ht="11.25" customHeight="1">
      <c r="A919" s="3" t="s">
        <v>2</v>
      </c>
      <c r="B919" s="4"/>
      <c r="C919" s="4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22.5" customHeight="1">
      <c r="A920" s="6" t="s">
        <v>26</v>
      </c>
      <c r="B920" s="4"/>
      <c r="C920" s="4"/>
      <c r="D920" s="76">
        <f>782645-572600-50045+50000</f>
        <v>210000</v>
      </c>
      <c r="E920" s="76"/>
      <c r="F920" s="76">
        <f>D920</f>
        <v>210000</v>
      </c>
      <c r="G920" s="76">
        <v>831732</v>
      </c>
      <c r="H920" s="76"/>
      <c r="I920" s="76"/>
      <c r="J920" s="76">
        <f>G920</f>
        <v>831732</v>
      </c>
      <c r="K920" s="76"/>
      <c r="L920" s="76"/>
      <c r="M920" s="76"/>
      <c r="N920" s="76">
        <v>828635</v>
      </c>
      <c r="O920" s="76"/>
      <c r="P920" s="76">
        <f>N920</f>
        <v>828635</v>
      </c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11.25" customHeight="1">
      <c r="A921" s="3" t="s">
        <v>3</v>
      </c>
      <c r="B921" s="4"/>
      <c r="C921" s="4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31" ht="27.75" customHeight="1">
      <c r="A922" s="6" t="s">
        <v>25</v>
      </c>
      <c r="B922" s="4"/>
      <c r="C922" s="4"/>
      <c r="D922" s="76">
        <v>16</v>
      </c>
      <c r="E922" s="76"/>
      <c r="F922" s="76">
        <f>D922</f>
        <v>16</v>
      </c>
      <c r="G922" s="76">
        <v>16</v>
      </c>
      <c r="H922" s="76"/>
      <c r="I922" s="76"/>
      <c r="J922" s="76">
        <f>G922</f>
        <v>16</v>
      </c>
      <c r="K922" s="76"/>
      <c r="L922" s="76"/>
      <c r="M922" s="76"/>
      <c r="N922" s="76">
        <v>16</v>
      </c>
      <c r="O922" s="76"/>
      <c r="P922" s="76">
        <f>N922</f>
        <v>16</v>
      </c>
      <c r="Q922" s="1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  <c r="DQ922" s="34"/>
      <c r="DR922" s="34"/>
      <c r="DS922" s="34"/>
      <c r="DT922" s="34"/>
      <c r="DU922" s="34"/>
      <c r="DV922" s="34"/>
      <c r="DW922" s="34"/>
      <c r="DX922" s="34"/>
      <c r="DY922" s="34"/>
      <c r="DZ922" s="34"/>
      <c r="EA922" s="34"/>
    </row>
    <row r="923" spans="1:131" ht="11.25" customHeight="1">
      <c r="A923" s="3" t="s">
        <v>5</v>
      </c>
      <c r="B923" s="4"/>
      <c r="C923" s="4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1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</row>
    <row r="924" spans="1:131" ht="33.75" customHeight="1">
      <c r="A924" s="6" t="s">
        <v>27</v>
      </c>
      <c r="B924" s="4"/>
      <c r="C924" s="4"/>
      <c r="D924" s="76">
        <f>D920/D922</f>
        <v>13125</v>
      </c>
      <c r="E924" s="76"/>
      <c r="F924" s="76">
        <f>D924</f>
        <v>13125</v>
      </c>
      <c r="G924" s="76">
        <f>G920/G922</f>
        <v>51983.25</v>
      </c>
      <c r="H924" s="76"/>
      <c r="I924" s="76"/>
      <c r="J924" s="76">
        <f>G924</f>
        <v>51983.25</v>
      </c>
      <c r="K924" s="76"/>
      <c r="L924" s="76"/>
      <c r="M924" s="76"/>
      <c r="N924" s="76">
        <f>N920/N922</f>
        <v>51789.6875</v>
      </c>
      <c r="O924" s="76"/>
      <c r="P924" s="76">
        <f>N924</f>
        <v>51789.6875</v>
      </c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7" s="205" customFormat="1" ht="12.75" customHeight="1">
      <c r="A925" s="202" t="s">
        <v>253</v>
      </c>
      <c r="B925" s="233"/>
      <c r="C925" s="233"/>
      <c r="D925" s="203"/>
      <c r="E925" s="203">
        <f>E927</f>
        <v>7900000</v>
      </c>
      <c r="F925" s="203">
        <f>D925+E925</f>
        <v>7900000</v>
      </c>
      <c r="G925" s="203"/>
      <c r="H925" s="203">
        <f>H927</f>
        <v>32733800</v>
      </c>
      <c r="I925" s="203" t="e">
        <f>I927+#REF!</f>
        <v>#REF!</v>
      </c>
      <c r="J925" s="203">
        <f>J927</f>
        <v>32733800</v>
      </c>
      <c r="K925" s="203" t="e">
        <f>K927+#REF!</f>
        <v>#REF!</v>
      </c>
      <c r="L925" s="203" t="e">
        <f>L927+#REF!</f>
        <v>#REF!</v>
      </c>
      <c r="M925" s="203" t="e">
        <f>M927+#REF!</f>
        <v>#REF!</v>
      </c>
      <c r="N925" s="203"/>
      <c r="O925" s="203">
        <f>O927</f>
        <v>34613800</v>
      </c>
      <c r="P925" s="203">
        <f>P927</f>
        <v>34613800</v>
      </c>
      <c r="Q925" s="235"/>
    </row>
    <row r="926" spans="1:131" ht="22.5" customHeight="1">
      <c r="A926" s="74" t="s">
        <v>114</v>
      </c>
      <c r="B926" s="75"/>
      <c r="C926" s="75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1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</row>
    <row r="927" spans="1:17" s="199" customFormat="1" ht="30.75" customHeight="1">
      <c r="A927" s="196" t="s">
        <v>503</v>
      </c>
      <c r="B927" s="197"/>
      <c r="C927" s="197"/>
      <c r="D927" s="241"/>
      <c r="E927" s="241">
        <f>E929</f>
        <v>7900000</v>
      </c>
      <c r="F927" s="241">
        <f>D927+E927</f>
        <v>7900000</v>
      </c>
      <c r="G927" s="195"/>
      <c r="H927" s="195">
        <f>SUM(H929)</f>
        <v>32733800</v>
      </c>
      <c r="I927" s="195"/>
      <c r="J927" s="195">
        <f>G927+H927+I927</f>
        <v>32733800</v>
      </c>
      <c r="K927" s="195"/>
      <c r="L927" s="195"/>
      <c r="M927" s="195"/>
      <c r="N927" s="195"/>
      <c r="O927" s="195">
        <f>O929</f>
        <v>34613800</v>
      </c>
      <c r="P927" s="195">
        <f>N927+O927</f>
        <v>34613800</v>
      </c>
      <c r="Q927" s="236"/>
    </row>
    <row r="928" spans="1:17" s="27" customFormat="1" ht="11.25" customHeight="1">
      <c r="A928" s="87" t="s">
        <v>2</v>
      </c>
      <c r="B928" s="79"/>
      <c r="C928" s="79"/>
      <c r="D928" s="97"/>
      <c r="E928" s="97"/>
      <c r="F928" s="97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42"/>
    </row>
    <row r="929" spans="1:17" s="27" customFormat="1" ht="11.25" customHeight="1">
      <c r="A929" s="98" t="s">
        <v>23</v>
      </c>
      <c r="B929" s="99"/>
      <c r="C929" s="99"/>
      <c r="D929" s="100"/>
      <c r="E929" s="100">
        <f>40850000-32950000</f>
        <v>7900000</v>
      </c>
      <c r="F929" s="100">
        <f>E929</f>
        <v>7900000</v>
      </c>
      <c r="G929" s="101"/>
      <c r="H929" s="101">
        <v>32733800</v>
      </c>
      <c r="I929" s="101"/>
      <c r="J929" s="101">
        <f>H929</f>
        <v>32733800</v>
      </c>
      <c r="K929" s="101"/>
      <c r="L929" s="101"/>
      <c r="M929" s="101"/>
      <c r="N929" s="101"/>
      <c r="O929" s="101">
        <v>34613800</v>
      </c>
      <c r="P929" s="101">
        <f>O929</f>
        <v>34613800</v>
      </c>
      <c r="Q929" s="42"/>
    </row>
    <row r="930" spans="1:17" s="27" customFormat="1" ht="11.25" customHeight="1">
      <c r="A930" s="87" t="s">
        <v>3</v>
      </c>
      <c r="B930" s="79"/>
      <c r="C930" s="79"/>
      <c r="D930" s="97"/>
      <c r="E930" s="97"/>
      <c r="F930" s="97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42"/>
    </row>
    <row r="931" spans="1:17" s="27" customFormat="1" ht="11.25" customHeight="1">
      <c r="A931" s="98" t="s">
        <v>104</v>
      </c>
      <c r="B931" s="99"/>
      <c r="C931" s="99"/>
      <c r="D931" s="100"/>
      <c r="E931" s="279">
        <v>15</v>
      </c>
      <c r="F931" s="279">
        <f>E931</f>
        <v>15</v>
      </c>
      <c r="G931" s="280"/>
      <c r="H931" s="280">
        <v>17</v>
      </c>
      <c r="I931" s="280"/>
      <c r="J931" s="280">
        <f>H931</f>
        <v>17</v>
      </c>
      <c r="K931" s="280">
        <f>H931</f>
        <v>17</v>
      </c>
      <c r="L931" s="280">
        <f>J931</f>
        <v>17</v>
      </c>
      <c r="M931" s="280">
        <f>K931</f>
        <v>17</v>
      </c>
      <c r="N931" s="280"/>
      <c r="O931" s="280">
        <v>17</v>
      </c>
      <c r="P931" s="280">
        <f>O931</f>
        <v>17</v>
      </c>
      <c r="Q931" s="42"/>
    </row>
    <row r="932" spans="1:17" s="27" customFormat="1" ht="11.25" customHeight="1">
      <c r="A932" s="98" t="s">
        <v>5</v>
      </c>
      <c r="B932" s="99"/>
      <c r="C932" s="99"/>
      <c r="D932" s="100"/>
      <c r="E932" s="100"/>
      <c r="F932" s="100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42"/>
    </row>
    <row r="933" spans="1:17" s="27" customFormat="1" ht="22.5" customHeight="1">
      <c r="A933" s="98" t="s">
        <v>187</v>
      </c>
      <c r="B933" s="99"/>
      <c r="C933" s="99"/>
      <c r="D933" s="100"/>
      <c r="E933" s="101">
        <f>E929/E931</f>
        <v>526666.6666666666</v>
      </c>
      <c r="F933" s="101">
        <f>E933</f>
        <v>526666.6666666666</v>
      </c>
      <c r="G933" s="101"/>
      <c r="H933" s="101">
        <f>SUM(H929)/H931</f>
        <v>1925517.6470588236</v>
      </c>
      <c r="I933" s="101"/>
      <c r="J933" s="101">
        <f>SUM(J929)/J931</f>
        <v>1925517.6470588236</v>
      </c>
      <c r="K933" s="101"/>
      <c r="L933" s="101"/>
      <c r="M933" s="101"/>
      <c r="N933" s="101"/>
      <c r="O933" s="101">
        <f>SUM(O929)/O931</f>
        <v>2036105.8823529412</v>
      </c>
      <c r="P933" s="101">
        <f>SUM(P929)/P931</f>
        <v>2036105.8823529412</v>
      </c>
      <c r="Q933" s="42"/>
    </row>
    <row r="934" spans="1:17" s="220" customFormat="1" ht="27" customHeight="1">
      <c r="A934" s="202" t="s">
        <v>254</v>
      </c>
      <c r="B934" s="233"/>
      <c r="C934" s="233"/>
      <c r="D934" s="242"/>
      <c r="E934" s="203">
        <f>E936</f>
        <v>24125000</v>
      </c>
      <c r="F934" s="203">
        <f>E934</f>
        <v>24125000</v>
      </c>
      <c r="G934" s="203"/>
      <c r="H934" s="203">
        <f>H936</f>
        <v>64000000</v>
      </c>
      <c r="I934" s="203"/>
      <c r="J934" s="203">
        <f>H934</f>
        <v>64000000</v>
      </c>
      <c r="K934" s="203"/>
      <c r="L934" s="203"/>
      <c r="M934" s="203"/>
      <c r="N934" s="203"/>
      <c r="O934" s="203">
        <f>O936</f>
        <v>95000000</v>
      </c>
      <c r="P934" s="203">
        <f>O934</f>
        <v>95000000</v>
      </c>
      <c r="Q934" s="243"/>
    </row>
    <row r="935" spans="1:17" s="27" customFormat="1" ht="22.5" customHeight="1">
      <c r="A935" s="74" t="s">
        <v>257</v>
      </c>
      <c r="B935" s="99"/>
      <c r="C935" s="99"/>
      <c r="D935" s="100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42"/>
    </row>
    <row r="936" spans="1:17" s="199" customFormat="1" ht="38.25" customHeight="1">
      <c r="A936" s="196" t="s">
        <v>504</v>
      </c>
      <c r="B936" s="197"/>
      <c r="C936" s="197"/>
      <c r="D936" s="241"/>
      <c r="E936" s="195">
        <f>E938</f>
        <v>24125000</v>
      </c>
      <c r="F936" s="195">
        <f>E936</f>
        <v>24125000</v>
      </c>
      <c r="G936" s="195"/>
      <c r="H936" s="195">
        <f>H938</f>
        <v>64000000</v>
      </c>
      <c r="I936" s="195"/>
      <c r="J936" s="195">
        <f>H936</f>
        <v>64000000</v>
      </c>
      <c r="K936" s="195"/>
      <c r="L936" s="195"/>
      <c r="M936" s="195"/>
      <c r="N936" s="195"/>
      <c r="O936" s="195">
        <f>O938</f>
        <v>95000000</v>
      </c>
      <c r="P936" s="195">
        <f>O936</f>
        <v>95000000</v>
      </c>
      <c r="Q936" s="236"/>
    </row>
    <row r="937" spans="1:17" s="27" customFormat="1" ht="11.25" customHeight="1">
      <c r="A937" s="87" t="s">
        <v>2</v>
      </c>
      <c r="B937" s="99"/>
      <c r="C937" s="99"/>
      <c r="D937" s="100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42"/>
    </row>
    <row r="938" spans="1:17" s="27" customFormat="1" ht="11.25" customHeight="1">
      <c r="A938" s="98" t="s">
        <v>23</v>
      </c>
      <c r="B938" s="99"/>
      <c r="C938" s="99"/>
      <c r="D938" s="100"/>
      <c r="E938" s="101">
        <f>37500000+5000000-200000-18175000</f>
        <v>24125000</v>
      </c>
      <c r="F938" s="101">
        <f>E938</f>
        <v>24125000</v>
      </c>
      <c r="G938" s="101"/>
      <c r="H938" s="101">
        <f>39000000+25000000</f>
        <v>64000000</v>
      </c>
      <c r="I938" s="101"/>
      <c r="J938" s="101">
        <f>H938</f>
        <v>64000000</v>
      </c>
      <c r="K938" s="101"/>
      <c r="L938" s="101"/>
      <c r="M938" s="101"/>
      <c r="N938" s="101"/>
      <c r="O938" s="101">
        <f>41500000+53500000</f>
        <v>95000000</v>
      </c>
      <c r="P938" s="101">
        <f>O938</f>
        <v>95000000</v>
      </c>
      <c r="Q938" s="42"/>
    </row>
    <row r="939" spans="1:17" s="27" customFormat="1" ht="11.25" customHeight="1">
      <c r="A939" s="87" t="s">
        <v>3</v>
      </c>
      <c r="B939" s="99"/>
      <c r="C939" s="99"/>
      <c r="D939" s="100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42"/>
    </row>
    <row r="940" spans="1:17" s="27" customFormat="1" ht="11.25" customHeight="1">
      <c r="A940" s="98" t="s">
        <v>104</v>
      </c>
      <c r="B940" s="99"/>
      <c r="C940" s="99"/>
      <c r="D940" s="100"/>
      <c r="E940" s="101">
        <v>18</v>
      </c>
      <c r="F940" s="101">
        <f>E940</f>
        <v>18</v>
      </c>
      <c r="G940" s="101"/>
      <c r="H940" s="101">
        <f>14+1</f>
        <v>15</v>
      </c>
      <c r="I940" s="101"/>
      <c r="J940" s="101">
        <f>H940</f>
        <v>15</v>
      </c>
      <c r="K940" s="101"/>
      <c r="L940" s="101"/>
      <c r="M940" s="101"/>
      <c r="N940" s="101"/>
      <c r="O940" s="101">
        <f>14+1</f>
        <v>15</v>
      </c>
      <c r="P940" s="101">
        <f>O940</f>
        <v>15</v>
      </c>
      <c r="Q940" s="42"/>
    </row>
    <row r="941" spans="1:17" s="27" customFormat="1" ht="11.25" customHeight="1">
      <c r="A941" s="87" t="s">
        <v>5</v>
      </c>
      <c r="B941" s="99"/>
      <c r="C941" s="99"/>
      <c r="D941" s="100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42"/>
    </row>
    <row r="942" spans="1:17" s="27" customFormat="1" ht="22.5" customHeight="1">
      <c r="A942" s="98" t="s">
        <v>187</v>
      </c>
      <c r="B942" s="99"/>
      <c r="C942" s="99"/>
      <c r="D942" s="100"/>
      <c r="E942" s="101">
        <f>E938/E940</f>
        <v>1340277.7777777778</v>
      </c>
      <c r="F942" s="101">
        <f>E942</f>
        <v>1340277.7777777778</v>
      </c>
      <c r="G942" s="101"/>
      <c r="H942" s="101">
        <f>H938/H940</f>
        <v>4266666.666666667</v>
      </c>
      <c r="I942" s="101"/>
      <c r="J942" s="101">
        <f>H942</f>
        <v>4266666.666666667</v>
      </c>
      <c r="K942" s="101"/>
      <c r="L942" s="101"/>
      <c r="M942" s="101"/>
      <c r="N942" s="101"/>
      <c r="O942" s="101">
        <f>O938/O940</f>
        <v>6333333.333333333</v>
      </c>
      <c r="P942" s="101">
        <f>O942</f>
        <v>6333333.333333333</v>
      </c>
      <c r="Q942" s="42"/>
    </row>
    <row r="943" spans="1:17" s="220" customFormat="1" ht="23.25" customHeight="1">
      <c r="A943" s="202" t="s">
        <v>255</v>
      </c>
      <c r="B943" s="202"/>
      <c r="C943" s="202"/>
      <c r="D943" s="245"/>
      <c r="E943" s="203">
        <f>E945</f>
        <v>3550000</v>
      </c>
      <c r="F943" s="203">
        <f>E943</f>
        <v>3550000</v>
      </c>
      <c r="G943" s="203"/>
      <c r="H943" s="203">
        <f>H945</f>
        <v>5000000</v>
      </c>
      <c r="I943" s="203"/>
      <c r="J943" s="203">
        <f>H943</f>
        <v>5000000</v>
      </c>
      <c r="K943" s="203"/>
      <c r="L943" s="203"/>
      <c r="M943" s="203"/>
      <c r="N943" s="203"/>
      <c r="O943" s="203"/>
      <c r="P943" s="203"/>
      <c r="Q943" s="243"/>
    </row>
    <row r="944" spans="1:17" s="27" customFormat="1" ht="22.5">
      <c r="A944" s="74" t="s">
        <v>256</v>
      </c>
      <c r="B944" s="99"/>
      <c r="C944" s="99"/>
      <c r="D944" s="100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42"/>
    </row>
    <row r="945" spans="1:17" s="199" customFormat="1" ht="36.75" customHeight="1">
      <c r="A945" s="196" t="s">
        <v>505</v>
      </c>
      <c r="B945" s="197"/>
      <c r="C945" s="197"/>
      <c r="D945" s="241"/>
      <c r="E945" s="195">
        <f>E947</f>
        <v>3550000</v>
      </c>
      <c r="F945" s="195">
        <f>E945</f>
        <v>3550000</v>
      </c>
      <c r="G945" s="195"/>
      <c r="H945" s="195">
        <f>H947</f>
        <v>5000000</v>
      </c>
      <c r="I945" s="195"/>
      <c r="J945" s="195">
        <f>H945</f>
        <v>5000000</v>
      </c>
      <c r="K945" s="195"/>
      <c r="L945" s="195"/>
      <c r="M945" s="195"/>
      <c r="N945" s="195"/>
      <c r="O945" s="195"/>
      <c r="P945" s="195"/>
      <c r="Q945" s="236"/>
    </row>
    <row r="946" spans="1:17" s="89" customFormat="1" ht="11.25">
      <c r="A946" s="87" t="s">
        <v>2</v>
      </c>
      <c r="B946" s="99"/>
      <c r="C946" s="99"/>
      <c r="D946" s="100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88"/>
    </row>
    <row r="947" spans="1:17" s="89" customFormat="1" ht="11.25">
      <c r="A947" s="98" t="s">
        <v>23</v>
      </c>
      <c r="B947" s="99"/>
      <c r="C947" s="99"/>
      <c r="D947" s="100"/>
      <c r="E947" s="101">
        <f>14000000-5400000-5050000</f>
        <v>3550000</v>
      </c>
      <c r="F947" s="101">
        <f>E947</f>
        <v>3550000</v>
      </c>
      <c r="G947" s="101"/>
      <c r="H947" s="101">
        <v>5000000</v>
      </c>
      <c r="I947" s="101"/>
      <c r="J947" s="101">
        <f>H947</f>
        <v>5000000</v>
      </c>
      <c r="K947" s="101"/>
      <c r="L947" s="101"/>
      <c r="M947" s="101"/>
      <c r="N947" s="101"/>
      <c r="O947" s="101"/>
      <c r="P947" s="101"/>
      <c r="Q947" s="88"/>
    </row>
    <row r="948" spans="1:17" s="89" customFormat="1" ht="11.25">
      <c r="A948" s="87" t="s">
        <v>3</v>
      </c>
      <c r="B948" s="99"/>
      <c r="C948" s="99"/>
      <c r="D948" s="100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88"/>
    </row>
    <row r="949" spans="1:17" s="89" customFormat="1" ht="11.25">
      <c r="A949" s="98" t="s">
        <v>104</v>
      </c>
      <c r="B949" s="99"/>
      <c r="C949" s="99"/>
      <c r="D949" s="100"/>
      <c r="E949" s="101">
        <v>2</v>
      </c>
      <c r="F949" s="101">
        <f>E949</f>
        <v>2</v>
      </c>
      <c r="G949" s="101"/>
      <c r="H949" s="101">
        <v>1</v>
      </c>
      <c r="I949" s="101"/>
      <c r="J949" s="101">
        <f>H949</f>
        <v>1</v>
      </c>
      <c r="K949" s="101"/>
      <c r="L949" s="101"/>
      <c r="M949" s="101"/>
      <c r="N949" s="101"/>
      <c r="O949" s="101"/>
      <c r="P949" s="101"/>
      <c r="Q949" s="88"/>
    </row>
    <row r="950" spans="1:17" s="89" customFormat="1" ht="11.25">
      <c r="A950" s="98" t="s">
        <v>5</v>
      </c>
      <c r="B950" s="99"/>
      <c r="C950" s="99"/>
      <c r="D950" s="100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88"/>
    </row>
    <row r="951" spans="1:17" s="89" customFormat="1" ht="22.5">
      <c r="A951" s="98" t="s">
        <v>187</v>
      </c>
      <c r="B951" s="99"/>
      <c r="C951" s="99"/>
      <c r="D951" s="100"/>
      <c r="E951" s="101">
        <f>E947/E949</f>
        <v>1775000</v>
      </c>
      <c r="F951" s="101">
        <f>E951</f>
        <v>1775000</v>
      </c>
      <c r="G951" s="101"/>
      <c r="H951" s="101">
        <f>H947/H949</f>
        <v>5000000</v>
      </c>
      <c r="I951" s="101"/>
      <c r="J951" s="101">
        <f>H951</f>
        <v>5000000</v>
      </c>
      <c r="K951" s="101"/>
      <c r="L951" s="101"/>
      <c r="M951" s="101"/>
      <c r="N951" s="101"/>
      <c r="O951" s="101"/>
      <c r="P951" s="101"/>
      <c r="Q951" s="88"/>
    </row>
    <row r="952" spans="1:17" s="205" customFormat="1" ht="23.25" customHeight="1">
      <c r="A952" s="202" t="s">
        <v>137</v>
      </c>
      <c r="B952" s="233"/>
      <c r="C952" s="233"/>
      <c r="D952" s="245"/>
      <c r="E952" s="245">
        <f>E954</f>
        <v>-10294092</v>
      </c>
      <c r="F952" s="245">
        <f>F954</f>
        <v>-10294092</v>
      </c>
      <c r="G952" s="245"/>
      <c r="H952" s="245"/>
      <c r="I952" s="245"/>
      <c r="J952" s="245"/>
      <c r="K952" s="245"/>
      <c r="L952" s="245"/>
      <c r="M952" s="245"/>
      <c r="N952" s="245"/>
      <c r="O952" s="245"/>
      <c r="P952" s="245"/>
      <c r="Q952" s="245">
        <f>Q954</f>
        <v>0</v>
      </c>
    </row>
    <row r="953" spans="1:131" ht="17.25" customHeight="1">
      <c r="A953" s="6" t="s">
        <v>111</v>
      </c>
      <c r="B953" s="4"/>
      <c r="C953" s="4"/>
      <c r="D953" s="46"/>
      <c r="E953" s="173"/>
      <c r="F953" s="173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1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</row>
    <row r="954" spans="1:17" s="199" customFormat="1" ht="25.5">
      <c r="A954" s="196" t="s">
        <v>432</v>
      </c>
      <c r="B954" s="197"/>
      <c r="C954" s="197"/>
      <c r="D954" s="241"/>
      <c r="E954" s="241">
        <f>E956</f>
        <v>-10294092</v>
      </c>
      <c r="F954" s="241">
        <f>D954+E954</f>
        <v>-10294092</v>
      </c>
      <c r="G954" s="195"/>
      <c r="H954" s="195"/>
      <c r="I954" s="195"/>
      <c r="J954" s="195"/>
      <c r="K954" s="195"/>
      <c r="L954" s="195"/>
      <c r="M954" s="195"/>
      <c r="N954" s="195"/>
      <c r="O954" s="195"/>
      <c r="P954" s="195"/>
      <c r="Q954" s="236"/>
    </row>
    <row r="955" spans="1:131" ht="11.25">
      <c r="A955" s="3" t="s">
        <v>2</v>
      </c>
      <c r="B955" s="4"/>
      <c r="C955" s="4"/>
      <c r="D955" s="173"/>
      <c r="E955" s="173"/>
      <c r="F955" s="173"/>
      <c r="G955" s="76"/>
      <c r="H955" s="76"/>
      <c r="I955" s="5"/>
      <c r="J955" s="5"/>
      <c r="K955" s="5"/>
      <c r="L955" s="5"/>
      <c r="M955" s="5"/>
      <c r="N955" s="5"/>
      <c r="O955" s="5"/>
      <c r="P955" s="5"/>
      <c r="Q955" s="1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</row>
    <row r="956" spans="1:131" ht="22.5">
      <c r="A956" s="6" t="s">
        <v>113</v>
      </c>
      <c r="B956" s="4"/>
      <c r="C956" s="4"/>
      <c r="D956" s="32"/>
      <c r="E956" s="141">
        <f>-2054092-1800000-740000-5700000</f>
        <v>-10294092</v>
      </c>
      <c r="F956" s="141">
        <f>E956</f>
        <v>-10294092</v>
      </c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1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</row>
    <row r="957" spans="1:131" ht="11.25">
      <c r="A957" s="3" t="s">
        <v>3</v>
      </c>
      <c r="B957" s="4"/>
      <c r="C957" s="4"/>
      <c r="D957" s="32"/>
      <c r="E957" s="141"/>
      <c r="F957" s="141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31" ht="22.5">
      <c r="A958" s="6" t="s">
        <v>112</v>
      </c>
      <c r="B958" s="4"/>
      <c r="C958" s="4"/>
      <c r="D958" s="32"/>
      <c r="E958" s="174">
        <v>3</v>
      </c>
      <c r="F958" s="174">
        <f>D958+E958</f>
        <v>3</v>
      </c>
      <c r="G958" s="48"/>
      <c r="H958" s="49"/>
      <c r="I958" s="48"/>
      <c r="J958" s="49"/>
      <c r="K958" s="48"/>
      <c r="L958" s="48"/>
      <c r="M958" s="48"/>
      <c r="N958" s="48"/>
      <c r="O958" s="49"/>
      <c r="P958" s="49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31" ht="11.25">
      <c r="A959" s="22" t="s">
        <v>5</v>
      </c>
      <c r="B959" s="4"/>
      <c r="C959" s="4"/>
      <c r="D959" s="32"/>
      <c r="E959" s="141"/>
      <c r="F959" s="141"/>
      <c r="G959" s="48"/>
      <c r="H959" s="49"/>
      <c r="I959" s="48"/>
      <c r="J959" s="49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31" ht="22.5">
      <c r="A960" s="28" t="s">
        <v>157</v>
      </c>
      <c r="B960" s="4"/>
      <c r="C960" s="4"/>
      <c r="D960" s="32"/>
      <c r="E960" s="141">
        <f>E956/E958</f>
        <v>-3431364</v>
      </c>
      <c r="F960" s="141">
        <f>E960</f>
        <v>-3431364</v>
      </c>
      <c r="G960" s="48"/>
      <c r="H960" s="48"/>
      <c r="I960" s="48"/>
      <c r="J960" s="48"/>
      <c r="K960" s="48"/>
      <c r="L960" s="48"/>
      <c r="M960" s="48"/>
      <c r="N960" s="48"/>
      <c r="O960" s="49"/>
      <c r="P960" s="49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7" s="205" customFormat="1" ht="12.75">
      <c r="A961" s="202" t="s">
        <v>541</v>
      </c>
      <c r="B961" s="233"/>
      <c r="C961" s="233"/>
      <c r="D961" s="222">
        <f>D963</f>
        <v>7500000</v>
      </c>
      <c r="E961" s="222">
        <f>E963</f>
        <v>0</v>
      </c>
      <c r="F961" s="222">
        <f>D961+E961</f>
        <v>7500000</v>
      </c>
      <c r="G961" s="245"/>
      <c r="H961" s="245"/>
      <c r="I961" s="245"/>
      <c r="J961" s="245"/>
      <c r="K961" s="246"/>
      <c r="L961" s="246"/>
      <c r="M961" s="246"/>
      <c r="N961" s="246"/>
      <c r="O961" s="247"/>
      <c r="P961" s="247"/>
      <c r="Q961" s="235"/>
    </row>
    <row r="962" spans="1:131" ht="11.25">
      <c r="A962" s="6" t="s">
        <v>111</v>
      </c>
      <c r="B962" s="4"/>
      <c r="C962" s="4"/>
      <c r="D962" s="32"/>
      <c r="E962" s="141"/>
      <c r="F962" s="141"/>
      <c r="G962" s="5"/>
      <c r="H962" s="5"/>
      <c r="I962" s="5"/>
      <c r="J962" s="5"/>
      <c r="K962" s="48"/>
      <c r="L962" s="48"/>
      <c r="M962" s="48"/>
      <c r="N962" s="48"/>
      <c r="O962" s="49"/>
      <c r="P962" s="49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7" s="194" customFormat="1" ht="34.5" customHeight="1">
      <c r="A963" s="196" t="s">
        <v>540</v>
      </c>
      <c r="B963" s="192"/>
      <c r="C963" s="192"/>
      <c r="D963" s="225">
        <f>D965</f>
        <v>7500000</v>
      </c>
      <c r="E963" s="225">
        <f>E965</f>
        <v>0</v>
      </c>
      <c r="F963" s="225">
        <f>D963+E963</f>
        <v>7500000</v>
      </c>
      <c r="G963" s="195"/>
      <c r="H963" s="195"/>
      <c r="I963" s="195"/>
      <c r="J963" s="195"/>
      <c r="K963" s="240"/>
      <c r="L963" s="240"/>
      <c r="M963" s="240"/>
      <c r="N963" s="240"/>
      <c r="O963" s="248"/>
      <c r="P963" s="248"/>
      <c r="Q963" s="244"/>
    </row>
    <row r="964" spans="1:131" ht="11.25">
      <c r="A964" s="3" t="s">
        <v>2</v>
      </c>
      <c r="B964" s="4"/>
      <c r="C964" s="4"/>
      <c r="D964" s="32"/>
      <c r="E964" s="141"/>
      <c r="F964" s="141"/>
      <c r="G964" s="5"/>
      <c r="H964" s="5"/>
      <c r="I964" s="5"/>
      <c r="J964" s="5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22.5">
      <c r="A965" s="6" t="s">
        <v>542</v>
      </c>
      <c r="B965" s="4"/>
      <c r="C965" s="4"/>
      <c r="D965" s="32">
        <f>1800000+5700000</f>
        <v>7500000</v>
      </c>
      <c r="E965" s="138"/>
      <c r="F965" s="138">
        <f>D965+E965</f>
        <v>7500000</v>
      </c>
      <c r="G965" s="48"/>
      <c r="H965" s="48"/>
      <c r="I965" s="48"/>
      <c r="J965" s="48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11.25">
      <c r="A966" s="3" t="s">
        <v>3</v>
      </c>
      <c r="B966" s="4"/>
      <c r="C966" s="4"/>
      <c r="D966" s="32"/>
      <c r="E966" s="138"/>
      <c r="F966" s="138"/>
      <c r="G966" s="48"/>
      <c r="H966" s="48"/>
      <c r="I966" s="48"/>
      <c r="J966" s="48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22.5">
      <c r="A967" s="6" t="s">
        <v>112</v>
      </c>
      <c r="B967" s="4"/>
      <c r="C967" s="4"/>
      <c r="D967" s="32">
        <v>1</v>
      </c>
      <c r="E967" s="175"/>
      <c r="F967" s="162">
        <f>E967</f>
        <v>0</v>
      </c>
      <c r="G967" s="48"/>
      <c r="H967" s="49"/>
      <c r="I967" s="48"/>
      <c r="J967" s="49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11.25">
      <c r="A968" s="22" t="s">
        <v>5</v>
      </c>
      <c r="B968" s="4"/>
      <c r="C968" s="4"/>
      <c r="D968" s="32"/>
      <c r="E968" s="141"/>
      <c r="F968" s="141"/>
      <c r="G968" s="48"/>
      <c r="H968" s="49"/>
      <c r="I968" s="48"/>
      <c r="J968" s="49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22.5">
      <c r="A969" s="28" t="s">
        <v>543</v>
      </c>
      <c r="B969" s="4"/>
      <c r="C969" s="4"/>
      <c r="D969" s="32">
        <f>D965/D967</f>
        <v>7500000</v>
      </c>
      <c r="E969" s="141"/>
      <c r="F969" s="141">
        <f>D969</f>
        <v>7500000</v>
      </c>
      <c r="G969" s="48"/>
      <c r="H969" s="48"/>
      <c r="I969" s="48"/>
      <c r="J969" s="48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12.75">
      <c r="A970" s="202" t="s">
        <v>533</v>
      </c>
      <c r="B970" s="233"/>
      <c r="C970" s="233"/>
      <c r="D970" s="221"/>
      <c r="E970" s="222">
        <f>E972+E979</f>
        <v>14055000</v>
      </c>
      <c r="F970" s="222">
        <f>E970</f>
        <v>14055000</v>
      </c>
      <c r="G970" s="245"/>
      <c r="H970" s="245"/>
      <c r="I970" s="245"/>
      <c r="J970" s="245"/>
      <c r="K970" s="246"/>
      <c r="L970" s="246"/>
      <c r="M970" s="246"/>
      <c r="N970" s="246"/>
      <c r="O970" s="247"/>
      <c r="P970" s="247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22.5">
      <c r="A971" s="6" t="s">
        <v>536</v>
      </c>
      <c r="B971" s="4"/>
      <c r="C971" s="4"/>
      <c r="D971" s="32"/>
      <c r="E971" s="141"/>
      <c r="F971" s="141"/>
      <c r="G971" s="5"/>
      <c r="H971" s="5"/>
      <c r="I971" s="5"/>
      <c r="J971" s="5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63.75">
      <c r="A972" s="196" t="s">
        <v>539</v>
      </c>
      <c r="B972" s="192"/>
      <c r="C972" s="192"/>
      <c r="D972" s="224"/>
      <c r="E972" s="225">
        <f>E974</f>
        <v>10655000</v>
      </c>
      <c r="F972" s="225">
        <f>E972</f>
        <v>10655000</v>
      </c>
      <c r="G972" s="195"/>
      <c r="H972" s="195"/>
      <c r="I972" s="195"/>
      <c r="J972" s="195"/>
      <c r="K972" s="240"/>
      <c r="L972" s="240"/>
      <c r="M972" s="240"/>
      <c r="N972" s="240"/>
      <c r="O972" s="248"/>
      <c r="P972" s="248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>
      <c r="A973" s="3" t="s">
        <v>2</v>
      </c>
      <c r="B973" s="4"/>
      <c r="C973" s="4"/>
      <c r="D973" s="32"/>
      <c r="E973" s="141"/>
      <c r="F973" s="141"/>
      <c r="G973" s="5"/>
      <c r="H973" s="5"/>
      <c r="I973" s="5"/>
      <c r="J973" s="5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11.25">
      <c r="A974" s="6" t="s">
        <v>23</v>
      </c>
      <c r="B974" s="4"/>
      <c r="C974" s="4"/>
      <c r="D974" s="32"/>
      <c r="E974" s="138">
        <f>E976*E978</f>
        <v>10655000</v>
      </c>
      <c r="F974" s="138">
        <f>E974</f>
        <v>10655000</v>
      </c>
      <c r="G974" s="48"/>
      <c r="H974" s="48"/>
      <c r="I974" s="48"/>
      <c r="J974" s="48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>
      <c r="A975" s="3" t="s">
        <v>3</v>
      </c>
      <c r="B975" s="4"/>
      <c r="C975" s="4"/>
      <c r="D975" s="32"/>
      <c r="E975" s="138"/>
      <c r="F975" s="138"/>
      <c r="G975" s="48"/>
      <c r="H975" s="48"/>
      <c r="I975" s="48"/>
      <c r="J975" s="48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11.25">
      <c r="A976" s="6" t="s">
        <v>534</v>
      </c>
      <c r="B976" s="4"/>
      <c r="C976" s="4"/>
      <c r="D976" s="32"/>
      <c r="E976" s="175" t="s">
        <v>560</v>
      </c>
      <c r="F976" s="162" t="str">
        <f>E976</f>
        <v>5</v>
      </c>
      <c r="G976" s="48"/>
      <c r="H976" s="49"/>
      <c r="I976" s="48"/>
      <c r="J976" s="49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>
      <c r="A977" s="22" t="s">
        <v>5</v>
      </c>
      <c r="B977" s="4"/>
      <c r="C977" s="4"/>
      <c r="D977" s="32"/>
      <c r="E977" s="141"/>
      <c r="F977" s="141"/>
      <c r="G977" s="48"/>
      <c r="H977" s="49"/>
      <c r="I977" s="48"/>
      <c r="J977" s="49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28" t="s">
        <v>535</v>
      </c>
      <c r="B978" s="4"/>
      <c r="C978" s="4"/>
      <c r="D978" s="32"/>
      <c r="E978" s="141">
        <v>2131000</v>
      </c>
      <c r="F978" s="141">
        <f>D978+E978</f>
        <v>2131000</v>
      </c>
      <c r="G978" s="48"/>
      <c r="H978" s="48"/>
      <c r="I978" s="48"/>
      <c r="J978" s="48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25.5">
      <c r="A979" s="196" t="s">
        <v>538</v>
      </c>
      <c r="B979" s="192"/>
      <c r="C979" s="192"/>
      <c r="D979" s="224"/>
      <c r="E979" s="225">
        <f>E981</f>
        <v>3400000</v>
      </c>
      <c r="F979" s="225">
        <f>E979</f>
        <v>3400000</v>
      </c>
      <c r="G979" s="195"/>
      <c r="H979" s="195"/>
      <c r="I979" s="195"/>
      <c r="J979" s="195"/>
      <c r="K979" s="240"/>
      <c r="L979" s="240"/>
      <c r="M979" s="240"/>
      <c r="N979" s="240"/>
      <c r="O979" s="248"/>
      <c r="P979" s="248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>
      <c r="A980" s="3" t="s">
        <v>2</v>
      </c>
      <c r="B980" s="4"/>
      <c r="C980" s="4"/>
      <c r="D980" s="32"/>
      <c r="E980" s="141"/>
      <c r="F980" s="141"/>
      <c r="G980" s="5"/>
      <c r="H980" s="5"/>
      <c r="I980" s="5"/>
      <c r="J980" s="5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6" t="s">
        <v>23</v>
      </c>
      <c r="B981" s="4"/>
      <c r="C981" s="4"/>
      <c r="D981" s="32"/>
      <c r="E981" s="138">
        <f>E983*E985</f>
        <v>3400000</v>
      </c>
      <c r="F981" s="138">
        <f>E981</f>
        <v>3400000</v>
      </c>
      <c r="G981" s="48"/>
      <c r="H981" s="48"/>
      <c r="I981" s="48"/>
      <c r="J981" s="48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3" t="s">
        <v>3</v>
      </c>
      <c r="B982" s="4"/>
      <c r="C982" s="4"/>
      <c r="D982" s="32"/>
      <c r="E982" s="138"/>
      <c r="F982" s="138"/>
      <c r="G982" s="48"/>
      <c r="H982" s="48"/>
      <c r="I982" s="48"/>
      <c r="J982" s="48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6" t="s">
        <v>534</v>
      </c>
      <c r="B983" s="4"/>
      <c r="C983" s="4"/>
      <c r="D983" s="32"/>
      <c r="E983" s="175" t="s">
        <v>537</v>
      </c>
      <c r="F983" s="162" t="str">
        <f>E983</f>
        <v>1</v>
      </c>
      <c r="G983" s="48"/>
      <c r="H983" s="49"/>
      <c r="I983" s="48"/>
      <c r="J983" s="49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11.25">
      <c r="A984" s="22" t="s">
        <v>5</v>
      </c>
      <c r="B984" s="4"/>
      <c r="C984" s="4"/>
      <c r="D984" s="32"/>
      <c r="E984" s="141"/>
      <c r="F984" s="141"/>
      <c r="G984" s="48"/>
      <c r="H984" s="49"/>
      <c r="I984" s="48"/>
      <c r="J984" s="49"/>
      <c r="K984" s="48"/>
      <c r="L984" s="48"/>
      <c r="M984" s="48"/>
      <c r="N984" s="48"/>
      <c r="O984" s="49"/>
      <c r="P984" s="49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28" t="s">
        <v>535</v>
      </c>
      <c r="B985" s="4"/>
      <c r="C985" s="4"/>
      <c r="D985" s="32"/>
      <c r="E985" s="141">
        <f>2800000+600000</f>
        <v>3400000</v>
      </c>
      <c r="F985" s="141">
        <f>D985+E985</f>
        <v>3400000</v>
      </c>
      <c r="G985" s="48"/>
      <c r="H985" s="48"/>
      <c r="I985" s="48"/>
      <c r="J985" s="48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2.75">
      <c r="A986" s="202" t="s">
        <v>547</v>
      </c>
      <c r="B986" s="233"/>
      <c r="C986" s="233"/>
      <c r="D986" s="222">
        <f>D987</f>
        <v>200000</v>
      </c>
      <c r="E986" s="222">
        <f>E987</f>
        <v>200000</v>
      </c>
      <c r="F986" s="222">
        <f>F987</f>
        <v>400000</v>
      </c>
      <c r="G986" s="245"/>
      <c r="H986" s="245"/>
      <c r="I986" s="245"/>
      <c r="J986" s="245"/>
      <c r="K986" s="246"/>
      <c r="L986" s="246"/>
      <c r="M986" s="246"/>
      <c r="N986" s="246"/>
      <c r="O986" s="247"/>
      <c r="P986" s="247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5">
      <c r="A987" s="196" t="s">
        <v>546</v>
      </c>
      <c r="B987" s="192"/>
      <c r="C987" s="192"/>
      <c r="D987" s="225">
        <f>D989</f>
        <v>200000</v>
      </c>
      <c r="E987" s="225">
        <f>E989</f>
        <v>200000</v>
      </c>
      <c r="F987" s="225">
        <f>E987+D987</f>
        <v>400000</v>
      </c>
      <c r="G987" s="276"/>
      <c r="H987" s="276"/>
      <c r="I987" s="276"/>
      <c r="J987" s="276"/>
      <c r="K987" s="276"/>
      <c r="L987" s="276"/>
      <c r="M987" s="276"/>
      <c r="N987" s="276"/>
      <c r="O987" s="277"/>
      <c r="P987" s="277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>
      <c r="A988" s="3" t="s">
        <v>2</v>
      </c>
      <c r="B988" s="4"/>
      <c r="C988" s="4"/>
      <c r="D988" s="32"/>
      <c r="E988" s="141"/>
      <c r="F988" s="138">
        <f>E988+D988</f>
        <v>0</v>
      </c>
      <c r="G988" s="48"/>
      <c r="H988" s="48"/>
      <c r="I988" s="48"/>
      <c r="J988" s="48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>
      <c r="A989" s="6" t="s">
        <v>23</v>
      </c>
      <c r="B989" s="4"/>
      <c r="C989" s="4"/>
      <c r="D989" s="30">
        <v>200000</v>
      </c>
      <c r="E989" s="138">
        <v>200000</v>
      </c>
      <c r="F989" s="138">
        <f>E989+D989</f>
        <v>400000</v>
      </c>
      <c r="G989" s="48"/>
      <c r="H989" s="48"/>
      <c r="I989" s="48"/>
      <c r="J989" s="48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3" t="s">
        <v>3</v>
      </c>
      <c r="B990" s="4"/>
      <c r="C990" s="4"/>
      <c r="D990" s="32"/>
      <c r="E990" s="138"/>
      <c r="F990" s="138"/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1.25">
      <c r="A991" s="6" t="s">
        <v>534</v>
      </c>
      <c r="B991" s="4"/>
      <c r="C991" s="4"/>
      <c r="D991" s="32">
        <v>1</v>
      </c>
      <c r="E991" s="175" t="s">
        <v>537</v>
      </c>
      <c r="F991" s="162" t="str">
        <f>E991</f>
        <v>1</v>
      </c>
      <c r="G991" s="48"/>
      <c r="H991" s="48"/>
      <c r="I991" s="48"/>
      <c r="J991" s="48"/>
      <c r="K991" s="48"/>
      <c r="L991" s="48"/>
      <c r="M991" s="48"/>
      <c r="N991" s="48"/>
      <c r="O991" s="49"/>
      <c r="P991" s="49"/>
      <c r="Q991" s="1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1.25">
      <c r="A992" s="22" t="s">
        <v>5</v>
      </c>
      <c r="B992" s="4"/>
      <c r="C992" s="4"/>
      <c r="D992" s="32"/>
      <c r="E992" s="141"/>
      <c r="F992" s="141"/>
      <c r="G992" s="48"/>
      <c r="H992" s="48"/>
      <c r="I992" s="48"/>
      <c r="J992" s="48"/>
      <c r="K992" s="48"/>
      <c r="L992" s="48"/>
      <c r="M992" s="48"/>
      <c r="N992" s="48"/>
      <c r="O992" s="49"/>
      <c r="P992" s="49"/>
      <c r="Q992" s="1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28" t="s">
        <v>535</v>
      </c>
      <c r="B993" s="4"/>
      <c r="C993" s="4"/>
      <c r="D993" s="138">
        <f>D989</f>
        <v>200000</v>
      </c>
      <c r="E993" s="138">
        <f>E989</f>
        <v>200000</v>
      </c>
      <c r="F993" s="138">
        <f>D993+E993</f>
        <v>400000</v>
      </c>
      <c r="G993" s="48"/>
      <c r="H993" s="48"/>
      <c r="I993" s="48"/>
      <c r="J993" s="48"/>
      <c r="K993" s="48"/>
      <c r="L993" s="48"/>
      <c r="M993" s="48"/>
      <c r="N993" s="48"/>
      <c r="O993" s="49"/>
      <c r="P993" s="49"/>
      <c r="Q993" s="1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8.25" customHeight="1">
      <c r="A994" s="51"/>
      <c r="B994" s="51"/>
      <c r="C994" s="51"/>
      <c r="D994" s="52"/>
      <c r="E994" s="52"/>
      <c r="F994" s="53"/>
      <c r="G994" s="54"/>
      <c r="H994" s="54"/>
      <c r="I994" s="54"/>
      <c r="J994" s="55"/>
      <c r="K994" s="55"/>
      <c r="L994" s="55"/>
      <c r="M994" s="55"/>
      <c r="N994" s="54"/>
      <c r="O994" s="56"/>
      <c r="P994" s="56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31.5" customHeight="1">
      <c r="A995" s="282" t="s">
        <v>183</v>
      </c>
      <c r="B995" s="282"/>
      <c r="C995" s="282"/>
      <c r="D995" s="282"/>
      <c r="E995" s="52"/>
      <c r="F995" s="53"/>
      <c r="G995" s="54"/>
      <c r="H995" s="54"/>
      <c r="I995" s="54"/>
      <c r="J995" s="55"/>
      <c r="K995" s="55"/>
      <c r="L995" s="55"/>
      <c r="M995" s="55"/>
      <c r="N995" s="54"/>
      <c r="O995" s="281" t="s">
        <v>558</v>
      </c>
      <c r="P995" s="281"/>
      <c r="Q995" s="274"/>
      <c r="R995" s="275"/>
      <c r="S995" s="275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8.75" customHeight="1">
      <c r="A996" s="299" t="s">
        <v>557</v>
      </c>
      <c r="B996" s="299"/>
      <c r="C996" s="57"/>
      <c r="D996" s="58"/>
      <c r="E996" s="52"/>
      <c r="F996" s="54"/>
      <c r="G996" s="52"/>
      <c r="H996" s="52"/>
      <c r="I996" s="52"/>
      <c r="J996" s="59"/>
      <c r="K996" s="59"/>
      <c r="L996" s="59"/>
      <c r="M996" s="59"/>
      <c r="N996" s="59"/>
      <c r="O996" s="59"/>
      <c r="P996" s="59"/>
      <c r="Q996" s="60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0.75" customHeight="1">
      <c r="A997" s="17" t="s">
        <v>75</v>
      </c>
      <c r="B997" s="17"/>
      <c r="C997" s="61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28.5" customHeight="1">
      <c r="A998" s="62"/>
      <c r="B998" s="63"/>
      <c r="C998" s="64"/>
      <c r="D998" s="65"/>
      <c r="E998" s="65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54"/>
      <c r="O1011" s="54"/>
      <c r="P1011" s="5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54"/>
      <c r="O1012" s="54"/>
      <c r="P1012" s="5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54"/>
      <c r="O1013" s="54"/>
      <c r="P1013" s="5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54"/>
      <c r="O1014" s="54"/>
      <c r="P1014" s="5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54"/>
      <c r="O1015" s="54"/>
      <c r="P1015" s="5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4"/>
      <c r="O1088" s="54"/>
      <c r="P1088" s="5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4"/>
      <c r="O1089" s="54"/>
      <c r="P1089" s="5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4"/>
      <c r="O1090" s="54"/>
      <c r="P1090" s="5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4"/>
      <c r="O1091" s="54"/>
      <c r="P1091" s="5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  <row r="1092" spans="1:131" ht="11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54"/>
      <c r="O1092" s="54"/>
      <c r="P1092" s="5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</row>
    <row r="1093" spans="1:131" ht="11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54"/>
      <c r="O1093" s="54"/>
      <c r="P1093" s="5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</row>
    <row r="1094" spans="1:131" ht="11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54"/>
      <c r="O1094" s="54"/>
      <c r="P1094" s="5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</row>
  </sheetData>
  <sheetProtection/>
  <mergeCells count="21">
    <mergeCell ref="A996:B996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95:P995"/>
    <mergeCell ref="A995:D995"/>
    <mergeCell ref="N14:P14"/>
    <mergeCell ref="N15:O15"/>
    <mergeCell ref="P15:P16"/>
    <mergeCell ref="K15:M15"/>
    <mergeCell ref="D15:E15"/>
  </mergeCells>
  <printOptions horizontalCentered="1"/>
  <pageMargins left="0.1968503937007874" right="0.1968503937007874" top="0.9448818897637796" bottom="0.1968503937007874" header="0" footer="0"/>
  <pageSetup fitToHeight="25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2021-11-05T10:42:59Z</cp:lastPrinted>
  <dcterms:created xsi:type="dcterms:W3CDTF">2014-04-22T08:24:49Z</dcterms:created>
  <dcterms:modified xsi:type="dcterms:W3CDTF">2021-11-05T15:11:45Z</dcterms:modified>
  <cp:category/>
  <cp:version/>
  <cp:contentType/>
  <cp:contentStatus/>
</cp:coreProperties>
</file>