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ЗВІТ\І півріччя\СМР\"/>
    </mc:Choice>
  </mc:AlternateContent>
  <bookViews>
    <workbookView xWindow="0" yWindow="0" windowWidth="20490" windowHeight="7410" tabRatio="495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5'!$15:$18</definedName>
    <definedName name="_xlnm.Print_Area" localSheetId="0">'дод 2'!$A$1:$AA$307</definedName>
    <definedName name="_xlnm.Print_Area" localSheetId="1">'дод 5'!$A$1:$Z$241</definedName>
  </definedNames>
  <calcPr calcId="162913"/>
</workbook>
</file>

<file path=xl/calcChain.xml><?xml version="1.0" encoding="utf-8"?>
<calcChain xmlns="http://schemas.openxmlformats.org/spreadsheetml/2006/main">
  <c r="P116" i="3" l="1"/>
  <c r="Y30" i="3" l="1"/>
  <c r="Y32" i="3"/>
  <c r="Y36" i="3"/>
  <c r="Y38" i="3"/>
  <c r="Y39" i="3"/>
  <c r="Y40" i="3"/>
  <c r="Y41" i="3"/>
  <c r="Y42" i="3"/>
  <c r="Y43" i="3"/>
  <c r="L30" i="3"/>
  <c r="L32" i="3"/>
  <c r="L36" i="3"/>
  <c r="L38" i="3"/>
  <c r="L39" i="3"/>
  <c r="L40" i="3"/>
  <c r="L41" i="3"/>
  <c r="L42" i="3"/>
  <c r="L43" i="3"/>
  <c r="M65" i="1"/>
  <c r="M73" i="1"/>
  <c r="M74" i="1"/>
  <c r="G240" i="1"/>
  <c r="G239" i="1" s="1"/>
  <c r="H240" i="1"/>
  <c r="H239" i="1" s="1"/>
  <c r="I240" i="1"/>
  <c r="I239" i="1" s="1"/>
  <c r="J240" i="1"/>
  <c r="J239" i="1" s="1"/>
  <c r="K240" i="1"/>
  <c r="K239" i="1" s="1"/>
  <c r="L240" i="1"/>
  <c r="L239" i="1" s="1"/>
  <c r="P240" i="1"/>
  <c r="P239" i="1" s="1"/>
  <c r="Q240" i="1"/>
  <c r="Q239" i="1" s="1"/>
  <c r="R240" i="1"/>
  <c r="R239" i="1" s="1"/>
  <c r="U240" i="1"/>
  <c r="U239" i="1" s="1"/>
  <c r="V240" i="1"/>
  <c r="V239" i="1" s="1"/>
  <c r="W240" i="1"/>
  <c r="W239" i="1" s="1"/>
  <c r="X240" i="1"/>
  <c r="X239" i="1" s="1"/>
  <c r="Y240" i="1"/>
  <c r="Y239" i="1" s="1"/>
  <c r="G204" i="1"/>
  <c r="G203" i="1" s="1"/>
  <c r="J204" i="1"/>
  <c r="J203" i="1" s="1"/>
  <c r="K204" i="1"/>
  <c r="K203" i="1" s="1"/>
  <c r="L204" i="1"/>
  <c r="L203" i="1" s="1"/>
  <c r="F205" i="1"/>
  <c r="G205" i="1"/>
  <c r="H205" i="1"/>
  <c r="I205" i="1"/>
  <c r="J205" i="1"/>
  <c r="K205" i="1"/>
  <c r="L205" i="1"/>
  <c r="F206" i="1"/>
  <c r="G206" i="1"/>
  <c r="H206" i="1"/>
  <c r="I206" i="1"/>
  <c r="J206" i="1"/>
  <c r="K206" i="1"/>
  <c r="L206" i="1"/>
  <c r="F207" i="1"/>
  <c r="G207" i="1"/>
  <c r="H207" i="1"/>
  <c r="I207" i="1"/>
  <c r="J207" i="1"/>
  <c r="K207" i="1"/>
  <c r="L207" i="1"/>
  <c r="F208" i="1"/>
  <c r="G208" i="1"/>
  <c r="H208" i="1"/>
  <c r="I208" i="1"/>
  <c r="J208" i="1"/>
  <c r="K208" i="1"/>
  <c r="L208" i="1"/>
  <c r="F209" i="1"/>
  <c r="G209" i="1"/>
  <c r="H209" i="1"/>
  <c r="I209" i="1"/>
  <c r="J209" i="1"/>
  <c r="K209" i="1"/>
  <c r="L209" i="1"/>
  <c r="G193" i="1"/>
  <c r="G192" i="1" s="1"/>
  <c r="I193" i="1"/>
  <c r="I192" i="1" s="1"/>
  <c r="J193" i="1"/>
  <c r="J192" i="1" s="1"/>
  <c r="K193" i="1"/>
  <c r="K192" i="1" s="1"/>
  <c r="L193" i="1"/>
  <c r="L192" i="1" s="1"/>
  <c r="G185" i="1"/>
  <c r="G184" i="1" s="1"/>
  <c r="H185" i="1"/>
  <c r="H184" i="1" s="1"/>
  <c r="I185" i="1"/>
  <c r="I184" i="1" s="1"/>
  <c r="J185" i="1"/>
  <c r="J184" i="1" s="1"/>
  <c r="K185" i="1"/>
  <c r="K184" i="1" s="1"/>
  <c r="L185" i="1"/>
  <c r="L184" i="1" s="1"/>
  <c r="G148" i="1"/>
  <c r="G147" i="1" s="1"/>
  <c r="I148" i="1"/>
  <c r="I147" i="1" s="1"/>
  <c r="J148" i="1"/>
  <c r="J147" i="1" s="1"/>
  <c r="K148" i="1"/>
  <c r="K147" i="1" s="1"/>
  <c r="L148" i="1"/>
  <c r="L147" i="1" s="1"/>
  <c r="F149" i="1"/>
  <c r="G149" i="1"/>
  <c r="H149" i="1"/>
  <c r="I149" i="1"/>
  <c r="J149" i="1"/>
  <c r="K149" i="1"/>
  <c r="L149" i="1"/>
  <c r="F150" i="1"/>
  <c r="G150" i="1"/>
  <c r="H150" i="1"/>
  <c r="I150" i="1"/>
  <c r="J150" i="1"/>
  <c r="K150" i="1"/>
  <c r="L150" i="1"/>
  <c r="G151" i="1"/>
  <c r="H151" i="1"/>
  <c r="I151" i="1"/>
  <c r="J151" i="1"/>
  <c r="K151" i="1"/>
  <c r="L151" i="1"/>
  <c r="G114" i="1"/>
  <c r="G113" i="1" s="1"/>
  <c r="H114" i="1"/>
  <c r="H113" i="1" s="1"/>
  <c r="I114" i="1"/>
  <c r="I113" i="1" s="1"/>
  <c r="J114" i="1"/>
  <c r="J113" i="1" s="1"/>
  <c r="K114" i="1"/>
  <c r="K113" i="1" s="1"/>
  <c r="L114" i="1"/>
  <c r="L113" i="1" s="1"/>
  <c r="F115" i="1"/>
  <c r="G115" i="1"/>
  <c r="H115" i="1"/>
  <c r="I115" i="1"/>
  <c r="J115" i="1"/>
  <c r="K115" i="1"/>
  <c r="L115" i="1"/>
  <c r="F116" i="1"/>
  <c r="G116" i="1"/>
  <c r="H116" i="1"/>
  <c r="I116" i="1"/>
  <c r="J116" i="1"/>
  <c r="K116" i="1"/>
  <c r="L116" i="1"/>
  <c r="F117" i="1"/>
  <c r="G117" i="1"/>
  <c r="H117" i="1"/>
  <c r="I117" i="1"/>
  <c r="J117" i="1"/>
  <c r="K117" i="1"/>
  <c r="L117" i="1"/>
  <c r="F118" i="1"/>
  <c r="G118" i="1"/>
  <c r="H118" i="1"/>
  <c r="I118" i="1"/>
  <c r="J118" i="1"/>
  <c r="K118" i="1"/>
  <c r="L118" i="1"/>
  <c r="F119" i="1"/>
  <c r="G119" i="1"/>
  <c r="H119" i="1"/>
  <c r="I119" i="1"/>
  <c r="J119" i="1"/>
  <c r="K119" i="1"/>
  <c r="L119" i="1"/>
  <c r="F120" i="1"/>
  <c r="G120" i="1"/>
  <c r="H120" i="1"/>
  <c r="I120" i="1"/>
  <c r="J120" i="1"/>
  <c r="K120" i="1"/>
  <c r="L120" i="1"/>
  <c r="F121" i="1"/>
  <c r="G121" i="1"/>
  <c r="H121" i="1"/>
  <c r="I121" i="1"/>
  <c r="J121" i="1"/>
  <c r="K121" i="1"/>
  <c r="L121" i="1"/>
  <c r="H63" i="1"/>
  <c r="H62" i="1" s="1"/>
  <c r="I63" i="1"/>
  <c r="I62" i="1" s="1"/>
  <c r="J63" i="1"/>
  <c r="J62" i="1" s="1"/>
  <c r="K63" i="1"/>
  <c r="K62" i="1" s="1"/>
  <c r="L63" i="1"/>
  <c r="L62" i="1" s="1"/>
  <c r="F64" i="1"/>
  <c r="G64" i="1"/>
  <c r="H64" i="1"/>
  <c r="I64" i="1"/>
  <c r="J64" i="1"/>
  <c r="K64" i="1"/>
  <c r="L64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G71" i="1"/>
  <c r="H71" i="1"/>
  <c r="I71" i="1"/>
  <c r="J71" i="1"/>
  <c r="K71" i="1"/>
  <c r="L71" i="1"/>
  <c r="F72" i="1"/>
  <c r="G72" i="1"/>
  <c r="H72" i="1"/>
  <c r="I72" i="1"/>
  <c r="J72" i="1"/>
  <c r="K72" i="1"/>
  <c r="L72" i="1"/>
  <c r="I19" i="1"/>
  <c r="I18" i="1" s="1"/>
  <c r="J19" i="1"/>
  <c r="J18" i="1" s="1"/>
  <c r="K19" i="1"/>
  <c r="K18" i="1" s="1"/>
  <c r="L19" i="1"/>
  <c r="L18" i="1" s="1"/>
  <c r="J293" i="1" l="1"/>
  <c r="T245" i="1" l="1"/>
  <c r="T152" i="1"/>
  <c r="T22" i="1"/>
  <c r="E56" i="1"/>
  <c r="M56" i="1" s="1"/>
  <c r="S84" i="1" l="1"/>
  <c r="O84" i="1"/>
  <c r="F84" i="1"/>
  <c r="F21" i="3" l="1"/>
  <c r="H21" i="3"/>
  <c r="I21" i="3"/>
  <c r="J21" i="3"/>
  <c r="K21" i="3"/>
  <c r="O21" i="3"/>
  <c r="P21" i="3"/>
  <c r="Q21" i="3"/>
  <c r="T21" i="3"/>
  <c r="U21" i="3"/>
  <c r="V21" i="3"/>
  <c r="W21" i="3"/>
  <c r="X21" i="3"/>
  <c r="E22" i="3"/>
  <c r="F22" i="3"/>
  <c r="G22" i="3"/>
  <c r="H22" i="3"/>
  <c r="I22" i="3"/>
  <c r="J22" i="3"/>
  <c r="K22" i="3"/>
  <c r="N22" i="3"/>
  <c r="O22" i="3"/>
  <c r="P22" i="3"/>
  <c r="Q22" i="3"/>
  <c r="R22" i="3"/>
  <c r="T22" i="3"/>
  <c r="U22" i="3"/>
  <c r="V22" i="3"/>
  <c r="W22" i="3"/>
  <c r="X22" i="3"/>
  <c r="E23" i="3"/>
  <c r="F23" i="3"/>
  <c r="G23" i="3"/>
  <c r="H23" i="3"/>
  <c r="I23" i="3"/>
  <c r="J23" i="3"/>
  <c r="K23" i="3"/>
  <c r="N23" i="3"/>
  <c r="O23" i="3"/>
  <c r="P23" i="3"/>
  <c r="Q23" i="3"/>
  <c r="R23" i="3"/>
  <c r="T23" i="3"/>
  <c r="U23" i="3"/>
  <c r="V23" i="3"/>
  <c r="W23" i="3"/>
  <c r="X23" i="3"/>
  <c r="E24" i="3"/>
  <c r="F24" i="3"/>
  <c r="G24" i="3"/>
  <c r="H24" i="3"/>
  <c r="I24" i="3"/>
  <c r="J24" i="3"/>
  <c r="K24" i="3"/>
  <c r="N24" i="3"/>
  <c r="O24" i="3"/>
  <c r="P24" i="3"/>
  <c r="Q24" i="3"/>
  <c r="R24" i="3"/>
  <c r="T24" i="3"/>
  <c r="U24" i="3"/>
  <c r="V24" i="3"/>
  <c r="W24" i="3"/>
  <c r="X24" i="3"/>
  <c r="E25" i="3"/>
  <c r="E20" i="3" s="1"/>
  <c r="F25" i="3"/>
  <c r="F20" i="3" s="1"/>
  <c r="G25" i="3"/>
  <c r="G20" i="3" s="1"/>
  <c r="H25" i="3"/>
  <c r="H20" i="3" s="1"/>
  <c r="I25" i="3"/>
  <c r="J25" i="3"/>
  <c r="J20" i="3" s="1"/>
  <c r="K25" i="3"/>
  <c r="K20" i="3" s="1"/>
  <c r="N25" i="3"/>
  <c r="N20" i="3" s="1"/>
  <c r="O25" i="3"/>
  <c r="O20" i="3" s="1"/>
  <c r="P25" i="3"/>
  <c r="P20" i="3" s="1"/>
  <c r="Q25" i="3"/>
  <c r="Q20" i="3" s="1"/>
  <c r="R25" i="3"/>
  <c r="R20" i="3" s="1"/>
  <c r="T25" i="3"/>
  <c r="T20" i="3" s="1"/>
  <c r="U25" i="3"/>
  <c r="U20" i="3" s="1"/>
  <c r="V25" i="3"/>
  <c r="V20" i="3" s="1"/>
  <c r="W25" i="3"/>
  <c r="W20" i="3" s="1"/>
  <c r="X25" i="3"/>
  <c r="X20" i="3" s="1"/>
  <c r="F35" i="3"/>
  <c r="G35" i="3"/>
  <c r="H35" i="3"/>
  <c r="I35" i="3"/>
  <c r="J35" i="3"/>
  <c r="K35" i="3"/>
  <c r="O35" i="3"/>
  <c r="P35" i="3"/>
  <c r="Q35" i="3"/>
  <c r="S35" i="3"/>
  <c r="T35" i="3"/>
  <c r="U35" i="3"/>
  <c r="V35" i="3"/>
  <c r="W35" i="3"/>
  <c r="X35" i="3"/>
  <c r="G37" i="3"/>
  <c r="H37" i="3"/>
  <c r="I37" i="3"/>
  <c r="J37" i="3"/>
  <c r="K37" i="3"/>
  <c r="O37" i="3"/>
  <c r="P37" i="3"/>
  <c r="Q37" i="3"/>
  <c r="T37" i="3"/>
  <c r="U37" i="3"/>
  <c r="V37" i="3"/>
  <c r="W37" i="3"/>
  <c r="X37" i="3"/>
  <c r="F44" i="3"/>
  <c r="G44" i="3"/>
  <c r="H44" i="3"/>
  <c r="I44" i="3"/>
  <c r="J44" i="3"/>
  <c r="K44" i="3"/>
  <c r="O44" i="3"/>
  <c r="P44" i="3"/>
  <c r="Q44" i="3"/>
  <c r="T44" i="3"/>
  <c r="U44" i="3"/>
  <c r="V44" i="3"/>
  <c r="W44" i="3"/>
  <c r="X44" i="3"/>
  <c r="E45" i="3"/>
  <c r="F45" i="3"/>
  <c r="G45" i="3"/>
  <c r="H45" i="3"/>
  <c r="I45" i="3"/>
  <c r="J45" i="3"/>
  <c r="K45" i="3"/>
  <c r="M45" i="3"/>
  <c r="N45" i="3"/>
  <c r="O45" i="3"/>
  <c r="P45" i="3"/>
  <c r="Q45" i="3"/>
  <c r="R45" i="3"/>
  <c r="S45" i="3"/>
  <c r="Y45" i="3" s="1"/>
  <c r="T45" i="3"/>
  <c r="U45" i="3"/>
  <c r="V45" i="3"/>
  <c r="W45" i="3"/>
  <c r="X45" i="3"/>
  <c r="Z45" i="3"/>
  <c r="AA45" i="3"/>
  <c r="E46" i="3"/>
  <c r="F46" i="3"/>
  <c r="G46" i="3"/>
  <c r="H46" i="3"/>
  <c r="I46" i="3"/>
  <c r="J46" i="3"/>
  <c r="K46" i="3"/>
  <c r="N46" i="3"/>
  <c r="O46" i="3"/>
  <c r="P46" i="3"/>
  <c r="Q46" i="3"/>
  <c r="R46" i="3"/>
  <c r="T46" i="3"/>
  <c r="U46" i="3"/>
  <c r="V46" i="3"/>
  <c r="W46" i="3"/>
  <c r="X46" i="3"/>
  <c r="E47" i="3"/>
  <c r="F47" i="3"/>
  <c r="G47" i="3"/>
  <c r="H47" i="3"/>
  <c r="I47" i="3"/>
  <c r="J47" i="3"/>
  <c r="K47" i="3"/>
  <c r="N47" i="3"/>
  <c r="O47" i="3"/>
  <c r="P47" i="3"/>
  <c r="Q47" i="3"/>
  <c r="R47" i="3"/>
  <c r="S47" i="3"/>
  <c r="T47" i="3"/>
  <c r="U47" i="3"/>
  <c r="V47" i="3"/>
  <c r="W47" i="3"/>
  <c r="X47" i="3"/>
  <c r="E48" i="3"/>
  <c r="F48" i="3"/>
  <c r="G48" i="3"/>
  <c r="H48" i="3"/>
  <c r="I48" i="3"/>
  <c r="J48" i="3"/>
  <c r="K48" i="3"/>
  <c r="N48" i="3"/>
  <c r="O48" i="3"/>
  <c r="P48" i="3"/>
  <c r="Q48" i="3"/>
  <c r="R48" i="3"/>
  <c r="T48" i="3"/>
  <c r="U48" i="3"/>
  <c r="V48" i="3"/>
  <c r="W48" i="3"/>
  <c r="X48" i="3"/>
  <c r="E49" i="3"/>
  <c r="F49" i="3"/>
  <c r="G49" i="3"/>
  <c r="H49" i="3"/>
  <c r="I49" i="3"/>
  <c r="J49" i="3"/>
  <c r="K49" i="3"/>
  <c r="N49" i="3"/>
  <c r="O49" i="3"/>
  <c r="P49" i="3"/>
  <c r="Q49" i="3"/>
  <c r="R49" i="3"/>
  <c r="S49" i="3"/>
  <c r="T49" i="3"/>
  <c r="U49" i="3"/>
  <c r="V49" i="3"/>
  <c r="W49" i="3"/>
  <c r="X49" i="3"/>
  <c r="E50" i="3"/>
  <c r="F50" i="3"/>
  <c r="G50" i="3"/>
  <c r="H50" i="3"/>
  <c r="I50" i="3"/>
  <c r="J50" i="3"/>
  <c r="K50" i="3"/>
  <c r="N50" i="3"/>
  <c r="O50" i="3"/>
  <c r="P50" i="3"/>
  <c r="Q50" i="3"/>
  <c r="R50" i="3"/>
  <c r="T50" i="3"/>
  <c r="U50" i="3"/>
  <c r="V50" i="3"/>
  <c r="W50" i="3"/>
  <c r="X50" i="3"/>
  <c r="E51" i="3"/>
  <c r="F51" i="3"/>
  <c r="G51" i="3"/>
  <c r="H51" i="3"/>
  <c r="I51" i="3"/>
  <c r="J51" i="3"/>
  <c r="K51" i="3"/>
  <c r="N51" i="3"/>
  <c r="O51" i="3"/>
  <c r="P51" i="3"/>
  <c r="Q51" i="3"/>
  <c r="R51" i="3"/>
  <c r="T51" i="3"/>
  <c r="U51" i="3"/>
  <c r="V51" i="3"/>
  <c r="W51" i="3"/>
  <c r="X51" i="3"/>
  <c r="E52" i="3"/>
  <c r="E28" i="3" s="1"/>
  <c r="F52" i="3"/>
  <c r="F28" i="3" s="1"/>
  <c r="G52" i="3"/>
  <c r="G28" i="3" s="1"/>
  <c r="H52" i="3"/>
  <c r="H28" i="3" s="1"/>
  <c r="I52" i="3"/>
  <c r="J52" i="3"/>
  <c r="J28" i="3" s="1"/>
  <c r="K52" i="3"/>
  <c r="K28" i="3" s="1"/>
  <c r="N52" i="3"/>
  <c r="N28" i="3" s="1"/>
  <c r="O52" i="3"/>
  <c r="O28" i="3" s="1"/>
  <c r="P52" i="3"/>
  <c r="P28" i="3" s="1"/>
  <c r="Q52" i="3"/>
  <c r="Q28" i="3" s="1"/>
  <c r="R52" i="3"/>
  <c r="R28" i="3" s="1"/>
  <c r="T52" i="3"/>
  <c r="T28" i="3" s="1"/>
  <c r="U52" i="3"/>
  <c r="U28" i="3" s="1"/>
  <c r="V52" i="3"/>
  <c r="V28" i="3" s="1"/>
  <c r="W52" i="3"/>
  <c r="W28" i="3" s="1"/>
  <c r="X52" i="3"/>
  <c r="X28" i="3" s="1"/>
  <c r="F53" i="3"/>
  <c r="G53" i="3"/>
  <c r="H53" i="3"/>
  <c r="I53" i="3"/>
  <c r="J53" i="3"/>
  <c r="K53" i="3"/>
  <c r="O53" i="3"/>
  <c r="P53" i="3"/>
  <c r="Q53" i="3"/>
  <c r="S53" i="3"/>
  <c r="T53" i="3"/>
  <c r="U53" i="3"/>
  <c r="V53" i="3"/>
  <c r="W53" i="3"/>
  <c r="X53" i="3"/>
  <c r="E54" i="3"/>
  <c r="F54" i="3"/>
  <c r="G54" i="3"/>
  <c r="H54" i="3"/>
  <c r="I54" i="3"/>
  <c r="J54" i="3"/>
  <c r="K54" i="3"/>
  <c r="N54" i="3"/>
  <c r="O54" i="3"/>
  <c r="P54" i="3"/>
  <c r="Q54" i="3"/>
  <c r="R54" i="3"/>
  <c r="T54" i="3"/>
  <c r="U54" i="3"/>
  <c r="V54" i="3"/>
  <c r="W54" i="3"/>
  <c r="X54" i="3"/>
  <c r="E55" i="3"/>
  <c r="F55" i="3"/>
  <c r="G55" i="3"/>
  <c r="H55" i="3"/>
  <c r="I55" i="3"/>
  <c r="J55" i="3"/>
  <c r="K55" i="3"/>
  <c r="N55" i="3"/>
  <c r="O55" i="3"/>
  <c r="P55" i="3"/>
  <c r="Q55" i="3"/>
  <c r="R55" i="3"/>
  <c r="S55" i="3"/>
  <c r="T55" i="3"/>
  <c r="U55" i="3"/>
  <c r="V55" i="3"/>
  <c r="W55" i="3"/>
  <c r="X55" i="3"/>
  <c r="F56" i="3"/>
  <c r="G56" i="3"/>
  <c r="H56" i="3"/>
  <c r="I56" i="3"/>
  <c r="J56" i="3"/>
  <c r="K56" i="3"/>
  <c r="N56" i="3"/>
  <c r="O56" i="3"/>
  <c r="P56" i="3"/>
  <c r="Q56" i="3"/>
  <c r="R56" i="3"/>
  <c r="T56" i="3"/>
  <c r="U56" i="3"/>
  <c r="V56" i="3"/>
  <c r="W56" i="3"/>
  <c r="X56" i="3"/>
  <c r="F57" i="3"/>
  <c r="H57" i="3"/>
  <c r="I57" i="3"/>
  <c r="J57" i="3"/>
  <c r="K57" i="3"/>
  <c r="N57" i="3"/>
  <c r="O57" i="3"/>
  <c r="P57" i="3"/>
  <c r="Q57" i="3"/>
  <c r="R57" i="3"/>
  <c r="T57" i="3"/>
  <c r="U57" i="3"/>
  <c r="V57" i="3"/>
  <c r="W57" i="3"/>
  <c r="X57" i="3"/>
  <c r="F58" i="3"/>
  <c r="G58" i="3"/>
  <c r="H58" i="3"/>
  <c r="I58" i="3"/>
  <c r="J58" i="3"/>
  <c r="K58" i="3"/>
  <c r="O58" i="3"/>
  <c r="P58" i="3"/>
  <c r="Q58" i="3"/>
  <c r="T58" i="3"/>
  <c r="U58" i="3"/>
  <c r="V58" i="3"/>
  <c r="W58" i="3"/>
  <c r="X58" i="3"/>
  <c r="E59" i="3"/>
  <c r="F59" i="3"/>
  <c r="G59" i="3"/>
  <c r="H59" i="3"/>
  <c r="I59" i="3"/>
  <c r="J59" i="3"/>
  <c r="K59" i="3"/>
  <c r="N59" i="3"/>
  <c r="O59" i="3"/>
  <c r="P59" i="3"/>
  <c r="Q59" i="3"/>
  <c r="R59" i="3"/>
  <c r="T59" i="3"/>
  <c r="U59" i="3"/>
  <c r="V59" i="3"/>
  <c r="W59" i="3"/>
  <c r="X59" i="3"/>
  <c r="E60" i="3"/>
  <c r="F60" i="3"/>
  <c r="G60" i="3"/>
  <c r="H60" i="3"/>
  <c r="I60" i="3"/>
  <c r="J60" i="3"/>
  <c r="K60" i="3"/>
  <c r="N60" i="3"/>
  <c r="O60" i="3"/>
  <c r="P60" i="3"/>
  <c r="Q60" i="3"/>
  <c r="R60" i="3"/>
  <c r="S60" i="3"/>
  <c r="T60" i="3"/>
  <c r="U60" i="3"/>
  <c r="V60" i="3"/>
  <c r="W60" i="3"/>
  <c r="X60" i="3"/>
  <c r="E61" i="3"/>
  <c r="F61" i="3"/>
  <c r="G61" i="3"/>
  <c r="H61" i="3"/>
  <c r="I61" i="3"/>
  <c r="J61" i="3"/>
  <c r="K61" i="3"/>
  <c r="N61" i="3"/>
  <c r="O61" i="3"/>
  <c r="P61" i="3"/>
  <c r="Q61" i="3"/>
  <c r="R61" i="3"/>
  <c r="T61" i="3"/>
  <c r="U61" i="3"/>
  <c r="V61" i="3"/>
  <c r="W61" i="3"/>
  <c r="X61" i="3"/>
  <c r="E62" i="3"/>
  <c r="F62" i="3"/>
  <c r="G62" i="3"/>
  <c r="H62" i="3"/>
  <c r="I62" i="3"/>
  <c r="J62" i="3"/>
  <c r="K62" i="3"/>
  <c r="N62" i="3"/>
  <c r="O62" i="3"/>
  <c r="P62" i="3"/>
  <c r="Q62" i="3"/>
  <c r="R62" i="3"/>
  <c r="T62" i="3"/>
  <c r="U62" i="3"/>
  <c r="V62" i="3"/>
  <c r="W62" i="3"/>
  <c r="X62" i="3"/>
  <c r="F63" i="3"/>
  <c r="G63" i="3"/>
  <c r="H63" i="3"/>
  <c r="I63" i="3"/>
  <c r="J63" i="3"/>
  <c r="K63" i="3"/>
  <c r="N63" i="3"/>
  <c r="O63" i="3"/>
  <c r="P63" i="3"/>
  <c r="Q63" i="3"/>
  <c r="R63" i="3"/>
  <c r="T63" i="3"/>
  <c r="U63" i="3"/>
  <c r="V63" i="3"/>
  <c r="W63" i="3"/>
  <c r="X63" i="3"/>
  <c r="F64" i="3"/>
  <c r="G64" i="3"/>
  <c r="H64" i="3"/>
  <c r="I64" i="3"/>
  <c r="J64" i="3"/>
  <c r="K64" i="3"/>
  <c r="O64" i="3"/>
  <c r="P64" i="3"/>
  <c r="Q64" i="3"/>
  <c r="S64" i="3"/>
  <c r="T64" i="3"/>
  <c r="U64" i="3"/>
  <c r="V64" i="3"/>
  <c r="W64" i="3"/>
  <c r="X64" i="3"/>
  <c r="F65" i="3"/>
  <c r="F31" i="3" s="1"/>
  <c r="G65" i="3"/>
  <c r="G31" i="3" s="1"/>
  <c r="H65" i="3"/>
  <c r="H31" i="3" s="1"/>
  <c r="I65" i="3"/>
  <c r="J65" i="3"/>
  <c r="J31" i="3" s="1"/>
  <c r="K65" i="3"/>
  <c r="K31" i="3" s="1"/>
  <c r="O65" i="3"/>
  <c r="O31" i="3" s="1"/>
  <c r="P65" i="3"/>
  <c r="P31" i="3" s="1"/>
  <c r="Q65" i="3"/>
  <c r="Q31" i="3" s="1"/>
  <c r="T65" i="3"/>
  <c r="T31" i="3" s="1"/>
  <c r="U65" i="3"/>
  <c r="U31" i="3" s="1"/>
  <c r="V65" i="3"/>
  <c r="V31" i="3" s="1"/>
  <c r="W65" i="3"/>
  <c r="W31" i="3" s="1"/>
  <c r="X65" i="3"/>
  <c r="X31" i="3" s="1"/>
  <c r="E66" i="3"/>
  <c r="F66" i="3"/>
  <c r="G66" i="3"/>
  <c r="H66" i="3"/>
  <c r="I66" i="3"/>
  <c r="J66" i="3"/>
  <c r="K66" i="3"/>
  <c r="N66" i="3"/>
  <c r="O66" i="3"/>
  <c r="P66" i="3"/>
  <c r="Q66" i="3"/>
  <c r="R66" i="3"/>
  <c r="T66" i="3"/>
  <c r="U66" i="3"/>
  <c r="V66" i="3"/>
  <c r="W66" i="3"/>
  <c r="X66" i="3"/>
  <c r="E67" i="3"/>
  <c r="E33" i="3" s="1"/>
  <c r="F67" i="3"/>
  <c r="F33" i="3" s="1"/>
  <c r="G67" i="3"/>
  <c r="G33" i="3" s="1"/>
  <c r="H67" i="3"/>
  <c r="H33" i="3" s="1"/>
  <c r="I67" i="3"/>
  <c r="J67" i="3"/>
  <c r="J33" i="3" s="1"/>
  <c r="K67" i="3"/>
  <c r="K33" i="3" s="1"/>
  <c r="N67" i="3"/>
  <c r="N33" i="3" s="1"/>
  <c r="O67" i="3"/>
  <c r="O33" i="3" s="1"/>
  <c r="P67" i="3"/>
  <c r="P33" i="3" s="1"/>
  <c r="Q67" i="3"/>
  <c r="Q33" i="3" s="1"/>
  <c r="R67" i="3"/>
  <c r="R33" i="3" s="1"/>
  <c r="T67" i="3"/>
  <c r="T33" i="3" s="1"/>
  <c r="U67" i="3"/>
  <c r="U33" i="3" s="1"/>
  <c r="V67" i="3"/>
  <c r="V33" i="3" s="1"/>
  <c r="W67" i="3"/>
  <c r="W33" i="3" s="1"/>
  <c r="X67" i="3"/>
  <c r="X33" i="3" s="1"/>
  <c r="E73" i="3"/>
  <c r="F73" i="3"/>
  <c r="G73" i="3"/>
  <c r="H73" i="3"/>
  <c r="I73" i="3"/>
  <c r="J73" i="3"/>
  <c r="K73" i="3"/>
  <c r="N73" i="3"/>
  <c r="O73" i="3"/>
  <c r="P73" i="3"/>
  <c r="Q73" i="3"/>
  <c r="R73" i="3"/>
  <c r="T73" i="3"/>
  <c r="U73" i="3"/>
  <c r="V73" i="3"/>
  <c r="W73" i="3"/>
  <c r="X73" i="3"/>
  <c r="E74" i="3"/>
  <c r="F74" i="3"/>
  <c r="G74" i="3"/>
  <c r="H74" i="3"/>
  <c r="I74" i="3"/>
  <c r="J74" i="3"/>
  <c r="K74" i="3"/>
  <c r="N74" i="3"/>
  <c r="O74" i="3"/>
  <c r="P74" i="3"/>
  <c r="Q74" i="3"/>
  <c r="R74" i="3"/>
  <c r="T74" i="3"/>
  <c r="U74" i="3"/>
  <c r="V74" i="3"/>
  <c r="W74" i="3"/>
  <c r="X74" i="3"/>
  <c r="E75" i="3"/>
  <c r="F75" i="3"/>
  <c r="G75" i="3"/>
  <c r="H75" i="3"/>
  <c r="I75" i="3"/>
  <c r="J75" i="3"/>
  <c r="K75" i="3"/>
  <c r="N75" i="3"/>
  <c r="O75" i="3"/>
  <c r="P75" i="3"/>
  <c r="Q75" i="3"/>
  <c r="R75" i="3"/>
  <c r="S75" i="3"/>
  <c r="T75" i="3"/>
  <c r="U75" i="3"/>
  <c r="V75" i="3"/>
  <c r="W75" i="3"/>
  <c r="X75" i="3"/>
  <c r="E76" i="3"/>
  <c r="E72" i="3" s="1"/>
  <c r="F76" i="3"/>
  <c r="F72" i="3" s="1"/>
  <c r="G76" i="3"/>
  <c r="G72" i="3" s="1"/>
  <c r="H76" i="3"/>
  <c r="H72" i="3" s="1"/>
  <c r="I76" i="3"/>
  <c r="J76" i="3"/>
  <c r="J72" i="3" s="1"/>
  <c r="K76" i="3"/>
  <c r="K72" i="3" s="1"/>
  <c r="N76" i="3"/>
  <c r="N72" i="3" s="1"/>
  <c r="O76" i="3"/>
  <c r="O72" i="3" s="1"/>
  <c r="P76" i="3"/>
  <c r="P72" i="3" s="1"/>
  <c r="Q76" i="3"/>
  <c r="Q72" i="3" s="1"/>
  <c r="R76" i="3"/>
  <c r="R72" i="3" s="1"/>
  <c r="T76" i="3"/>
  <c r="T72" i="3" s="1"/>
  <c r="U76" i="3"/>
  <c r="U72" i="3" s="1"/>
  <c r="V76" i="3"/>
  <c r="V72" i="3" s="1"/>
  <c r="W76" i="3"/>
  <c r="W72" i="3" s="1"/>
  <c r="X76" i="3"/>
  <c r="X72" i="3" s="1"/>
  <c r="E77" i="3"/>
  <c r="F77" i="3"/>
  <c r="G77" i="3"/>
  <c r="H77" i="3"/>
  <c r="I77" i="3"/>
  <c r="J77" i="3"/>
  <c r="K77" i="3"/>
  <c r="N77" i="3"/>
  <c r="O77" i="3"/>
  <c r="P77" i="3"/>
  <c r="Q77" i="3"/>
  <c r="R77" i="3"/>
  <c r="S77" i="3"/>
  <c r="T77" i="3"/>
  <c r="U77" i="3"/>
  <c r="V77" i="3"/>
  <c r="W77" i="3"/>
  <c r="X77" i="3"/>
  <c r="E78" i="3"/>
  <c r="F78" i="3"/>
  <c r="G78" i="3"/>
  <c r="H78" i="3"/>
  <c r="I78" i="3"/>
  <c r="J78" i="3"/>
  <c r="K78" i="3"/>
  <c r="N78" i="3"/>
  <c r="O78" i="3"/>
  <c r="P78" i="3"/>
  <c r="Q78" i="3"/>
  <c r="R78" i="3"/>
  <c r="T78" i="3"/>
  <c r="U78" i="3"/>
  <c r="V78" i="3"/>
  <c r="W78" i="3"/>
  <c r="X78" i="3"/>
  <c r="E79" i="3"/>
  <c r="F79" i="3"/>
  <c r="G79" i="3"/>
  <c r="H79" i="3"/>
  <c r="I79" i="3"/>
  <c r="J79" i="3"/>
  <c r="K79" i="3"/>
  <c r="M79" i="3"/>
  <c r="N79" i="3"/>
  <c r="O79" i="3"/>
  <c r="P79" i="3"/>
  <c r="Q79" i="3"/>
  <c r="R79" i="3"/>
  <c r="S79" i="3"/>
  <c r="Y79" i="3" s="1"/>
  <c r="T79" i="3"/>
  <c r="U79" i="3"/>
  <c r="V79" i="3"/>
  <c r="W79" i="3"/>
  <c r="X79" i="3"/>
  <c r="E80" i="3"/>
  <c r="F80" i="3"/>
  <c r="G80" i="3"/>
  <c r="H80" i="3"/>
  <c r="I80" i="3"/>
  <c r="J80" i="3"/>
  <c r="K80" i="3"/>
  <c r="N80" i="3"/>
  <c r="O80" i="3"/>
  <c r="P80" i="3"/>
  <c r="Q80" i="3"/>
  <c r="R80" i="3"/>
  <c r="T80" i="3"/>
  <c r="U80" i="3"/>
  <c r="V80" i="3"/>
  <c r="W80" i="3"/>
  <c r="X80" i="3"/>
  <c r="E81" i="3"/>
  <c r="F81" i="3"/>
  <c r="G81" i="3"/>
  <c r="H81" i="3"/>
  <c r="I81" i="3"/>
  <c r="J81" i="3"/>
  <c r="K81" i="3"/>
  <c r="N81" i="3"/>
  <c r="O81" i="3"/>
  <c r="P81" i="3"/>
  <c r="Q81" i="3"/>
  <c r="R81" i="3"/>
  <c r="T81" i="3"/>
  <c r="U81" i="3"/>
  <c r="V81" i="3"/>
  <c r="W81" i="3"/>
  <c r="X81" i="3"/>
  <c r="E82" i="3"/>
  <c r="F82" i="3"/>
  <c r="G82" i="3"/>
  <c r="H82" i="3"/>
  <c r="I82" i="3"/>
  <c r="J82" i="3"/>
  <c r="K82" i="3"/>
  <c r="N82" i="3"/>
  <c r="O82" i="3"/>
  <c r="P82" i="3"/>
  <c r="Q82" i="3"/>
  <c r="R82" i="3"/>
  <c r="T82" i="3"/>
  <c r="U82" i="3"/>
  <c r="V82" i="3"/>
  <c r="W82" i="3"/>
  <c r="X82" i="3"/>
  <c r="E83" i="3"/>
  <c r="F83" i="3"/>
  <c r="G83" i="3"/>
  <c r="H83" i="3"/>
  <c r="I83" i="3"/>
  <c r="J83" i="3"/>
  <c r="K83" i="3"/>
  <c r="N83" i="3"/>
  <c r="O83" i="3"/>
  <c r="P83" i="3"/>
  <c r="Q83" i="3"/>
  <c r="R83" i="3"/>
  <c r="S83" i="3"/>
  <c r="T83" i="3"/>
  <c r="U83" i="3"/>
  <c r="V83" i="3"/>
  <c r="W83" i="3"/>
  <c r="X83" i="3"/>
  <c r="E84" i="3"/>
  <c r="F84" i="3"/>
  <c r="G84" i="3"/>
  <c r="H84" i="3"/>
  <c r="I84" i="3"/>
  <c r="J84" i="3"/>
  <c r="K84" i="3"/>
  <c r="N84" i="3"/>
  <c r="O84" i="3"/>
  <c r="P84" i="3"/>
  <c r="Q84" i="3"/>
  <c r="R84" i="3"/>
  <c r="T84" i="3"/>
  <c r="U84" i="3"/>
  <c r="V84" i="3"/>
  <c r="W84" i="3"/>
  <c r="X84" i="3"/>
  <c r="E85" i="3"/>
  <c r="F85" i="3"/>
  <c r="G85" i="3"/>
  <c r="H85" i="3"/>
  <c r="I85" i="3"/>
  <c r="J85" i="3"/>
  <c r="K85" i="3"/>
  <c r="N85" i="3"/>
  <c r="O85" i="3"/>
  <c r="P85" i="3"/>
  <c r="Q85" i="3"/>
  <c r="R85" i="3"/>
  <c r="T85" i="3"/>
  <c r="U85" i="3"/>
  <c r="V85" i="3"/>
  <c r="W85" i="3"/>
  <c r="X85" i="3"/>
  <c r="E86" i="3"/>
  <c r="F86" i="3"/>
  <c r="G86" i="3"/>
  <c r="H86" i="3"/>
  <c r="I86" i="3"/>
  <c r="J86" i="3"/>
  <c r="K86" i="3"/>
  <c r="N86" i="3"/>
  <c r="N71" i="3" s="1"/>
  <c r="O86" i="3"/>
  <c r="P86" i="3"/>
  <c r="Q86" i="3"/>
  <c r="R86" i="3"/>
  <c r="T86" i="3"/>
  <c r="U86" i="3"/>
  <c r="V86" i="3"/>
  <c r="W86" i="3"/>
  <c r="X86" i="3"/>
  <c r="E87" i="3"/>
  <c r="F87" i="3"/>
  <c r="G87" i="3"/>
  <c r="H87" i="3"/>
  <c r="I87" i="3"/>
  <c r="J87" i="3"/>
  <c r="K87" i="3"/>
  <c r="N87" i="3"/>
  <c r="O87" i="3"/>
  <c r="P87" i="3"/>
  <c r="Q87" i="3"/>
  <c r="R87" i="3"/>
  <c r="T87" i="3"/>
  <c r="U87" i="3"/>
  <c r="V87" i="3"/>
  <c r="W87" i="3"/>
  <c r="X87" i="3"/>
  <c r="E88" i="3"/>
  <c r="F88" i="3"/>
  <c r="G88" i="3"/>
  <c r="H88" i="3"/>
  <c r="I88" i="3"/>
  <c r="J88" i="3"/>
  <c r="K88" i="3"/>
  <c r="O88" i="3"/>
  <c r="P88" i="3"/>
  <c r="Q88" i="3"/>
  <c r="T88" i="3"/>
  <c r="U88" i="3"/>
  <c r="V88" i="3"/>
  <c r="W88" i="3"/>
  <c r="X88" i="3"/>
  <c r="E93" i="3"/>
  <c r="F93" i="3"/>
  <c r="G93" i="3"/>
  <c r="H93" i="3"/>
  <c r="I93" i="3"/>
  <c r="J93" i="3"/>
  <c r="K93" i="3"/>
  <c r="N93" i="3"/>
  <c r="O93" i="3"/>
  <c r="P93" i="3"/>
  <c r="Q93" i="3"/>
  <c r="R93" i="3"/>
  <c r="T93" i="3"/>
  <c r="U93" i="3"/>
  <c r="V93" i="3"/>
  <c r="W93" i="3"/>
  <c r="X93" i="3"/>
  <c r="F94" i="3"/>
  <c r="G94" i="3"/>
  <c r="H94" i="3"/>
  <c r="I94" i="3"/>
  <c r="J94" i="3"/>
  <c r="K94" i="3"/>
  <c r="N94" i="3"/>
  <c r="O94" i="3"/>
  <c r="P94" i="3"/>
  <c r="Q94" i="3"/>
  <c r="R94" i="3"/>
  <c r="T94" i="3"/>
  <c r="U94" i="3"/>
  <c r="V94" i="3"/>
  <c r="W94" i="3"/>
  <c r="X94" i="3"/>
  <c r="F95" i="3"/>
  <c r="G95" i="3"/>
  <c r="H95" i="3"/>
  <c r="I95" i="3"/>
  <c r="J95" i="3"/>
  <c r="K95" i="3"/>
  <c r="N95" i="3"/>
  <c r="O95" i="3"/>
  <c r="P95" i="3"/>
  <c r="Q95" i="3"/>
  <c r="R95" i="3"/>
  <c r="T95" i="3"/>
  <c r="U95" i="3"/>
  <c r="V95" i="3"/>
  <c r="W95" i="3"/>
  <c r="X95" i="3"/>
  <c r="F96" i="3"/>
  <c r="G96" i="3"/>
  <c r="H96" i="3"/>
  <c r="I96" i="3"/>
  <c r="J96" i="3"/>
  <c r="K96" i="3"/>
  <c r="N96" i="3"/>
  <c r="O96" i="3"/>
  <c r="P96" i="3"/>
  <c r="Q96" i="3"/>
  <c r="R96" i="3"/>
  <c r="T96" i="3"/>
  <c r="U96" i="3"/>
  <c r="V96" i="3"/>
  <c r="W96" i="3"/>
  <c r="X96" i="3"/>
  <c r="E97" i="3"/>
  <c r="F97" i="3"/>
  <c r="G97" i="3"/>
  <c r="H97" i="3"/>
  <c r="I97" i="3"/>
  <c r="J97" i="3"/>
  <c r="K97" i="3"/>
  <c r="N97" i="3"/>
  <c r="O97" i="3"/>
  <c r="P97" i="3"/>
  <c r="Q97" i="3"/>
  <c r="R97" i="3"/>
  <c r="T97" i="3"/>
  <c r="U97" i="3"/>
  <c r="V97" i="3"/>
  <c r="W97" i="3"/>
  <c r="X97" i="3"/>
  <c r="E98" i="3"/>
  <c r="F98" i="3"/>
  <c r="G98" i="3"/>
  <c r="H98" i="3"/>
  <c r="I98" i="3"/>
  <c r="J98" i="3"/>
  <c r="K98" i="3"/>
  <c r="N98" i="3"/>
  <c r="O98" i="3"/>
  <c r="P98" i="3"/>
  <c r="Q98" i="3"/>
  <c r="R98" i="3"/>
  <c r="T98" i="3"/>
  <c r="U98" i="3"/>
  <c r="V98" i="3"/>
  <c r="W98" i="3"/>
  <c r="X98" i="3"/>
  <c r="E99" i="3"/>
  <c r="F99" i="3"/>
  <c r="G99" i="3"/>
  <c r="H99" i="3"/>
  <c r="I99" i="3"/>
  <c r="J99" i="3"/>
  <c r="K99" i="3"/>
  <c r="N99" i="3"/>
  <c r="O99" i="3"/>
  <c r="P99" i="3"/>
  <c r="Q99" i="3"/>
  <c r="R99" i="3"/>
  <c r="T99" i="3"/>
  <c r="U99" i="3"/>
  <c r="V99" i="3"/>
  <c r="W99" i="3"/>
  <c r="X99" i="3"/>
  <c r="E100" i="3"/>
  <c r="F100" i="3"/>
  <c r="G100" i="3"/>
  <c r="H100" i="3"/>
  <c r="I100" i="3"/>
  <c r="J100" i="3"/>
  <c r="K100" i="3"/>
  <c r="N100" i="3"/>
  <c r="O100" i="3"/>
  <c r="P100" i="3"/>
  <c r="Q100" i="3"/>
  <c r="R100" i="3"/>
  <c r="T100" i="3"/>
  <c r="U100" i="3"/>
  <c r="V100" i="3"/>
  <c r="W100" i="3"/>
  <c r="X100" i="3"/>
  <c r="E101" i="3"/>
  <c r="F101" i="3"/>
  <c r="G101" i="3"/>
  <c r="H101" i="3"/>
  <c r="I101" i="3"/>
  <c r="J101" i="3"/>
  <c r="K101" i="3"/>
  <c r="N101" i="3"/>
  <c r="O101" i="3"/>
  <c r="P101" i="3"/>
  <c r="Q101" i="3"/>
  <c r="R101" i="3"/>
  <c r="T101" i="3"/>
  <c r="U101" i="3"/>
  <c r="V101" i="3"/>
  <c r="W101" i="3"/>
  <c r="X101" i="3"/>
  <c r="E102" i="3"/>
  <c r="F102" i="3"/>
  <c r="G102" i="3"/>
  <c r="H102" i="3"/>
  <c r="I102" i="3"/>
  <c r="J102" i="3"/>
  <c r="K102" i="3"/>
  <c r="N102" i="3"/>
  <c r="O102" i="3"/>
  <c r="P102" i="3"/>
  <c r="Q102" i="3"/>
  <c r="R102" i="3"/>
  <c r="S102" i="3"/>
  <c r="T102" i="3"/>
  <c r="U102" i="3"/>
  <c r="V102" i="3"/>
  <c r="W102" i="3"/>
  <c r="X102" i="3"/>
  <c r="F103" i="3"/>
  <c r="H103" i="3"/>
  <c r="I103" i="3"/>
  <c r="J103" i="3"/>
  <c r="K103" i="3"/>
  <c r="N103" i="3"/>
  <c r="O103" i="3"/>
  <c r="P103" i="3"/>
  <c r="Q103" i="3"/>
  <c r="R103" i="3"/>
  <c r="T103" i="3"/>
  <c r="U103" i="3"/>
  <c r="V103" i="3"/>
  <c r="W103" i="3"/>
  <c r="X103" i="3"/>
  <c r="F104" i="3"/>
  <c r="G104" i="3"/>
  <c r="H104" i="3"/>
  <c r="I104" i="3"/>
  <c r="J104" i="3"/>
  <c r="K104" i="3"/>
  <c r="O104" i="3"/>
  <c r="P104" i="3"/>
  <c r="Q104" i="3"/>
  <c r="T104" i="3"/>
  <c r="U104" i="3"/>
  <c r="V104" i="3"/>
  <c r="W104" i="3"/>
  <c r="X104" i="3"/>
  <c r="E105" i="3"/>
  <c r="F105" i="3"/>
  <c r="G105" i="3"/>
  <c r="H105" i="3"/>
  <c r="I105" i="3"/>
  <c r="J105" i="3"/>
  <c r="K105" i="3"/>
  <c r="N105" i="3"/>
  <c r="O105" i="3"/>
  <c r="P105" i="3"/>
  <c r="Q105" i="3"/>
  <c r="R105" i="3"/>
  <c r="T105" i="3"/>
  <c r="U105" i="3"/>
  <c r="V105" i="3"/>
  <c r="W105" i="3"/>
  <c r="X105" i="3"/>
  <c r="E106" i="3"/>
  <c r="F106" i="3"/>
  <c r="G106" i="3"/>
  <c r="H106" i="3"/>
  <c r="I106" i="3"/>
  <c r="J106" i="3"/>
  <c r="K106" i="3"/>
  <c r="N106" i="3"/>
  <c r="O106" i="3"/>
  <c r="P106" i="3"/>
  <c r="Q106" i="3"/>
  <c r="R106" i="3"/>
  <c r="T106" i="3"/>
  <c r="U106" i="3"/>
  <c r="V106" i="3"/>
  <c r="W106" i="3"/>
  <c r="X106" i="3"/>
  <c r="E107" i="3"/>
  <c r="F107" i="3"/>
  <c r="G107" i="3"/>
  <c r="H107" i="3"/>
  <c r="I107" i="3"/>
  <c r="J107" i="3"/>
  <c r="K107" i="3"/>
  <c r="N107" i="3"/>
  <c r="O107" i="3"/>
  <c r="P107" i="3"/>
  <c r="Q107" i="3"/>
  <c r="R107" i="3"/>
  <c r="T107" i="3"/>
  <c r="U107" i="3"/>
  <c r="V107" i="3"/>
  <c r="W107" i="3"/>
  <c r="X107" i="3"/>
  <c r="E108" i="3"/>
  <c r="F108" i="3"/>
  <c r="G108" i="3"/>
  <c r="H108" i="3"/>
  <c r="I108" i="3"/>
  <c r="J108" i="3"/>
  <c r="K108" i="3"/>
  <c r="N108" i="3"/>
  <c r="O108" i="3"/>
  <c r="P108" i="3"/>
  <c r="Q108" i="3"/>
  <c r="R108" i="3"/>
  <c r="T108" i="3"/>
  <c r="U108" i="3"/>
  <c r="V108" i="3"/>
  <c r="W108" i="3"/>
  <c r="X108" i="3"/>
  <c r="E109" i="3"/>
  <c r="F109" i="3"/>
  <c r="G109" i="3"/>
  <c r="H109" i="3"/>
  <c r="I109" i="3"/>
  <c r="J109" i="3"/>
  <c r="K109" i="3"/>
  <c r="N109" i="3"/>
  <c r="O109" i="3"/>
  <c r="P109" i="3"/>
  <c r="Q109" i="3"/>
  <c r="R109" i="3"/>
  <c r="S109" i="3"/>
  <c r="T109" i="3"/>
  <c r="U109" i="3"/>
  <c r="V109" i="3"/>
  <c r="W109" i="3"/>
  <c r="X109" i="3"/>
  <c r="E110" i="3"/>
  <c r="F110" i="3"/>
  <c r="G110" i="3"/>
  <c r="H110" i="3"/>
  <c r="I110" i="3"/>
  <c r="J110" i="3"/>
  <c r="K110" i="3"/>
  <c r="N110" i="3"/>
  <c r="O110" i="3"/>
  <c r="P110" i="3"/>
  <c r="Q110" i="3"/>
  <c r="R110" i="3"/>
  <c r="T110" i="3"/>
  <c r="U110" i="3"/>
  <c r="V110" i="3"/>
  <c r="W110" i="3"/>
  <c r="X110" i="3"/>
  <c r="E111" i="3"/>
  <c r="F111" i="3"/>
  <c r="G111" i="3"/>
  <c r="H111" i="3"/>
  <c r="I111" i="3"/>
  <c r="J111" i="3"/>
  <c r="K111" i="3"/>
  <c r="N111" i="3"/>
  <c r="O111" i="3"/>
  <c r="P111" i="3"/>
  <c r="Q111" i="3"/>
  <c r="R111" i="3"/>
  <c r="S111" i="3"/>
  <c r="T111" i="3"/>
  <c r="U111" i="3"/>
  <c r="V111" i="3"/>
  <c r="W111" i="3"/>
  <c r="X111" i="3"/>
  <c r="E112" i="3"/>
  <c r="F112" i="3"/>
  <c r="G112" i="3"/>
  <c r="H112" i="3"/>
  <c r="I112" i="3"/>
  <c r="J112" i="3"/>
  <c r="K112" i="3"/>
  <c r="N112" i="3"/>
  <c r="O112" i="3"/>
  <c r="P112" i="3"/>
  <c r="Q112" i="3"/>
  <c r="R112" i="3"/>
  <c r="T112" i="3"/>
  <c r="U112" i="3"/>
  <c r="V112" i="3"/>
  <c r="W112" i="3"/>
  <c r="X112" i="3"/>
  <c r="E113" i="3"/>
  <c r="F113" i="3"/>
  <c r="G113" i="3"/>
  <c r="H113" i="3"/>
  <c r="I113" i="3"/>
  <c r="J113" i="3"/>
  <c r="K113" i="3"/>
  <c r="N113" i="3"/>
  <c r="O113" i="3"/>
  <c r="P113" i="3"/>
  <c r="Q113" i="3"/>
  <c r="R113" i="3"/>
  <c r="T113" i="3"/>
  <c r="U113" i="3"/>
  <c r="V113" i="3"/>
  <c r="W113" i="3"/>
  <c r="X113" i="3"/>
  <c r="E114" i="3"/>
  <c r="F114" i="3"/>
  <c r="G114" i="3"/>
  <c r="H114" i="3"/>
  <c r="I114" i="3"/>
  <c r="J114" i="3"/>
  <c r="K114" i="3"/>
  <c r="N114" i="3"/>
  <c r="O114" i="3"/>
  <c r="P114" i="3"/>
  <c r="Q114" i="3"/>
  <c r="R114" i="3"/>
  <c r="T114" i="3"/>
  <c r="U114" i="3"/>
  <c r="V114" i="3"/>
  <c r="W114" i="3"/>
  <c r="X114" i="3"/>
  <c r="E115" i="3"/>
  <c r="F115" i="3"/>
  <c r="G115" i="3"/>
  <c r="H115" i="3"/>
  <c r="I115" i="3"/>
  <c r="J115" i="3"/>
  <c r="K115" i="3"/>
  <c r="N115" i="3"/>
  <c r="O115" i="3"/>
  <c r="P115" i="3"/>
  <c r="Q115" i="3"/>
  <c r="R115" i="3"/>
  <c r="S115" i="3"/>
  <c r="T115" i="3"/>
  <c r="U115" i="3"/>
  <c r="V115" i="3"/>
  <c r="W115" i="3"/>
  <c r="X115" i="3"/>
  <c r="E116" i="3"/>
  <c r="F116" i="3"/>
  <c r="G116" i="3"/>
  <c r="H116" i="3"/>
  <c r="I116" i="3"/>
  <c r="J116" i="3"/>
  <c r="K116" i="3"/>
  <c r="N116" i="3"/>
  <c r="O116" i="3"/>
  <c r="Q116" i="3"/>
  <c r="R116" i="3"/>
  <c r="T116" i="3"/>
  <c r="U116" i="3"/>
  <c r="V116" i="3"/>
  <c r="W116" i="3"/>
  <c r="X116" i="3"/>
  <c r="E117" i="3"/>
  <c r="F117" i="3"/>
  <c r="G117" i="3"/>
  <c r="H117" i="3"/>
  <c r="I117" i="3"/>
  <c r="J117" i="3"/>
  <c r="K117" i="3"/>
  <c r="N117" i="3"/>
  <c r="O117" i="3"/>
  <c r="P117" i="3"/>
  <c r="Q117" i="3"/>
  <c r="R117" i="3"/>
  <c r="S117" i="3"/>
  <c r="T117" i="3"/>
  <c r="U117" i="3"/>
  <c r="V117" i="3"/>
  <c r="W117" i="3"/>
  <c r="X117" i="3"/>
  <c r="E118" i="3"/>
  <c r="F118" i="3"/>
  <c r="G118" i="3"/>
  <c r="H118" i="3"/>
  <c r="I118" i="3"/>
  <c r="J118" i="3"/>
  <c r="K118" i="3"/>
  <c r="N118" i="3"/>
  <c r="O118" i="3"/>
  <c r="P118" i="3"/>
  <c r="Q118" i="3"/>
  <c r="R118" i="3"/>
  <c r="T118" i="3"/>
  <c r="U118" i="3"/>
  <c r="V118" i="3"/>
  <c r="W118" i="3"/>
  <c r="X118" i="3"/>
  <c r="E119" i="3"/>
  <c r="F119" i="3"/>
  <c r="G119" i="3"/>
  <c r="H119" i="3"/>
  <c r="I119" i="3"/>
  <c r="J119" i="3"/>
  <c r="K119" i="3"/>
  <c r="N119" i="3"/>
  <c r="O119" i="3"/>
  <c r="P119" i="3"/>
  <c r="Q119" i="3"/>
  <c r="R119" i="3"/>
  <c r="T119" i="3"/>
  <c r="U119" i="3"/>
  <c r="V119" i="3"/>
  <c r="W119" i="3"/>
  <c r="X119" i="3"/>
  <c r="E120" i="3"/>
  <c r="E90" i="3" s="1"/>
  <c r="F120" i="3"/>
  <c r="F90" i="3" s="1"/>
  <c r="G120" i="3"/>
  <c r="G90" i="3" s="1"/>
  <c r="H120" i="3"/>
  <c r="H90" i="3" s="1"/>
  <c r="I120" i="3"/>
  <c r="J120" i="3"/>
  <c r="J90" i="3" s="1"/>
  <c r="K120" i="3"/>
  <c r="K90" i="3" s="1"/>
  <c r="N120" i="3"/>
  <c r="N90" i="3" s="1"/>
  <c r="O120" i="3"/>
  <c r="O90" i="3" s="1"/>
  <c r="P120" i="3"/>
  <c r="P90" i="3" s="1"/>
  <c r="Q120" i="3"/>
  <c r="Q90" i="3" s="1"/>
  <c r="R120" i="3"/>
  <c r="R90" i="3" s="1"/>
  <c r="T120" i="3"/>
  <c r="T90" i="3" s="1"/>
  <c r="U120" i="3"/>
  <c r="U90" i="3" s="1"/>
  <c r="V120" i="3"/>
  <c r="V90" i="3" s="1"/>
  <c r="W120" i="3"/>
  <c r="W90" i="3" s="1"/>
  <c r="X120" i="3"/>
  <c r="X90" i="3" s="1"/>
  <c r="E121" i="3"/>
  <c r="F121" i="3"/>
  <c r="G121" i="3"/>
  <c r="H121" i="3"/>
  <c r="I121" i="3"/>
  <c r="J121" i="3"/>
  <c r="K121" i="3"/>
  <c r="N121" i="3"/>
  <c r="O121" i="3"/>
  <c r="P121" i="3"/>
  <c r="Q121" i="3"/>
  <c r="R121" i="3"/>
  <c r="T121" i="3"/>
  <c r="U121" i="3"/>
  <c r="V121" i="3"/>
  <c r="W121" i="3"/>
  <c r="X121" i="3"/>
  <c r="E122" i="3"/>
  <c r="E91" i="3" s="1"/>
  <c r="F122" i="3"/>
  <c r="F91" i="3" s="1"/>
  <c r="G122" i="3"/>
  <c r="G91" i="3" s="1"/>
  <c r="H122" i="3"/>
  <c r="H91" i="3" s="1"/>
  <c r="I122" i="3"/>
  <c r="J122" i="3"/>
  <c r="J91" i="3" s="1"/>
  <c r="K122" i="3"/>
  <c r="K91" i="3" s="1"/>
  <c r="N122" i="3"/>
  <c r="N91" i="3" s="1"/>
  <c r="O122" i="3"/>
  <c r="O91" i="3" s="1"/>
  <c r="P122" i="3"/>
  <c r="P91" i="3" s="1"/>
  <c r="Q122" i="3"/>
  <c r="Q91" i="3" s="1"/>
  <c r="R122" i="3"/>
  <c r="R91" i="3" s="1"/>
  <c r="T122" i="3"/>
  <c r="T91" i="3" s="1"/>
  <c r="U122" i="3"/>
  <c r="U91" i="3" s="1"/>
  <c r="V122" i="3"/>
  <c r="V91" i="3" s="1"/>
  <c r="W122" i="3"/>
  <c r="W91" i="3" s="1"/>
  <c r="X122" i="3"/>
  <c r="X91" i="3" s="1"/>
  <c r="F123" i="3"/>
  <c r="G123" i="3"/>
  <c r="H123" i="3"/>
  <c r="I123" i="3"/>
  <c r="J123" i="3"/>
  <c r="K123" i="3"/>
  <c r="O123" i="3"/>
  <c r="P123" i="3"/>
  <c r="Q123" i="3"/>
  <c r="T123" i="3"/>
  <c r="U123" i="3"/>
  <c r="V123" i="3"/>
  <c r="W123" i="3"/>
  <c r="X123" i="3"/>
  <c r="F124" i="3"/>
  <c r="G124" i="3"/>
  <c r="H124" i="3"/>
  <c r="I124" i="3"/>
  <c r="J124" i="3"/>
  <c r="K124" i="3"/>
  <c r="N124" i="3"/>
  <c r="O124" i="3"/>
  <c r="P124" i="3"/>
  <c r="Q124" i="3"/>
  <c r="R124" i="3"/>
  <c r="T124" i="3"/>
  <c r="U124" i="3"/>
  <c r="V124" i="3"/>
  <c r="W124" i="3"/>
  <c r="X124" i="3"/>
  <c r="F125" i="3"/>
  <c r="G125" i="3"/>
  <c r="H125" i="3"/>
  <c r="I125" i="3"/>
  <c r="J125" i="3"/>
  <c r="K125" i="3"/>
  <c r="N125" i="3"/>
  <c r="O125" i="3"/>
  <c r="P125" i="3"/>
  <c r="Q125" i="3"/>
  <c r="R125" i="3"/>
  <c r="S125" i="3"/>
  <c r="T125" i="3"/>
  <c r="U125" i="3"/>
  <c r="V125" i="3"/>
  <c r="W125" i="3"/>
  <c r="X125" i="3"/>
  <c r="F127" i="3"/>
  <c r="G127" i="3"/>
  <c r="H127" i="3"/>
  <c r="I127" i="3"/>
  <c r="J127" i="3"/>
  <c r="K127" i="3"/>
  <c r="O127" i="3"/>
  <c r="P127" i="3"/>
  <c r="Q127" i="3"/>
  <c r="T127" i="3"/>
  <c r="U127" i="3"/>
  <c r="V127" i="3"/>
  <c r="W127" i="3"/>
  <c r="X127" i="3"/>
  <c r="F128" i="3"/>
  <c r="H128" i="3"/>
  <c r="I128" i="3"/>
  <c r="J128" i="3"/>
  <c r="K128" i="3"/>
  <c r="O128" i="3"/>
  <c r="P128" i="3"/>
  <c r="Q128" i="3"/>
  <c r="T128" i="3"/>
  <c r="U128" i="3"/>
  <c r="V128" i="3"/>
  <c r="W128" i="3"/>
  <c r="X128" i="3"/>
  <c r="F129" i="3"/>
  <c r="G129" i="3"/>
  <c r="H129" i="3"/>
  <c r="I129" i="3"/>
  <c r="J129" i="3"/>
  <c r="K129" i="3"/>
  <c r="N129" i="3"/>
  <c r="O129" i="3"/>
  <c r="P129" i="3"/>
  <c r="Q129" i="3"/>
  <c r="R129" i="3"/>
  <c r="T129" i="3"/>
  <c r="U129" i="3"/>
  <c r="V129" i="3"/>
  <c r="W129" i="3"/>
  <c r="X129" i="3"/>
  <c r="F130" i="3"/>
  <c r="G130" i="3"/>
  <c r="H130" i="3"/>
  <c r="I130" i="3"/>
  <c r="J130" i="3"/>
  <c r="K130" i="3"/>
  <c r="N130" i="3"/>
  <c r="O130" i="3"/>
  <c r="P130" i="3"/>
  <c r="Q130" i="3"/>
  <c r="R130" i="3"/>
  <c r="T130" i="3"/>
  <c r="U130" i="3"/>
  <c r="V130" i="3"/>
  <c r="W130" i="3"/>
  <c r="X130" i="3"/>
  <c r="F132" i="3"/>
  <c r="G132" i="3"/>
  <c r="H132" i="3"/>
  <c r="I132" i="3"/>
  <c r="J132" i="3"/>
  <c r="K132" i="3"/>
  <c r="N132" i="3"/>
  <c r="O132" i="3"/>
  <c r="P132" i="3"/>
  <c r="Q132" i="3"/>
  <c r="R132" i="3"/>
  <c r="S132" i="3"/>
  <c r="T132" i="3"/>
  <c r="U132" i="3"/>
  <c r="V132" i="3"/>
  <c r="W132" i="3"/>
  <c r="X132" i="3"/>
  <c r="F133" i="3"/>
  <c r="G133" i="3"/>
  <c r="H133" i="3"/>
  <c r="I133" i="3"/>
  <c r="J133" i="3"/>
  <c r="K133" i="3"/>
  <c r="N133" i="3"/>
  <c r="O133" i="3"/>
  <c r="P133" i="3"/>
  <c r="Q133" i="3"/>
  <c r="R133" i="3"/>
  <c r="T133" i="3"/>
  <c r="U133" i="3"/>
  <c r="V133" i="3"/>
  <c r="W133" i="3"/>
  <c r="X133" i="3"/>
  <c r="F134" i="3"/>
  <c r="G134" i="3"/>
  <c r="H134" i="3"/>
  <c r="I134" i="3"/>
  <c r="J134" i="3"/>
  <c r="K134" i="3"/>
  <c r="O134" i="3"/>
  <c r="P134" i="3"/>
  <c r="Q134" i="3"/>
  <c r="T134" i="3"/>
  <c r="U134" i="3"/>
  <c r="V134" i="3"/>
  <c r="W134" i="3"/>
  <c r="X134" i="3"/>
  <c r="F135" i="3"/>
  <c r="G135" i="3"/>
  <c r="H135" i="3"/>
  <c r="I135" i="3"/>
  <c r="J135" i="3"/>
  <c r="K135" i="3"/>
  <c r="O135" i="3"/>
  <c r="P135" i="3"/>
  <c r="Q135" i="3"/>
  <c r="T135" i="3"/>
  <c r="U135" i="3"/>
  <c r="V135" i="3"/>
  <c r="W135" i="3"/>
  <c r="X135" i="3"/>
  <c r="F136" i="3"/>
  <c r="H136" i="3"/>
  <c r="I136" i="3"/>
  <c r="J136" i="3"/>
  <c r="K136" i="3"/>
  <c r="O136" i="3"/>
  <c r="P136" i="3"/>
  <c r="Q136" i="3"/>
  <c r="T136" i="3"/>
  <c r="U136" i="3"/>
  <c r="V136" i="3"/>
  <c r="W136" i="3"/>
  <c r="X136" i="3"/>
  <c r="F137" i="3"/>
  <c r="G137" i="3"/>
  <c r="H137" i="3"/>
  <c r="I137" i="3"/>
  <c r="J137" i="3"/>
  <c r="K137" i="3"/>
  <c r="N137" i="3"/>
  <c r="O137" i="3"/>
  <c r="P137" i="3"/>
  <c r="Q137" i="3"/>
  <c r="R137" i="3"/>
  <c r="T137" i="3"/>
  <c r="U137" i="3"/>
  <c r="V137" i="3"/>
  <c r="W137" i="3"/>
  <c r="X137" i="3"/>
  <c r="E140" i="3"/>
  <c r="F140" i="3"/>
  <c r="G140" i="3"/>
  <c r="H140" i="3"/>
  <c r="I140" i="3"/>
  <c r="J140" i="3"/>
  <c r="K140" i="3"/>
  <c r="O140" i="3"/>
  <c r="P140" i="3"/>
  <c r="Q140" i="3"/>
  <c r="T140" i="3"/>
  <c r="U140" i="3"/>
  <c r="V140" i="3"/>
  <c r="W140" i="3"/>
  <c r="X140" i="3"/>
  <c r="F141" i="3"/>
  <c r="G141" i="3"/>
  <c r="I141" i="3"/>
  <c r="J141" i="3"/>
  <c r="K141" i="3"/>
  <c r="O141" i="3"/>
  <c r="P141" i="3"/>
  <c r="Q141" i="3"/>
  <c r="T141" i="3"/>
  <c r="U141" i="3"/>
  <c r="V141" i="3"/>
  <c r="W141" i="3"/>
  <c r="X141" i="3"/>
  <c r="F142" i="3"/>
  <c r="G142" i="3"/>
  <c r="H142" i="3"/>
  <c r="I142" i="3"/>
  <c r="J142" i="3"/>
  <c r="K142" i="3"/>
  <c r="O142" i="3"/>
  <c r="P142" i="3"/>
  <c r="Q142" i="3"/>
  <c r="T142" i="3"/>
  <c r="U142" i="3"/>
  <c r="V142" i="3"/>
  <c r="W142" i="3"/>
  <c r="X142" i="3"/>
  <c r="E143" i="3"/>
  <c r="F143" i="3"/>
  <c r="G143" i="3"/>
  <c r="H143" i="3"/>
  <c r="I143" i="3"/>
  <c r="J143" i="3"/>
  <c r="K143" i="3"/>
  <c r="N143" i="3"/>
  <c r="O143" i="3"/>
  <c r="P143" i="3"/>
  <c r="Q143" i="3"/>
  <c r="R143" i="3"/>
  <c r="S143" i="3"/>
  <c r="T143" i="3"/>
  <c r="U143" i="3"/>
  <c r="V143" i="3"/>
  <c r="W143" i="3"/>
  <c r="X143" i="3"/>
  <c r="E144" i="3"/>
  <c r="F144" i="3"/>
  <c r="G144" i="3"/>
  <c r="H144" i="3"/>
  <c r="I144" i="3"/>
  <c r="J144" i="3"/>
  <c r="K144" i="3"/>
  <c r="N144" i="3"/>
  <c r="O144" i="3"/>
  <c r="P144" i="3"/>
  <c r="Q144" i="3"/>
  <c r="R144" i="3"/>
  <c r="T144" i="3"/>
  <c r="U144" i="3"/>
  <c r="V144" i="3"/>
  <c r="W144" i="3"/>
  <c r="X144" i="3"/>
  <c r="F145" i="3"/>
  <c r="H145" i="3"/>
  <c r="I145" i="3"/>
  <c r="J145" i="3"/>
  <c r="K145" i="3"/>
  <c r="O145" i="3"/>
  <c r="P145" i="3"/>
  <c r="Q145" i="3"/>
  <c r="T145" i="3"/>
  <c r="U145" i="3"/>
  <c r="V145" i="3"/>
  <c r="W145" i="3"/>
  <c r="X145" i="3"/>
  <c r="E146" i="3"/>
  <c r="F146" i="3"/>
  <c r="G146" i="3"/>
  <c r="H146" i="3"/>
  <c r="I146" i="3"/>
  <c r="J146" i="3"/>
  <c r="K146" i="3"/>
  <c r="N146" i="3"/>
  <c r="O146" i="3"/>
  <c r="P146" i="3"/>
  <c r="Q146" i="3"/>
  <c r="R146" i="3"/>
  <c r="T146" i="3"/>
  <c r="U146" i="3"/>
  <c r="V146" i="3"/>
  <c r="W146" i="3"/>
  <c r="X146" i="3"/>
  <c r="E147" i="3"/>
  <c r="E139" i="3" s="1"/>
  <c r="F147" i="3"/>
  <c r="F139" i="3" s="1"/>
  <c r="G147" i="3"/>
  <c r="G139" i="3" s="1"/>
  <c r="H147" i="3"/>
  <c r="H139" i="3" s="1"/>
  <c r="I147" i="3"/>
  <c r="J147" i="3"/>
  <c r="J139" i="3" s="1"/>
  <c r="K147" i="3"/>
  <c r="K139" i="3" s="1"/>
  <c r="N147" i="3"/>
  <c r="N139" i="3" s="1"/>
  <c r="O147" i="3"/>
  <c r="O139" i="3" s="1"/>
  <c r="P147" i="3"/>
  <c r="P139" i="3" s="1"/>
  <c r="Q147" i="3"/>
  <c r="Q139" i="3" s="1"/>
  <c r="R147" i="3"/>
  <c r="R139" i="3" s="1"/>
  <c r="T147" i="3"/>
  <c r="T139" i="3" s="1"/>
  <c r="U147" i="3"/>
  <c r="U139" i="3" s="1"/>
  <c r="V147" i="3"/>
  <c r="V139" i="3" s="1"/>
  <c r="W147" i="3"/>
  <c r="W139" i="3" s="1"/>
  <c r="X147" i="3"/>
  <c r="X139" i="3" s="1"/>
  <c r="E148" i="3"/>
  <c r="F148" i="3"/>
  <c r="G148" i="3"/>
  <c r="H148" i="3"/>
  <c r="I148" i="3"/>
  <c r="J148" i="3"/>
  <c r="K148" i="3"/>
  <c r="N148" i="3"/>
  <c r="O148" i="3"/>
  <c r="P148" i="3"/>
  <c r="Q148" i="3"/>
  <c r="T148" i="3"/>
  <c r="U148" i="3"/>
  <c r="V148" i="3"/>
  <c r="W148" i="3"/>
  <c r="X148" i="3"/>
  <c r="F149" i="3"/>
  <c r="G149" i="3"/>
  <c r="H149" i="3"/>
  <c r="I149" i="3"/>
  <c r="J149" i="3"/>
  <c r="K149" i="3"/>
  <c r="N149" i="3"/>
  <c r="O149" i="3"/>
  <c r="P149" i="3"/>
  <c r="Q149" i="3"/>
  <c r="R149" i="3"/>
  <c r="T149" i="3"/>
  <c r="U149" i="3"/>
  <c r="V149" i="3"/>
  <c r="W149" i="3"/>
  <c r="X149" i="3"/>
  <c r="F155" i="3"/>
  <c r="F154" i="3" s="1"/>
  <c r="G155" i="3"/>
  <c r="G154" i="3" s="1"/>
  <c r="H155" i="3"/>
  <c r="H154" i="3" s="1"/>
  <c r="I155" i="3"/>
  <c r="J155" i="3"/>
  <c r="J154" i="3" s="1"/>
  <c r="K155" i="3"/>
  <c r="K154" i="3" s="1"/>
  <c r="N155" i="3"/>
  <c r="N154" i="3" s="1"/>
  <c r="O155" i="3"/>
  <c r="O154" i="3" s="1"/>
  <c r="P155" i="3"/>
  <c r="P154" i="3" s="1"/>
  <c r="Q155" i="3"/>
  <c r="Q154" i="3" s="1"/>
  <c r="R155" i="3"/>
  <c r="R154" i="3" s="1"/>
  <c r="T155" i="3"/>
  <c r="T154" i="3" s="1"/>
  <c r="U155" i="3"/>
  <c r="U154" i="3" s="1"/>
  <c r="V155" i="3"/>
  <c r="V154" i="3" s="1"/>
  <c r="W155" i="3"/>
  <c r="W154" i="3" s="1"/>
  <c r="X155" i="3"/>
  <c r="X154" i="3" s="1"/>
  <c r="E158" i="3"/>
  <c r="F158" i="3"/>
  <c r="G158" i="3"/>
  <c r="H158" i="3"/>
  <c r="I158" i="3"/>
  <c r="J158" i="3"/>
  <c r="K158" i="3"/>
  <c r="O158" i="3"/>
  <c r="P158" i="3"/>
  <c r="Q158" i="3"/>
  <c r="T158" i="3"/>
  <c r="U158" i="3"/>
  <c r="V158" i="3"/>
  <c r="W158" i="3"/>
  <c r="X158" i="3"/>
  <c r="E159" i="3"/>
  <c r="F159" i="3"/>
  <c r="G159" i="3"/>
  <c r="H159" i="3"/>
  <c r="I159" i="3"/>
  <c r="J159" i="3"/>
  <c r="K159" i="3"/>
  <c r="O159" i="3"/>
  <c r="P159" i="3"/>
  <c r="Q159" i="3"/>
  <c r="T159" i="3"/>
  <c r="U159" i="3"/>
  <c r="V159" i="3"/>
  <c r="W159" i="3"/>
  <c r="X159" i="3"/>
  <c r="E160" i="3"/>
  <c r="F160" i="3"/>
  <c r="G160" i="3"/>
  <c r="H160" i="3"/>
  <c r="I160" i="3"/>
  <c r="J160" i="3"/>
  <c r="K160" i="3"/>
  <c r="O160" i="3"/>
  <c r="P160" i="3"/>
  <c r="Q160" i="3"/>
  <c r="T160" i="3"/>
  <c r="U160" i="3"/>
  <c r="V160" i="3"/>
  <c r="W160" i="3"/>
  <c r="X160" i="3"/>
  <c r="E161" i="3"/>
  <c r="F161" i="3"/>
  <c r="G161" i="3"/>
  <c r="H161" i="3"/>
  <c r="I161" i="3"/>
  <c r="J161" i="3"/>
  <c r="K161" i="3"/>
  <c r="N161" i="3"/>
  <c r="O161" i="3"/>
  <c r="P161" i="3"/>
  <c r="Q161" i="3"/>
  <c r="R161" i="3"/>
  <c r="T161" i="3"/>
  <c r="U161" i="3"/>
  <c r="V161" i="3"/>
  <c r="W161" i="3"/>
  <c r="X161" i="3"/>
  <c r="E162" i="3"/>
  <c r="F162" i="3"/>
  <c r="G162" i="3"/>
  <c r="H162" i="3"/>
  <c r="I162" i="3"/>
  <c r="J162" i="3"/>
  <c r="K162" i="3"/>
  <c r="N162" i="3"/>
  <c r="O162" i="3"/>
  <c r="P162" i="3"/>
  <c r="Q162" i="3"/>
  <c r="R162" i="3"/>
  <c r="T162" i="3"/>
  <c r="U162" i="3"/>
  <c r="V162" i="3"/>
  <c r="W162" i="3"/>
  <c r="X162" i="3"/>
  <c r="E163" i="3"/>
  <c r="F163" i="3"/>
  <c r="G163" i="3"/>
  <c r="H163" i="3"/>
  <c r="I163" i="3"/>
  <c r="J163" i="3"/>
  <c r="K163" i="3"/>
  <c r="O163" i="3"/>
  <c r="P163" i="3"/>
  <c r="Q163" i="3"/>
  <c r="T163" i="3"/>
  <c r="U163" i="3"/>
  <c r="V163" i="3"/>
  <c r="W163" i="3"/>
  <c r="X163" i="3"/>
  <c r="E164" i="3"/>
  <c r="F164" i="3"/>
  <c r="G164" i="3"/>
  <c r="H164" i="3"/>
  <c r="I164" i="3"/>
  <c r="J164" i="3"/>
  <c r="K164" i="3"/>
  <c r="O164" i="3"/>
  <c r="P164" i="3"/>
  <c r="Q164" i="3"/>
  <c r="T164" i="3"/>
  <c r="U164" i="3"/>
  <c r="V164" i="3"/>
  <c r="W164" i="3"/>
  <c r="X164" i="3"/>
  <c r="E165" i="3"/>
  <c r="F165" i="3"/>
  <c r="G165" i="3"/>
  <c r="H165" i="3"/>
  <c r="I165" i="3"/>
  <c r="J165" i="3"/>
  <c r="K165" i="3"/>
  <c r="O165" i="3"/>
  <c r="P165" i="3"/>
  <c r="Q165" i="3"/>
  <c r="T165" i="3"/>
  <c r="U165" i="3"/>
  <c r="V165" i="3"/>
  <c r="W165" i="3"/>
  <c r="X165" i="3"/>
  <c r="E166" i="3"/>
  <c r="F166" i="3"/>
  <c r="G166" i="3"/>
  <c r="H166" i="3"/>
  <c r="I166" i="3"/>
  <c r="J166" i="3"/>
  <c r="K166" i="3"/>
  <c r="O166" i="3"/>
  <c r="P166" i="3"/>
  <c r="Q166" i="3"/>
  <c r="T166" i="3"/>
  <c r="U166" i="3"/>
  <c r="V166" i="3"/>
  <c r="W166" i="3"/>
  <c r="X166" i="3"/>
  <c r="E167" i="3"/>
  <c r="F167" i="3"/>
  <c r="G167" i="3"/>
  <c r="H167" i="3"/>
  <c r="I167" i="3"/>
  <c r="J167" i="3"/>
  <c r="K167" i="3"/>
  <c r="O167" i="3"/>
  <c r="P167" i="3"/>
  <c r="Q167" i="3"/>
  <c r="T167" i="3"/>
  <c r="U167" i="3"/>
  <c r="V167" i="3"/>
  <c r="W167" i="3"/>
  <c r="X167" i="3"/>
  <c r="E168" i="3"/>
  <c r="F168" i="3"/>
  <c r="G168" i="3"/>
  <c r="H168" i="3"/>
  <c r="I168" i="3"/>
  <c r="J168" i="3"/>
  <c r="K168" i="3"/>
  <c r="N168" i="3"/>
  <c r="O168" i="3"/>
  <c r="P168" i="3"/>
  <c r="Q168" i="3"/>
  <c r="R168" i="3"/>
  <c r="T168" i="3"/>
  <c r="U168" i="3"/>
  <c r="V168" i="3"/>
  <c r="W168" i="3"/>
  <c r="X168" i="3"/>
  <c r="E169" i="3"/>
  <c r="F169" i="3"/>
  <c r="G169" i="3"/>
  <c r="H169" i="3"/>
  <c r="I169" i="3"/>
  <c r="J169" i="3"/>
  <c r="K169" i="3"/>
  <c r="O169" i="3"/>
  <c r="P169" i="3"/>
  <c r="Q169" i="3"/>
  <c r="T169" i="3"/>
  <c r="U169" i="3"/>
  <c r="V169" i="3"/>
  <c r="W169" i="3"/>
  <c r="X169" i="3"/>
  <c r="E170" i="3"/>
  <c r="E157" i="3" s="1"/>
  <c r="E151" i="3" s="1"/>
  <c r="F170" i="3"/>
  <c r="F157" i="3" s="1"/>
  <c r="F151" i="3" s="1"/>
  <c r="G170" i="3"/>
  <c r="G157" i="3" s="1"/>
  <c r="G151" i="3" s="1"/>
  <c r="H170" i="3"/>
  <c r="H157" i="3" s="1"/>
  <c r="H151" i="3" s="1"/>
  <c r="I170" i="3"/>
  <c r="J170" i="3"/>
  <c r="J157" i="3" s="1"/>
  <c r="J151" i="3" s="1"/>
  <c r="K170" i="3"/>
  <c r="K157" i="3" s="1"/>
  <c r="K151" i="3" s="1"/>
  <c r="N170" i="3"/>
  <c r="N157" i="3" s="1"/>
  <c r="N151" i="3" s="1"/>
  <c r="O170" i="3"/>
  <c r="O157" i="3" s="1"/>
  <c r="O151" i="3" s="1"/>
  <c r="P170" i="3"/>
  <c r="P157" i="3" s="1"/>
  <c r="P151" i="3" s="1"/>
  <c r="Q170" i="3"/>
  <c r="Q157" i="3" s="1"/>
  <c r="Q151" i="3" s="1"/>
  <c r="R170" i="3"/>
  <c r="R157" i="3" s="1"/>
  <c r="R151" i="3" s="1"/>
  <c r="T170" i="3"/>
  <c r="T157" i="3" s="1"/>
  <c r="T151" i="3" s="1"/>
  <c r="U170" i="3"/>
  <c r="U157" i="3" s="1"/>
  <c r="U151" i="3" s="1"/>
  <c r="V170" i="3"/>
  <c r="V157" i="3" s="1"/>
  <c r="V151" i="3" s="1"/>
  <c r="W170" i="3"/>
  <c r="W157" i="3" s="1"/>
  <c r="W151" i="3" s="1"/>
  <c r="X170" i="3"/>
  <c r="X157" i="3" s="1"/>
  <c r="X151" i="3" s="1"/>
  <c r="F171" i="3"/>
  <c r="G171" i="3"/>
  <c r="H171" i="3"/>
  <c r="I171" i="3"/>
  <c r="J171" i="3"/>
  <c r="K171" i="3"/>
  <c r="N171" i="3"/>
  <c r="O171" i="3"/>
  <c r="P171" i="3"/>
  <c r="Q171" i="3"/>
  <c r="R171" i="3"/>
  <c r="T171" i="3"/>
  <c r="U171" i="3"/>
  <c r="V171" i="3"/>
  <c r="W171" i="3"/>
  <c r="X171" i="3"/>
  <c r="E175" i="3"/>
  <c r="F175" i="3"/>
  <c r="G175" i="3"/>
  <c r="H175" i="3"/>
  <c r="I175" i="3"/>
  <c r="J175" i="3"/>
  <c r="K175" i="3"/>
  <c r="N175" i="3"/>
  <c r="O175" i="3"/>
  <c r="P175" i="3"/>
  <c r="Q175" i="3"/>
  <c r="R175" i="3"/>
  <c r="S175" i="3"/>
  <c r="T175" i="3"/>
  <c r="U175" i="3"/>
  <c r="V175" i="3"/>
  <c r="W175" i="3"/>
  <c r="X175" i="3"/>
  <c r="E176" i="3"/>
  <c r="F176" i="3"/>
  <c r="G176" i="3"/>
  <c r="H176" i="3"/>
  <c r="I176" i="3"/>
  <c r="J176" i="3"/>
  <c r="K176" i="3"/>
  <c r="N176" i="3"/>
  <c r="O176" i="3"/>
  <c r="P176" i="3"/>
  <c r="Q176" i="3"/>
  <c r="R176" i="3"/>
  <c r="T176" i="3"/>
  <c r="U176" i="3"/>
  <c r="V176" i="3"/>
  <c r="W176" i="3"/>
  <c r="X176" i="3"/>
  <c r="E177" i="3"/>
  <c r="F177" i="3"/>
  <c r="G177" i="3"/>
  <c r="H177" i="3"/>
  <c r="I177" i="3"/>
  <c r="J177" i="3"/>
  <c r="K177" i="3"/>
  <c r="N177" i="3"/>
  <c r="O177" i="3"/>
  <c r="P177" i="3"/>
  <c r="Q177" i="3"/>
  <c r="R177" i="3"/>
  <c r="T177" i="3"/>
  <c r="U177" i="3"/>
  <c r="V177" i="3"/>
  <c r="W177" i="3"/>
  <c r="X177" i="3"/>
  <c r="E178" i="3"/>
  <c r="F178" i="3"/>
  <c r="G178" i="3"/>
  <c r="H178" i="3"/>
  <c r="I178" i="3"/>
  <c r="J178" i="3"/>
  <c r="K178" i="3"/>
  <c r="N178" i="3"/>
  <c r="O178" i="3"/>
  <c r="P178" i="3"/>
  <c r="Q178" i="3"/>
  <c r="R178" i="3"/>
  <c r="T178" i="3"/>
  <c r="U178" i="3"/>
  <c r="V178" i="3"/>
  <c r="W178" i="3"/>
  <c r="X178" i="3"/>
  <c r="E179" i="3"/>
  <c r="E173" i="3" s="1"/>
  <c r="E152" i="3" s="1"/>
  <c r="F179" i="3"/>
  <c r="F173" i="3" s="1"/>
  <c r="F152" i="3" s="1"/>
  <c r="G179" i="3"/>
  <c r="G173" i="3" s="1"/>
  <c r="G152" i="3" s="1"/>
  <c r="H179" i="3"/>
  <c r="H173" i="3" s="1"/>
  <c r="H152" i="3" s="1"/>
  <c r="I179" i="3"/>
  <c r="J179" i="3"/>
  <c r="J173" i="3" s="1"/>
  <c r="J152" i="3" s="1"/>
  <c r="K179" i="3"/>
  <c r="K173" i="3" s="1"/>
  <c r="K152" i="3" s="1"/>
  <c r="N179" i="3"/>
  <c r="N173" i="3" s="1"/>
  <c r="N152" i="3" s="1"/>
  <c r="O179" i="3"/>
  <c r="O173" i="3" s="1"/>
  <c r="O152" i="3" s="1"/>
  <c r="P179" i="3"/>
  <c r="P173" i="3" s="1"/>
  <c r="P152" i="3" s="1"/>
  <c r="Q179" i="3"/>
  <c r="Q173" i="3" s="1"/>
  <c r="Q152" i="3" s="1"/>
  <c r="R179" i="3"/>
  <c r="R173" i="3" s="1"/>
  <c r="R152" i="3" s="1"/>
  <c r="T179" i="3"/>
  <c r="T173" i="3" s="1"/>
  <c r="T152" i="3" s="1"/>
  <c r="U179" i="3"/>
  <c r="U173" i="3" s="1"/>
  <c r="U152" i="3" s="1"/>
  <c r="V179" i="3"/>
  <c r="V173" i="3" s="1"/>
  <c r="V152" i="3" s="1"/>
  <c r="W179" i="3"/>
  <c r="W173" i="3" s="1"/>
  <c r="W152" i="3" s="1"/>
  <c r="X179" i="3"/>
  <c r="X173" i="3" s="1"/>
  <c r="X152" i="3" s="1"/>
  <c r="E180" i="3"/>
  <c r="F180" i="3"/>
  <c r="G180" i="3"/>
  <c r="H180" i="3"/>
  <c r="I180" i="3"/>
  <c r="J180" i="3"/>
  <c r="K180" i="3"/>
  <c r="N180" i="3"/>
  <c r="O180" i="3"/>
  <c r="P180" i="3"/>
  <c r="Q180" i="3"/>
  <c r="R180" i="3"/>
  <c r="T180" i="3"/>
  <c r="U180" i="3"/>
  <c r="V180" i="3"/>
  <c r="W180" i="3"/>
  <c r="X180" i="3"/>
  <c r="E181" i="3"/>
  <c r="F181" i="3"/>
  <c r="G181" i="3"/>
  <c r="H181" i="3"/>
  <c r="I181" i="3"/>
  <c r="J181" i="3"/>
  <c r="K181" i="3"/>
  <c r="N181" i="3"/>
  <c r="O181" i="3"/>
  <c r="P181" i="3"/>
  <c r="Q181" i="3"/>
  <c r="R181" i="3"/>
  <c r="T181" i="3"/>
  <c r="U181" i="3"/>
  <c r="V181" i="3"/>
  <c r="W181" i="3"/>
  <c r="X181" i="3"/>
  <c r="E182" i="3"/>
  <c r="F182" i="3"/>
  <c r="G182" i="3"/>
  <c r="H182" i="3"/>
  <c r="I182" i="3"/>
  <c r="J182" i="3"/>
  <c r="K182" i="3"/>
  <c r="N182" i="3"/>
  <c r="O182" i="3"/>
  <c r="P182" i="3"/>
  <c r="Q182" i="3"/>
  <c r="R182" i="3"/>
  <c r="T182" i="3"/>
  <c r="U182" i="3"/>
  <c r="V182" i="3"/>
  <c r="W182" i="3"/>
  <c r="X182" i="3"/>
  <c r="E183" i="3"/>
  <c r="E174" i="3" s="1"/>
  <c r="F183" i="3"/>
  <c r="F174" i="3" s="1"/>
  <c r="G183" i="3"/>
  <c r="G174" i="3" s="1"/>
  <c r="H183" i="3"/>
  <c r="H174" i="3" s="1"/>
  <c r="I183" i="3"/>
  <c r="J183" i="3"/>
  <c r="J174" i="3" s="1"/>
  <c r="K183" i="3"/>
  <c r="K174" i="3" s="1"/>
  <c r="N183" i="3"/>
  <c r="N174" i="3" s="1"/>
  <c r="O183" i="3"/>
  <c r="O174" i="3" s="1"/>
  <c r="P183" i="3"/>
  <c r="P174" i="3" s="1"/>
  <c r="Q183" i="3"/>
  <c r="Q174" i="3" s="1"/>
  <c r="R183" i="3"/>
  <c r="R174" i="3" s="1"/>
  <c r="T183" i="3"/>
  <c r="T174" i="3" s="1"/>
  <c r="U183" i="3"/>
  <c r="U174" i="3" s="1"/>
  <c r="V183" i="3"/>
  <c r="V174" i="3" s="1"/>
  <c r="W183" i="3"/>
  <c r="W174" i="3" s="1"/>
  <c r="X183" i="3"/>
  <c r="X174" i="3" s="1"/>
  <c r="F185" i="3"/>
  <c r="F184" i="3" s="1"/>
  <c r="G185" i="3"/>
  <c r="G184" i="3" s="1"/>
  <c r="H185" i="3"/>
  <c r="H184" i="3" s="1"/>
  <c r="I185" i="3"/>
  <c r="J185" i="3"/>
  <c r="J184" i="3" s="1"/>
  <c r="K185" i="3"/>
  <c r="K184" i="3" s="1"/>
  <c r="N185" i="3"/>
  <c r="N184" i="3" s="1"/>
  <c r="O185" i="3"/>
  <c r="O184" i="3" s="1"/>
  <c r="P185" i="3"/>
  <c r="P184" i="3" s="1"/>
  <c r="Q185" i="3"/>
  <c r="Q184" i="3" s="1"/>
  <c r="R185" i="3"/>
  <c r="R184" i="3" s="1"/>
  <c r="T185" i="3"/>
  <c r="T184" i="3" s="1"/>
  <c r="U185" i="3"/>
  <c r="U184" i="3" s="1"/>
  <c r="V185" i="3"/>
  <c r="V184" i="3" s="1"/>
  <c r="W185" i="3"/>
  <c r="W184" i="3" s="1"/>
  <c r="X185" i="3"/>
  <c r="X184" i="3" s="1"/>
  <c r="E188" i="3"/>
  <c r="F188" i="3"/>
  <c r="G188" i="3"/>
  <c r="H188" i="3"/>
  <c r="I188" i="3"/>
  <c r="J188" i="3"/>
  <c r="K188" i="3"/>
  <c r="N188" i="3"/>
  <c r="O188" i="3"/>
  <c r="P188" i="3"/>
  <c r="Q188" i="3"/>
  <c r="R188" i="3"/>
  <c r="T188" i="3"/>
  <c r="U188" i="3"/>
  <c r="V188" i="3"/>
  <c r="W188" i="3"/>
  <c r="X188" i="3"/>
  <c r="E189" i="3"/>
  <c r="F189" i="3"/>
  <c r="G189" i="3"/>
  <c r="I189" i="3"/>
  <c r="J189" i="3"/>
  <c r="K189" i="3"/>
  <c r="O189" i="3"/>
  <c r="P189" i="3"/>
  <c r="Q189" i="3"/>
  <c r="T189" i="3"/>
  <c r="U189" i="3"/>
  <c r="V189" i="3"/>
  <c r="W189" i="3"/>
  <c r="X189" i="3"/>
  <c r="E190" i="3"/>
  <c r="F190" i="3"/>
  <c r="G190" i="3"/>
  <c r="H190" i="3"/>
  <c r="I190" i="3"/>
  <c r="J190" i="3"/>
  <c r="K190" i="3"/>
  <c r="O190" i="3"/>
  <c r="P190" i="3"/>
  <c r="Q190" i="3"/>
  <c r="T190" i="3"/>
  <c r="U190" i="3"/>
  <c r="V190" i="3"/>
  <c r="W190" i="3"/>
  <c r="X190" i="3"/>
  <c r="E191" i="3"/>
  <c r="F191" i="3"/>
  <c r="G191" i="3"/>
  <c r="H191" i="3"/>
  <c r="I191" i="3"/>
  <c r="J191" i="3"/>
  <c r="K191" i="3"/>
  <c r="N191" i="3"/>
  <c r="O191" i="3"/>
  <c r="P191" i="3"/>
  <c r="Q191" i="3"/>
  <c r="R191" i="3"/>
  <c r="T191" i="3"/>
  <c r="U191" i="3"/>
  <c r="V191" i="3"/>
  <c r="W191" i="3"/>
  <c r="X191" i="3"/>
  <c r="E192" i="3"/>
  <c r="F192" i="3"/>
  <c r="G192" i="3"/>
  <c r="H192" i="3"/>
  <c r="I192" i="3"/>
  <c r="J192" i="3"/>
  <c r="K192" i="3"/>
  <c r="N192" i="3"/>
  <c r="O192" i="3"/>
  <c r="P192" i="3"/>
  <c r="Q192" i="3"/>
  <c r="R192" i="3"/>
  <c r="T192" i="3"/>
  <c r="U192" i="3"/>
  <c r="V192" i="3"/>
  <c r="W192" i="3"/>
  <c r="X192" i="3"/>
  <c r="E193" i="3"/>
  <c r="F193" i="3"/>
  <c r="G193" i="3"/>
  <c r="H193" i="3"/>
  <c r="I193" i="3"/>
  <c r="J193" i="3"/>
  <c r="K193" i="3"/>
  <c r="N193" i="3"/>
  <c r="O193" i="3"/>
  <c r="P193" i="3"/>
  <c r="Q193" i="3"/>
  <c r="R193" i="3"/>
  <c r="T193" i="3"/>
  <c r="U193" i="3"/>
  <c r="V193" i="3"/>
  <c r="W193" i="3"/>
  <c r="X193" i="3"/>
  <c r="E194" i="3"/>
  <c r="F194" i="3"/>
  <c r="G194" i="3"/>
  <c r="H194" i="3"/>
  <c r="I194" i="3"/>
  <c r="J194" i="3"/>
  <c r="K194" i="3"/>
  <c r="N194" i="3"/>
  <c r="O194" i="3"/>
  <c r="P194" i="3"/>
  <c r="Q194" i="3"/>
  <c r="R194" i="3"/>
  <c r="T194" i="3"/>
  <c r="U194" i="3"/>
  <c r="V194" i="3"/>
  <c r="W194" i="3"/>
  <c r="X194" i="3"/>
  <c r="E195" i="3"/>
  <c r="F195" i="3"/>
  <c r="G195" i="3"/>
  <c r="H195" i="3"/>
  <c r="I195" i="3"/>
  <c r="J195" i="3"/>
  <c r="K195" i="3"/>
  <c r="N195" i="3"/>
  <c r="O195" i="3"/>
  <c r="P195" i="3"/>
  <c r="Q195" i="3"/>
  <c r="R195" i="3"/>
  <c r="T195" i="3"/>
  <c r="U195" i="3"/>
  <c r="V195" i="3"/>
  <c r="W195" i="3"/>
  <c r="X195" i="3"/>
  <c r="E196" i="3"/>
  <c r="F196" i="3"/>
  <c r="G196" i="3"/>
  <c r="H196" i="3"/>
  <c r="I196" i="3"/>
  <c r="J196" i="3"/>
  <c r="K196" i="3"/>
  <c r="N196" i="3"/>
  <c r="P196" i="3"/>
  <c r="Q196" i="3"/>
  <c r="T196" i="3"/>
  <c r="U196" i="3"/>
  <c r="V196" i="3"/>
  <c r="W196" i="3"/>
  <c r="X196" i="3"/>
  <c r="F197" i="3"/>
  <c r="G197" i="3"/>
  <c r="H197" i="3"/>
  <c r="I197" i="3"/>
  <c r="J197" i="3"/>
  <c r="K197" i="3"/>
  <c r="N197" i="3"/>
  <c r="O197" i="3"/>
  <c r="P197" i="3"/>
  <c r="Q197" i="3"/>
  <c r="R197" i="3"/>
  <c r="T197" i="3"/>
  <c r="U197" i="3"/>
  <c r="V197" i="3"/>
  <c r="W197" i="3"/>
  <c r="X197" i="3"/>
  <c r="E199" i="3"/>
  <c r="E198" i="3" s="1"/>
  <c r="F199" i="3"/>
  <c r="F198" i="3" s="1"/>
  <c r="G199" i="3"/>
  <c r="G198" i="3" s="1"/>
  <c r="H199" i="3"/>
  <c r="H198" i="3" s="1"/>
  <c r="I199" i="3"/>
  <c r="J199" i="3"/>
  <c r="J198" i="3" s="1"/>
  <c r="K199" i="3"/>
  <c r="K198" i="3" s="1"/>
  <c r="N199" i="3"/>
  <c r="N198" i="3" s="1"/>
  <c r="O199" i="3"/>
  <c r="O198" i="3" s="1"/>
  <c r="P199" i="3"/>
  <c r="P198" i="3" s="1"/>
  <c r="Q199" i="3"/>
  <c r="Q198" i="3" s="1"/>
  <c r="R199" i="3"/>
  <c r="R198" i="3" s="1"/>
  <c r="T199" i="3"/>
  <c r="T198" i="3" s="1"/>
  <c r="U199" i="3"/>
  <c r="U198" i="3" s="1"/>
  <c r="V199" i="3"/>
  <c r="V198" i="3" s="1"/>
  <c r="W199" i="3"/>
  <c r="W198" i="3" s="1"/>
  <c r="X199" i="3"/>
  <c r="X198" i="3" s="1"/>
  <c r="E204" i="3"/>
  <c r="F204" i="3"/>
  <c r="G204" i="3"/>
  <c r="H204" i="3"/>
  <c r="I204" i="3"/>
  <c r="J204" i="3"/>
  <c r="K204" i="3"/>
  <c r="N204" i="3"/>
  <c r="O204" i="3"/>
  <c r="P204" i="3"/>
  <c r="Q204" i="3"/>
  <c r="R204" i="3"/>
  <c r="T204" i="3"/>
  <c r="U204" i="3"/>
  <c r="V204" i="3"/>
  <c r="W204" i="3"/>
  <c r="X204" i="3"/>
  <c r="E205" i="3"/>
  <c r="G205" i="3"/>
  <c r="H205" i="3"/>
  <c r="I205" i="3"/>
  <c r="J205" i="3"/>
  <c r="K205" i="3"/>
  <c r="N205" i="3"/>
  <c r="O205" i="3"/>
  <c r="P205" i="3"/>
  <c r="Q205" i="3"/>
  <c r="R205" i="3"/>
  <c r="T205" i="3"/>
  <c r="U205" i="3"/>
  <c r="V205" i="3"/>
  <c r="W205" i="3"/>
  <c r="X205" i="3"/>
  <c r="G206" i="3"/>
  <c r="G203" i="3" s="1"/>
  <c r="G201" i="3" s="1"/>
  <c r="H206" i="3"/>
  <c r="H203" i="3" s="1"/>
  <c r="H201" i="3" s="1"/>
  <c r="I206" i="3"/>
  <c r="J206" i="3"/>
  <c r="J203" i="3" s="1"/>
  <c r="J201" i="3" s="1"/>
  <c r="K206" i="3"/>
  <c r="K203" i="3" s="1"/>
  <c r="K201" i="3" s="1"/>
  <c r="N206" i="3"/>
  <c r="N203" i="3" s="1"/>
  <c r="N201" i="3" s="1"/>
  <c r="O206" i="3"/>
  <c r="O203" i="3" s="1"/>
  <c r="O201" i="3" s="1"/>
  <c r="P206" i="3"/>
  <c r="P203" i="3" s="1"/>
  <c r="P201" i="3" s="1"/>
  <c r="Q206" i="3"/>
  <c r="Q203" i="3" s="1"/>
  <c r="Q201" i="3" s="1"/>
  <c r="R206" i="3"/>
  <c r="R203" i="3" s="1"/>
  <c r="R201" i="3" s="1"/>
  <c r="T206" i="3"/>
  <c r="T203" i="3" s="1"/>
  <c r="T201" i="3" s="1"/>
  <c r="U206" i="3"/>
  <c r="U203" i="3" s="1"/>
  <c r="U201" i="3" s="1"/>
  <c r="V206" i="3"/>
  <c r="V203" i="3" s="1"/>
  <c r="V201" i="3" s="1"/>
  <c r="W206" i="3"/>
  <c r="W203" i="3" s="1"/>
  <c r="W201" i="3" s="1"/>
  <c r="X206" i="3"/>
  <c r="X203" i="3" s="1"/>
  <c r="X201" i="3" s="1"/>
  <c r="F208" i="3"/>
  <c r="F207" i="3" s="1"/>
  <c r="G208" i="3"/>
  <c r="G207" i="3" s="1"/>
  <c r="H208" i="3"/>
  <c r="H207" i="3" s="1"/>
  <c r="I208" i="3"/>
  <c r="J208" i="3"/>
  <c r="J207" i="3" s="1"/>
  <c r="K208" i="3"/>
  <c r="K207" i="3" s="1"/>
  <c r="N208" i="3"/>
  <c r="N207" i="3" s="1"/>
  <c r="O208" i="3"/>
  <c r="O207" i="3" s="1"/>
  <c r="P208" i="3"/>
  <c r="P207" i="3" s="1"/>
  <c r="Q208" i="3"/>
  <c r="Q207" i="3" s="1"/>
  <c r="R208" i="3"/>
  <c r="R207" i="3" s="1"/>
  <c r="T208" i="3"/>
  <c r="T207" i="3" s="1"/>
  <c r="U208" i="3"/>
  <c r="U207" i="3" s="1"/>
  <c r="V208" i="3"/>
  <c r="V207" i="3" s="1"/>
  <c r="W208" i="3"/>
  <c r="W207" i="3" s="1"/>
  <c r="X208" i="3"/>
  <c r="X207" i="3" s="1"/>
  <c r="E210" i="3"/>
  <c r="F210" i="3"/>
  <c r="G210" i="3"/>
  <c r="H210" i="3"/>
  <c r="I210" i="3"/>
  <c r="J210" i="3"/>
  <c r="K210" i="3"/>
  <c r="N210" i="3"/>
  <c r="O210" i="3"/>
  <c r="P210" i="3"/>
  <c r="Q210" i="3"/>
  <c r="R210" i="3"/>
  <c r="T210" i="3"/>
  <c r="U210" i="3"/>
  <c r="V210" i="3"/>
  <c r="W210" i="3"/>
  <c r="X210" i="3"/>
  <c r="E211" i="3"/>
  <c r="F211" i="3"/>
  <c r="G211" i="3"/>
  <c r="H211" i="3"/>
  <c r="I211" i="3"/>
  <c r="J211" i="3"/>
  <c r="K211" i="3"/>
  <c r="N211" i="3"/>
  <c r="P211" i="3"/>
  <c r="Q211" i="3"/>
  <c r="R211" i="3"/>
  <c r="T211" i="3"/>
  <c r="T209" i="3" s="1"/>
  <c r="U211" i="3"/>
  <c r="V211" i="3"/>
  <c r="V209" i="3" s="1"/>
  <c r="W211" i="3"/>
  <c r="X211" i="3"/>
  <c r="X209" i="3" s="1"/>
  <c r="E213" i="3"/>
  <c r="E212" i="3" s="1"/>
  <c r="F213" i="3"/>
  <c r="F212" i="3" s="1"/>
  <c r="G213" i="3"/>
  <c r="G212" i="3" s="1"/>
  <c r="H213" i="3"/>
  <c r="H212" i="3" s="1"/>
  <c r="I213" i="3"/>
  <c r="J213" i="3"/>
  <c r="J212" i="3" s="1"/>
  <c r="K213" i="3"/>
  <c r="K212" i="3" s="1"/>
  <c r="N213" i="3"/>
  <c r="N212" i="3" s="1"/>
  <c r="O213" i="3"/>
  <c r="O212" i="3" s="1"/>
  <c r="P213" i="3"/>
  <c r="P212" i="3" s="1"/>
  <c r="Q213" i="3"/>
  <c r="Q212" i="3" s="1"/>
  <c r="R213" i="3"/>
  <c r="R212" i="3" s="1"/>
  <c r="T213" i="3"/>
  <c r="T212" i="3" s="1"/>
  <c r="U213" i="3"/>
  <c r="U212" i="3" s="1"/>
  <c r="V213" i="3"/>
  <c r="V212" i="3" s="1"/>
  <c r="W213" i="3"/>
  <c r="W212" i="3" s="1"/>
  <c r="X213" i="3"/>
  <c r="X212" i="3" s="1"/>
  <c r="F214" i="3"/>
  <c r="G214" i="3"/>
  <c r="H214" i="3"/>
  <c r="I214" i="3"/>
  <c r="J214" i="3"/>
  <c r="K214" i="3"/>
  <c r="N214" i="3"/>
  <c r="O214" i="3"/>
  <c r="P214" i="3"/>
  <c r="Q214" i="3"/>
  <c r="R214" i="3"/>
  <c r="T214" i="3"/>
  <c r="U214" i="3"/>
  <c r="V214" i="3"/>
  <c r="W214" i="3"/>
  <c r="X214" i="3"/>
  <c r="E215" i="3"/>
  <c r="F215" i="3"/>
  <c r="G215" i="3"/>
  <c r="H215" i="3"/>
  <c r="I215" i="3"/>
  <c r="J215" i="3"/>
  <c r="K215" i="3"/>
  <c r="N215" i="3"/>
  <c r="O215" i="3"/>
  <c r="P215" i="3"/>
  <c r="Q215" i="3"/>
  <c r="R215" i="3"/>
  <c r="T215" i="3"/>
  <c r="U215" i="3"/>
  <c r="V215" i="3"/>
  <c r="W215" i="3"/>
  <c r="X215" i="3"/>
  <c r="E219" i="3"/>
  <c r="E218" i="3" s="1"/>
  <c r="F219" i="3"/>
  <c r="F218" i="3" s="1"/>
  <c r="G219" i="3"/>
  <c r="G218" i="3" s="1"/>
  <c r="H219" i="3"/>
  <c r="H218" i="3" s="1"/>
  <c r="I219" i="3"/>
  <c r="J219" i="3"/>
  <c r="J218" i="3" s="1"/>
  <c r="K219" i="3"/>
  <c r="K218" i="3" s="1"/>
  <c r="N219" i="3"/>
  <c r="N218" i="3" s="1"/>
  <c r="O219" i="3"/>
  <c r="O218" i="3" s="1"/>
  <c r="P219" i="3"/>
  <c r="P218" i="3" s="1"/>
  <c r="Q219" i="3"/>
  <c r="Q218" i="3" s="1"/>
  <c r="R219" i="3"/>
  <c r="R218" i="3" s="1"/>
  <c r="T219" i="3"/>
  <c r="T218" i="3" s="1"/>
  <c r="U219" i="3"/>
  <c r="U218" i="3" s="1"/>
  <c r="V219" i="3"/>
  <c r="V218" i="3" s="1"/>
  <c r="W219" i="3"/>
  <c r="W218" i="3" s="1"/>
  <c r="X219" i="3"/>
  <c r="X218" i="3" s="1"/>
  <c r="E222" i="3"/>
  <c r="E220" i="3" s="1"/>
  <c r="F222" i="3"/>
  <c r="F220" i="3" s="1"/>
  <c r="G222" i="3"/>
  <c r="G220" i="3" s="1"/>
  <c r="H222" i="3"/>
  <c r="H220" i="3" s="1"/>
  <c r="I222" i="3"/>
  <c r="J222" i="3"/>
  <c r="J220" i="3" s="1"/>
  <c r="K222" i="3"/>
  <c r="K220" i="3" s="1"/>
  <c r="N222" i="3"/>
  <c r="N220" i="3" s="1"/>
  <c r="O222" i="3"/>
  <c r="O220" i="3" s="1"/>
  <c r="P222" i="3"/>
  <c r="P220" i="3" s="1"/>
  <c r="Q222" i="3"/>
  <c r="Q220" i="3" s="1"/>
  <c r="R222" i="3"/>
  <c r="R220" i="3" s="1"/>
  <c r="T222" i="3"/>
  <c r="T220" i="3" s="1"/>
  <c r="U222" i="3"/>
  <c r="U220" i="3" s="1"/>
  <c r="V222" i="3"/>
  <c r="V220" i="3" s="1"/>
  <c r="W222" i="3"/>
  <c r="W220" i="3" s="1"/>
  <c r="X222" i="3"/>
  <c r="X220" i="3" s="1"/>
  <c r="E223" i="3"/>
  <c r="E221" i="3" s="1"/>
  <c r="E217" i="3" s="1"/>
  <c r="F223" i="3"/>
  <c r="F221" i="3" s="1"/>
  <c r="F217" i="3" s="1"/>
  <c r="G223" i="3"/>
  <c r="G221" i="3" s="1"/>
  <c r="G217" i="3" s="1"/>
  <c r="H223" i="3"/>
  <c r="H221" i="3" s="1"/>
  <c r="H217" i="3" s="1"/>
  <c r="I223" i="3"/>
  <c r="J223" i="3"/>
  <c r="J221" i="3" s="1"/>
  <c r="J217" i="3" s="1"/>
  <c r="K223" i="3"/>
  <c r="K221" i="3" s="1"/>
  <c r="K217" i="3" s="1"/>
  <c r="N223" i="3"/>
  <c r="N221" i="3" s="1"/>
  <c r="N217" i="3" s="1"/>
  <c r="O223" i="3"/>
  <c r="O221" i="3" s="1"/>
  <c r="O217" i="3" s="1"/>
  <c r="P223" i="3"/>
  <c r="P221" i="3" s="1"/>
  <c r="P217" i="3" s="1"/>
  <c r="Q223" i="3"/>
  <c r="Q221" i="3" s="1"/>
  <c r="Q217" i="3" s="1"/>
  <c r="R223" i="3"/>
  <c r="R221" i="3" s="1"/>
  <c r="R217" i="3" s="1"/>
  <c r="T223" i="3"/>
  <c r="T221" i="3" s="1"/>
  <c r="T217" i="3" s="1"/>
  <c r="U223" i="3"/>
  <c r="U221" i="3" s="1"/>
  <c r="U217" i="3" s="1"/>
  <c r="V223" i="3"/>
  <c r="V221" i="3" s="1"/>
  <c r="V217" i="3" s="1"/>
  <c r="W223" i="3"/>
  <c r="W221" i="3" s="1"/>
  <c r="W217" i="3" s="1"/>
  <c r="X223" i="3"/>
  <c r="X221" i="3" s="1"/>
  <c r="X217" i="3" s="1"/>
  <c r="E225" i="3"/>
  <c r="F225" i="3"/>
  <c r="G225" i="3"/>
  <c r="H225" i="3"/>
  <c r="I225" i="3"/>
  <c r="J225" i="3"/>
  <c r="K225" i="3"/>
  <c r="N225" i="3"/>
  <c r="O225" i="3"/>
  <c r="P225" i="3"/>
  <c r="Q225" i="3"/>
  <c r="R225" i="3"/>
  <c r="T225" i="3"/>
  <c r="U225" i="3"/>
  <c r="V225" i="3"/>
  <c r="W225" i="3"/>
  <c r="X225" i="3"/>
  <c r="F226" i="3"/>
  <c r="G226" i="3"/>
  <c r="H226" i="3"/>
  <c r="I226" i="3"/>
  <c r="J226" i="3"/>
  <c r="K226" i="3"/>
  <c r="O226" i="3"/>
  <c r="P226" i="3"/>
  <c r="Q226" i="3"/>
  <c r="T226" i="3"/>
  <c r="U226" i="3"/>
  <c r="V226" i="3"/>
  <c r="W226" i="3"/>
  <c r="X226" i="3"/>
  <c r="E227" i="3"/>
  <c r="F227" i="3"/>
  <c r="G227" i="3"/>
  <c r="H227" i="3"/>
  <c r="I227" i="3"/>
  <c r="J227" i="3"/>
  <c r="K227" i="3"/>
  <c r="N227" i="3"/>
  <c r="O227" i="3"/>
  <c r="P227" i="3"/>
  <c r="Q227" i="3"/>
  <c r="R227" i="3"/>
  <c r="T227" i="3"/>
  <c r="U227" i="3"/>
  <c r="V227" i="3"/>
  <c r="W227" i="3"/>
  <c r="X227" i="3"/>
  <c r="G293" i="1"/>
  <c r="H293" i="1"/>
  <c r="I293" i="1"/>
  <c r="L293" i="1"/>
  <c r="G283" i="1"/>
  <c r="G282" i="1" s="1"/>
  <c r="H283" i="1"/>
  <c r="H282" i="1" s="1"/>
  <c r="I283" i="1"/>
  <c r="I282" i="1" s="1"/>
  <c r="J283" i="1"/>
  <c r="K283" i="1"/>
  <c r="K282" i="1" s="1"/>
  <c r="L283" i="1"/>
  <c r="L282" i="1" s="1"/>
  <c r="O283" i="1"/>
  <c r="O282" i="1" s="1"/>
  <c r="P283" i="1"/>
  <c r="P282" i="1" s="1"/>
  <c r="Q283" i="1"/>
  <c r="Q282" i="1" s="1"/>
  <c r="R283" i="1"/>
  <c r="R282" i="1" s="1"/>
  <c r="S283" i="1"/>
  <c r="S282" i="1" s="1"/>
  <c r="U283" i="1"/>
  <c r="U282" i="1" s="1"/>
  <c r="V283" i="1"/>
  <c r="V282" i="1" s="1"/>
  <c r="W283" i="1"/>
  <c r="W282" i="1" s="1"/>
  <c r="X283" i="1"/>
  <c r="X282" i="1" s="1"/>
  <c r="Y283" i="1"/>
  <c r="Y282" i="1" s="1"/>
  <c r="F280" i="1"/>
  <c r="F279" i="1" s="1"/>
  <c r="G280" i="1"/>
  <c r="G279" i="1" s="1"/>
  <c r="H280" i="1"/>
  <c r="H279" i="1" s="1"/>
  <c r="I280" i="1"/>
  <c r="I279" i="1" s="1"/>
  <c r="J280" i="1"/>
  <c r="K280" i="1"/>
  <c r="K279" i="1" s="1"/>
  <c r="L280" i="1"/>
  <c r="L279" i="1" s="1"/>
  <c r="O280" i="1"/>
  <c r="O279" i="1" s="1"/>
  <c r="P280" i="1"/>
  <c r="P279" i="1" s="1"/>
  <c r="Q280" i="1"/>
  <c r="Q279" i="1" s="1"/>
  <c r="R280" i="1"/>
  <c r="R279" i="1" s="1"/>
  <c r="S280" i="1"/>
  <c r="S279" i="1" s="1"/>
  <c r="U280" i="1"/>
  <c r="U279" i="1" s="1"/>
  <c r="V280" i="1"/>
  <c r="V279" i="1" s="1"/>
  <c r="W280" i="1"/>
  <c r="W279" i="1" s="1"/>
  <c r="X280" i="1"/>
  <c r="X279" i="1" s="1"/>
  <c r="Y280" i="1"/>
  <c r="Y279" i="1" s="1"/>
  <c r="G272" i="1"/>
  <c r="G271" i="1" s="1"/>
  <c r="H272" i="1"/>
  <c r="H271" i="1" s="1"/>
  <c r="I272" i="1"/>
  <c r="I271" i="1" s="1"/>
  <c r="J272" i="1"/>
  <c r="K272" i="1"/>
  <c r="K271" i="1" s="1"/>
  <c r="L272" i="1"/>
  <c r="L271" i="1" s="1"/>
  <c r="P272" i="1"/>
  <c r="P271" i="1" s="1"/>
  <c r="Q272" i="1"/>
  <c r="Q271" i="1" s="1"/>
  <c r="R272" i="1"/>
  <c r="R271" i="1" s="1"/>
  <c r="U272" i="1"/>
  <c r="U271" i="1" s="1"/>
  <c r="V272" i="1"/>
  <c r="V271" i="1" s="1"/>
  <c r="W272" i="1"/>
  <c r="W271" i="1" s="1"/>
  <c r="X272" i="1"/>
  <c r="X271" i="1" s="1"/>
  <c r="Y272" i="1"/>
  <c r="Y271" i="1" s="1"/>
  <c r="G269" i="1"/>
  <c r="G268" i="1" s="1"/>
  <c r="H269" i="1"/>
  <c r="H268" i="1" s="1"/>
  <c r="I269" i="1"/>
  <c r="I268" i="1" s="1"/>
  <c r="J269" i="1"/>
  <c r="K269" i="1"/>
  <c r="K268" i="1" s="1"/>
  <c r="L269" i="1"/>
  <c r="L268" i="1" s="1"/>
  <c r="O269" i="1"/>
  <c r="O268" i="1" s="1"/>
  <c r="P269" i="1"/>
  <c r="P268" i="1" s="1"/>
  <c r="Q269" i="1"/>
  <c r="Q268" i="1" s="1"/>
  <c r="R269" i="1"/>
  <c r="R268" i="1" s="1"/>
  <c r="S269" i="1"/>
  <c r="S268" i="1" s="1"/>
  <c r="U269" i="1"/>
  <c r="U268" i="1" s="1"/>
  <c r="V269" i="1"/>
  <c r="V268" i="1" s="1"/>
  <c r="W269" i="1"/>
  <c r="W268" i="1" s="1"/>
  <c r="X269" i="1"/>
  <c r="X268" i="1" s="1"/>
  <c r="Y269" i="1"/>
  <c r="Y268" i="1" s="1"/>
  <c r="G262" i="1"/>
  <c r="G261" i="1" s="1"/>
  <c r="H262" i="1"/>
  <c r="H261" i="1" s="1"/>
  <c r="I262" i="1"/>
  <c r="I261" i="1" s="1"/>
  <c r="J262" i="1"/>
  <c r="K262" i="1"/>
  <c r="K261" i="1" s="1"/>
  <c r="L262" i="1"/>
  <c r="L261" i="1" s="1"/>
  <c r="Q262" i="1"/>
  <c r="Q261" i="1" s="1"/>
  <c r="R262" i="1"/>
  <c r="R261" i="1" s="1"/>
  <c r="U262" i="1"/>
  <c r="U261" i="1" s="1"/>
  <c r="V262" i="1"/>
  <c r="V261" i="1" s="1"/>
  <c r="W262" i="1"/>
  <c r="W261" i="1" s="1"/>
  <c r="X262" i="1"/>
  <c r="X261" i="1" s="1"/>
  <c r="Y262" i="1"/>
  <c r="Y261" i="1" s="1"/>
  <c r="F243" i="1"/>
  <c r="F242" i="1" s="1"/>
  <c r="G243" i="1"/>
  <c r="G242" i="1" s="1"/>
  <c r="H243" i="1"/>
  <c r="H242" i="1" s="1"/>
  <c r="I243" i="1"/>
  <c r="I242" i="1" s="1"/>
  <c r="J243" i="1"/>
  <c r="K243" i="1"/>
  <c r="K242" i="1" s="1"/>
  <c r="L243" i="1"/>
  <c r="L242" i="1" s="1"/>
  <c r="P243" i="1"/>
  <c r="P242" i="1" s="1"/>
  <c r="Q243" i="1"/>
  <c r="Q242" i="1" s="1"/>
  <c r="R243" i="1"/>
  <c r="R242" i="1" s="1"/>
  <c r="U243" i="1"/>
  <c r="U242" i="1" s="1"/>
  <c r="V243" i="1"/>
  <c r="V242" i="1" s="1"/>
  <c r="W243" i="1"/>
  <c r="W242" i="1" s="1"/>
  <c r="X243" i="1"/>
  <c r="X242" i="1" s="1"/>
  <c r="Y243" i="1"/>
  <c r="Y242" i="1" s="1"/>
  <c r="F244" i="1"/>
  <c r="F295" i="1" s="1"/>
  <c r="G244" i="1"/>
  <c r="G295" i="1" s="1"/>
  <c r="H244" i="1"/>
  <c r="H295" i="1" s="1"/>
  <c r="I244" i="1"/>
  <c r="I295" i="1" s="1"/>
  <c r="J244" i="1"/>
  <c r="K244" i="1"/>
  <c r="K295" i="1" s="1"/>
  <c r="L244" i="1"/>
  <c r="L295" i="1" s="1"/>
  <c r="O244" i="1"/>
  <c r="P244" i="1"/>
  <c r="Q244" i="1"/>
  <c r="R244" i="1"/>
  <c r="S244" i="1"/>
  <c r="T244" i="1"/>
  <c r="U244" i="1"/>
  <c r="V244" i="1"/>
  <c r="W244" i="1"/>
  <c r="X244" i="1"/>
  <c r="Y244" i="1"/>
  <c r="Q204" i="1"/>
  <c r="Q203" i="1" s="1"/>
  <c r="R204" i="1"/>
  <c r="R203" i="1" s="1"/>
  <c r="U204" i="1"/>
  <c r="U203" i="1" s="1"/>
  <c r="V204" i="1"/>
  <c r="V203" i="1" s="1"/>
  <c r="W204" i="1"/>
  <c r="W203" i="1" s="1"/>
  <c r="X204" i="1"/>
  <c r="X203" i="1" s="1"/>
  <c r="Y204" i="1"/>
  <c r="Y203" i="1" s="1"/>
  <c r="O205" i="1"/>
  <c r="P205" i="1"/>
  <c r="Q205" i="1"/>
  <c r="R205" i="1"/>
  <c r="S205" i="1"/>
  <c r="U205" i="1"/>
  <c r="V205" i="1"/>
  <c r="W205" i="1"/>
  <c r="X205" i="1"/>
  <c r="Y205" i="1"/>
  <c r="O206" i="1"/>
  <c r="P206" i="1"/>
  <c r="Q206" i="1"/>
  <c r="R206" i="1"/>
  <c r="S206" i="1"/>
  <c r="U206" i="1"/>
  <c r="V206" i="1"/>
  <c r="W206" i="1"/>
  <c r="X206" i="1"/>
  <c r="Y206" i="1"/>
  <c r="O207" i="1"/>
  <c r="P207" i="1"/>
  <c r="Q207" i="1"/>
  <c r="R207" i="1"/>
  <c r="S207" i="1"/>
  <c r="U207" i="1"/>
  <c r="V207" i="1"/>
  <c r="W207" i="1"/>
  <c r="X207" i="1"/>
  <c r="Y207" i="1"/>
  <c r="O208" i="1"/>
  <c r="P208" i="1"/>
  <c r="Q208" i="1"/>
  <c r="R208" i="1"/>
  <c r="S208" i="1"/>
  <c r="U208" i="1"/>
  <c r="V208" i="1"/>
  <c r="W208" i="1"/>
  <c r="X208" i="1"/>
  <c r="Y208" i="1"/>
  <c r="O209" i="1"/>
  <c r="P209" i="1"/>
  <c r="Q209" i="1"/>
  <c r="R209" i="1"/>
  <c r="S209" i="1"/>
  <c r="U209" i="1"/>
  <c r="V209" i="1"/>
  <c r="W209" i="1"/>
  <c r="X209" i="1"/>
  <c r="Y209" i="1"/>
  <c r="P193" i="1"/>
  <c r="P192" i="1" s="1"/>
  <c r="Q193" i="1"/>
  <c r="Q192" i="1" s="1"/>
  <c r="R193" i="1"/>
  <c r="R192" i="1" s="1"/>
  <c r="U193" i="1"/>
  <c r="U192" i="1" s="1"/>
  <c r="V193" i="1"/>
  <c r="V192" i="1" s="1"/>
  <c r="W193" i="1"/>
  <c r="W192" i="1" s="1"/>
  <c r="X193" i="1"/>
  <c r="X192" i="1" s="1"/>
  <c r="Y193" i="1"/>
  <c r="Y192" i="1" s="1"/>
  <c r="P185" i="1"/>
  <c r="P184" i="1" s="1"/>
  <c r="Q185" i="1"/>
  <c r="Q184" i="1" s="1"/>
  <c r="R185" i="1"/>
  <c r="R184" i="1" s="1"/>
  <c r="U185" i="1"/>
  <c r="U184" i="1" s="1"/>
  <c r="V185" i="1"/>
  <c r="V184" i="1" s="1"/>
  <c r="W185" i="1"/>
  <c r="W184" i="1" s="1"/>
  <c r="X185" i="1"/>
  <c r="X184" i="1" s="1"/>
  <c r="Y185" i="1"/>
  <c r="Y184" i="1" s="1"/>
  <c r="P148" i="1"/>
  <c r="P147" i="1" s="1"/>
  <c r="Q148" i="1"/>
  <c r="Q147" i="1" s="1"/>
  <c r="R148" i="1"/>
  <c r="R147" i="1" s="1"/>
  <c r="U148" i="1"/>
  <c r="U147" i="1" s="1"/>
  <c r="V148" i="1"/>
  <c r="V147" i="1" s="1"/>
  <c r="W148" i="1"/>
  <c r="W147" i="1" s="1"/>
  <c r="X148" i="1"/>
  <c r="X147" i="1" s="1"/>
  <c r="Y148" i="1"/>
  <c r="Y147" i="1" s="1"/>
  <c r="O149" i="1"/>
  <c r="P149" i="1"/>
  <c r="Q149" i="1"/>
  <c r="R149" i="1"/>
  <c r="S149" i="1"/>
  <c r="U149" i="1"/>
  <c r="V149" i="1"/>
  <c r="W149" i="1"/>
  <c r="X149" i="1"/>
  <c r="Y149" i="1"/>
  <c r="O150" i="1"/>
  <c r="P150" i="1"/>
  <c r="Q150" i="1"/>
  <c r="R150" i="1"/>
  <c r="S150" i="1"/>
  <c r="U150" i="1"/>
  <c r="V150" i="1"/>
  <c r="W150" i="1"/>
  <c r="X150" i="1"/>
  <c r="Y150" i="1"/>
  <c r="O151" i="1"/>
  <c r="P151" i="1"/>
  <c r="Q151" i="1"/>
  <c r="R151" i="1"/>
  <c r="S151" i="1"/>
  <c r="T151" i="1"/>
  <c r="U151" i="1"/>
  <c r="V151" i="1"/>
  <c r="W151" i="1"/>
  <c r="X151" i="1"/>
  <c r="Y151" i="1"/>
  <c r="P114" i="1"/>
  <c r="P113" i="1" s="1"/>
  <c r="Q114" i="1"/>
  <c r="Q113" i="1" s="1"/>
  <c r="R114" i="1"/>
  <c r="R113" i="1" s="1"/>
  <c r="U114" i="1"/>
  <c r="U113" i="1" s="1"/>
  <c r="V114" i="1"/>
  <c r="V113" i="1" s="1"/>
  <c r="W114" i="1"/>
  <c r="W113" i="1" s="1"/>
  <c r="X114" i="1"/>
  <c r="X113" i="1" s="1"/>
  <c r="Y114" i="1"/>
  <c r="Y113" i="1" s="1"/>
  <c r="O115" i="1"/>
  <c r="P115" i="1"/>
  <c r="Q115" i="1"/>
  <c r="R115" i="1"/>
  <c r="S115" i="1"/>
  <c r="U115" i="1"/>
  <c r="V115" i="1"/>
  <c r="W115" i="1"/>
  <c r="X115" i="1"/>
  <c r="Y115" i="1"/>
  <c r="O116" i="1"/>
  <c r="P116" i="1"/>
  <c r="Q116" i="1"/>
  <c r="R116" i="1"/>
  <c r="S116" i="1"/>
  <c r="U116" i="1"/>
  <c r="V116" i="1"/>
  <c r="W116" i="1"/>
  <c r="X116" i="1"/>
  <c r="Y116" i="1"/>
  <c r="O117" i="1"/>
  <c r="P117" i="1"/>
  <c r="Q117" i="1"/>
  <c r="R117" i="1"/>
  <c r="S117" i="1"/>
  <c r="U117" i="1"/>
  <c r="V117" i="1"/>
  <c r="W117" i="1"/>
  <c r="X117" i="1"/>
  <c r="Y117" i="1"/>
  <c r="O118" i="1"/>
  <c r="P118" i="1"/>
  <c r="Q118" i="1"/>
  <c r="R118" i="1"/>
  <c r="S118" i="1"/>
  <c r="U118" i="1"/>
  <c r="V118" i="1"/>
  <c r="W118" i="1"/>
  <c r="X118" i="1"/>
  <c r="Y118" i="1"/>
  <c r="O119" i="1"/>
  <c r="P119" i="1"/>
  <c r="Q119" i="1"/>
  <c r="R119" i="1"/>
  <c r="S119" i="1"/>
  <c r="U119" i="1"/>
  <c r="V119" i="1"/>
  <c r="W119" i="1"/>
  <c r="X119" i="1"/>
  <c r="Y119" i="1"/>
  <c r="O120" i="1"/>
  <c r="P120" i="1"/>
  <c r="Q120" i="1"/>
  <c r="R120" i="1"/>
  <c r="S120" i="1"/>
  <c r="U120" i="1"/>
  <c r="V120" i="1"/>
  <c r="W120" i="1"/>
  <c r="X120" i="1"/>
  <c r="Y120" i="1"/>
  <c r="P121" i="1"/>
  <c r="Q121" i="1"/>
  <c r="R121" i="1"/>
  <c r="U121" i="1"/>
  <c r="V121" i="1"/>
  <c r="W121" i="1"/>
  <c r="X121" i="1"/>
  <c r="Y121" i="1"/>
  <c r="P63" i="1"/>
  <c r="P62" i="1" s="1"/>
  <c r="Q63" i="1"/>
  <c r="Q62" i="1" s="1"/>
  <c r="R63" i="1"/>
  <c r="R62" i="1" s="1"/>
  <c r="U63" i="1"/>
  <c r="U62" i="1" s="1"/>
  <c r="V63" i="1"/>
  <c r="V62" i="1" s="1"/>
  <c r="W63" i="1"/>
  <c r="W62" i="1" s="1"/>
  <c r="X63" i="1"/>
  <c r="X62" i="1" s="1"/>
  <c r="Y63" i="1"/>
  <c r="Y62" i="1" s="1"/>
  <c r="K293" i="1"/>
  <c r="O64" i="1"/>
  <c r="P64" i="1"/>
  <c r="Q64" i="1"/>
  <c r="R64" i="1"/>
  <c r="S64" i="1"/>
  <c r="U64" i="1"/>
  <c r="V64" i="1"/>
  <c r="W64" i="1"/>
  <c r="X64" i="1"/>
  <c r="Y64" i="1"/>
  <c r="O66" i="1"/>
  <c r="P66" i="1"/>
  <c r="Q66" i="1"/>
  <c r="R66" i="1"/>
  <c r="S66" i="1"/>
  <c r="U66" i="1"/>
  <c r="V66" i="1"/>
  <c r="W66" i="1"/>
  <c r="X66" i="1"/>
  <c r="Y66" i="1"/>
  <c r="O67" i="1"/>
  <c r="P67" i="1"/>
  <c r="Q67" i="1"/>
  <c r="R67" i="1"/>
  <c r="S67" i="1"/>
  <c r="U67" i="1"/>
  <c r="V67" i="1"/>
  <c r="W67" i="1"/>
  <c r="X67" i="1"/>
  <c r="Y67" i="1"/>
  <c r="O68" i="1"/>
  <c r="P68" i="1"/>
  <c r="Q68" i="1"/>
  <c r="R68" i="1"/>
  <c r="S68" i="1"/>
  <c r="U68" i="1"/>
  <c r="V68" i="1"/>
  <c r="W68" i="1"/>
  <c r="X68" i="1"/>
  <c r="Y68" i="1"/>
  <c r="P69" i="1"/>
  <c r="Q69" i="1"/>
  <c r="R69" i="1"/>
  <c r="U69" i="1"/>
  <c r="V69" i="1"/>
  <c r="W69" i="1"/>
  <c r="X69" i="1"/>
  <c r="Y69" i="1"/>
  <c r="O70" i="1"/>
  <c r="P70" i="1"/>
  <c r="Q70" i="1"/>
  <c r="R70" i="1"/>
  <c r="S70" i="1"/>
  <c r="U70" i="1"/>
  <c r="V70" i="1"/>
  <c r="W70" i="1"/>
  <c r="X70" i="1"/>
  <c r="Y70" i="1"/>
  <c r="P71" i="1"/>
  <c r="Q71" i="1"/>
  <c r="R71" i="1"/>
  <c r="U71" i="1"/>
  <c r="V71" i="1"/>
  <c r="W71" i="1"/>
  <c r="X71" i="1"/>
  <c r="Y71" i="1"/>
  <c r="O72" i="1"/>
  <c r="P72" i="1"/>
  <c r="Q72" i="1"/>
  <c r="R72" i="1"/>
  <c r="S72" i="1"/>
  <c r="U72" i="1"/>
  <c r="V72" i="1"/>
  <c r="W72" i="1"/>
  <c r="X72" i="1"/>
  <c r="Y72" i="1"/>
  <c r="P19" i="1"/>
  <c r="P18" i="1" s="1"/>
  <c r="Q19" i="1"/>
  <c r="Q18" i="1" s="1"/>
  <c r="R19" i="1"/>
  <c r="R18" i="1" s="1"/>
  <c r="U19" i="1"/>
  <c r="U18" i="1" s="1"/>
  <c r="V19" i="1"/>
  <c r="V18" i="1" s="1"/>
  <c r="W19" i="1"/>
  <c r="W18" i="1" s="1"/>
  <c r="X19" i="1"/>
  <c r="X18" i="1" s="1"/>
  <c r="Y19" i="1"/>
  <c r="Y18" i="1" s="1"/>
  <c r="H20" i="1"/>
  <c r="H294" i="1" s="1"/>
  <c r="I20" i="1"/>
  <c r="I294" i="1" s="1"/>
  <c r="J20" i="1"/>
  <c r="K20" i="1"/>
  <c r="L20" i="1"/>
  <c r="L294" i="1" s="1"/>
  <c r="O20" i="1"/>
  <c r="P20" i="1"/>
  <c r="Q20" i="1"/>
  <c r="R20" i="1"/>
  <c r="S20" i="1"/>
  <c r="U20" i="1"/>
  <c r="V20" i="1"/>
  <c r="W20" i="1"/>
  <c r="X20" i="1"/>
  <c r="Y20" i="1"/>
  <c r="AA22" i="1"/>
  <c r="AA23" i="1"/>
  <c r="Z22" i="3" s="1"/>
  <c r="AA25" i="1"/>
  <c r="Z24" i="3" s="1"/>
  <c r="AA27" i="1"/>
  <c r="AA43" i="1"/>
  <c r="AA57" i="1"/>
  <c r="AA80" i="1"/>
  <c r="AA82" i="1"/>
  <c r="Z49" i="3" s="1"/>
  <c r="AA86" i="1"/>
  <c r="Z53" i="3" s="1"/>
  <c r="AA88" i="1"/>
  <c r="Z55" i="3" s="1"/>
  <c r="AA92" i="1"/>
  <c r="Z60" i="3" s="1"/>
  <c r="AA94" i="1"/>
  <c r="AA104" i="1"/>
  <c r="AA110" i="1"/>
  <c r="Z222" i="3" s="1"/>
  <c r="Z220" i="3" s="1"/>
  <c r="AA112" i="1"/>
  <c r="AA125" i="1"/>
  <c r="AA127" i="1"/>
  <c r="Z77" i="3" s="1"/>
  <c r="AA129" i="1"/>
  <c r="Z79" i="3" s="1"/>
  <c r="AA131" i="1"/>
  <c r="Z81" i="3" s="1"/>
  <c r="AA133" i="1"/>
  <c r="AA135" i="1"/>
  <c r="Z85" i="3" s="1"/>
  <c r="AA137" i="1"/>
  <c r="Z87" i="3" s="1"/>
  <c r="AA145" i="1"/>
  <c r="AA152" i="1"/>
  <c r="AA165" i="1"/>
  <c r="Z109" i="3" s="1"/>
  <c r="AA167" i="1"/>
  <c r="Z111" i="3" s="1"/>
  <c r="AA169" i="1"/>
  <c r="Z113" i="3" s="1"/>
  <c r="AA171" i="1"/>
  <c r="Z115" i="3" s="1"/>
  <c r="AA173" i="1"/>
  <c r="Z117" i="3" s="1"/>
  <c r="AA175" i="1"/>
  <c r="Z119" i="3" s="1"/>
  <c r="AA177" i="1"/>
  <c r="Z121" i="3" s="1"/>
  <c r="AA199" i="1"/>
  <c r="AA212" i="1"/>
  <c r="AA245" i="1"/>
  <c r="AA260" i="1"/>
  <c r="Z225" i="3" s="1"/>
  <c r="AA274" i="1"/>
  <c r="Z155" i="3" s="1"/>
  <c r="Z154" i="3" s="1"/>
  <c r="AA290" i="1"/>
  <c r="Z215" i="3" s="1"/>
  <c r="T21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73" i="1"/>
  <c r="Z73" i="1" s="1"/>
  <c r="T74" i="1"/>
  <c r="Z74" i="1" s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22" i="1"/>
  <c r="T123" i="1"/>
  <c r="T124" i="1"/>
  <c r="T125" i="1"/>
  <c r="T126" i="1"/>
  <c r="T127" i="1"/>
  <c r="T128" i="1"/>
  <c r="T129" i="1"/>
  <c r="Z129" i="1" s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5" i="1"/>
  <c r="T146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6" i="1"/>
  <c r="T187" i="1"/>
  <c r="T188" i="1"/>
  <c r="T189" i="1"/>
  <c r="T190" i="1"/>
  <c r="T191" i="1"/>
  <c r="T194" i="1"/>
  <c r="T195" i="1"/>
  <c r="T196" i="1"/>
  <c r="T197" i="1"/>
  <c r="T198" i="1"/>
  <c r="T199" i="1"/>
  <c r="T200" i="1"/>
  <c r="T201" i="1"/>
  <c r="T202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41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3" i="1"/>
  <c r="T264" i="1"/>
  <c r="T265" i="1"/>
  <c r="T266" i="1"/>
  <c r="T267" i="1"/>
  <c r="T270" i="1"/>
  <c r="T273" i="1"/>
  <c r="T274" i="1"/>
  <c r="T275" i="1"/>
  <c r="T276" i="1"/>
  <c r="T277" i="1"/>
  <c r="T278" i="1"/>
  <c r="T281" i="1"/>
  <c r="T284" i="1"/>
  <c r="T285" i="1"/>
  <c r="T286" i="1"/>
  <c r="T287" i="1"/>
  <c r="T288" i="1"/>
  <c r="T289" i="1"/>
  <c r="T290" i="1"/>
  <c r="T291" i="1"/>
  <c r="O29" i="3" l="1"/>
  <c r="O27" i="3"/>
  <c r="W29" i="3"/>
  <c r="F29" i="3"/>
  <c r="AA291" i="1"/>
  <c r="Z219" i="3" s="1"/>
  <c r="Z218" i="3" s="1"/>
  <c r="AA289" i="1"/>
  <c r="Z214" i="3" s="1"/>
  <c r="S210" i="3"/>
  <c r="T280" i="1"/>
  <c r="AA275" i="1"/>
  <c r="Z188" i="3" s="1"/>
  <c r="AA273" i="1"/>
  <c r="S196" i="3"/>
  <c r="AA265" i="1"/>
  <c r="Z166" i="3" s="1"/>
  <c r="AA259" i="1"/>
  <c r="AA257" i="1"/>
  <c r="AA255" i="1"/>
  <c r="AA253" i="1"/>
  <c r="S163" i="3"/>
  <c r="S159" i="3"/>
  <c r="S148" i="3"/>
  <c r="T240" i="1"/>
  <c r="AA237" i="1"/>
  <c r="S204" i="3"/>
  <c r="S194" i="3"/>
  <c r="AA231" i="1"/>
  <c r="S169" i="3"/>
  <c r="AA223" i="1"/>
  <c r="AA221" i="1"/>
  <c r="AA219" i="1"/>
  <c r="Z149" i="3" s="1"/>
  <c r="S144" i="3"/>
  <c r="AA215" i="1"/>
  <c r="Z142" i="3" s="1"/>
  <c r="AA213" i="1"/>
  <c r="Z140" i="3" s="1"/>
  <c r="S23" i="3"/>
  <c r="S162" i="3"/>
  <c r="AA200" i="1"/>
  <c r="Z162" i="3" s="1"/>
  <c r="AA198" i="1"/>
  <c r="S129" i="3"/>
  <c r="S127" i="3"/>
  <c r="S104" i="3"/>
  <c r="AA178" i="1"/>
  <c r="S122" i="3"/>
  <c r="AA176" i="1"/>
  <c r="S120" i="3"/>
  <c r="AA174" i="1"/>
  <c r="AA172" i="1"/>
  <c r="Z116" i="3" s="1"/>
  <c r="S116" i="3"/>
  <c r="AA170" i="1"/>
  <c r="Z114" i="3" s="1"/>
  <c r="S114" i="3"/>
  <c r="AA168" i="1"/>
  <c r="Z112" i="3" s="1"/>
  <c r="S112" i="3"/>
  <c r="AA166" i="1"/>
  <c r="Z110" i="3" s="1"/>
  <c r="S110" i="3"/>
  <c r="S103" i="3"/>
  <c r="S101" i="3"/>
  <c r="S99" i="3"/>
  <c r="S97" i="3"/>
  <c r="S95" i="3"/>
  <c r="S93" i="3"/>
  <c r="S226" i="3"/>
  <c r="AA146" i="1"/>
  <c r="T121" i="1"/>
  <c r="AA144" i="1"/>
  <c r="AA121" i="1" s="1"/>
  <c r="T116" i="1"/>
  <c r="T120" i="1"/>
  <c r="AA140" i="1"/>
  <c r="AA138" i="1"/>
  <c r="Z88" i="3" s="1"/>
  <c r="AA136" i="1"/>
  <c r="Z86" i="3" s="1"/>
  <c r="S86" i="3"/>
  <c r="S84" i="3"/>
  <c r="AA134" i="1"/>
  <c r="Z84" i="3" s="1"/>
  <c r="AA132" i="1"/>
  <c r="Z82" i="3" s="1"/>
  <c r="S82" i="3"/>
  <c r="S80" i="3"/>
  <c r="AA130" i="1"/>
  <c r="Z80" i="3" s="1"/>
  <c r="S78" i="3"/>
  <c r="AA128" i="1"/>
  <c r="Z78" i="3" s="1"/>
  <c r="S76" i="3"/>
  <c r="T118" i="1"/>
  <c r="AA126" i="1"/>
  <c r="S74" i="3"/>
  <c r="T115" i="1"/>
  <c r="AA124" i="1"/>
  <c r="AA111" i="1"/>
  <c r="Z223" i="3" s="1"/>
  <c r="Z221" i="3" s="1"/>
  <c r="Z217" i="3" s="1"/>
  <c r="AA109" i="1"/>
  <c r="Z226" i="3" s="1"/>
  <c r="Z224" i="3" s="1"/>
  <c r="S170" i="3"/>
  <c r="AA105" i="1"/>
  <c r="AA72" i="1" s="1"/>
  <c r="AA103" i="1"/>
  <c r="S124" i="3"/>
  <c r="S67" i="3"/>
  <c r="S65" i="3"/>
  <c r="S63" i="3"/>
  <c r="AA93" i="1"/>
  <c r="Z61" i="3" s="1"/>
  <c r="S61" i="3"/>
  <c r="S59" i="3"/>
  <c r="AA91" i="1"/>
  <c r="S56" i="3"/>
  <c r="AA87" i="1"/>
  <c r="Z54" i="3" s="1"/>
  <c r="S54" i="3"/>
  <c r="S52" i="3"/>
  <c r="AA83" i="1"/>
  <c r="Z50" i="3" s="1"/>
  <c r="S50" i="3"/>
  <c r="T67" i="1"/>
  <c r="AA81" i="1"/>
  <c r="Z48" i="3" s="1"/>
  <c r="S48" i="3"/>
  <c r="S46" i="3"/>
  <c r="AA79" i="1"/>
  <c r="Z46" i="3" s="1"/>
  <c r="S37" i="3"/>
  <c r="S213" i="3"/>
  <c r="AA58" i="1"/>
  <c r="AA56" i="1"/>
  <c r="Z205" i="3" s="1"/>
  <c r="S195" i="3"/>
  <c r="S188" i="3"/>
  <c r="S181" i="3"/>
  <c r="AA42" i="1"/>
  <c r="Z137" i="3" s="1"/>
  <c r="S137" i="3"/>
  <c r="S135" i="3"/>
  <c r="S133" i="3"/>
  <c r="S130" i="3"/>
  <c r="S107" i="3"/>
  <c r="AA28" i="1"/>
  <c r="Z98" i="3" s="1"/>
  <c r="AA26" i="1"/>
  <c r="Z25" i="3" s="1"/>
  <c r="Z20" i="3" s="1"/>
  <c r="S25" i="3"/>
  <c r="AA24" i="1"/>
  <c r="AA287" i="1"/>
  <c r="Z210" i="3" s="1"/>
  <c r="AA281" i="1"/>
  <c r="AA280" i="1" s="1"/>
  <c r="AA279" i="1" s="1"/>
  <c r="AA202" i="1"/>
  <c r="AA194" i="1"/>
  <c r="AA193" i="1" s="1"/>
  <c r="AA192" i="1" s="1"/>
  <c r="AA188" i="1"/>
  <c r="Z104" i="3" s="1"/>
  <c r="AA182" i="1"/>
  <c r="Z161" i="3" s="1"/>
  <c r="AA160" i="1"/>
  <c r="Z99" i="3" s="1"/>
  <c r="AA156" i="1"/>
  <c r="AA142" i="1"/>
  <c r="AA107" i="1"/>
  <c r="Z199" i="3" s="1"/>
  <c r="Z198" i="3" s="1"/>
  <c r="AA101" i="1"/>
  <c r="AA97" i="1"/>
  <c r="AA64" i="1"/>
  <c r="AA73" i="1"/>
  <c r="AA20" i="1"/>
  <c r="Z206" i="3"/>
  <c r="Z203" i="3" s="1"/>
  <c r="Z201" i="3" s="1"/>
  <c r="AA52" i="1"/>
  <c r="Z195" i="3" s="1"/>
  <c r="AA48" i="1"/>
  <c r="Z181" i="3" s="1"/>
  <c r="AA38" i="1"/>
  <c r="Z133" i="3" s="1"/>
  <c r="AA34" i="1"/>
  <c r="Z128" i="3" s="1"/>
  <c r="AA30" i="1"/>
  <c r="Z107" i="3" s="1"/>
  <c r="T70" i="1"/>
  <c r="T68" i="1"/>
  <c r="T150" i="1"/>
  <c r="S199" i="3"/>
  <c r="S197" i="3"/>
  <c r="S176" i="3"/>
  <c r="AA285" i="1"/>
  <c r="AA277" i="1"/>
  <c r="Z192" i="3" s="1"/>
  <c r="Z118" i="3"/>
  <c r="AA190" i="1"/>
  <c r="Z146" i="3" s="1"/>
  <c r="AA186" i="1"/>
  <c r="AA180" i="1"/>
  <c r="AA162" i="1"/>
  <c r="Z101" i="3" s="1"/>
  <c r="AA158" i="1"/>
  <c r="Z97" i="3" s="1"/>
  <c r="AA154" i="1"/>
  <c r="Z93" i="3" s="1"/>
  <c r="Z83" i="3"/>
  <c r="AA117" i="1"/>
  <c r="Z75" i="3"/>
  <c r="Z70" i="3" s="1"/>
  <c r="AA99" i="1"/>
  <c r="Z67" i="3" s="1"/>
  <c r="Z33" i="3" s="1"/>
  <c r="AA75" i="1"/>
  <c r="AA60" i="1"/>
  <c r="Z213" i="3" s="1"/>
  <c r="Z212" i="3" s="1"/>
  <c r="AA54" i="1"/>
  <c r="AA50" i="1"/>
  <c r="AA46" i="1"/>
  <c r="Z176" i="3" s="1"/>
  <c r="AA40" i="1"/>
  <c r="Z135" i="3" s="1"/>
  <c r="AA36" i="1"/>
  <c r="Z130" i="3" s="1"/>
  <c r="AA32" i="1"/>
  <c r="AA21" i="1"/>
  <c r="T72" i="1"/>
  <c r="T69" i="1"/>
  <c r="T64" i="1"/>
  <c r="T149" i="1"/>
  <c r="S223" i="3"/>
  <c r="S219" i="3"/>
  <c r="S214" i="3"/>
  <c r="S192" i="3"/>
  <c r="S161" i="3"/>
  <c r="S146" i="3"/>
  <c r="T283" i="1"/>
  <c r="S155" i="3"/>
  <c r="T269" i="1"/>
  <c r="AA264" i="1"/>
  <c r="S225" i="3"/>
  <c r="S190" i="3"/>
  <c r="S187" i="3" s="1"/>
  <c r="AA254" i="1"/>
  <c r="AA252" i="1"/>
  <c r="AA250" i="1"/>
  <c r="AA236" i="1"/>
  <c r="AA234" i="1"/>
  <c r="S193" i="3"/>
  <c r="S185" i="3"/>
  <c r="T206" i="1"/>
  <c r="T205" i="1"/>
  <c r="AA224" i="1"/>
  <c r="Z168" i="3" s="1"/>
  <c r="AA218" i="1"/>
  <c r="AA216" i="1"/>
  <c r="Z143" i="3" s="1"/>
  <c r="S141" i="3"/>
  <c r="S118" i="3"/>
  <c r="AA201" i="1"/>
  <c r="AA197" i="1"/>
  <c r="AA195" i="1"/>
  <c r="Z57" i="3" s="1"/>
  <c r="S123" i="3"/>
  <c r="AA143" i="1"/>
  <c r="S87" i="3"/>
  <c r="AA123" i="1"/>
  <c r="Z73" i="3" s="1"/>
  <c r="AA108" i="1"/>
  <c r="AA106" i="1"/>
  <c r="S108" i="3"/>
  <c r="S58" i="3"/>
  <c r="S51" i="3"/>
  <c r="S44" i="3"/>
  <c r="AA76" i="1"/>
  <c r="Z35" i="3" s="1"/>
  <c r="AA59" i="1"/>
  <c r="S136" i="3"/>
  <c r="S106" i="3"/>
  <c r="AA286" i="1"/>
  <c r="AA284" i="1"/>
  <c r="AA283" i="1" s="1"/>
  <c r="AA282" i="1" s="1"/>
  <c r="AA278" i="1"/>
  <c r="AA266" i="1"/>
  <c r="AA248" i="1"/>
  <c r="AA238" i="1"/>
  <c r="AA210" i="1"/>
  <c r="AA191" i="1"/>
  <c r="Z147" i="3" s="1"/>
  <c r="Z139" i="3" s="1"/>
  <c r="AA189" i="1"/>
  <c r="Z105" i="3" s="1"/>
  <c r="AA187" i="1"/>
  <c r="AA183" i="1"/>
  <c r="AA181" i="1"/>
  <c r="Z125" i="3" s="1"/>
  <c r="AA163" i="1"/>
  <c r="Z102" i="3" s="1"/>
  <c r="AA161" i="1"/>
  <c r="Z100" i="3" s="1"/>
  <c r="AA159" i="1"/>
  <c r="AA157" i="1"/>
  <c r="Z96" i="3" s="1"/>
  <c r="AA155" i="1"/>
  <c r="Z94" i="3" s="1"/>
  <c r="AA153" i="1"/>
  <c r="AA148" i="1" s="1"/>
  <c r="AA147" i="1" s="1"/>
  <c r="AA141" i="1"/>
  <c r="AA102" i="1"/>
  <c r="AA100" i="1"/>
  <c r="AA98" i="1"/>
  <c r="Z66" i="3" s="1"/>
  <c r="AA96" i="1"/>
  <c r="Z64" i="3" s="1"/>
  <c r="AA74" i="1"/>
  <c r="AA61" i="1"/>
  <c r="AA55" i="1"/>
  <c r="AA53" i="1"/>
  <c r="AA51" i="1"/>
  <c r="AA49" i="1"/>
  <c r="AA47" i="1"/>
  <c r="Z177" i="3" s="1"/>
  <c r="AA45" i="1"/>
  <c r="Z175" i="3" s="1"/>
  <c r="AA39" i="1"/>
  <c r="AA37" i="1"/>
  <c r="Z132" i="3" s="1"/>
  <c r="AA35" i="1"/>
  <c r="AA33" i="1"/>
  <c r="AA31" i="1"/>
  <c r="T20" i="1"/>
  <c r="T71" i="1"/>
  <c r="T119" i="1"/>
  <c r="T117" i="1"/>
  <c r="T185" i="1"/>
  <c r="S227" i="3"/>
  <c r="S222" i="3"/>
  <c r="S215" i="3"/>
  <c r="S206" i="3"/>
  <c r="S177" i="3"/>
  <c r="S147" i="3"/>
  <c r="S134" i="3"/>
  <c r="S121" i="3"/>
  <c r="S119" i="3"/>
  <c r="S113" i="3"/>
  <c r="S105" i="3"/>
  <c r="S100" i="3"/>
  <c r="S98" i="3"/>
  <c r="S96" i="3"/>
  <c r="S94" i="3"/>
  <c r="S85" i="3"/>
  <c r="S81" i="3"/>
  <c r="S66" i="3"/>
  <c r="S62" i="3"/>
  <c r="S24" i="3"/>
  <c r="S22" i="3"/>
  <c r="I220" i="3"/>
  <c r="I212" i="3"/>
  <c r="I203" i="3"/>
  <c r="I174" i="3"/>
  <c r="I173" i="3"/>
  <c r="I157" i="3"/>
  <c r="I139" i="3"/>
  <c r="I72" i="3"/>
  <c r="I28" i="3"/>
  <c r="I221" i="3"/>
  <c r="I218" i="3"/>
  <c r="I207" i="3"/>
  <c r="I198" i="3"/>
  <c r="I184" i="3"/>
  <c r="I154" i="3"/>
  <c r="I91" i="3"/>
  <c r="I90" i="3"/>
  <c r="I33" i="3"/>
  <c r="I31" i="3"/>
  <c r="I20" i="3"/>
  <c r="T262" i="1"/>
  <c r="J294" i="1"/>
  <c r="J242" i="1"/>
  <c r="J268" i="1"/>
  <c r="J271" i="1"/>
  <c r="J279" i="1"/>
  <c r="W27" i="3"/>
  <c r="F27" i="3"/>
  <c r="AA270" i="1"/>
  <c r="AA269" i="1" s="1"/>
  <c r="AA268" i="1" s="1"/>
  <c r="AA258" i="1"/>
  <c r="Z190" i="3" s="1"/>
  <c r="X294" i="1"/>
  <c r="V294" i="1"/>
  <c r="Q292" i="1"/>
  <c r="X293" i="1"/>
  <c r="V293" i="1"/>
  <c r="R293" i="1"/>
  <c r="P293" i="1"/>
  <c r="W292" i="1"/>
  <c r="X295" i="1"/>
  <c r="V295" i="1"/>
  <c r="R295" i="1"/>
  <c r="P295" i="1"/>
  <c r="J295" i="1"/>
  <c r="J261" i="1"/>
  <c r="J282" i="1"/>
  <c r="Q224" i="3"/>
  <c r="Q216" i="3" s="1"/>
  <c r="O224" i="3"/>
  <c r="O216" i="3" s="1"/>
  <c r="J224" i="3"/>
  <c r="J216" i="3" s="1"/>
  <c r="H224" i="3"/>
  <c r="H216" i="3" s="1"/>
  <c r="F224" i="3"/>
  <c r="F216" i="3" s="1"/>
  <c r="R209" i="3"/>
  <c r="P209" i="3"/>
  <c r="N209" i="3"/>
  <c r="K209" i="3"/>
  <c r="I209" i="3"/>
  <c r="G209" i="3"/>
  <c r="E209" i="3"/>
  <c r="S208" i="3"/>
  <c r="G186" i="3"/>
  <c r="S168" i="3"/>
  <c r="K156" i="3"/>
  <c r="T70" i="3"/>
  <c r="K70" i="3"/>
  <c r="U19" i="3"/>
  <c r="R292" i="1"/>
  <c r="S180" i="3"/>
  <c r="T207" i="1"/>
  <c r="S178" i="3"/>
  <c r="S182" i="3"/>
  <c r="S21" i="3"/>
  <c r="S19" i="3" s="1"/>
  <c r="AA235" i="1"/>
  <c r="Z204" i="3" s="1"/>
  <c r="Z202" i="3" s="1"/>
  <c r="AA233" i="1"/>
  <c r="AA229" i="1"/>
  <c r="AA227" i="1"/>
  <c r="AA225" i="1"/>
  <c r="Z169" i="3" s="1"/>
  <c r="Z208" i="3"/>
  <c r="Z207" i="3" s="1"/>
  <c r="Q294" i="1"/>
  <c r="W224" i="3"/>
  <c r="W216" i="3" s="1"/>
  <c r="U224" i="3"/>
  <c r="I187" i="3"/>
  <c r="S166" i="3"/>
  <c r="S149" i="3"/>
  <c r="S142" i="3"/>
  <c r="T272" i="1"/>
  <c r="S171" i="3"/>
  <c r="S165" i="3"/>
  <c r="S158" i="3"/>
  <c r="S160" i="3"/>
  <c r="AA267" i="1"/>
  <c r="AA263" i="1"/>
  <c r="AA262" i="1" s="1"/>
  <c r="AA261" i="1" s="1"/>
  <c r="AA256" i="1"/>
  <c r="AA247" i="1"/>
  <c r="Z148" i="3" s="1"/>
  <c r="AA241" i="1"/>
  <c r="AA240" i="1" s="1"/>
  <c r="AA239" i="1" s="1"/>
  <c r="AA232" i="1"/>
  <c r="Z193" i="3" s="1"/>
  <c r="AA230" i="1"/>
  <c r="Z185" i="3" s="1"/>
  <c r="Z184" i="3" s="1"/>
  <c r="AA228" i="1"/>
  <c r="AA226" i="1"/>
  <c r="AA217" i="1"/>
  <c r="Z144" i="3" s="1"/>
  <c r="AA211" i="1"/>
  <c r="Y294" i="1"/>
  <c r="W294" i="1"/>
  <c r="U294" i="1"/>
  <c r="R294" i="1"/>
  <c r="P294" i="1"/>
  <c r="Y293" i="1"/>
  <c r="W293" i="1"/>
  <c r="U293" i="1"/>
  <c r="Q293" i="1"/>
  <c r="Y295" i="1"/>
  <c r="W295" i="1"/>
  <c r="U295" i="1"/>
  <c r="Q295" i="1"/>
  <c r="T209" i="1"/>
  <c r="T208" i="1"/>
  <c r="P186" i="3"/>
  <c r="K186" i="3"/>
  <c r="S183" i="3"/>
  <c r="S179" i="3"/>
  <c r="X202" i="3"/>
  <c r="X200" i="3" s="1"/>
  <c r="V202" i="3"/>
  <c r="V200" i="3" s="1"/>
  <c r="T202" i="3"/>
  <c r="T200" i="3" s="1"/>
  <c r="R202" i="3"/>
  <c r="P202" i="3"/>
  <c r="N202" i="3"/>
  <c r="G202" i="3"/>
  <c r="E202" i="3"/>
  <c r="V187" i="3"/>
  <c r="V153" i="3" s="1"/>
  <c r="V231" i="3" s="1"/>
  <c r="E187" i="3"/>
  <c r="E153" i="3" s="1"/>
  <c r="E231" i="3" s="1"/>
  <c r="W71" i="3"/>
  <c r="U71" i="3"/>
  <c r="S71" i="3"/>
  <c r="Q71" i="3"/>
  <c r="O71" i="3"/>
  <c r="J71" i="3"/>
  <c r="H71" i="3"/>
  <c r="F71" i="3"/>
  <c r="P68" i="3"/>
  <c r="V69" i="3"/>
  <c r="R69" i="3"/>
  <c r="N69" i="3"/>
  <c r="I69" i="3"/>
  <c r="E69" i="3"/>
  <c r="AA67" i="1"/>
  <c r="Z47" i="3"/>
  <c r="AA70" i="1"/>
  <c r="Z62" i="3"/>
  <c r="Z29" i="3" s="1"/>
  <c r="I34" i="3"/>
  <c r="J27" i="3"/>
  <c r="K294" i="1"/>
  <c r="S224" i="3"/>
  <c r="AA288" i="1"/>
  <c r="S211" i="3"/>
  <c r="S205" i="3"/>
  <c r="Z196" i="3"/>
  <c r="X186" i="3"/>
  <c r="AA276" i="1"/>
  <c r="Z191" i="3" s="1"/>
  <c r="S191" i="3"/>
  <c r="S189" i="3"/>
  <c r="T186" i="3"/>
  <c r="Z167" i="3"/>
  <c r="S167" i="3"/>
  <c r="AA222" i="1"/>
  <c r="Z165" i="3" s="1"/>
  <c r="S164" i="3"/>
  <c r="AA44" i="1"/>
  <c r="Z164" i="3" s="1"/>
  <c r="AA251" i="1"/>
  <c r="Z163" i="3" s="1"/>
  <c r="AA139" i="1"/>
  <c r="Z160" i="3" s="1"/>
  <c r="AA249" i="1"/>
  <c r="T243" i="1"/>
  <c r="Z159" i="3"/>
  <c r="T156" i="3"/>
  <c r="AA220" i="1"/>
  <c r="Z158" i="3" s="1"/>
  <c r="AA246" i="1"/>
  <c r="Z145" i="3" s="1"/>
  <c r="S145" i="3"/>
  <c r="AA214" i="1"/>
  <c r="Z141" i="3" s="1"/>
  <c r="S140" i="3"/>
  <c r="T204" i="1"/>
  <c r="AA41" i="1"/>
  <c r="Z136" i="3" s="1"/>
  <c r="S128" i="3"/>
  <c r="AA196" i="1"/>
  <c r="Z127" i="3" s="1"/>
  <c r="AA179" i="1"/>
  <c r="Z123" i="3" s="1"/>
  <c r="AA29" i="1"/>
  <c r="Z106" i="3" s="1"/>
  <c r="T19" i="1"/>
  <c r="AA164" i="1"/>
  <c r="Z103" i="3" s="1"/>
  <c r="T148" i="1"/>
  <c r="S88" i="3"/>
  <c r="S73" i="3"/>
  <c r="AA95" i="1"/>
  <c r="Z63" i="3" s="1"/>
  <c r="AA90" i="1"/>
  <c r="Z58" i="3" s="1"/>
  <c r="T193" i="1"/>
  <c r="S57" i="3"/>
  <c r="AA89" i="1"/>
  <c r="Z56" i="3" s="1"/>
  <c r="U292" i="1"/>
  <c r="AA84" i="1"/>
  <c r="Z51" i="3" s="1"/>
  <c r="AA78" i="1"/>
  <c r="Z44" i="3" s="1"/>
  <c r="T63" i="1"/>
  <c r="Y292" i="1"/>
  <c r="X292" i="1"/>
  <c r="AA77" i="1"/>
  <c r="Z37" i="3" s="1"/>
  <c r="U26" i="3"/>
  <c r="AA122" i="1"/>
  <c r="V292" i="1"/>
  <c r="T114" i="1"/>
  <c r="Z197" i="3"/>
  <c r="AA272" i="1"/>
  <c r="AA271" i="1" s="1"/>
  <c r="Z189" i="3"/>
  <c r="AA185" i="1"/>
  <c r="AA184" i="1" s="1"/>
  <c r="Z124" i="3"/>
  <c r="AA151" i="1"/>
  <c r="Z95" i="3"/>
  <c r="Z23" i="3"/>
  <c r="Z227" i="3"/>
  <c r="L292" i="1"/>
  <c r="K292" i="1"/>
  <c r="K202" i="3"/>
  <c r="I202" i="3"/>
  <c r="AA85" i="1"/>
  <c r="T66" i="1"/>
  <c r="X138" i="3"/>
  <c r="V138" i="3"/>
  <c r="T138" i="3"/>
  <c r="P138" i="3"/>
  <c r="K138" i="3"/>
  <c r="I138" i="3"/>
  <c r="X131" i="3"/>
  <c r="V131" i="3"/>
  <c r="T131" i="3"/>
  <c r="P131" i="3"/>
  <c r="K131" i="3"/>
  <c r="X126" i="3"/>
  <c r="V126" i="3"/>
  <c r="T126" i="3"/>
  <c r="P126" i="3"/>
  <c r="K126" i="3"/>
  <c r="I126" i="3"/>
  <c r="P92" i="3"/>
  <c r="W92" i="3"/>
  <c r="U92" i="3"/>
  <c r="Q92" i="3"/>
  <c r="O92" i="3"/>
  <c r="J92" i="3"/>
  <c r="H92" i="3"/>
  <c r="F92" i="3"/>
  <c r="V89" i="3"/>
  <c r="I89" i="3"/>
  <c r="W70" i="3"/>
  <c r="U70" i="3"/>
  <c r="Q70" i="3"/>
  <c r="O70" i="3"/>
  <c r="J70" i="3"/>
  <c r="H70" i="3"/>
  <c r="F70" i="3"/>
  <c r="W68" i="3"/>
  <c r="U68" i="3"/>
  <c r="Q68" i="3"/>
  <c r="O68" i="3"/>
  <c r="J68" i="3"/>
  <c r="H68" i="3"/>
  <c r="F68" i="3"/>
  <c r="W187" i="3"/>
  <c r="W153" i="3" s="1"/>
  <c r="W231" i="3" s="1"/>
  <c r="U187" i="3"/>
  <c r="U153" i="3" s="1"/>
  <c r="U231" i="3" s="1"/>
  <c r="Q187" i="3"/>
  <c r="Q153" i="3" s="1"/>
  <c r="Q231" i="3" s="1"/>
  <c r="O187" i="3"/>
  <c r="O153" i="3" s="1"/>
  <c r="O231" i="3" s="1"/>
  <c r="J187" i="3"/>
  <c r="J153" i="3" s="1"/>
  <c r="J231" i="3" s="1"/>
  <c r="H187" i="3"/>
  <c r="H153" i="3" s="1"/>
  <c r="H231" i="3" s="1"/>
  <c r="F187" i="3"/>
  <c r="F153" i="3" s="1"/>
  <c r="F231" i="3" s="1"/>
  <c r="W186" i="3"/>
  <c r="U186" i="3"/>
  <c r="Q186" i="3"/>
  <c r="J186" i="3"/>
  <c r="F186" i="3"/>
  <c r="X172" i="3"/>
  <c r="V172" i="3"/>
  <c r="T172" i="3"/>
  <c r="R172" i="3"/>
  <c r="P172" i="3"/>
  <c r="N172" i="3"/>
  <c r="K172" i="3"/>
  <c r="I172" i="3"/>
  <c r="G172" i="3"/>
  <c r="E172" i="3"/>
  <c r="X156" i="3"/>
  <c r="V156" i="3"/>
  <c r="P156" i="3"/>
  <c r="I156" i="3"/>
  <c r="G156" i="3"/>
  <c r="X224" i="3"/>
  <c r="X216" i="3" s="1"/>
  <c r="V224" i="3"/>
  <c r="V216" i="3" s="1"/>
  <c r="T224" i="3"/>
  <c r="T216" i="3" s="1"/>
  <c r="P224" i="3"/>
  <c r="P216" i="3" s="1"/>
  <c r="K224" i="3"/>
  <c r="K216" i="3" s="1"/>
  <c r="I224" i="3"/>
  <c r="G224" i="3"/>
  <c r="G216" i="3" s="1"/>
  <c r="W209" i="3"/>
  <c r="U209" i="3"/>
  <c r="Q209" i="3"/>
  <c r="J209" i="3"/>
  <c r="H209" i="3"/>
  <c r="F209" i="3"/>
  <c r="W202" i="3"/>
  <c r="U202" i="3"/>
  <c r="Q202" i="3"/>
  <c r="Q200" i="3" s="1"/>
  <c r="O202" i="3"/>
  <c r="J202" i="3"/>
  <c r="H202" i="3"/>
  <c r="X187" i="3"/>
  <c r="X153" i="3" s="1"/>
  <c r="X231" i="3" s="1"/>
  <c r="T187" i="3"/>
  <c r="T153" i="3" s="1"/>
  <c r="T231" i="3" s="1"/>
  <c r="P187" i="3"/>
  <c r="P153" i="3" s="1"/>
  <c r="P231" i="3" s="1"/>
  <c r="K187" i="3"/>
  <c r="K153" i="3" s="1"/>
  <c r="K231" i="3" s="1"/>
  <c r="G187" i="3"/>
  <c r="G153" i="3" s="1"/>
  <c r="G231" i="3" s="1"/>
  <c r="V186" i="3"/>
  <c r="I186" i="3"/>
  <c r="W172" i="3"/>
  <c r="W150" i="3" s="1"/>
  <c r="U172" i="3"/>
  <c r="Q172" i="3"/>
  <c r="O172" i="3"/>
  <c r="J172" i="3"/>
  <c r="H172" i="3"/>
  <c r="F172" i="3"/>
  <c r="W156" i="3"/>
  <c r="U156" i="3"/>
  <c r="Q156" i="3"/>
  <c r="O156" i="3"/>
  <c r="J156" i="3"/>
  <c r="H156" i="3"/>
  <c r="F156" i="3"/>
  <c r="W138" i="3"/>
  <c r="U138" i="3"/>
  <c r="Q138" i="3"/>
  <c r="O138" i="3"/>
  <c r="J138" i="3"/>
  <c r="F138" i="3"/>
  <c r="W131" i="3"/>
  <c r="U131" i="3"/>
  <c r="Q131" i="3"/>
  <c r="O131" i="3"/>
  <c r="W126" i="3"/>
  <c r="U126" i="3"/>
  <c r="Q126" i="3"/>
  <c r="O126" i="3"/>
  <c r="J126" i="3"/>
  <c r="H126" i="3"/>
  <c r="F126" i="3"/>
  <c r="X92" i="3"/>
  <c r="G92" i="3"/>
  <c r="V71" i="3"/>
  <c r="E71" i="3"/>
  <c r="X68" i="3"/>
  <c r="G68" i="3"/>
  <c r="X34" i="3"/>
  <c r="V34" i="3"/>
  <c r="T34" i="3"/>
  <c r="P34" i="3"/>
  <c r="K34" i="3"/>
  <c r="G34" i="3"/>
  <c r="U29" i="3"/>
  <c r="Q29" i="3"/>
  <c r="J29" i="3"/>
  <c r="H29" i="3"/>
  <c r="W26" i="3"/>
  <c r="Q26" i="3"/>
  <c r="O26" i="3"/>
  <c r="J26" i="3"/>
  <c r="H26" i="3"/>
  <c r="X19" i="3"/>
  <c r="V19" i="3"/>
  <c r="T19" i="3"/>
  <c r="P19" i="3"/>
  <c r="K19" i="3"/>
  <c r="I19" i="3"/>
  <c r="T92" i="3"/>
  <c r="K92" i="3"/>
  <c r="W89" i="3"/>
  <c r="U89" i="3"/>
  <c r="Q89" i="3"/>
  <c r="O89" i="3"/>
  <c r="J89" i="3"/>
  <c r="H89" i="3"/>
  <c r="F89" i="3"/>
  <c r="R71" i="3"/>
  <c r="I71" i="3"/>
  <c r="X70" i="3"/>
  <c r="P70" i="3"/>
  <c r="G70" i="3"/>
  <c r="W69" i="3"/>
  <c r="U69" i="3"/>
  <c r="Q69" i="3"/>
  <c r="O69" i="3"/>
  <c r="J69" i="3"/>
  <c r="H69" i="3"/>
  <c r="F69" i="3"/>
  <c r="T68" i="3"/>
  <c r="K68" i="3"/>
  <c r="Z34" i="3"/>
  <c r="W34" i="3"/>
  <c r="W229" i="3" s="1"/>
  <c r="U34" i="3"/>
  <c r="S34" i="3"/>
  <c r="Q34" i="3"/>
  <c r="O34" i="3"/>
  <c r="O229" i="3" s="1"/>
  <c r="J34" i="3"/>
  <c r="H34" i="3"/>
  <c r="F34" i="3"/>
  <c r="Z27" i="3"/>
  <c r="U27" i="3"/>
  <c r="Q27" i="3"/>
  <c r="Q229" i="3" s="1"/>
  <c r="H27" i="3"/>
  <c r="Q19" i="3"/>
  <c r="H19" i="3"/>
  <c r="U216" i="3"/>
  <c r="I131" i="3"/>
  <c r="V92" i="3"/>
  <c r="R92" i="3"/>
  <c r="N92" i="3"/>
  <c r="I92" i="3"/>
  <c r="X89" i="3"/>
  <c r="T89" i="3"/>
  <c r="P89" i="3"/>
  <c r="K89" i="3"/>
  <c r="X71" i="3"/>
  <c r="T71" i="3"/>
  <c r="P71" i="3"/>
  <c r="K71" i="3"/>
  <c r="G71" i="3"/>
  <c r="V70" i="3"/>
  <c r="R70" i="3"/>
  <c r="N70" i="3"/>
  <c r="I70" i="3"/>
  <c r="E70" i="3"/>
  <c r="X69" i="3"/>
  <c r="T69" i="3"/>
  <c r="P69" i="3"/>
  <c r="K69" i="3"/>
  <c r="G69" i="3"/>
  <c r="V68" i="3"/>
  <c r="I68" i="3"/>
  <c r="E68" i="3"/>
  <c r="J131" i="3"/>
  <c r="H131" i="3"/>
  <c r="F131" i="3"/>
  <c r="X29" i="3"/>
  <c r="V29" i="3"/>
  <c r="T29" i="3"/>
  <c r="R29" i="3"/>
  <c r="P29" i="3"/>
  <c r="N29" i="3"/>
  <c r="K29" i="3"/>
  <c r="I29" i="3"/>
  <c r="G29" i="3"/>
  <c r="E29" i="3"/>
  <c r="X27" i="3"/>
  <c r="V27" i="3"/>
  <c r="T27" i="3"/>
  <c r="R27" i="3"/>
  <c r="P27" i="3"/>
  <c r="N27" i="3"/>
  <c r="K27" i="3"/>
  <c r="I27" i="3"/>
  <c r="G27" i="3"/>
  <c r="E27" i="3"/>
  <c r="X26" i="3"/>
  <c r="V26" i="3"/>
  <c r="T26" i="3"/>
  <c r="P26" i="3"/>
  <c r="K26" i="3"/>
  <c r="I26" i="3"/>
  <c r="W19" i="3"/>
  <c r="O19" i="3"/>
  <c r="J19" i="3"/>
  <c r="F19" i="3"/>
  <c r="S86" i="1"/>
  <c r="O86" i="1"/>
  <c r="Z92" i="3" l="1"/>
  <c r="Z71" i="3"/>
  <c r="S69" i="3"/>
  <c r="Z68" i="3"/>
  <c r="H229" i="3"/>
  <c r="H200" i="3"/>
  <c r="N200" i="3"/>
  <c r="R200" i="3"/>
  <c r="R53" i="3"/>
  <c r="R34" i="3" s="1"/>
  <c r="S71" i="1"/>
  <c r="S293" i="1" s="1"/>
  <c r="R229" i="3"/>
  <c r="X230" i="3"/>
  <c r="F150" i="3"/>
  <c r="J150" i="3"/>
  <c r="S172" i="3"/>
  <c r="S153" i="3"/>
  <c r="T294" i="1"/>
  <c r="T62" i="1"/>
  <c r="T192" i="1"/>
  <c r="T203" i="1"/>
  <c r="T242" i="1"/>
  <c r="S173" i="3"/>
  <c r="T295" i="1"/>
  <c r="T271" i="1"/>
  <c r="K150" i="3"/>
  <c r="S207" i="3"/>
  <c r="S139" i="3"/>
  <c r="S221" i="3"/>
  <c r="T293" i="1"/>
  <c r="Z134" i="3"/>
  <c r="Z131" i="3" s="1"/>
  <c r="S184" i="3"/>
  <c r="Z65" i="3"/>
  <c r="Z31" i="3" s="1"/>
  <c r="AA69" i="1"/>
  <c r="S212" i="3"/>
  <c r="S28" i="3"/>
  <c r="Z59" i="3"/>
  <c r="AA68" i="1"/>
  <c r="S31" i="3"/>
  <c r="S33" i="3"/>
  <c r="Z120" i="3"/>
  <c r="Z90" i="3" s="1"/>
  <c r="AA149" i="1"/>
  <c r="S91" i="3"/>
  <c r="T239" i="1"/>
  <c r="N53" i="3"/>
  <c r="N34" i="3" s="1"/>
  <c r="N229" i="3" s="1"/>
  <c r="O71" i="1"/>
  <c r="O293" i="1" s="1"/>
  <c r="S89" i="3"/>
  <c r="S29" i="3"/>
  <c r="S126" i="3"/>
  <c r="S131" i="3"/>
  <c r="U200" i="3"/>
  <c r="S209" i="3"/>
  <c r="W200" i="3"/>
  <c r="W228" i="3" s="1"/>
  <c r="G150" i="3"/>
  <c r="S70" i="3"/>
  <c r="S92" i="3"/>
  <c r="K200" i="3"/>
  <c r="T113" i="1"/>
  <c r="S26" i="3"/>
  <c r="T147" i="1"/>
  <c r="T18" i="1"/>
  <c r="S138" i="3"/>
  <c r="S202" i="3"/>
  <c r="Z211" i="3"/>
  <c r="Z209" i="3" s="1"/>
  <c r="Z200" i="3" s="1"/>
  <c r="AA71" i="1"/>
  <c r="S27" i="3"/>
  <c r="G200" i="3"/>
  <c r="P200" i="3"/>
  <c r="S174" i="3"/>
  <c r="P150" i="3"/>
  <c r="P228" i="3" s="1"/>
  <c r="Z171" i="3"/>
  <c r="Z156" i="3" s="1"/>
  <c r="T261" i="1"/>
  <c r="S203" i="3"/>
  <c r="S220" i="3"/>
  <c r="T184" i="1"/>
  <c r="Z108" i="3"/>
  <c r="T268" i="1"/>
  <c r="S154" i="3"/>
  <c r="T282" i="1"/>
  <c r="S218" i="3"/>
  <c r="AA119" i="1"/>
  <c r="S198" i="3"/>
  <c r="AA116" i="1"/>
  <c r="AA120" i="1"/>
  <c r="S20" i="3"/>
  <c r="S157" i="3"/>
  <c r="Z74" i="3"/>
  <c r="Z69" i="3" s="1"/>
  <c r="AA115" i="1"/>
  <c r="Z76" i="3"/>
  <c r="Z72" i="3" s="1"/>
  <c r="AA118" i="1"/>
  <c r="S72" i="3"/>
  <c r="S90" i="3"/>
  <c r="Z122" i="3"/>
  <c r="Z91" i="3" s="1"/>
  <c r="AA150" i="1"/>
  <c r="Z129" i="3"/>
  <c r="T279" i="1"/>
  <c r="J200" i="3"/>
  <c r="K229" i="3"/>
  <c r="P229" i="3"/>
  <c r="I216" i="3"/>
  <c r="I200" i="3"/>
  <c r="I153" i="3"/>
  <c r="I217" i="3"/>
  <c r="I229" i="3" s="1"/>
  <c r="I151" i="3"/>
  <c r="I152" i="3"/>
  <c r="I201" i="3"/>
  <c r="V150" i="3"/>
  <c r="V228" i="3" s="1"/>
  <c r="U229" i="3"/>
  <c r="Q230" i="3"/>
  <c r="U230" i="3"/>
  <c r="P230" i="3"/>
  <c r="F229" i="3"/>
  <c r="J292" i="1"/>
  <c r="Z216" i="3"/>
  <c r="Z89" i="3"/>
  <c r="S68" i="3"/>
  <c r="Z126" i="3"/>
  <c r="S186" i="3"/>
  <c r="AA244" i="1"/>
  <c r="Q150" i="3"/>
  <c r="Q228" i="3" s="1"/>
  <c r="U150" i="3"/>
  <c r="U228" i="3" s="1"/>
  <c r="AA206" i="1"/>
  <c r="Z179" i="3"/>
  <c r="Z173" i="3" s="1"/>
  <c r="Z152" i="3" s="1"/>
  <c r="Z180" i="3"/>
  <c r="AA207" i="1"/>
  <c r="AA293" i="1" s="1"/>
  <c r="Z183" i="3"/>
  <c r="Z174" i="3" s="1"/>
  <c r="V229" i="3"/>
  <c r="G230" i="3"/>
  <c r="K230" i="3"/>
  <c r="T230" i="3"/>
  <c r="H230" i="3"/>
  <c r="O230" i="3"/>
  <c r="W230" i="3"/>
  <c r="S156" i="3"/>
  <c r="AA205" i="1"/>
  <c r="AA208" i="1"/>
  <c r="Z170" i="3"/>
  <c r="Z157" i="3" s="1"/>
  <c r="Z151" i="3" s="1"/>
  <c r="Z178" i="3"/>
  <c r="Z182" i="3"/>
  <c r="Z172" i="3" s="1"/>
  <c r="Z194" i="3"/>
  <c r="Z187" i="3" s="1"/>
  <c r="Z153" i="3" s="1"/>
  <c r="Z231" i="3" s="1"/>
  <c r="AA209" i="1"/>
  <c r="J229" i="3"/>
  <c r="Z186" i="3"/>
  <c r="X150" i="3"/>
  <c r="X228" i="3" s="1"/>
  <c r="T150" i="3"/>
  <c r="T228" i="3" s="1"/>
  <c r="AA114" i="1"/>
  <c r="AA113" i="1" s="1"/>
  <c r="AA204" i="1"/>
  <c r="AA203" i="1" s="1"/>
  <c r="Z138" i="3"/>
  <c r="AA243" i="1"/>
  <c r="AA242" i="1" s="1"/>
  <c r="AA19" i="1"/>
  <c r="AA18" i="1" s="1"/>
  <c r="Z26" i="3"/>
  <c r="AA63" i="1"/>
  <c r="AA62" i="1" s="1"/>
  <c r="Z21" i="3"/>
  <c r="Z19" i="3" s="1"/>
  <c r="I150" i="3"/>
  <c r="Z52" i="3"/>
  <c r="Z28" i="3" s="1"/>
  <c r="AA66" i="1"/>
  <c r="AA294" i="1" s="1"/>
  <c r="K228" i="3"/>
  <c r="G229" i="3"/>
  <c r="T229" i="3"/>
  <c r="X229" i="3"/>
  <c r="I230" i="3"/>
  <c r="J230" i="3"/>
  <c r="V230" i="3"/>
  <c r="S230" i="3" l="1"/>
  <c r="S200" i="3"/>
  <c r="J228" i="3"/>
  <c r="S150" i="3"/>
  <c r="S151" i="3"/>
  <c r="S216" i="3"/>
  <c r="S201" i="3"/>
  <c r="S231" i="3"/>
  <c r="Z230" i="3"/>
  <c r="T292" i="1"/>
  <c r="S217" i="3"/>
  <c r="S152" i="3"/>
  <c r="I228" i="3"/>
  <c r="I231" i="3"/>
  <c r="AA295" i="1"/>
  <c r="Z150" i="3"/>
  <c r="Z228" i="3" s="1"/>
  <c r="Z229" i="3"/>
  <c r="AA292" i="1"/>
  <c r="F38" i="1"/>
  <c r="E133" i="3" s="1"/>
  <c r="S229" i="3" l="1"/>
  <c r="S228" i="3"/>
  <c r="S218" i="1"/>
  <c r="O225" i="1"/>
  <c r="N169" i="3" s="1"/>
  <c r="O218" i="1"/>
  <c r="F218" i="1"/>
  <c r="E145" i="3" s="1"/>
  <c r="S221" i="1"/>
  <c r="O221" i="1"/>
  <c r="F42" i="1"/>
  <c r="E137" i="3" s="1"/>
  <c r="F40" i="1"/>
  <c r="E135" i="3" s="1"/>
  <c r="F35" i="1"/>
  <c r="E129" i="3" s="1"/>
  <c r="F219" i="1"/>
  <c r="E149" i="3" s="1"/>
  <c r="F180" i="1"/>
  <c r="E124" i="3" s="1"/>
  <c r="S103" i="1"/>
  <c r="O103" i="1"/>
  <c r="O76" i="1"/>
  <c r="F76" i="1"/>
  <c r="S246" i="1"/>
  <c r="O246" i="1"/>
  <c r="S76" i="1"/>
  <c r="S39" i="1"/>
  <c r="R134" i="3" s="1"/>
  <c r="O39" i="1"/>
  <c r="N134" i="3" s="1"/>
  <c r="F215" i="1"/>
  <c r="E142" i="3" s="1"/>
  <c r="F77" i="1"/>
  <c r="E37" i="3" s="1"/>
  <c r="F39" i="1"/>
  <c r="E134" i="3" s="1"/>
  <c r="S139" i="1"/>
  <c r="O139" i="1"/>
  <c r="E290" i="1"/>
  <c r="M290" i="1" s="1"/>
  <c r="F266" i="1"/>
  <c r="S265" i="1"/>
  <c r="O265" i="1"/>
  <c r="N266" i="1"/>
  <c r="S225" i="1"/>
  <c r="R169" i="3" s="1"/>
  <c r="E105" i="1"/>
  <c r="E104" i="1"/>
  <c r="N105" i="1"/>
  <c r="N104" i="1"/>
  <c r="S213" i="1"/>
  <c r="O213" i="1"/>
  <c r="S196" i="1"/>
  <c r="O196" i="1"/>
  <c r="F196" i="1"/>
  <c r="E127" i="3" s="1"/>
  <c r="S77" i="1"/>
  <c r="R37" i="3" s="1"/>
  <c r="O77" i="1"/>
  <c r="N37" i="3" s="1"/>
  <c r="I231" i="1"/>
  <c r="H189" i="3" s="1"/>
  <c r="H186" i="3" s="1"/>
  <c r="H150" i="3" s="1"/>
  <c r="F95" i="1"/>
  <c r="E63" i="3" s="1"/>
  <c r="F58" i="1"/>
  <c r="E208" i="3" s="1"/>
  <c r="E207" i="3" s="1"/>
  <c r="S214" i="1"/>
  <c r="R141" i="3" s="1"/>
  <c r="O214" i="1"/>
  <c r="N141" i="3" s="1"/>
  <c r="F214" i="1"/>
  <c r="S179" i="1"/>
  <c r="O179" i="1"/>
  <c r="F179" i="1"/>
  <c r="E123" i="3" s="1"/>
  <c r="S273" i="1"/>
  <c r="S272" i="1" s="1"/>
  <c r="S271" i="1" s="1"/>
  <c r="O273" i="1"/>
  <c r="O272" i="1" s="1"/>
  <c r="O271" i="1" s="1"/>
  <c r="F273" i="1"/>
  <c r="S241" i="1"/>
  <c r="S240" i="1" s="1"/>
  <c r="S239" i="1" s="1"/>
  <c r="O241" i="1"/>
  <c r="O240" i="1" s="1"/>
  <c r="O239" i="1" s="1"/>
  <c r="F241" i="1"/>
  <c r="F240" i="1" s="1"/>
  <c r="F239" i="1" s="1"/>
  <c r="S197" i="1"/>
  <c r="R128" i="3" s="1"/>
  <c r="O197" i="1"/>
  <c r="N128" i="3" s="1"/>
  <c r="F197" i="1"/>
  <c r="S41" i="1"/>
  <c r="R136" i="3" s="1"/>
  <c r="O41" i="1"/>
  <c r="N136" i="3" s="1"/>
  <c r="F41" i="1"/>
  <c r="E136" i="3" s="1"/>
  <c r="P237" i="1"/>
  <c r="O211" i="3" s="1"/>
  <c r="O209" i="3" s="1"/>
  <c r="O200" i="3" s="1"/>
  <c r="F195" i="1"/>
  <c r="O148" i="1" l="1"/>
  <c r="O147" i="1" s="1"/>
  <c r="N123" i="3"/>
  <c r="F204" i="1"/>
  <c r="F203" i="1" s="1"/>
  <c r="E141" i="3"/>
  <c r="E138" i="3" s="1"/>
  <c r="R127" i="3"/>
  <c r="R126" i="3" s="1"/>
  <c r="S193" i="1"/>
  <c r="S192" i="1" s="1"/>
  <c r="R140" i="3"/>
  <c r="AB105" i="1"/>
  <c r="N72" i="1"/>
  <c r="Z72" i="1" s="1"/>
  <c r="Z105" i="1"/>
  <c r="E72" i="1"/>
  <c r="R166" i="3"/>
  <c r="S262" i="1"/>
  <c r="S261" i="1" s="1"/>
  <c r="R35" i="3"/>
  <c r="N35" i="3"/>
  <c r="E57" i="3"/>
  <c r="S148" i="1"/>
  <c r="S147" i="1" s="1"/>
  <c r="R123" i="3"/>
  <c r="N127" i="3"/>
  <c r="N126" i="3" s="1"/>
  <c r="O193" i="1"/>
  <c r="O192" i="1" s="1"/>
  <c r="N140" i="3"/>
  <c r="AB104" i="1"/>
  <c r="Z104" i="1"/>
  <c r="N166" i="3"/>
  <c r="O262" i="1"/>
  <c r="O261" i="1" s="1"/>
  <c r="E171" i="3"/>
  <c r="E156" i="3" s="1"/>
  <c r="F262" i="1"/>
  <c r="F261" i="1" s="1"/>
  <c r="E35" i="3"/>
  <c r="N145" i="3"/>
  <c r="R145" i="3"/>
  <c r="E266" i="1"/>
  <c r="S220" i="1"/>
  <c r="R158" i="3" s="1"/>
  <c r="O220" i="1"/>
  <c r="N158" i="3" s="1"/>
  <c r="AB266" i="1" l="1"/>
  <c r="M266" i="1"/>
  <c r="AB72" i="1"/>
  <c r="F284" i="1"/>
  <c r="F286" i="1"/>
  <c r="O146" i="1" l="1"/>
  <c r="N226" i="3" s="1"/>
  <c r="N224" i="3" s="1"/>
  <c r="N216" i="3" s="1"/>
  <c r="S146" i="1"/>
  <c r="R226" i="3" s="1"/>
  <c r="R224" i="3" s="1"/>
  <c r="R216" i="3" s="1"/>
  <c r="F164" i="1" l="1"/>
  <c r="E103" i="3" s="1"/>
  <c r="F86" i="1" l="1"/>
  <c r="F71" i="1" l="1"/>
  <c r="F293" i="1" s="1"/>
  <c r="E53" i="3"/>
  <c r="E34" i="3" s="1"/>
  <c r="E229" i="3" s="1"/>
  <c r="F270" i="1"/>
  <c r="F269" i="1" s="1"/>
  <c r="F268" i="1" s="1"/>
  <c r="S215" i="1" l="1"/>
  <c r="O215" i="1"/>
  <c r="S252" i="1"/>
  <c r="R164" i="3" s="1"/>
  <c r="O252" i="1"/>
  <c r="N164" i="3" s="1"/>
  <c r="F157" i="1"/>
  <c r="F156" i="1"/>
  <c r="E95" i="3" s="1"/>
  <c r="N85" i="1"/>
  <c r="Z85" i="1" s="1"/>
  <c r="E85" i="1"/>
  <c r="G57" i="1"/>
  <c r="F57" i="1"/>
  <c r="F199" i="1"/>
  <c r="S78" i="1"/>
  <c r="O78" i="1"/>
  <c r="F78" i="1"/>
  <c r="F34" i="1"/>
  <c r="E128" i="3" s="1"/>
  <c r="N211" i="1"/>
  <c r="E211" i="1"/>
  <c r="M211" i="1" s="1"/>
  <c r="S138" i="1"/>
  <c r="O138" i="1"/>
  <c r="H34" i="1"/>
  <c r="H22" i="1"/>
  <c r="F22" i="1"/>
  <c r="S254" i="1"/>
  <c r="O254" i="1"/>
  <c r="S251" i="1"/>
  <c r="R163" i="3" s="1"/>
  <c r="O251" i="1"/>
  <c r="N163" i="3" s="1"/>
  <c r="S250" i="1"/>
  <c r="R160" i="3" s="1"/>
  <c r="O250" i="1"/>
  <c r="N160" i="3" s="1"/>
  <c r="S249" i="1"/>
  <c r="R159" i="3" s="1"/>
  <c r="O249" i="1"/>
  <c r="S253" i="1"/>
  <c r="O253" i="1"/>
  <c r="H218" i="1"/>
  <c r="S188" i="1"/>
  <c r="R104" i="3" s="1"/>
  <c r="R89" i="3" s="1"/>
  <c r="O188" i="1"/>
  <c r="N104" i="3" s="1"/>
  <c r="N89" i="3" s="1"/>
  <c r="F188" i="1"/>
  <c r="E104" i="3" s="1"/>
  <c r="S187" i="1"/>
  <c r="O187" i="1"/>
  <c r="O185" i="1" s="1"/>
  <c r="O184" i="1" s="1"/>
  <c r="F187" i="1"/>
  <c r="H164" i="1"/>
  <c r="F155" i="1"/>
  <c r="E94" i="3" s="1"/>
  <c r="F89" i="1"/>
  <c r="E56" i="3" s="1"/>
  <c r="F97" i="1"/>
  <c r="S97" i="1"/>
  <c r="O97" i="1"/>
  <c r="S96" i="1"/>
  <c r="R64" i="3" s="1"/>
  <c r="O96" i="1"/>
  <c r="N64" i="3" s="1"/>
  <c r="F96" i="1"/>
  <c r="E64" i="3" s="1"/>
  <c r="S90" i="1"/>
  <c r="R58" i="3" s="1"/>
  <c r="O90" i="1"/>
  <c r="N58" i="3" s="1"/>
  <c r="F90" i="1"/>
  <c r="E58" i="3" s="1"/>
  <c r="G77" i="1"/>
  <c r="F49" i="1"/>
  <c r="E185" i="3" s="1"/>
  <c r="E184" i="3" s="1"/>
  <c r="H41" i="1"/>
  <c r="G136" i="3" s="1"/>
  <c r="G131" i="3" s="1"/>
  <c r="S22" i="1"/>
  <c r="O22" i="1"/>
  <c r="S140" i="1"/>
  <c r="O140" i="1"/>
  <c r="S247" i="1"/>
  <c r="N21" i="3" l="1"/>
  <c r="N19" i="3" s="1"/>
  <c r="G63" i="1"/>
  <c r="G62" i="1" s="1"/>
  <c r="F37" i="3"/>
  <c r="F26" i="3" s="1"/>
  <c r="R65" i="3"/>
  <c r="R31" i="3" s="1"/>
  <c r="R230" i="3" s="1"/>
  <c r="S69" i="1"/>
  <c r="S294" i="1" s="1"/>
  <c r="H148" i="1"/>
  <c r="H147" i="1" s="1"/>
  <c r="G103" i="3"/>
  <c r="G89" i="3" s="1"/>
  <c r="O243" i="1"/>
  <c r="O242" i="1" s="1"/>
  <c r="N159" i="3"/>
  <c r="N167" i="3"/>
  <c r="R88" i="3"/>
  <c r="R68" i="3" s="1"/>
  <c r="E44" i="3"/>
  <c r="E26" i="3" s="1"/>
  <c r="R44" i="3"/>
  <c r="R26" i="3" s="1"/>
  <c r="E206" i="3"/>
  <c r="E203" i="3" s="1"/>
  <c r="E201" i="3" s="1"/>
  <c r="F20" i="1"/>
  <c r="D52" i="3"/>
  <c r="L52" i="3" s="1"/>
  <c r="M85" i="1"/>
  <c r="N142" i="3"/>
  <c r="N138" i="3" s="1"/>
  <c r="R148" i="3"/>
  <c r="S243" i="1"/>
  <c r="S242" i="1" s="1"/>
  <c r="R21" i="3"/>
  <c r="R19" i="3" s="1"/>
  <c r="N65" i="3"/>
  <c r="N31" i="3" s="1"/>
  <c r="N230" i="3" s="1"/>
  <c r="O69" i="1"/>
  <c r="O294" i="1" s="1"/>
  <c r="F69" i="1"/>
  <c r="E65" i="3"/>
  <c r="E31" i="3" s="1"/>
  <c r="E89" i="3"/>
  <c r="F185" i="1"/>
  <c r="F184" i="1" s="1"/>
  <c r="S185" i="1"/>
  <c r="S184" i="1" s="1"/>
  <c r="H204" i="1"/>
  <c r="H203" i="1" s="1"/>
  <c r="G145" i="3"/>
  <c r="G138" i="3" s="1"/>
  <c r="R167" i="3"/>
  <c r="H19" i="1"/>
  <c r="H18" i="1" s="1"/>
  <c r="G21" i="3"/>
  <c r="G19" i="3" s="1"/>
  <c r="N88" i="3"/>
  <c r="N68" i="3" s="1"/>
  <c r="N44" i="3"/>
  <c r="N26" i="3" s="1"/>
  <c r="E130" i="3"/>
  <c r="E126" i="3" s="1"/>
  <c r="F193" i="1"/>
  <c r="F192" i="1" s="1"/>
  <c r="F206" i="3"/>
  <c r="G20" i="1"/>
  <c r="G294" i="1" s="1"/>
  <c r="E96" i="3"/>
  <c r="R142" i="3"/>
  <c r="R138" i="3" s="1"/>
  <c r="D28" i="3"/>
  <c r="M52" i="3"/>
  <c r="N66" i="1"/>
  <c r="AB211" i="1"/>
  <c r="AB85" i="1"/>
  <c r="E66" i="1"/>
  <c r="P267" i="1"/>
  <c r="P262" i="1" s="1"/>
  <c r="P261" i="1" s="1"/>
  <c r="S234" i="1"/>
  <c r="R196" i="3" s="1"/>
  <c r="P234" i="1"/>
  <c r="N111" i="1"/>
  <c r="N110" i="1"/>
  <c r="E111" i="1"/>
  <c r="E110" i="1"/>
  <c r="N88" i="1"/>
  <c r="N87" i="1"/>
  <c r="E88" i="1"/>
  <c r="E87" i="1"/>
  <c r="AB88" i="1" l="1"/>
  <c r="AA55" i="3" s="1"/>
  <c r="M88" i="1"/>
  <c r="M55" i="3"/>
  <c r="AB111" i="1"/>
  <c r="AA223" i="3" s="1"/>
  <c r="AA221" i="3" s="1"/>
  <c r="AA217" i="3" s="1"/>
  <c r="M111" i="1"/>
  <c r="M223" i="3"/>
  <c r="Z111" i="1"/>
  <c r="M28" i="3"/>
  <c r="Y52" i="3"/>
  <c r="F203" i="3"/>
  <c r="F201" i="3" s="1"/>
  <c r="F230" i="3"/>
  <c r="AB87" i="1"/>
  <c r="AA54" i="3" s="1"/>
  <c r="M87" i="1"/>
  <c r="M54" i="3"/>
  <c r="AB110" i="1"/>
  <c r="AA222" i="3" s="1"/>
  <c r="AA220" i="3" s="1"/>
  <c r="M110" i="1"/>
  <c r="M222" i="3"/>
  <c r="Z110" i="1"/>
  <c r="O196" i="3"/>
  <c r="O186" i="3" s="1"/>
  <c r="O150" i="3" s="1"/>
  <c r="O228" i="3" s="1"/>
  <c r="P204" i="1"/>
  <c r="P203" i="1" s="1"/>
  <c r="P292" i="1" s="1"/>
  <c r="AB66" i="1"/>
  <c r="AA52" i="3"/>
  <c r="AA28" i="3" s="1"/>
  <c r="D223" i="3"/>
  <c r="D55" i="3"/>
  <c r="L55" i="3" s="1"/>
  <c r="D54" i="3"/>
  <c r="L54" i="3" s="1"/>
  <c r="D222" i="3"/>
  <c r="M220" i="3" l="1"/>
  <c r="Y220" i="3" s="1"/>
  <c r="Y222" i="3"/>
  <c r="M221" i="3"/>
  <c r="Y223" i="3"/>
  <c r="D221" i="3"/>
  <c r="L223" i="3"/>
  <c r="D220" i="3"/>
  <c r="L220" i="3" s="1"/>
  <c r="L222" i="3"/>
  <c r="S144" i="1"/>
  <c r="O144" i="1"/>
  <c r="R190" i="3" l="1"/>
  <c r="R187" i="3" s="1"/>
  <c r="R153" i="3" s="1"/>
  <c r="R231" i="3" s="1"/>
  <c r="S121" i="1"/>
  <c r="S295" i="1" s="1"/>
  <c r="M217" i="3"/>
  <c r="Y217" i="3" s="1"/>
  <c r="Y221" i="3"/>
  <c r="N190" i="3"/>
  <c r="N187" i="3" s="1"/>
  <c r="N153" i="3" s="1"/>
  <c r="N231" i="3" s="1"/>
  <c r="O121" i="1"/>
  <c r="O295" i="1" s="1"/>
  <c r="D217" i="3"/>
  <c r="L217" i="3" s="1"/>
  <c r="L221" i="3"/>
  <c r="N153" i="1"/>
  <c r="E153" i="1" l="1"/>
  <c r="F152" i="1"/>
  <c r="F148" i="1" s="1"/>
  <c r="F147" i="1" s="1"/>
  <c r="S143" i="1"/>
  <c r="O143" i="1"/>
  <c r="O114" i="1" s="1"/>
  <c r="O113" i="1" s="1"/>
  <c r="F122" i="1"/>
  <c r="F109" i="1"/>
  <c r="S40" i="1"/>
  <c r="O40" i="1"/>
  <c r="F37" i="1"/>
  <c r="E132" i="3" l="1"/>
  <c r="E131" i="3" s="1"/>
  <c r="F19" i="1"/>
  <c r="F18" i="1" s="1"/>
  <c r="R135" i="3"/>
  <c r="R131" i="3" s="1"/>
  <c r="S19" i="1"/>
  <c r="S18" i="1" s="1"/>
  <c r="F114" i="1"/>
  <c r="F113" i="1" s="1"/>
  <c r="E21" i="3"/>
  <c r="E19" i="3" s="1"/>
  <c r="AB153" i="1"/>
  <c r="M153" i="1"/>
  <c r="N135" i="3"/>
  <c r="N131" i="3" s="1"/>
  <c r="O19" i="1"/>
  <c r="O18" i="1" s="1"/>
  <c r="E226" i="3"/>
  <c r="E224" i="3" s="1"/>
  <c r="E216" i="3" s="1"/>
  <c r="F63" i="1"/>
  <c r="F62" i="1" s="1"/>
  <c r="N86" i="1"/>
  <c r="E86" i="1"/>
  <c r="N71" i="1" l="1"/>
  <c r="Z71" i="1" s="1"/>
  <c r="M53" i="3"/>
  <c r="Z86" i="1"/>
  <c r="E71" i="1"/>
  <c r="M71" i="1" s="1"/>
  <c r="M86" i="1"/>
  <c r="AB86" i="1"/>
  <c r="D53" i="3"/>
  <c r="S222" i="1"/>
  <c r="O222" i="1"/>
  <c r="N165" i="3" l="1"/>
  <c r="N156" i="3" s="1"/>
  <c r="O204" i="1"/>
  <c r="O203" i="1" s="1"/>
  <c r="Y53" i="3"/>
  <c r="M34" i="3"/>
  <c r="Y34" i="3" s="1"/>
  <c r="R165" i="3"/>
  <c r="R156" i="3" s="1"/>
  <c r="S204" i="1"/>
  <c r="S203" i="1" s="1"/>
  <c r="AB71" i="1"/>
  <c r="AA53" i="3"/>
  <c r="AA34" i="3" s="1"/>
  <c r="D34" i="3"/>
  <c r="L34" i="3" s="1"/>
  <c r="L53" i="3"/>
  <c r="F181" i="1"/>
  <c r="E125" i="3" l="1"/>
  <c r="E92" i="3" s="1"/>
  <c r="E230" i="3" s="1"/>
  <c r="F151" i="1"/>
  <c r="F294" i="1" s="1"/>
  <c r="G56" i="1"/>
  <c r="G19" i="1" l="1"/>
  <c r="G18" i="1" s="1"/>
  <c r="G292" i="1" s="1"/>
  <c r="F205" i="3"/>
  <c r="F202" i="3" s="1"/>
  <c r="F200" i="3" s="1"/>
  <c r="F228" i="3" s="1"/>
  <c r="H195" i="1"/>
  <c r="I214" i="1"/>
  <c r="F289" i="1"/>
  <c r="F278" i="1"/>
  <c r="E197" i="3" s="1"/>
  <c r="E186" i="3" s="1"/>
  <c r="S106" i="1"/>
  <c r="O106" i="1"/>
  <c r="F274" i="1"/>
  <c r="H197" i="1"/>
  <c r="G128" i="3" s="1"/>
  <c r="G126" i="3" s="1"/>
  <c r="E155" i="3" l="1"/>
  <c r="E154" i="3" s="1"/>
  <c r="E150" i="3" s="1"/>
  <c r="F272" i="1"/>
  <c r="F271" i="1" s="1"/>
  <c r="R189" i="3"/>
  <c r="R186" i="3" s="1"/>
  <c r="R150" i="3" s="1"/>
  <c r="R228" i="3" s="1"/>
  <c r="S63" i="1"/>
  <c r="S62" i="1" s="1"/>
  <c r="E214" i="3"/>
  <c r="E200" i="3" s="1"/>
  <c r="F283" i="1"/>
  <c r="F282" i="1" s="1"/>
  <c r="H193" i="1"/>
  <c r="H192" i="1" s="1"/>
  <c r="H292" i="1" s="1"/>
  <c r="G57" i="3"/>
  <c r="G26" i="3" s="1"/>
  <c r="G228" i="3" s="1"/>
  <c r="N189" i="3"/>
  <c r="N186" i="3" s="1"/>
  <c r="N150" i="3" s="1"/>
  <c r="N228" i="3" s="1"/>
  <c r="O63" i="1"/>
  <c r="O62" i="1" s="1"/>
  <c r="O292" i="1" s="1"/>
  <c r="I204" i="1"/>
  <c r="I203" i="1" s="1"/>
  <c r="I292" i="1" s="1"/>
  <c r="H141" i="3"/>
  <c r="H138" i="3" s="1"/>
  <c r="H228" i="3" s="1"/>
  <c r="N84" i="1"/>
  <c r="Z84" i="1" s="1"/>
  <c r="E84" i="1"/>
  <c r="M84" i="1" s="1"/>
  <c r="N260" i="1"/>
  <c r="E260" i="1"/>
  <c r="M225" i="3" l="1"/>
  <c r="Z260" i="1"/>
  <c r="D225" i="3"/>
  <c r="F292" i="1"/>
  <c r="E228" i="3"/>
  <c r="M51" i="3"/>
  <c r="D51" i="3"/>
  <c r="L51" i="3" s="1"/>
  <c r="AB260" i="1"/>
  <c r="AA225" i="3" s="1"/>
  <c r="AB84" i="1"/>
  <c r="N112" i="1"/>
  <c r="Y51" i="3" l="1"/>
  <c r="Y225" i="3"/>
  <c r="AA51" i="3"/>
  <c r="E112" i="1"/>
  <c r="M112" i="1" s="1"/>
  <c r="N99" i="1"/>
  <c r="N98" i="1"/>
  <c r="E99" i="1"/>
  <c r="E98" i="1"/>
  <c r="AB98" i="1" l="1"/>
  <c r="AA66" i="3" s="1"/>
  <c r="M98" i="1"/>
  <c r="M66" i="3"/>
  <c r="AB99" i="1"/>
  <c r="M99" i="1"/>
  <c r="M67" i="3"/>
  <c r="N70" i="1"/>
  <c r="D67" i="3"/>
  <c r="E70" i="1"/>
  <c r="M70" i="1" s="1"/>
  <c r="AB112" i="1"/>
  <c r="D66" i="3"/>
  <c r="L66" i="3" s="1"/>
  <c r="M33" i="3" l="1"/>
  <c r="AA67" i="3"/>
  <c r="AA33" i="3" s="1"/>
  <c r="AB70" i="1"/>
  <c r="D33" i="3"/>
  <c r="L33" i="3" s="1"/>
  <c r="L67" i="3"/>
  <c r="E195" i="1"/>
  <c r="M195" i="1" s="1"/>
  <c r="N195" i="1"/>
  <c r="M57" i="3" l="1"/>
  <c r="Y57" i="3" s="1"/>
  <c r="Z195" i="1"/>
  <c r="D57" i="3"/>
  <c r="L57" i="3" s="1"/>
  <c r="AB195" i="1"/>
  <c r="AA57" i="3" s="1"/>
  <c r="E107" i="1" l="1"/>
  <c r="N107" i="1"/>
  <c r="B63" i="3"/>
  <c r="M199" i="3" l="1"/>
  <c r="Z107" i="1"/>
  <c r="D199" i="3"/>
  <c r="AB107" i="1"/>
  <c r="AA199" i="3" s="1"/>
  <c r="AA198" i="3" s="1"/>
  <c r="N109" i="1"/>
  <c r="N108" i="1"/>
  <c r="Z108" i="1" s="1"/>
  <c r="N106" i="1"/>
  <c r="N103" i="1"/>
  <c r="N102" i="1"/>
  <c r="N101" i="1"/>
  <c r="N100" i="1"/>
  <c r="E109" i="1"/>
  <c r="M109" i="1" s="1"/>
  <c r="E108" i="1"/>
  <c r="E106" i="1"/>
  <c r="M106" i="1" s="1"/>
  <c r="E103" i="1"/>
  <c r="E102" i="1"/>
  <c r="M102" i="1" s="1"/>
  <c r="E101" i="1"/>
  <c r="M101" i="1" s="1"/>
  <c r="E100" i="1"/>
  <c r="M100" i="1" s="1"/>
  <c r="Z106" i="1" l="1"/>
  <c r="Z103" i="1"/>
  <c r="M198" i="3"/>
  <c r="Y198" i="3" s="1"/>
  <c r="Y199" i="3"/>
  <c r="AB100" i="1"/>
  <c r="AB102" i="1"/>
  <c r="AB106" i="1"/>
  <c r="AB109" i="1"/>
  <c r="AB103" i="1"/>
  <c r="AB108" i="1"/>
  <c r="AB101" i="1"/>
  <c r="N94" i="1"/>
  <c r="E94" i="1"/>
  <c r="N83" i="1"/>
  <c r="E83" i="1"/>
  <c r="M50" i="3" l="1"/>
  <c r="M62" i="3"/>
  <c r="D50" i="3"/>
  <c r="L50" i="3" s="1"/>
  <c r="M83" i="1"/>
  <c r="D62" i="3"/>
  <c r="L62" i="3" s="1"/>
  <c r="M94" i="1"/>
  <c r="AB94" i="1"/>
  <c r="AA62" i="3" s="1"/>
  <c r="AB83" i="1"/>
  <c r="AA50" i="3" s="1"/>
  <c r="S145" i="1" l="1"/>
  <c r="S114" i="1" s="1"/>
  <c r="S113" i="1" s="1"/>
  <c r="S292" i="1" s="1"/>
  <c r="D197" i="1" l="1"/>
  <c r="D56" i="1" l="1"/>
  <c r="N265" i="1" l="1"/>
  <c r="E265" i="1"/>
  <c r="M265" i="1" s="1"/>
  <c r="E233" i="1"/>
  <c r="N233" i="1"/>
  <c r="E200" i="1"/>
  <c r="N200" i="1"/>
  <c r="M162" i="3" l="1"/>
  <c r="Y162" i="3" s="1"/>
  <c r="Z200" i="1"/>
  <c r="N209" i="1"/>
  <c r="Z209" i="1" s="1"/>
  <c r="M194" i="3"/>
  <c r="Y194" i="3" s="1"/>
  <c r="Z233" i="1"/>
  <c r="D194" i="3"/>
  <c r="M166" i="3"/>
  <c r="D166" i="3"/>
  <c r="AB200" i="1"/>
  <c r="AA162" i="3" s="1"/>
  <c r="AB233" i="1"/>
  <c r="E209" i="1"/>
  <c r="AB265" i="1"/>
  <c r="AA166" i="3" s="1"/>
  <c r="D162" i="3"/>
  <c r="AA194" i="3" l="1"/>
  <c r="AB209" i="1"/>
  <c r="N48" i="1"/>
  <c r="E48" i="1"/>
  <c r="M48" i="1" s="1"/>
  <c r="N23" i="1"/>
  <c r="E23" i="1"/>
  <c r="M23" i="1" s="1"/>
  <c r="M22" i="3" l="1"/>
  <c r="M181" i="3"/>
  <c r="D181" i="3"/>
  <c r="L181" i="3" s="1"/>
  <c r="AB48" i="1"/>
  <c r="AA181" i="3" s="1"/>
  <c r="AB23" i="1"/>
  <c r="AA22" i="3" s="1"/>
  <c r="D22" i="3"/>
  <c r="L22" i="3" s="1"/>
  <c r="F186" i="1" l="1"/>
  <c r="G186" i="1"/>
  <c r="H186" i="1"/>
  <c r="I186" i="1"/>
  <c r="O186" i="1"/>
  <c r="P186" i="1"/>
  <c r="Q186" i="1"/>
  <c r="R186" i="1"/>
  <c r="S186" i="1"/>
  <c r="E127" i="1" l="1"/>
  <c r="M127" i="1" s="1"/>
  <c r="N127" i="1"/>
  <c r="D127" i="1"/>
  <c r="M77" i="3" l="1"/>
  <c r="Y77" i="3" s="1"/>
  <c r="Z127" i="1"/>
  <c r="AB127" i="1"/>
  <c r="AA77" i="3" s="1"/>
  <c r="D77" i="3"/>
  <c r="L77" i="3" s="1"/>
  <c r="E229" i="1"/>
  <c r="M229" i="1" s="1"/>
  <c r="N229" i="1"/>
  <c r="M183" i="3" l="1"/>
  <c r="N207" i="1"/>
  <c r="M180" i="3"/>
  <c r="D180" i="3"/>
  <c r="L180" i="3" s="1"/>
  <c r="D183" i="3"/>
  <c r="E207" i="1"/>
  <c r="M207" i="1" s="1"/>
  <c r="AB229" i="1"/>
  <c r="E191" i="1"/>
  <c r="N191" i="1"/>
  <c r="E176" i="1"/>
  <c r="E175" i="1"/>
  <c r="N176" i="1"/>
  <c r="N175" i="1"/>
  <c r="D147" i="3"/>
  <c r="N177" i="1"/>
  <c r="N178" i="1"/>
  <c r="E177" i="1"/>
  <c r="E178" i="1"/>
  <c r="M178" i="1" s="1"/>
  <c r="D149" i="1"/>
  <c r="D176" i="1"/>
  <c r="D178" i="1"/>
  <c r="D150" i="1"/>
  <c r="D177" i="1"/>
  <c r="D175" i="1"/>
  <c r="N24" i="1"/>
  <c r="N25" i="1"/>
  <c r="N26" i="1"/>
  <c r="E26" i="1"/>
  <c r="D21" i="1"/>
  <c r="D26" i="1"/>
  <c r="F21" i="1"/>
  <c r="G21" i="1"/>
  <c r="H21" i="1"/>
  <c r="I21" i="1"/>
  <c r="O21" i="1"/>
  <c r="P21" i="1"/>
  <c r="Q21" i="1"/>
  <c r="R21" i="1"/>
  <c r="S21" i="1"/>
  <c r="N21" i="1" l="1"/>
  <c r="M25" i="3"/>
  <c r="M23" i="3"/>
  <c r="D121" i="3"/>
  <c r="L121" i="3" s="1"/>
  <c r="M177" i="1"/>
  <c r="M121" i="3"/>
  <c r="Y121" i="3" s="1"/>
  <c r="Z177" i="1"/>
  <c r="M119" i="3"/>
  <c r="Y119" i="3" s="1"/>
  <c r="Z175" i="1"/>
  <c r="D119" i="3"/>
  <c r="L119" i="3" s="1"/>
  <c r="M175" i="1"/>
  <c r="M147" i="3"/>
  <c r="Z191" i="1"/>
  <c r="AA180" i="3"/>
  <c r="AA183" i="3"/>
  <c r="AA174" i="3" s="1"/>
  <c r="AB207" i="1"/>
  <c r="D25" i="3"/>
  <c r="M26" i="1"/>
  <c r="M24" i="3"/>
  <c r="Y24" i="3" s="1"/>
  <c r="M122" i="3"/>
  <c r="N150" i="1"/>
  <c r="Z150" i="1" s="1"/>
  <c r="Z178" i="1"/>
  <c r="M120" i="3"/>
  <c r="N149" i="1"/>
  <c r="Z149" i="1" s="1"/>
  <c r="Z176" i="1"/>
  <c r="D120" i="3"/>
  <c r="L120" i="3" s="1"/>
  <c r="M176" i="1"/>
  <c r="E186" i="1"/>
  <c r="M186" i="1" s="1"/>
  <c r="M191" i="1"/>
  <c r="M174" i="3"/>
  <c r="D174" i="3"/>
  <c r="L174" i="3" s="1"/>
  <c r="L183" i="3"/>
  <c r="D20" i="3"/>
  <c r="L20" i="3" s="1"/>
  <c r="L25" i="3"/>
  <c r="D139" i="3"/>
  <c r="L139" i="3" s="1"/>
  <c r="AB191" i="1"/>
  <c r="N186" i="1"/>
  <c r="Z186" i="1" s="1"/>
  <c r="AB176" i="1"/>
  <c r="D122" i="3"/>
  <c r="AB175" i="1"/>
  <c r="AA119" i="3" s="1"/>
  <c r="AB177" i="1"/>
  <c r="AA121" i="3" s="1"/>
  <c r="E149" i="1"/>
  <c r="M149" i="1" s="1"/>
  <c r="D90" i="3"/>
  <c r="L90" i="3" s="1"/>
  <c r="AB178" i="1"/>
  <c r="E150" i="1"/>
  <c r="M150" i="1" s="1"/>
  <c r="AB26" i="1"/>
  <c r="E21" i="1"/>
  <c r="M21" i="1" s="1"/>
  <c r="M90" i="3" l="1"/>
  <c r="Y90" i="3" s="1"/>
  <c r="Y120" i="3"/>
  <c r="M139" i="3"/>
  <c r="Y139" i="3" s="1"/>
  <c r="Y147" i="3"/>
  <c r="M20" i="3"/>
  <c r="Y20" i="3" s="1"/>
  <c r="Y25" i="3"/>
  <c r="AB21" i="1"/>
  <c r="AA25" i="3"/>
  <c r="AA20" i="3" s="1"/>
  <c r="AA122" i="3"/>
  <c r="AA91" i="3" s="1"/>
  <c r="AB150" i="1"/>
  <c r="AA120" i="3"/>
  <c r="AA90" i="3" s="1"/>
  <c r="AB149" i="1"/>
  <c r="AB186" i="1"/>
  <c r="AA147" i="3"/>
  <c r="AA139" i="3" s="1"/>
  <c r="M91" i="3"/>
  <c r="Y91" i="3" s="1"/>
  <c r="Y122" i="3"/>
  <c r="D91" i="3"/>
  <c r="L91" i="3" s="1"/>
  <c r="L122" i="3"/>
  <c r="N190" i="1"/>
  <c r="E190" i="1"/>
  <c r="E258" i="1"/>
  <c r="E256" i="1"/>
  <c r="E25" i="1"/>
  <c r="M25" i="1" s="1"/>
  <c r="D171" i="3" l="1"/>
  <c r="L171" i="3" s="1"/>
  <c r="M256" i="1"/>
  <c r="D146" i="3"/>
  <c r="M146" i="3"/>
  <c r="Y146" i="3" s="1"/>
  <c r="Z190" i="1"/>
  <c r="AB190" i="1"/>
  <c r="AA146" i="3" s="1"/>
  <c r="D45" i="3"/>
  <c r="L45" i="3" s="1"/>
  <c r="AB25" i="1"/>
  <c r="AA24" i="3" s="1"/>
  <c r="D24" i="3"/>
  <c r="L24" i="3" s="1"/>
  <c r="N146" i="1"/>
  <c r="Z146" i="1" s="1"/>
  <c r="E146" i="1"/>
  <c r="AB146" i="1" l="1"/>
  <c r="N256" i="1" l="1"/>
  <c r="M171" i="3" l="1"/>
  <c r="AB256" i="1"/>
  <c r="AA171" i="3" s="1"/>
  <c r="N91" i="1" l="1"/>
  <c r="E91" i="1"/>
  <c r="D59" i="3" l="1"/>
  <c r="L59" i="3" s="1"/>
  <c r="M91" i="1"/>
  <c r="M59" i="3"/>
  <c r="N68" i="1"/>
  <c r="Z68" i="1" s="1"/>
  <c r="AB91" i="1"/>
  <c r="N281" i="1"/>
  <c r="AB68" i="1" l="1"/>
  <c r="AA59" i="3"/>
  <c r="N280" i="1"/>
  <c r="N230" i="1"/>
  <c r="E230" i="1"/>
  <c r="M230" i="1" s="1"/>
  <c r="N279" i="1" l="1"/>
  <c r="AB230" i="1"/>
  <c r="N253" i="1" l="1"/>
  <c r="Z253" i="1" s="1"/>
  <c r="E253" i="1"/>
  <c r="E251" i="1"/>
  <c r="E281" i="1"/>
  <c r="AB281" i="1" l="1"/>
  <c r="AB280" i="1" s="1"/>
  <c r="AB279" i="1" s="1"/>
  <c r="M281" i="1"/>
  <c r="E280" i="1"/>
  <c r="AB253" i="1"/>
  <c r="E279" i="1" l="1"/>
  <c r="M279" i="1" s="1"/>
  <c r="M280" i="1"/>
  <c r="N141" i="1"/>
  <c r="Z141" i="1" s="1"/>
  <c r="N142" i="1"/>
  <c r="E141" i="1"/>
  <c r="E142" i="1"/>
  <c r="N116" i="1" l="1"/>
  <c r="Z116" i="1" s="1"/>
  <c r="N120" i="1"/>
  <c r="Z120" i="1" s="1"/>
  <c r="Z142" i="1"/>
  <c r="E116" i="1"/>
  <c r="M116" i="1" s="1"/>
  <c r="E120" i="1"/>
  <c r="AB142" i="1"/>
  <c r="AB141" i="1"/>
  <c r="AB116" i="1" l="1"/>
  <c r="AB120" i="1"/>
  <c r="D222" i="1"/>
  <c r="E244" i="1" l="1"/>
  <c r="N182" i="1" l="1"/>
  <c r="E182" i="1"/>
  <c r="N139" i="1"/>
  <c r="Z139" i="1" s="1"/>
  <c r="E139" i="1"/>
  <c r="E44" i="1"/>
  <c r="E43" i="1"/>
  <c r="N44" i="1"/>
  <c r="N43" i="1"/>
  <c r="Z43" i="1" s="1"/>
  <c r="D163" i="3" l="1"/>
  <c r="D161" i="3"/>
  <c r="AB44" i="1"/>
  <c r="Z44" i="1"/>
  <c r="M161" i="3"/>
  <c r="Y161" i="3" s="1"/>
  <c r="Z182" i="1"/>
  <c r="AB43" i="1"/>
  <c r="AB139" i="1"/>
  <c r="AB182" i="1"/>
  <c r="AA161" i="3" s="1"/>
  <c r="E144" i="1" l="1"/>
  <c r="N144" i="1"/>
  <c r="N121" i="1" l="1"/>
  <c r="M190" i="3"/>
  <c r="Z144" i="1"/>
  <c r="D190" i="3"/>
  <c r="E121" i="1"/>
  <c r="AB144" i="1"/>
  <c r="N258" i="1"/>
  <c r="AB121" i="1" l="1"/>
  <c r="M187" i="3"/>
  <c r="Y190" i="3"/>
  <c r="N244" i="1"/>
  <c r="Z244" i="1" s="1"/>
  <c r="Z258" i="1"/>
  <c r="E295" i="1"/>
  <c r="N295" i="1"/>
  <c r="Z295" i="1" s="1"/>
  <c r="Z121" i="1"/>
  <c r="D187" i="3"/>
  <c r="AB258" i="1"/>
  <c r="AB244" i="1" s="1"/>
  <c r="E68" i="1"/>
  <c r="M68" i="1" s="1"/>
  <c r="AB295" i="1" l="1"/>
  <c r="M153" i="3"/>
  <c r="Y187" i="3"/>
  <c r="AA190" i="3"/>
  <c r="AA187" i="3" s="1"/>
  <c r="AA153" i="3" s="1"/>
  <c r="AA231" i="3" s="1"/>
  <c r="D153" i="3"/>
  <c r="M231" i="3" l="1"/>
  <c r="Y153" i="3"/>
  <c r="D231" i="3"/>
  <c r="N126" i="1"/>
  <c r="E126" i="1"/>
  <c r="M126" i="1" s="1"/>
  <c r="N125" i="1"/>
  <c r="N124" i="1"/>
  <c r="E124" i="1"/>
  <c r="N131" i="1"/>
  <c r="E131" i="1"/>
  <c r="E129" i="1"/>
  <c r="M129" i="1" s="1"/>
  <c r="M81" i="3" l="1"/>
  <c r="Y81" i="3" s="1"/>
  <c r="M74" i="3"/>
  <c r="N115" i="1"/>
  <c r="Z115" i="1" s="1"/>
  <c r="Z124" i="1"/>
  <c r="D81" i="3"/>
  <c r="L81" i="3" s="1"/>
  <c r="M131" i="1"/>
  <c r="D74" i="3"/>
  <c r="L74" i="3" s="1"/>
  <c r="M124" i="1"/>
  <c r="M75" i="3"/>
  <c r="Z125" i="1"/>
  <c r="M76" i="3"/>
  <c r="N118" i="1"/>
  <c r="Z118" i="1" s="1"/>
  <c r="Z126" i="1"/>
  <c r="Y231" i="3"/>
  <c r="AB129" i="1"/>
  <c r="AA79" i="3" s="1"/>
  <c r="D79" i="3"/>
  <c r="L79" i="3" s="1"/>
  <c r="E118" i="1"/>
  <c r="M118" i="1" s="1"/>
  <c r="D76" i="3"/>
  <c r="L76" i="3" s="1"/>
  <c r="E115" i="1"/>
  <c r="M115" i="1" s="1"/>
  <c r="E125" i="1"/>
  <c r="M125" i="1" s="1"/>
  <c r="AB131" i="1"/>
  <c r="AA81" i="3" s="1"/>
  <c r="AB124" i="1"/>
  <c r="AB126" i="1"/>
  <c r="AA76" i="3" l="1"/>
  <c r="AA72" i="3" s="1"/>
  <c r="AB118" i="1"/>
  <c r="AA74" i="3"/>
  <c r="AA69" i="3" s="1"/>
  <c r="AB115" i="1"/>
  <c r="M72" i="3"/>
  <c r="Y72" i="3" s="1"/>
  <c r="Y76" i="3"/>
  <c r="Y75" i="3"/>
  <c r="M69" i="3"/>
  <c r="Y69" i="3" s="1"/>
  <c r="Y74" i="3"/>
  <c r="AB125" i="1"/>
  <c r="D75" i="3"/>
  <c r="L75" i="3" s="1"/>
  <c r="AA75" i="3" l="1"/>
  <c r="N228" i="1"/>
  <c r="E228" i="1"/>
  <c r="N226" i="1"/>
  <c r="E226" i="1"/>
  <c r="N181" i="1"/>
  <c r="N169" i="1"/>
  <c r="E169" i="1"/>
  <c r="N167" i="1"/>
  <c r="E167" i="1"/>
  <c r="N163" i="1"/>
  <c r="E163" i="1"/>
  <c r="N161" i="1"/>
  <c r="E161" i="1"/>
  <c r="N157" i="1"/>
  <c r="N136" i="1"/>
  <c r="E136" i="1"/>
  <c r="M136" i="1" s="1"/>
  <c r="N135" i="1"/>
  <c r="E135" i="1"/>
  <c r="M135" i="1" s="1"/>
  <c r="N133" i="1"/>
  <c r="E133" i="1"/>
  <c r="N97" i="1"/>
  <c r="E97" i="1"/>
  <c r="M97" i="1" s="1"/>
  <c r="N90" i="1"/>
  <c r="E90" i="1"/>
  <c r="N81" i="1"/>
  <c r="E81" i="1"/>
  <c r="N80" i="1"/>
  <c r="E80" i="1"/>
  <c r="N78" i="1"/>
  <c r="D47" i="3" l="1"/>
  <c r="M80" i="1"/>
  <c r="D48" i="3"/>
  <c r="M81" i="1"/>
  <c r="D58" i="3"/>
  <c r="L58" i="3" s="1"/>
  <c r="M90" i="1"/>
  <c r="M133" i="1"/>
  <c r="E119" i="1"/>
  <c r="M119" i="1" s="1"/>
  <c r="M96" i="3"/>
  <c r="N151" i="1"/>
  <c r="M100" i="3"/>
  <c r="M102" i="3"/>
  <c r="M111" i="3"/>
  <c r="M113" i="3"/>
  <c r="D179" i="3"/>
  <c r="L179" i="3" s="1"/>
  <c r="M228" i="1"/>
  <c r="M44" i="3"/>
  <c r="Y44" i="3" s="1"/>
  <c r="Z78" i="1"/>
  <c r="M47" i="3"/>
  <c r="N64" i="1"/>
  <c r="N67" i="1"/>
  <c r="M48" i="3"/>
  <c r="M58" i="3"/>
  <c r="M65" i="3"/>
  <c r="N69" i="1"/>
  <c r="Z69" i="1" s="1"/>
  <c r="Z97" i="1"/>
  <c r="N119" i="1"/>
  <c r="M83" i="3"/>
  <c r="M85" i="3"/>
  <c r="N117" i="1"/>
  <c r="Z117" i="1" s="1"/>
  <c r="M86" i="3"/>
  <c r="D100" i="3"/>
  <c r="L100" i="3" s="1"/>
  <c r="M161" i="1"/>
  <c r="D102" i="3"/>
  <c r="L102" i="3" s="1"/>
  <c r="M163" i="1"/>
  <c r="D111" i="3"/>
  <c r="L111" i="3" s="1"/>
  <c r="M167" i="1"/>
  <c r="D113" i="3"/>
  <c r="L113" i="3" s="1"/>
  <c r="M169" i="1"/>
  <c r="M125" i="3"/>
  <c r="N205" i="1"/>
  <c r="Z205" i="1" s="1"/>
  <c r="N208" i="1"/>
  <c r="Z208" i="1" s="1"/>
  <c r="Z226" i="1"/>
  <c r="M170" i="3"/>
  <c r="M179" i="3"/>
  <c r="N206" i="1"/>
  <c r="Z206" i="1" s="1"/>
  <c r="D27" i="3"/>
  <c r="L27" i="3" s="1"/>
  <c r="L47" i="3"/>
  <c r="D29" i="3"/>
  <c r="L29" i="3" s="1"/>
  <c r="L48" i="3"/>
  <c r="E205" i="1"/>
  <c r="M205" i="1" s="1"/>
  <c r="E208" i="1"/>
  <c r="D170" i="3"/>
  <c r="D86" i="3"/>
  <c r="L86" i="3" s="1"/>
  <c r="D83" i="3"/>
  <c r="L83" i="3" s="1"/>
  <c r="E69" i="1"/>
  <c r="M69" i="1" s="1"/>
  <c r="D65" i="3"/>
  <c r="E64" i="1"/>
  <c r="M64" i="1" s="1"/>
  <c r="E67" i="1"/>
  <c r="M67" i="1" s="1"/>
  <c r="E157" i="1"/>
  <c r="E181" i="1"/>
  <c r="M181" i="1" s="1"/>
  <c r="E117" i="1"/>
  <c r="M117" i="1" s="1"/>
  <c r="D85" i="3"/>
  <c r="L85" i="3" s="1"/>
  <c r="AB228" i="1"/>
  <c r="E206" i="1"/>
  <c r="M206" i="1" s="1"/>
  <c r="AB226" i="1"/>
  <c r="E78" i="1"/>
  <c r="M78" i="1" s="1"/>
  <c r="AB161" i="1"/>
  <c r="AA100" i="3" s="1"/>
  <c r="AB163" i="1"/>
  <c r="AA102" i="3" s="1"/>
  <c r="AB167" i="1"/>
  <c r="AA111" i="3" s="1"/>
  <c r="AB169" i="1"/>
  <c r="AA113" i="3" s="1"/>
  <c r="AB133" i="1"/>
  <c r="AB135" i="1"/>
  <c r="AB136" i="1"/>
  <c r="AA86" i="3" s="1"/>
  <c r="AB80" i="1"/>
  <c r="AB81" i="1"/>
  <c r="AB90" i="1"/>
  <c r="AA58" i="3" s="1"/>
  <c r="AB97" i="1"/>
  <c r="AB208" i="1" l="1"/>
  <c r="AB205" i="1"/>
  <c r="AA170" i="3"/>
  <c r="AA157" i="3" s="1"/>
  <c r="AA151" i="3" s="1"/>
  <c r="AB206" i="1"/>
  <c r="AA179" i="3"/>
  <c r="AA173" i="3" s="1"/>
  <c r="AA152" i="3" s="1"/>
  <c r="D96" i="3"/>
  <c r="L96" i="3" s="1"/>
  <c r="M157" i="1"/>
  <c r="M157" i="3"/>
  <c r="Y170" i="3"/>
  <c r="M70" i="3"/>
  <c r="Y70" i="3" s="1"/>
  <c r="M71" i="3"/>
  <c r="Y83" i="3"/>
  <c r="M31" i="3"/>
  <c r="Y31" i="3" s="1"/>
  <c r="Y65" i="3"/>
  <c r="M29" i="3"/>
  <c r="M27" i="3"/>
  <c r="AA65" i="3"/>
  <c r="AA31" i="3" s="1"/>
  <c r="AB69" i="1"/>
  <c r="AB67" i="1"/>
  <c r="AA48" i="3"/>
  <c r="AA29" i="3" s="1"/>
  <c r="AA83" i="3"/>
  <c r="AA71" i="3" s="1"/>
  <c r="AB119" i="1"/>
  <c r="AA47" i="3"/>
  <c r="AA27" i="3" s="1"/>
  <c r="AA229" i="3" s="1"/>
  <c r="AB64" i="1"/>
  <c r="AB293" i="1" s="1"/>
  <c r="AA85" i="3"/>
  <c r="AA70" i="3" s="1"/>
  <c r="AB117" i="1"/>
  <c r="M173" i="3"/>
  <c r="N293" i="1"/>
  <c r="Z293" i="1" s="1"/>
  <c r="M92" i="3"/>
  <c r="D31" i="3"/>
  <c r="L31" i="3" s="1"/>
  <c r="L65" i="3"/>
  <c r="D229" i="3"/>
  <c r="D71" i="3"/>
  <c r="L71" i="3" s="1"/>
  <c r="D157" i="3"/>
  <c r="E293" i="1"/>
  <c r="M293" i="1" s="1"/>
  <c r="AB181" i="1"/>
  <c r="AA125" i="3" s="1"/>
  <c r="E151" i="1"/>
  <c r="M151" i="1" s="1"/>
  <c r="D44" i="3"/>
  <c r="L44" i="3" s="1"/>
  <c r="D125" i="3"/>
  <c r="AB157" i="1"/>
  <c r="AB78" i="1"/>
  <c r="AA44" i="3" s="1"/>
  <c r="M152" i="3" l="1"/>
  <c r="Y152" i="3" s="1"/>
  <c r="Y173" i="3"/>
  <c r="M229" i="3"/>
  <c r="M151" i="3"/>
  <c r="Y151" i="3" s="1"/>
  <c r="Y157" i="3"/>
  <c r="AA96" i="3"/>
  <c r="AA92" i="3" s="1"/>
  <c r="AB151" i="1"/>
  <c r="D92" i="3"/>
  <c r="L92" i="3" s="1"/>
  <c r="L125" i="3"/>
  <c r="L229" i="3"/>
  <c r="C203" i="3"/>
  <c r="D57" i="1"/>
  <c r="N57" i="1"/>
  <c r="E57" i="1"/>
  <c r="M206" i="3" l="1"/>
  <c r="N20" i="1"/>
  <c r="E20" i="1"/>
  <c r="M57" i="1"/>
  <c r="Y229" i="3"/>
  <c r="AB57" i="1"/>
  <c r="D206" i="3"/>
  <c r="AB20" i="1" l="1"/>
  <c r="AB294" i="1" s="1"/>
  <c r="AA206" i="3"/>
  <c r="E294" i="1"/>
  <c r="M294" i="1" s="1"/>
  <c r="M20" i="1"/>
  <c r="N294" i="1"/>
  <c r="Z294" i="1" s="1"/>
  <c r="M203" i="3"/>
  <c r="M230" i="3"/>
  <c r="D230" i="3"/>
  <c r="L206" i="3"/>
  <c r="D203" i="3"/>
  <c r="AA203" i="3" l="1"/>
  <c r="AA201" i="3" s="1"/>
  <c r="AA230" i="3"/>
  <c r="Y230" i="3"/>
  <c r="M201" i="3"/>
  <c r="Y203" i="3"/>
  <c r="D201" i="3"/>
  <c r="L201" i="3" s="1"/>
  <c r="L203" i="3"/>
  <c r="L230" i="3"/>
  <c r="E138" i="1"/>
  <c r="M138" i="1" s="1"/>
  <c r="N61" i="1"/>
  <c r="E61" i="1"/>
  <c r="M227" i="3" l="1"/>
  <c r="D227" i="3"/>
  <c r="L227" i="3" s="1"/>
  <c r="M61" i="1"/>
  <c r="AB61" i="1"/>
  <c r="AA227" i="3" s="1"/>
  <c r="N222" i="1" l="1"/>
  <c r="E222" i="1"/>
  <c r="C222" i="1"/>
  <c r="D165" i="3" l="1"/>
  <c r="M165" i="3"/>
  <c r="Y165" i="3" s="1"/>
  <c r="Z222" i="1"/>
  <c r="AB222" i="1"/>
  <c r="AA165" i="3" s="1"/>
  <c r="N235" i="1" l="1"/>
  <c r="E235" i="1"/>
  <c r="C235" i="1"/>
  <c r="D235" i="1"/>
  <c r="B235" i="1"/>
  <c r="AB235" i="1" l="1"/>
  <c r="N236" i="1" l="1"/>
  <c r="Z236" i="1" s="1"/>
  <c r="E236" i="1"/>
  <c r="C236" i="1"/>
  <c r="D236" i="1"/>
  <c r="B236" i="1"/>
  <c r="AB236" i="1" l="1"/>
  <c r="E46" i="1" l="1"/>
  <c r="M46" i="1" s="1"/>
  <c r="E47" i="1"/>
  <c r="M47" i="1" s="1"/>
  <c r="N45" i="1"/>
  <c r="N46" i="1"/>
  <c r="N47" i="1"/>
  <c r="C46" i="1"/>
  <c r="D46" i="1"/>
  <c r="D47" i="1"/>
  <c r="B47" i="1"/>
  <c r="B46" i="1"/>
  <c r="M176" i="3" l="1"/>
  <c r="M177" i="3"/>
  <c r="M175" i="3"/>
  <c r="D177" i="3"/>
  <c r="L177" i="3" s="1"/>
  <c r="AB47" i="1"/>
  <c r="AA177" i="3" s="1"/>
  <c r="AB46" i="1"/>
  <c r="AA176" i="3" s="1"/>
  <c r="D176" i="3"/>
  <c r="L176" i="3" s="1"/>
  <c r="N227" i="1" l="1"/>
  <c r="E227" i="1"/>
  <c r="B227" i="1"/>
  <c r="D182" i="3" l="1"/>
  <c r="L182" i="3" s="1"/>
  <c r="M227" i="1"/>
  <c r="M178" i="3"/>
  <c r="M182" i="3"/>
  <c r="AB227" i="1"/>
  <c r="D178" i="3"/>
  <c r="L178" i="3" s="1"/>
  <c r="N140" i="1"/>
  <c r="Z140" i="1" s="1"/>
  <c r="E140" i="1"/>
  <c r="D140" i="1"/>
  <c r="C140" i="1"/>
  <c r="B140" i="1"/>
  <c r="D254" i="1"/>
  <c r="C254" i="1"/>
  <c r="B254" i="1"/>
  <c r="D223" i="1"/>
  <c r="C223" i="1"/>
  <c r="B223" i="1"/>
  <c r="AA178" i="3" l="1"/>
  <c r="AA182" i="3"/>
  <c r="M172" i="3"/>
  <c r="AB140" i="1"/>
  <c r="N254" i="1"/>
  <c r="Z254" i="1" s="1"/>
  <c r="E254" i="1"/>
  <c r="N223" i="1"/>
  <c r="E223" i="1"/>
  <c r="M167" i="3" l="1"/>
  <c r="Y167" i="3" s="1"/>
  <c r="Z223" i="1"/>
  <c r="D167" i="3"/>
  <c r="AB254" i="1"/>
  <c r="AB223" i="1"/>
  <c r="AA167" i="3" l="1"/>
  <c r="N259" i="1"/>
  <c r="Z259" i="1" s="1"/>
  <c r="E259" i="1"/>
  <c r="E225" i="1"/>
  <c r="D169" i="3" l="1"/>
  <c r="N225" i="1"/>
  <c r="AB259" i="1"/>
  <c r="M169" i="3" l="1"/>
  <c r="Y169" i="3" s="1"/>
  <c r="Z225" i="1"/>
  <c r="AB225" i="1"/>
  <c r="AA169" i="3" s="1"/>
  <c r="N255" i="1"/>
  <c r="Z255" i="1" s="1"/>
  <c r="E255" i="1"/>
  <c r="M255" i="1" s="1"/>
  <c r="AB255" i="1" l="1"/>
  <c r="N145" i="1" l="1"/>
  <c r="Z145" i="1" s="1"/>
  <c r="E145" i="1"/>
  <c r="D198" i="3" l="1"/>
  <c r="AB145" i="1"/>
  <c r="D155" i="1"/>
  <c r="B251" i="1" l="1"/>
  <c r="N251" i="1"/>
  <c r="M163" i="3" l="1"/>
  <c r="Y163" i="3" s="1"/>
  <c r="Z251" i="1"/>
  <c r="AB251" i="1"/>
  <c r="AA163" i="3" s="1"/>
  <c r="D183" i="1" l="1"/>
  <c r="D238" i="1" l="1"/>
  <c r="N202" i="1" l="1"/>
  <c r="Z202" i="1" s="1"/>
  <c r="E202" i="1"/>
  <c r="M202" i="1" s="1"/>
  <c r="C202" i="1"/>
  <c r="D202" i="1"/>
  <c r="B202" i="1"/>
  <c r="AB202" i="1" l="1"/>
  <c r="D215" i="3"/>
  <c r="L215" i="3" s="1"/>
  <c r="N76" i="1"/>
  <c r="N285" i="1"/>
  <c r="N286" i="1"/>
  <c r="N287" i="1"/>
  <c r="N288" i="1"/>
  <c r="Z288" i="1" s="1"/>
  <c r="N289" i="1"/>
  <c r="N290" i="1"/>
  <c r="N291" i="1"/>
  <c r="N284" i="1"/>
  <c r="N274" i="1"/>
  <c r="N275" i="1"/>
  <c r="N276" i="1"/>
  <c r="N277" i="1"/>
  <c r="N278" i="1"/>
  <c r="N273" i="1"/>
  <c r="N270" i="1"/>
  <c r="N246" i="1"/>
  <c r="Z246" i="1" s="1"/>
  <c r="N247" i="1"/>
  <c r="N248" i="1"/>
  <c r="N249" i="1"/>
  <c r="N250" i="1"/>
  <c r="N252" i="1"/>
  <c r="N263" i="1"/>
  <c r="N264" i="1"/>
  <c r="N267" i="1"/>
  <c r="Z267" i="1" s="1"/>
  <c r="N245" i="1"/>
  <c r="N241" i="1"/>
  <c r="N212" i="1"/>
  <c r="N213" i="1"/>
  <c r="N214" i="1"/>
  <c r="N215" i="1"/>
  <c r="N216" i="1"/>
  <c r="N217" i="1"/>
  <c r="N218" i="1"/>
  <c r="N219" i="1"/>
  <c r="N220" i="1"/>
  <c r="Z220" i="1" s="1"/>
  <c r="N221" i="1"/>
  <c r="Z221" i="1" s="1"/>
  <c r="N224" i="1"/>
  <c r="N231" i="1"/>
  <c r="N232" i="1"/>
  <c r="Z232" i="1" s="1"/>
  <c r="N237" i="1"/>
  <c r="Z237" i="1" s="1"/>
  <c r="N238" i="1"/>
  <c r="Z238" i="1" s="1"/>
  <c r="N210" i="1"/>
  <c r="N196" i="1"/>
  <c r="N197" i="1"/>
  <c r="Z197" i="1" s="1"/>
  <c r="N198" i="1"/>
  <c r="Z198" i="1" s="1"/>
  <c r="N199" i="1"/>
  <c r="N201" i="1"/>
  <c r="Z201" i="1" s="1"/>
  <c r="N194" i="1"/>
  <c r="N188" i="1"/>
  <c r="N189" i="1"/>
  <c r="N187" i="1"/>
  <c r="N155" i="1"/>
  <c r="N156" i="1"/>
  <c r="N158" i="1"/>
  <c r="N159" i="1"/>
  <c r="N160" i="1"/>
  <c r="N162" i="1"/>
  <c r="N164" i="1"/>
  <c r="N165" i="1"/>
  <c r="N166" i="1"/>
  <c r="N168" i="1"/>
  <c r="N170" i="1"/>
  <c r="N171" i="1"/>
  <c r="N172" i="1"/>
  <c r="N173" i="1"/>
  <c r="N174" i="1"/>
  <c r="N179" i="1"/>
  <c r="N180" i="1"/>
  <c r="Z180" i="1" s="1"/>
  <c r="N183" i="1"/>
  <c r="N152" i="1"/>
  <c r="N123" i="1"/>
  <c r="N128" i="1"/>
  <c r="N130" i="1"/>
  <c r="N132" i="1"/>
  <c r="N134" i="1"/>
  <c r="N137" i="1"/>
  <c r="N138" i="1"/>
  <c r="N122" i="1"/>
  <c r="N79" i="1"/>
  <c r="N82" i="1"/>
  <c r="N89" i="1"/>
  <c r="N92" i="1"/>
  <c r="N93" i="1"/>
  <c r="N95" i="1"/>
  <c r="N96" i="1"/>
  <c r="N7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9" i="1"/>
  <c r="N50" i="1"/>
  <c r="N51" i="1"/>
  <c r="N52" i="1"/>
  <c r="N53" i="1"/>
  <c r="N54" i="1"/>
  <c r="N55" i="1"/>
  <c r="N56" i="1"/>
  <c r="N58" i="1"/>
  <c r="N59" i="1"/>
  <c r="N60" i="1"/>
  <c r="N22" i="1"/>
  <c r="M145" i="3" l="1"/>
  <c r="Y145" i="3" s="1"/>
  <c r="Z218" i="1"/>
  <c r="M143" i="3"/>
  <c r="M141" i="3"/>
  <c r="Y141" i="3" s="1"/>
  <c r="Z214" i="1"/>
  <c r="Z245" i="1"/>
  <c r="M164" i="3"/>
  <c r="Y164" i="3" s="1"/>
  <c r="Z252" i="1"/>
  <c r="Z249" i="1"/>
  <c r="M159" i="3"/>
  <c r="Y159" i="3" s="1"/>
  <c r="M148" i="3"/>
  <c r="Y148" i="3" s="1"/>
  <c r="Z247" i="1"/>
  <c r="N269" i="1"/>
  <c r="M191" i="3"/>
  <c r="Y191" i="3" s="1"/>
  <c r="Z276" i="1"/>
  <c r="M155" i="3"/>
  <c r="M219" i="3"/>
  <c r="M214" i="3"/>
  <c r="M210" i="3"/>
  <c r="M213" i="3"/>
  <c r="Z60" i="1"/>
  <c r="M208" i="3"/>
  <c r="M204" i="3"/>
  <c r="Z55" i="1"/>
  <c r="Z53" i="1"/>
  <c r="M193" i="3"/>
  <c r="Y193" i="3" s="1"/>
  <c r="Z51" i="1"/>
  <c r="M185" i="3"/>
  <c r="Z49" i="1"/>
  <c r="M136" i="3"/>
  <c r="Y136" i="3" s="1"/>
  <c r="Z41" i="1"/>
  <c r="M134" i="3"/>
  <c r="Y134" i="3" s="1"/>
  <c r="Z39" i="1"/>
  <c r="M132" i="3"/>
  <c r="M129" i="3"/>
  <c r="Y129" i="3" s="1"/>
  <c r="Z35" i="1"/>
  <c r="M124" i="3"/>
  <c r="Y124" i="3" s="1"/>
  <c r="M108" i="3"/>
  <c r="M106" i="3"/>
  <c r="M64" i="3"/>
  <c r="Y64" i="3" s="1"/>
  <c r="Z96" i="1"/>
  <c r="M61" i="3"/>
  <c r="M56" i="3"/>
  <c r="Y56" i="3" s="1"/>
  <c r="Z89" i="1"/>
  <c r="M46" i="3"/>
  <c r="M88" i="3"/>
  <c r="Y88" i="3" s="1"/>
  <c r="Z138" i="1"/>
  <c r="M84" i="3"/>
  <c r="M80" i="3"/>
  <c r="M73" i="3"/>
  <c r="Z123" i="1"/>
  <c r="M226" i="3"/>
  <c r="M123" i="3"/>
  <c r="Y123" i="3" s="1"/>
  <c r="Z179" i="1"/>
  <c r="M117" i="3"/>
  <c r="M115" i="3"/>
  <c r="M112" i="3"/>
  <c r="M109" i="3"/>
  <c r="M101" i="3"/>
  <c r="M98" i="3"/>
  <c r="M95" i="3"/>
  <c r="N185" i="1"/>
  <c r="M104" i="3"/>
  <c r="M127" i="3"/>
  <c r="Z196" i="1"/>
  <c r="M168" i="3"/>
  <c r="Y168" i="3" s="1"/>
  <c r="Z224" i="1"/>
  <c r="M21" i="3"/>
  <c r="N19" i="1"/>
  <c r="M211" i="3"/>
  <c r="Z59" i="1"/>
  <c r="M205" i="3"/>
  <c r="Y205" i="3" s="1"/>
  <c r="Z56" i="1"/>
  <c r="M197" i="3"/>
  <c r="M195" i="3"/>
  <c r="M188" i="3"/>
  <c r="M137" i="3"/>
  <c r="M135" i="3"/>
  <c r="Y135" i="3" s="1"/>
  <c r="Z40" i="1"/>
  <c r="M133" i="3"/>
  <c r="M130" i="3"/>
  <c r="M128" i="3"/>
  <c r="Y128" i="3" s="1"/>
  <c r="Z34" i="1"/>
  <c r="M107" i="3"/>
  <c r="Z75" i="1"/>
  <c r="M63" i="3"/>
  <c r="Y63" i="3" s="1"/>
  <c r="Z95" i="1"/>
  <c r="M60" i="3"/>
  <c r="M49" i="3"/>
  <c r="Z122" i="1"/>
  <c r="M87" i="3"/>
  <c r="M82" i="3"/>
  <c r="M78" i="3"/>
  <c r="Y78" i="3" s="1"/>
  <c r="Z128" i="1"/>
  <c r="Z152" i="1"/>
  <c r="M118" i="3"/>
  <c r="M116" i="3"/>
  <c r="M114" i="3"/>
  <c r="M110" i="3"/>
  <c r="M103" i="3"/>
  <c r="Y103" i="3" s="1"/>
  <c r="Z164" i="1"/>
  <c r="M99" i="3"/>
  <c r="M97" i="3"/>
  <c r="M94" i="3"/>
  <c r="M105" i="3"/>
  <c r="N193" i="1"/>
  <c r="N204" i="1"/>
  <c r="M149" i="3"/>
  <c r="Y149" i="3" s="1"/>
  <c r="Z219" i="1"/>
  <c r="M144" i="3"/>
  <c r="M142" i="3"/>
  <c r="Y142" i="3" s="1"/>
  <c r="Z215" i="1"/>
  <c r="M140" i="3"/>
  <c r="Z213" i="1"/>
  <c r="N240" i="1"/>
  <c r="N262" i="1"/>
  <c r="M160" i="3"/>
  <c r="Y160" i="3" s="1"/>
  <c r="Z250" i="1"/>
  <c r="M158" i="3"/>
  <c r="Z248" i="1"/>
  <c r="N272" i="1"/>
  <c r="M192" i="3"/>
  <c r="Y192" i="3" s="1"/>
  <c r="Z277" i="1"/>
  <c r="N283" i="1"/>
  <c r="M215" i="3"/>
  <c r="M35" i="3"/>
  <c r="Z76" i="1"/>
  <c r="N257" i="1"/>
  <c r="Z257" i="1" s="1"/>
  <c r="N234" i="1"/>
  <c r="Z234" i="1" s="1"/>
  <c r="Y35" i="3" l="1"/>
  <c r="N282" i="1"/>
  <c r="Z282" i="1" s="1"/>
  <c r="Z283" i="1"/>
  <c r="N271" i="1"/>
  <c r="Z271" i="1" s="1"/>
  <c r="Z272" i="1"/>
  <c r="M156" i="3"/>
  <c r="Y156" i="3" s="1"/>
  <c r="Y158" i="3"/>
  <c r="N261" i="1"/>
  <c r="Z261" i="1" s="1"/>
  <c r="Z262" i="1"/>
  <c r="N239" i="1"/>
  <c r="M138" i="3"/>
  <c r="Y138" i="3" s="1"/>
  <c r="Y140" i="3"/>
  <c r="N203" i="1"/>
  <c r="Z203" i="1" s="1"/>
  <c r="Z204" i="1"/>
  <c r="N192" i="1"/>
  <c r="Z192" i="1" s="1"/>
  <c r="Z193" i="1"/>
  <c r="M209" i="3"/>
  <c r="Y209" i="3" s="1"/>
  <c r="Y211" i="3"/>
  <c r="M19" i="3"/>
  <c r="Y19" i="3" s="1"/>
  <c r="Y21" i="3"/>
  <c r="Y226" i="3"/>
  <c r="M224" i="3"/>
  <c r="N243" i="1"/>
  <c r="N18" i="1"/>
  <c r="Z18" i="1" s="1"/>
  <c r="Z19" i="1"/>
  <c r="M126" i="3"/>
  <c r="Y126" i="3" s="1"/>
  <c r="Y127" i="3"/>
  <c r="N184" i="1"/>
  <c r="Z184" i="1" s="1"/>
  <c r="Z185" i="1"/>
  <c r="M68" i="3"/>
  <c r="Y68" i="3" s="1"/>
  <c r="Y73" i="3"/>
  <c r="M131" i="3"/>
  <c r="Y131" i="3" s="1"/>
  <c r="M184" i="3"/>
  <c r="Y184" i="3" s="1"/>
  <c r="Y185" i="3"/>
  <c r="M196" i="3"/>
  <c r="Y196" i="3" s="1"/>
  <c r="M202" i="3"/>
  <c r="Y204" i="3"/>
  <c r="M207" i="3"/>
  <c r="M212" i="3"/>
  <c r="Y212" i="3" s="1"/>
  <c r="Y213" i="3"/>
  <c r="M218" i="3"/>
  <c r="M154" i="3"/>
  <c r="N268" i="1"/>
  <c r="E287" i="1"/>
  <c r="D287" i="1"/>
  <c r="B287" i="1"/>
  <c r="M216" i="3" l="1"/>
  <c r="Y216" i="3" s="1"/>
  <c r="Y224" i="3"/>
  <c r="D210" i="3"/>
  <c r="L210" i="3" s="1"/>
  <c r="M287" i="1"/>
  <c r="M200" i="3"/>
  <c r="Y200" i="3" s="1"/>
  <c r="Y202" i="3"/>
  <c r="N242" i="1"/>
  <c r="Z242" i="1" s="1"/>
  <c r="Z243" i="1"/>
  <c r="N143" i="1"/>
  <c r="AB287" i="1"/>
  <c r="AA210" i="3" s="1"/>
  <c r="Z143" i="1" l="1"/>
  <c r="M189" i="3"/>
  <c r="N114" i="1"/>
  <c r="E224" i="1"/>
  <c r="C224" i="1"/>
  <c r="D224" i="1"/>
  <c r="B224" i="1"/>
  <c r="Y189" i="3" l="1"/>
  <c r="M186" i="3"/>
  <c r="N113" i="1"/>
  <c r="Z113" i="1" s="1"/>
  <c r="Z114" i="1"/>
  <c r="D168" i="3"/>
  <c r="AB224" i="1"/>
  <c r="AA168" i="3" s="1"/>
  <c r="Y186" i="3" l="1"/>
  <c r="M150" i="3"/>
  <c r="Y150" i="3" s="1"/>
  <c r="N77" i="1"/>
  <c r="M37" i="3" l="1"/>
  <c r="Z77" i="1"/>
  <c r="N63" i="1"/>
  <c r="D53" i="1"/>
  <c r="D267" i="1"/>
  <c r="D234" i="1"/>
  <c r="C197" i="1"/>
  <c r="B197" i="1"/>
  <c r="D188" i="1"/>
  <c r="AB290" i="1"/>
  <c r="AA215" i="3" s="1"/>
  <c r="E285" i="1"/>
  <c r="M285" i="1" s="1"/>
  <c r="E286" i="1"/>
  <c r="M286" i="1" s="1"/>
  <c r="E288" i="1"/>
  <c r="E289" i="1"/>
  <c r="E291" i="1"/>
  <c r="E284" i="1"/>
  <c r="M284" i="1" s="1"/>
  <c r="E274" i="1"/>
  <c r="E275" i="1"/>
  <c r="M275" i="1" s="1"/>
  <c r="E276" i="1"/>
  <c r="E277" i="1"/>
  <c r="E278" i="1"/>
  <c r="M278" i="1" s="1"/>
  <c r="E273" i="1"/>
  <c r="M273" i="1" s="1"/>
  <c r="E270" i="1"/>
  <c r="E264" i="1"/>
  <c r="M264" i="1" s="1"/>
  <c r="E267" i="1"/>
  <c r="E263" i="1"/>
  <c r="M263" i="1" s="1"/>
  <c r="E246" i="1"/>
  <c r="E247" i="1"/>
  <c r="E248" i="1"/>
  <c r="E249" i="1"/>
  <c r="E250" i="1"/>
  <c r="E252" i="1"/>
  <c r="E257" i="1"/>
  <c r="M257" i="1" s="1"/>
  <c r="E245" i="1"/>
  <c r="M245" i="1" s="1"/>
  <c r="E241" i="1"/>
  <c r="E212" i="1"/>
  <c r="M212" i="1" s="1"/>
  <c r="E213" i="1"/>
  <c r="E214" i="1"/>
  <c r="M214" i="1" s="1"/>
  <c r="E215" i="1"/>
  <c r="E216" i="1"/>
  <c r="M216" i="1" s="1"/>
  <c r="E217" i="1"/>
  <c r="M217" i="1" s="1"/>
  <c r="E218" i="1"/>
  <c r="M218" i="1" s="1"/>
  <c r="E219" i="1"/>
  <c r="M219" i="1" s="1"/>
  <c r="E220" i="1"/>
  <c r="E221" i="1"/>
  <c r="E231" i="1"/>
  <c r="M231" i="1" s="1"/>
  <c r="E232" i="1"/>
  <c r="E234" i="1"/>
  <c r="E237" i="1"/>
  <c r="E238" i="1"/>
  <c r="E210" i="1"/>
  <c r="M210" i="1" s="1"/>
  <c r="E196" i="1"/>
  <c r="M196" i="1" s="1"/>
  <c r="E197" i="1"/>
  <c r="M197" i="1" s="1"/>
  <c r="E198" i="1"/>
  <c r="M198" i="1" s="1"/>
  <c r="E199" i="1"/>
  <c r="M199" i="1" s="1"/>
  <c r="E201" i="1"/>
  <c r="E194" i="1"/>
  <c r="M194" i="1" s="1"/>
  <c r="E188" i="1"/>
  <c r="E189" i="1"/>
  <c r="E187" i="1"/>
  <c r="M187" i="1" s="1"/>
  <c r="E154" i="1"/>
  <c r="E155" i="1"/>
  <c r="M155" i="1" s="1"/>
  <c r="E156" i="1"/>
  <c r="M156" i="1" s="1"/>
  <c r="E158" i="1"/>
  <c r="E159" i="1"/>
  <c r="M159" i="1" s="1"/>
  <c r="E160" i="1"/>
  <c r="E162" i="1"/>
  <c r="E164" i="1"/>
  <c r="M164" i="1" s="1"/>
  <c r="E165" i="1"/>
  <c r="E166" i="1"/>
  <c r="M166" i="1" s="1"/>
  <c r="E168" i="1"/>
  <c r="E170" i="1"/>
  <c r="E171" i="1"/>
  <c r="E172" i="1"/>
  <c r="E173" i="1"/>
  <c r="E174" i="1"/>
  <c r="M174" i="1" s="1"/>
  <c r="E179" i="1"/>
  <c r="M179" i="1" s="1"/>
  <c r="E180" i="1"/>
  <c r="M180" i="1" s="1"/>
  <c r="E183" i="1"/>
  <c r="M183" i="1" s="1"/>
  <c r="E152" i="1"/>
  <c r="M152" i="1" s="1"/>
  <c r="E123" i="1"/>
  <c r="M123" i="1" s="1"/>
  <c r="E128" i="1"/>
  <c r="M128" i="1" s="1"/>
  <c r="E130" i="1"/>
  <c r="E132" i="1"/>
  <c r="E134" i="1"/>
  <c r="E137" i="1"/>
  <c r="D88" i="3"/>
  <c r="L88" i="3" s="1"/>
  <c r="E143" i="1"/>
  <c r="E122" i="1"/>
  <c r="M122" i="1" s="1"/>
  <c r="E76" i="1"/>
  <c r="E77" i="1"/>
  <c r="M77" i="1" s="1"/>
  <c r="E79" i="1"/>
  <c r="E82" i="1"/>
  <c r="E89" i="1"/>
  <c r="E92" i="1"/>
  <c r="E93" i="1"/>
  <c r="E95" i="1"/>
  <c r="E96" i="1"/>
  <c r="E75" i="1"/>
  <c r="M75" i="1" s="1"/>
  <c r="E24" i="1"/>
  <c r="E27" i="1"/>
  <c r="M27" i="1" s="1"/>
  <c r="E28" i="1"/>
  <c r="M28" i="1" s="1"/>
  <c r="E29" i="1"/>
  <c r="E30" i="1"/>
  <c r="E31" i="1"/>
  <c r="E32" i="1"/>
  <c r="M32" i="1" s="1"/>
  <c r="E33" i="1"/>
  <c r="M33" i="1" s="1"/>
  <c r="E34" i="1"/>
  <c r="M34" i="1" s="1"/>
  <c r="E35" i="1"/>
  <c r="M35" i="1" s="1"/>
  <c r="E36" i="1"/>
  <c r="M36" i="1" s="1"/>
  <c r="E37" i="1"/>
  <c r="E38" i="1"/>
  <c r="E39" i="1"/>
  <c r="E40" i="1"/>
  <c r="E41" i="1"/>
  <c r="M41" i="1" s="1"/>
  <c r="E42" i="1"/>
  <c r="E45" i="1"/>
  <c r="E49" i="1"/>
  <c r="M49" i="1" s="1"/>
  <c r="E50" i="1"/>
  <c r="M50" i="1" s="1"/>
  <c r="E51" i="1"/>
  <c r="E52" i="1"/>
  <c r="E53" i="1"/>
  <c r="E54" i="1"/>
  <c r="M54" i="1" s="1"/>
  <c r="E55" i="1"/>
  <c r="D205" i="3"/>
  <c r="L205" i="3" s="1"/>
  <c r="E58" i="1"/>
  <c r="M58" i="1" s="1"/>
  <c r="E59" i="1"/>
  <c r="E60" i="1"/>
  <c r="E22" i="1"/>
  <c r="M22" i="1" s="1"/>
  <c r="D135" i="3" l="1"/>
  <c r="L135" i="3" s="1"/>
  <c r="M40" i="1"/>
  <c r="D64" i="3"/>
  <c r="L64" i="3" s="1"/>
  <c r="M96" i="1"/>
  <c r="D56" i="3"/>
  <c r="L56" i="3" s="1"/>
  <c r="M89" i="1"/>
  <c r="D35" i="3"/>
  <c r="L35" i="3" s="1"/>
  <c r="M76" i="1"/>
  <c r="D87" i="3"/>
  <c r="L87" i="3" s="1"/>
  <c r="M137" i="1"/>
  <c r="D116" i="3"/>
  <c r="L116" i="3" s="1"/>
  <c r="M172" i="1"/>
  <c r="D99" i="3"/>
  <c r="L99" i="3" s="1"/>
  <c r="M160" i="1"/>
  <c r="D104" i="3"/>
  <c r="L104" i="3" s="1"/>
  <c r="M188" i="1"/>
  <c r="D213" i="3"/>
  <c r="L213" i="3" s="1"/>
  <c r="M60" i="1"/>
  <c r="D204" i="3"/>
  <c r="L204" i="3" s="1"/>
  <c r="M55" i="1"/>
  <c r="D137" i="3"/>
  <c r="L137" i="3" s="1"/>
  <c r="M42" i="1"/>
  <c r="D133" i="3"/>
  <c r="L133" i="3" s="1"/>
  <c r="M38" i="1"/>
  <c r="D107" i="3"/>
  <c r="L107" i="3" s="1"/>
  <c r="M30" i="1"/>
  <c r="D23" i="3"/>
  <c r="L23" i="3" s="1"/>
  <c r="M24" i="1"/>
  <c r="D61" i="3"/>
  <c r="L61" i="3" s="1"/>
  <c r="M93" i="1"/>
  <c r="D46" i="3"/>
  <c r="L46" i="3" s="1"/>
  <c r="M79" i="1"/>
  <c r="D82" i="3"/>
  <c r="L82" i="3" s="1"/>
  <c r="M132" i="1"/>
  <c r="D114" i="3"/>
  <c r="L114" i="3" s="1"/>
  <c r="M170" i="1"/>
  <c r="D97" i="3"/>
  <c r="L97" i="3" s="1"/>
  <c r="M158" i="1"/>
  <c r="AB234" i="1"/>
  <c r="D159" i="3"/>
  <c r="D148" i="3"/>
  <c r="D192" i="3"/>
  <c r="D214" i="3"/>
  <c r="L214" i="3" s="1"/>
  <c r="M289" i="1"/>
  <c r="D195" i="3"/>
  <c r="L195" i="3" s="1"/>
  <c r="M52" i="1"/>
  <c r="D175" i="3"/>
  <c r="L175" i="3" s="1"/>
  <c r="M45" i="1"/>
  <c r="D134" i="3"/>
  <c r="L134" i="3" s="1"/>
  <c r="M39" i="1"/>
  <c r="D132" i="3"/>
  <c r="L132" i="3" s="1"/>
  <c r="M37" i="1"/>
  <c r="D108" i="3"/>
  <c r="L108" i="3" s="1"/>
  <c r="M31" i="1"/>
  <c r="D106" i="3"/>
  <c r="L106" i="3" s="1"/>
  <c r="M29" i="1"/>
  <c r="D63" i="3"/>
  <c r="L63" i="3" s="1"/>
  <c r="M95" i="1"/>
  <c r="D60" i="3"/>
  <c r="L60" i="3" s="1"/>
  <c r="M92" i="1"/>
  <c r="D49" i="3"/>
  <c r="L49" i="3" s="1"/>
  <c r="M82" i="1"/>
  <c r="D84" i="3"/>
  <c r="L84" i="3" s="1"/>
  <c r="M134" i="1"/>
  <c r="D80" i="3"/>
  <c r="L80" i="3" s="1"/>
  <c r="M130" i="1"/>
  <c r="D117" i="3"/>
  <c r="L117" i="3" s="1"/>
  <c r="M173" i="1"/>
  <c r="D115" i="3"/>
  <c r="L115" i="3" s="1"/>
  <c r="M171" i="1"/>
  <c r="D112" i="3"/>
  <c r="L112" i="3" s="1"/>
  <c r="M168" i="1"/>
  <c r="D109" i="3"/>
  <c r="L109" i="3" s="1"/>
  <c r="M165" i="1"/>
  <c r="D101" i="3"/>
  <c r="L101" i="3" s="1"/>
  <c r="M162" i="1"/>
  <c r="D93" i="3"/>
  <c r="L93" i="3" s="1"/>
  <c r="M154" i="1"/>
  <c r="D105" i="3"/>
  <c r="L105" i="3" s="1"/>
  <c r="M189" i="1"/>
  <c r="AB237" i="1"/>
  <c r="AB232" i="1"/>
  <c r="AB221" i="1"/>
  <c r="D142" i="3"/>
  <c r="L142" i="3" s="1"/>
  <c r="M215" i="1"/>
  <c r="D140" i="3"/>
  <c r="E240" i="1"/>
  <c r="M241" i="1"/>
  <c r="D160" i="3"/>
  <c r="E269" i="1"/>
  <c r="M270" i="1"/>
  <c r="D191" i="3"/>
  <c r="D155" i="3"/>
  <c r="L155" i="3" s="1"/>
  <c r="M274" i="1"/>
  <c r="D219" i="3"/>
  <c r="L219" i="3" s="1"/>
  <c r="M291" i="1"/>
  <c r="N62" i="1"/>
  <c r="Z63" i="1"/>
  <c r="Y37" i="3"/>
  <c r="M26" i="3"/>
  <c r="D172" i="3"/>
  <c r="L172" i="3" s="1"/>
  <c r="D218" i="3"/>
  <c r="L218" i="3" s="1"/>
  <c r="D212" i="3"/>
  <c r="L212" i="3" s="1"/>
  <c r="E204" i="1"/>
  <c r="M204" i="1" s="1"/>
  <c r="E262" i="1"/>
  <c r="E114" i="1"/>
  <c r="M114" i="1" s="1"/>
  <c r="E63" i="1"/>
  <c r="M63" i="1" s="1"/>
  <c r="D127" i="3"/>
  <c r="L127" i="3" s="1"/>
  <c r="E193" i="1"/>
  <c r="D21" i="3"/>
  <c r="E19" i="1"/>
  <c r="E203" i="1"/>
  <c r="M203" i="1" s="1"/>
  <c r="E62" i="1"/>
  <c r="M62" i="1" s="1"/>
  <c r="D226" i="3"/>
  <c r="D103" i="3"/>
  <c r="L103" i="3" s="1"/>
  <c r="E148" i="1"/>
  <c r="E243" i="1"/>
  <c r="M243" i="1" s="1"/>
  <c r="E113" i="1"/>
  <c r="M113" i="1" s="1"/>
  <c r="D37" i="3"/>
  <c r="D211" i="3"/>
  <c r="D189" i="3"/>
  <c r="L189" i="3" s="1"/>
  <c r="D124" i="3"/>
  <c r="L124" i="3" s="1"/>
  <c r="D196" i="3"/>
  <c r="D136" i="3"/>
  <c r="L136" i="3" s="1"/>
  <c r="E185" i="1"/>
  <c r="E242" i="1"/>
  <c r="M242" i="1" s="1"/>
  <c r="D185" i="3"/>
  <c r="D164" i="3"/>
  <c r="AB180" i="1"/>
  <c r="D73" i="3"/>
  <c r="L73" i="3" s="1"/>
  <c r="AB212" i="1"/>
  <c r="D94" i="3"/>
  <c r="L94" i="3" s="1"/>
  <c r="D78" i="3"/>
  <c r="L78" i="3" s="1"/>
  <c r="D143" i="3"/>
  <c r="L143" i="3" s="1"/>
  <c r="D208" i="3"/>
  <c r="D144" i="3"/>
  <c r="L144" i="3" s="1"/>
  <c r="D149" i="3"/>
  <c r="L149" i="3" s="1"/>
  <c r="E283" i="1"/>
  <c r="D197" i="3"/>
  <c r="L197" i="3" s="1"/>
  <c r="AB238" i="1"/>
  <c r="D141" i="3"/>
  <c r="L141" i="3" s="1"/>
  <c r="E272" i="1"/>
  <c r="D145" i="3"/>
  <c r="L145" i="3" s="1"/>
  <c r="D193" i="3"/>
  <c r="D110" i="3"/>
  <c r="L110" i="3" s="1"/>
  <c r="D188" i="3"/>
  <c r="L188" i="3" s="1"/>
  <c r="AB210" i="1"/>
  <c r="D129" i="3"/>
  <c r="L129" i="3" s="1"/>
  <c r="D118" i="3"/>
  <c r="L118" i="3" s="1"/>
  <c r="D158" i="3"/>
  <c r="D130" i="3"/>
  <c r="L130" i="3" s="1"/>
  <c r="D128" i="3"/>
  <c r="L128" i="3" s="1"/>
  <c r="AB183" i="1"/>
  <c r="AA226" i="3" s="1"/>
  <c r="AA224" i="3" s="1"/>
  <c r="D123" i="3"/>
  <c r="L123" i="3" s="1"/>
  <c r="D98" i="3"/>
  <c r="L98" i="3" s="1"/>
  <c r="D95" i="3"/>
  <c r="L95" i="3" s="1"/>
  <c r="AB22" i="1"/>
  <c r="AB59" i="1"/>
  <c r="AB56" i="1"/>
  <c r="AA205" i="3" s="1"/>
  <c r="AB54" i="1"/>
  <c r="AB52" i="1"/>
  <c r="AA195" i="3" s="1"/>
  <c r="AB50" i="1"/>
  <c r="AB96" i="1"/>
  <c r="AA64" i="3" s="1"/>
  <c r="AB95" i="1"/>
  <c r="AA63" i="3" s="1"/>
  <c r="AB93" i="1"/>
  <c r="AA61" i="3" s="1"/>
  <c r="AB82" i="1"/>
  <c r="AA49" i="3" s="1"/>
  <c r="AB79" i="1"/>
  <c r="AA46" i="3" s="1"/>
  <c r="AB77" i="1"/>
  <c r="AA37" i="3" s="1"/>
  <c r="AB122" i="1"/>
  <c r="AB173" i="1"/>
  <c r="AA117" i="3" s="1"/>
  <c r="AB171" i="1"/>
  <c r="AA115" i="3" s="1"/>
  <c r="AB168" i="1"/>
  <c r="AA112" i="3" s="1"/>
  <c r="AB165" i="1"/>
  <c r="AA109" i="3" s="1"/>
  <c r="AB162" i="1"/>
  <c r="AA101" i="3" s="1"/>
  <c r="AB159" i="1"/>
  <c r="AA98" i="3" s="1"/>
  <c r="AB156" i="1"/>
  <c r="AB219" i="1"/>
  <c r="AA149" i="3" s="1"/>
  <c r="AB217" i="1"/>
  <c r="AA144" i="3" s="1"/>
  <c r="AB214" i="1"/>
  <c r="AA141" i="3" s="1"/>
  <c r="AB249" i="1"/>
  <c r="AA159" i="3" s="1"/>
  <c r="AB291" i="1"/>
  <c r="AA219" i="3" s="1"/>
  <c r="AA218" i="3" s="1"/>
  <c r="AB60" i="1"/>
  <c r="AA213" i="3" s="1"/>
  <c r="AA212" i="3" s="1"/>
  <c r="AB58" i="1"/>
  <c r="AA208" i="3" s="1"/>
  <c r="AA207" i="3" s="1"/>
  <c r="AB55" i="1"/>
  <c r="AA204" i="3" s="1"/>
  <c r="AB53" i="1"/>
  <c r="AB51" i="1"/>
  <c r="AB49" i="1"/>
  <c r="AA185" i="3" s="1"/>
  <c r="AA184" i="3" s="1"/>
  <c r="AB92" i="1"/>
  <c r="AA60" i="3" s="1"/>
  <c r="AB89" i="1"/>
  <c r="AA56" i="3" s="1"/>
  <c r="AB152" i="1"/>
  <c r="AB174" i="1"/>
  <c r="AA118" i="3" s="1"/>
  <c r="AB172" i="1"/>
  <c r="AA116" i="3" s="1"/>
  <c r="AB170" i="1"/>
  <c r="AA114" i="3" s="1"/>
  <c r="AB166" i="1"/>
  <c r="AA110" i="3" s="1"/>
  <c r="AB164" i="1"/>
  <c r="AA103" i="3" s="1"/>
  <c r="AB160" i="1"/>
  <c r="AA99" i="3" s="1"/>
  <c r="AB158" i="1"/>
  <c r="AA97" i="3" s="1"/>
  <c r="AB155" i="1"/>
  <c r="AA94" i="3" s="1"/>
  <c r="AB218" i="1"/>
  <c r="AB216" i="1"/>
  <c r="AA143" i="3" s="1"/>
  <c r="AB215" i="1"/>
  <c r="AA142" i="3" s="1"/>
  <c r="AB250" i="1"/>
  <c r="AA160" i="3" s="1"/>
  <c r="AB284" i="1"/>
  <c r="AB231" i="1"/>
  <c r="AB263" i="1"/>
  <c r="AB264" i="1"/>
  <c r="AB276" i="1"/>
  <c r="AA191" i="3" s="1"/>
  <c r="AB288" i="1"/>
  <c r="AB285" i="1"/>
  <c r="AB189" i="1"/>
  <c r="AA105" i="3" s="1"/>
  <c r="AB188" i="1"/>
  <c r="AA104" i="3" s="1"/>
  <c r="AB45" i="1"/>
  <c r="AA175" i="3" s="1"/>
  <c r="AA172" i="3" s="1"/>
  <c r="AB39" i="1"/>
  <c r="AA134" i="3" s="1"/>
  <c r="AB37" i="1"/>
  <c r="AA132" i="3" s="1"/>
  <c r="AB35" i="1"/>
  <c r="AB33" i="1"/>
  <c r="AA124" i="3" s="1"/>
  <c r="AB31" i="1"/>
  <c r="AA108" i="3" s="1"/>
  <c r="AB29" i="1"/>
  <c r="AA106" i="3" s="1"/>
  <c r="AB27" i="1"/>
  <c r="AB194" i="1"/>
  <c r="AB257" i="1"/>
  <c r="AB270" i="1"/>
  <c r="AB269" i="1" s="1"/>
  <c r="AB268" i="1" s="1"/>
  <c r="AB277" i="1"/>
  <c r="AA192" i="3" s="1"/>
  <c r="AB275" i="1"/>
  <c r="AB274" i="1"/>
  <c r="AA155" i="3" s="1"/>
  <c r="AA154" i="3" s="1"/>
  <c r="AB278" i="1"/>
  <c r="AB220" i="1"/>
  <c r="AB42" i="1"/>
  <c r="AA137" i="3" s="1"/>
  <c r="AB40" i="1"/>
  <c r="AA135" i="3" s="1"/>
  <c r="AB38" i="1"/>
  <c r="AA133" i="3" s="1"/>
  <c r="AB36" i="1"/>
  <c r="AB32" i="1"/>
  <c r="AB30" i="1"/>
  <c r="AA107" i="3" s="1"/>
  <c r="AB28" i="1"/>
  <c r="AB143" i="1"/>
  <c r="AA189" i="3" s="1"/>
  <c r="AB138" i="1"/>
  <c r="AA88" i="3" s="1"/>
  <c r="AB137" i="1"/>
  <c r="AA87" i="3" s="1"/>
  <c r="AB134" i="1"/>
  <c r="AA84" i="3" s="1"/>
  <c r="AB132" i="1"/>
  <c r="AA82" i="3" s="1"/>
  <c r="AB130" i="1"/>
  <c r="AA80" i="3" s="1"/>
  <c r="AB128" i="1"/>
  <c r="AA78" i="3" s="1"/>
  <c r="AB123" i="1"/>
  <c r="AA73" i="3" s="1"/>
  <c r="AB199" i="1"/>
  <c r="AB201" i="1"/>
  <c r="AB196" i="1"/>
  <c r="AA127" i="3" s="1"/>
  <c r="AB252" i="1"/>
  <c r="AB248" i="1"/>
  <c r="AA158" i="3" s="1"/>
  <c r="AB24" i="1"/>
  <c r="AA23" i="3" s="1"/>
  <c r="AB34" i="1"/>
  <c r="AA128" i="3" s="1"/>
  <c r="AB213" i="1"/>
  <c r="AA140" i="3" s="1"/>
  <c r="AB267" i="1"/>
  <c r="AB41" i="1"/>
  <c r="AA136" i="3" s="1"/>
  <c r="AB76" i="1"/>
  <c r="AA35" i="3" s="1"/>
  <c r="AB187" i="1"/>
  <c r="AB198" i="1"/>
  <c r="AB197" i="1"/>
  <c r="AB286" i="1"/>
  <c r="AB245" i="1"/>
  <c r="AB246" i="1"/>
  <c r="AB289" i="1"/>
  <c r="AA214" i="3" s="1"/>
  <c r="AB273" i="1"/>
  <c r="AB272" i="1" s="1"/>
  <c r="AB271" i="1" s="1"/>
  <c r="AB241" i="1"/>
  <c r="AB240" i="1" s="1"/>
  <c r="AB239" i="1" s="1"/>
  <c r="AB75" i="1"/>
  <c r="AB63" i="1" s="1"/>
  <c r="AB62" i="1" s="1"/>
  <c r="AB179" i="1"/>
  <c r="AA123" i="3" s="1"/>
  <c r="AA26" i="3" l="1"/>
  <c r="D154" i="3"/>
  <c r="L154" i="3" s="1"/>
  <c r="AA130" i="3"/>
  <c r="AA129" i="3"/>
  <c r="AB262" i="1"/>
  <c r="AB261" i="1" s="1"/>
  <c r="AB283" i="1"/>
  <c r="AB282" i="1" s="1"/>
  <c r="AA145" i="3"/>
  <c r="AA196" i="3"/>
  <c r="AB114" i="1"/>
  <c r="AB113" i="1" s="1"/>
  <c r="AA21" i="3"/>
  <c r="AA19" i="3" s="1"/>
  <c r="AB19" i="1"/>
  <c r="AB18" i="1" s="1"/>
  <c r="AA216" i="3"/>
  <c r="E271" i="1"/>
  <c r="M271" i="1" s="1"/>
  <c r="M272" i="1"/>
  <c r="E282" i="1"/>
  <c r="M282" i="1" s="1"/>
  <c r="M283" i="1"/>
  <c r="E147" i="1"/>
  <c r="M147" i="1" s="1"/>
  <c r="M148" i="1"/>
  <c r="Z62" i="1"/>
  <c r="E268" i="1"/>
  <c r="M268" i="1" s="1"/>
  <c r="M269" i="1"/>
  <c r="E239" i="1"/>
  <c r="M239" i="1" s="1"/>
  <c r="M240" i="1"/>
  <c r="AB185" i="1"/>
  <c r="AB184" i="1" s="1"/>
  <c r="AA164" i="3"/>
  <c r="AA156" i="3" s="1"/>
  <c r="AA68" i="3"/>
  <c r="AB193" i="1"/>
  <c r="AB192" i="1" s="1"/>
  <c r="AA131" i="3"/>
  <c r="AA193" i="3"/>
  <c r="AA202" i="3"/>
  <c r="AA95" i="3"/>
  <c r="AA188" i="3"/>
  <c r="AA197" i="3"/>
  <c r="AA211" i="3"/>
  <c r="AA209" i="3" s="1"/>
  <c r="AA200" i="3" s="1"/>
  <c r="D202" i="3"/>
  <c r="L202" i="3" s="1"/>
  <c r="AB204" i="1"/>
  <c r="AB203" i="1" s="1"/>
  <c r="E184" i="1"/>
  <c r="M184" i="1" s="1"/>
  <c r="M185" i="1"/>
  <c r="E18" i="1"/>
  <c r="M18" i="1" s="1"/>
  <c r="M19" i="1"/>
  <c r="E192" i="1"/>
  <c r="M192" i="1" s="1"/>
  <c r="M193" i="1"/>
  <c r="E261" i="1"/>
  <c r="M261" i="1" s="1"/>
  <c r="M262" i="1"/>
  <c r="Y26" i="3"/>
  <c r="D207" i="3"/>
  <c r="L207" i="3" s="1"/>
  <c r="L208" i="3"/>
  <c r="D184" i="3"/>
  <c r="L184" i="3" s="1"/>
  <c r="L185" i="3"/>
  <c r="D26" i="3"/>
  <c r="L26" i="3" s="1"/>
  <c r="L37" i="3"/>
  <c r="D209" i="3"/>
  <c r="L209" i="3" s="1"/>
  <c r="D224" i="3"/>
  <c r="L226" i="3"/>
  <c r="D19" i="3"/>
  <c r="L19" i="3" s="1"/>
  <c r="L21" i="3"/>
  <c r="D156" i="3"/>
  <c r="L156" i="3" s="1"/>
  <c r="D138" i="3"/>
  <c r="L138" i="3" s="1"/>
  <c r="E292" i="1"/>
  <c r="M292" i="1" s="1"/>
  <c r="D68" i="3"/>
  <c r="L68" i="3" s="1"/>
  <c r="D89" i="3"/>
  <c r="L89" i="3" s="1"/>
  <c r="D186" i="3"/>
  <c r="L186" i="3" s="1"/>
  <c r="D131" i="3"/>
  <c r="L131" i="3" s="1"/>
  <c r="D126" i="3"/>
  <c r="L126" i="3" s="1"/>
  <c r="AA126" i="3" l="1"/>
  <c r="D200" i="3"/>
  <c r="L200" i="3" s="1"/>
  <c r="AA186" i="3"/>
  <c r="AA150" i="3" s="1"/>
  <c r="D216" i="3"/>
  <c r="L216" i="3" s="1"/>
  <c r="L224" i="3"/>
  <c r="D150" i="3"/>
  <c r="AB247" i="1"/>
  <c r="AA148" i="3" l="1"/>
  <c r="AA138" i="3" s="1"/>
  <c r="AB243" i="1"/>
  <c r="AB242" i="1" s="1"/>
  <c r="D228" i="3"/>
  <c r="L150" i="3"/>
  <c r="N154" i="1"/>
  <c r="M93" i="3" l="1"/>
  <c r="N148" i="1"/>
  <c r="L228" i="3"/>
  <c r="AB154" i="1"/>
  <c r="AA93" i="3" l="1"/>
  <c r="AA89" i="3" s="1"/>
  <c r="AA228" i="3" s="1"/>
  <c r="AB148" i="1"/>
  <c r="AB147" i="1" s="1"/>
  <c r="AB292" i="1" s="1"/>
  <c r="N147" i="1"/>
  <c r="Z148" i="1"/>
  <c r="M89" i="3"/>
  <c r="C56" i="1"/>
  <c r="Y89" i="3" l="1"/>
  <c r="M228" i="3"/>
  <c r="Y228" i="3" s="1"/>
  <c r="Z147" i="1"/>
  <c r="N292" i="1"/>
  <c r="C286" i="1"/>
  <c r="D286" i="1"/>
  <c r="B286" i="1"/>
  <c r="C232" i="1"/>
  <c r="D232" i="1"/>
  <c r="B232" i="1"/>
  <c r="Z292" i="1" l="1"/>
  <c r="C158" i="1"/>
  <c r="D158" i="1"/>
  <c r="B158" i="1"/>
  <c r="C34" i="1"/>
  <c r="D34" i="1"/>
  <c r="B34" i="1"/>
  <c r="B134" i="1"/>
  <c r="C134" i="1"/>
  <c r="D134" i="1"/>
  <c r="B166" i="1"/>
  <c r="C166" i="1"/>
  <c r="D166" i="1"/>
  <c r="B168" i="1"/>
  <c r="C168" i="1"/>
  <c r="C162" i="1"/>
  <c r="D162" i="1"/>
  <c r="B162" i="1"/>
  <c r="C267" i="1"/>
  <c r="B267" i="1"/>
  <c r="C264" i="1"/>
  <c r="D264" i="1"/>
  <c r="B264" i="1"/>
  <c r="D138" i="1"/>
  <c r="C138" i="1"/>
  <c r="B138" i="1"/>
  <c r="C137" i="1"/>
  <c r="D137" i="1"/>
  <c r="B137" i="1"/>
  <c r="C53" i="1"/>
  <c r="B53" i="1"/>
  <c r="C183" i="1"/>
  <c r="B183" i="1"/>
  <c r="C179" i="1"/>
  <c r="D179" i="1"/>
  <c r="C180" i="1"/>
  <c r="B180" i="1"/>
  <c r="B179" i="1"/>
  <c r="C174" i="1"/>
  <c r="D174" i="1"/>
  <c r="B174" i="1"/>
  <c r="C173" i="1"/>
  <c r="D173" i="1"/>
  <c r="B173" i="1"/>
  <c r="C172" i="1"/>
  <c r="B172" i="1"/>
  <c r="C171" i="1"/>
  <c r="D171" i="1"/>
  <c r="B171" i="1"/>
  <c r="C170" i="1"/>
  <c r="D170" i="1"/>
  <c r="B170" i="1"/>
  <c r="C165" i="1"/>
  <c r="D165" i="1"/>
  <c r="B165" i="1"/>
  <c r="C164" i="1"/>
  <c r="D164" i="1"/>
  <c r="B164" i="1"/>
  <c r="C160" i="1"/>
  <c r="D160" i="1"/>
  <c r="B160" i="1"/>
  <c r="C159" i="1"/>
  <c r="D159" i="1"/>
  <c r="B159" i="1"/>
  <c r="C156" i="1"/>
  <c r="D156" i="1"/>
  <c r="B156" i="1"/>
  <c r="C155" i="1"/>
  <c r="B155" i="1"/>
  <c r="C154" i="1"/>
  <c r="D154" i="1"/>
  <c r="B154" i="1"/>
  <c r="C143" i="1"/>
  <c r="B143" i="1"/>
  <c r="C132" i="1"/>
  <c r="D132" i="1"/>
  <c r="B132" i="1"/>
  <c r="C130" i="1"/>
  <c r="D130" i="1"/>
  <c r="B130" i="1"/>
  <c r="C128" i="1"/>
  <c r="B128" i="1"/>
  <c r="C123" i="1"/>
  <c r="B123" i="1"/>
  <c r="C93" i="1"/>
  <c r="C95" i="1"/>
  <c r="C77" i="1"/>
  <c r="B77" i="1"/>
  <c r="C76" i="1"/>
  <c r="B76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5" i="1"/>
  <c r="D45" i="1"/>
  <c r="B45" i="1"/>
  <c r="C32" i="1"/>
  <c r="D32" i="1"/>
  <c r="C33" i="1"/>
  <c r="B33" i="1"/>
  <c r="B32" i="1"/>
  <c r="C35" i="1"/>
  <c r="D35" i="1"/>
  <c r="C36" i="1"/>
  <c r="D36" i="1"/>
  <c r="B36" i="1"/>
  <c r="B35" i="1"/>
  <c r="C42" i="1"/>
  <c r="D42" i="1"/>
  <c r="B42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1" i="1"/>
  <c r="B31" i="1"/>
  <c r="C30" i="1"/>
  <c r="D30" i="1"/>
  <c r="B30" i="1"/>
  <c r="C29" i="1"/>
  <c r="B29" i="1"/>
  <c r="C28" i="1"/>
  <c r="D28" i="1"/>
  <c r="B28" i="1"/>
  <c r="C27" i="1"/>
  <c r="B27" i="1"/>
  <c r="C24" i="1"/>
  <c r="D24" i="1"/>
  <c r="B24" i="1"/>
  <c r="D189" i="1"/>
  <c r="C189" i="1"/>
  <c r="B189" i="1"/>
  <c r="C196" i="1"/>
  <c r="D196" i="1"/>
  <c r="B196" i="1"/>
  <c r="C198" i="1"/>
  <c r="D198" i="1"/>
  <c r="C199" i="1"/>
  <c r="D199" i="1"/>
  <c r="B199" i="1"/>
  <c r="B198" i="1"/>
  <c r="C201" i="1"/>
  <c r="B201" i="1"/>
  <c r="C212" i="1"/>
  <c r="D212" i="1"/>
  <c r="B212" i="1"/>
  <c r="C216" i="1"/>
  <c r="D216" i="1"/>
  <c r="B216" i="1"/>
  <c r="C215" i="1"/>
  <c r="D215" i="1"/>
  <c r="B215" i="1"/>
  <c r="C214" i="1"/>
  <c r="D214" i="1"/>
  <c r="B214" i="1"/>
  <c r="C213" i="1"/>
  <c r="D213" i="1"/>
  <c r="B213" i="1"/>
  <c r="C217" i="1"/>
  <c r="D217" i="1"/>
  <c r="B217" i="1"/>
  <c r="C218" i="1"/>
  <c r="D218" i="1"/>
  <c r="B218" i="1"/>
  <c r="C219" i="1"/>
  <c r="D219" i="1"/>
  <c r="B219" i="1"/>
  <c r="C220" i="1"/>
  <c r="B220" i="1"/>
  <c r="C221" i="1"/>
  <c r="B221" i="1"/>
  <c r="C231" i="1"/>
  <c r="B231" i="1"/>
  <c r="C237" i="1"/>
  <c r="D237" i="1"/>
  <c r="B237" i="1"/>
  <c r="C238" i="1"/>
  <c r="B238" i="1"/>
  <c r="C246" i="1"/>
  <c r="D246" i="1"/>
  <c r="B246" i="1"/>
  <c r="C247" i="1"/>
  <c r="B247" i="1"/>
  <c r="C248" i="1"/>
  <c r="D248" i="1"/>
  <c r="B248" i="1"/>
  <c r="C250" i="1"/>
  <c r="B250" i="1"/>
  <c r="C249" i="1"/>
  <c r="B249" i="1"/>
  <c r="C252" i="1"/>
  <c r="B252" i="1"/>
  <c r="C257" i="1"/>
  <c r="B257" i="1"/>
  <c r="C274" i="1"/>
  <c r="D274" i="1"/>
  <c r="B274" i="1"/>
  <c r="C275" i="1"/>
  <c r="D275" i="1"/>
  <c r="B275" i="1"/>
  <c r="C276" i="1"/>
  <c r="D276" i="1"/>
  <c r="B276" i="1"/>
  <c r="C277" i="1"/>
  <c r="D277" i="1"/>
  <c r="B277" i="1"/>
  <c r="C278" i="1"/>
  <c r="D278" i="1"/>
  <c r="B278" i="1"/>
  <c r="C285" i="1"/>
  <c r="B285" i="1"/>
  <c r="C288" i="1"/>
  <c r="D288" i="1"/>
  <c r="B288" i="1"/>
  <c r="C289" i="1"/>
  <c r="D289" i="1"/>
  <c r="B289" i="1"/>
  <c r="C290" i="1"/>
  <c r="D290" i="1"/>
  <c r="C291" i="1"/>
  <c r="D291" i="1"/>
  <c r="B291" i="1"/>
  <c r="C284" i="1"/>
  <c r="B284" i="1"/>
  <c r="C273" i="1"/>
  <c r="B273" i="1"/>
  <c r="C270" i="1"/>
  <c r="B270" i="1"/>
  <c r="C263" i="1"/>
  <c r="B263" i="1"/>
  <c r="C245" i="1"/>
  <c r="B245" i="1"/>
  <c r="C241" i="1"/>
  <c r="B241" i="1"/>
  <c r="C210" i="1"/>
  <c r="B210" i="1"/>
  <c r="C194" i="1"/>
  <c r="B194" i="1"/>
  <c r="C187" i="1"/>
  <c r="B187" i="1"/>
  <c r="C152" i="1"/>
  <c r="B152" i="1"/>
  <c r="C122" i="1"/>
  <c r="B122" i="1"/>
  <c r="C75" i="1"/>
  <c r="B75" i="1"/>
  <c r="C22" i="1"/>
  <c r="B22" i="1"/>
  <c r="D70" i="3" l="1"/>
  <c r="L70" i="3" s="1"/>
  <c r="D72" i="3" l="1"/>
  <c r="L72" i="3" s="1"/>
  <c r="D69" i="3" l="1"/>
  <c r="L69" i="3" s="1"/>
  <c r="D173" i="3" l="1"/>
  <c r="D152" i="3" l="1"/>
  <c r="L152" i="3" s="1"/>
  <c r="L173" i="3"/>
  <c r="D151" i="3"/>
  <c r="L151" i="3" s="1"/>
</calcChain>
</file>

<file path=xl/sharedStrings.xml><?xml version="1.0" encoding="utf-8"?>
<sst xmlns="http://schemas.openxmlformats.org/spreadsheetml/2006/main" count="987" uniqueCount="592">
  <si>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</si>
  <si>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</si>
  <si>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</si>
  <si>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</si>
  <si>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</si>
  <si>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</si>
  <si>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</si>
  <si>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</si>
  <si>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</si>
  <si>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</si>
  <si>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</si>
  <si>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</si>
  <si>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</si>
  <si>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</si>
  <si>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</si>
  <si>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</si>
  <si>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</si>
  <si>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</si>
  <si>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</si>
  <si>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</si>
  <si>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</si>
  <si>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</si>
  <si>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</si>
  <si>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</si>
  <si>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</si>
  <si>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</si>
  <si>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</si>
  <si>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</si>
  <si>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</si>
  <si>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</si>
  <si>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</si>
  <si>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</si>
  <si>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</si>
  <si>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</si>
  <si>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</si>
  <si>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</si>
  <si>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</si>
  <si>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</si>
  <si>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</si>
  <si>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</si>
  <si>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</si>
  <si>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</si>
  <si>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</si>
  <si>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</si>
  <si>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</si>
  <si>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</si>
  <si>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</si>
  <si>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</si>
  <si>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</si>
  <si>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</si>
  <si>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</si>
  <si>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</si>
  <si>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</si>
  <si>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</si>
  <si>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</si>
  <si>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</si>
  <si>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</si>
  <si>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</si>
  <si>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</si>
  <si>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</si>
  <si>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</si>
  <si>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</si>
  <si>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</si>
  <si>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</si>
  <si>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</si>
  <si>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</si>
  <si>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</si>
  <si>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</si>
  <si>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</si>
  <si>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</si>
  <si>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</si>
  <si>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</si>
  <si>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</si>
  <si>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</si>
  <si>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</si>
  <si>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</si>
  <si>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</si>
  <si>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</si>
  <si>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</si>
  <si>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</si>
  <si>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</si>
  <si>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</si>
  <si>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</si>
  <si>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</si>
  <si>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</si>
  <si>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</si>
  <si>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</si>
  <si>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</si>
  <si>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</si>
  <si>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</si>
  <si>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</si>
  <si>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</si>
  <si>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</si>
  <si>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</si>
  <si>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</si>
  <si>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</si>
  <si>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</si>
  <si>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</si>
  <si>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</si>
  <si>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</si>
  <si>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</si>
  <si>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</si>
  <si>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</si>
  <si>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</si>
  <si>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</si>
  <si>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</si>
  <si>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</si>
  <si>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</si>
  <si>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</si>
  <si>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</si>
  <si>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</si>
  <si>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</si>
  <si>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</si>
  <si>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</si>
  <si>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</si>
  <si>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</si>
  <si>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</si>
  <si>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</si>
  <si>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</si>
  <si>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</si>
  <si>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</si>
  <si>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</si>
  <si>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</si>
  <si>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</si>
  <si>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</si>
  <si>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</si>
  <si>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</si>
  <si>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</si>
  <si>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</si>
  <si>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</si>
  <si>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</si>
  <si>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</si>
  <si>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</si>
  <si>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</si>
  <si>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</si>
  <si>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</si>
  <si>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</si>
  <si>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</si>
  <si>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</si>
  <si>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</si>
  <si>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</si>
  <si>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</si>
  <si>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</si>
  <si>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</si>
  <si>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</si>
  <si>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</si>
  <si>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</si>
  <si>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</si>
  <si>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</si>
  <si>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</si>
  <si>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</si>
  <si>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</si>
  <si>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</si>
  <si>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</si>
  <si>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</si>
  <si>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</si>
  <si>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</si>
  <si>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</si>
  <si>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</si>
  <si>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</si>
  <si>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</si>
  <si>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</si>
  <si>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</si>
  <si>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</si>
  <si>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</si>
  <si>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</si>
  <si>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</si>
  <si>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</si>
  <si>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</si>
  <si>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</si>
  <si>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</si>
  <si>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</si>
  <si>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</si>
  <si>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</si>
  <si>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</si>
  <si>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</si>
  <si>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</si>
  <si>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</si>
  <si>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</si>
  <si>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</si>
  <si>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</si>
  <si>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</si>
  <si>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</si>
  <si>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</si>
  <si>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</si>
  <si>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</si>
  <si>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</si>
  <si>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</si>
  <si>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</si>
  <si>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</si>
  <si>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</si>
  <si>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</si>
  <si>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</si>
  <si>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</si>
  <si>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</si>
  <si>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</si>
  <si>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</si>
  <si>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</si>
  <si>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</si>
  <si>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</si>
  <si>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</si>
  <si>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</si>
  <si>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</si>
  <si>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</si>
  <si>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</si>
  <si>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</si>
  <si>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</si>
  <si>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</si>
  <si>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</si>
  <si>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</si>
  <si>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</si>
  <si>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</si>
  <si>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</si>
  <si>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</si>
  <si>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</si>
  <si>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</si>
  <si>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</si>
  <si>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</si>
  <si>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</si>
  <si>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</si>
  <si>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</si>
  <si>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</si>
  <si>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</si>
  <si>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</si>
  <si>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</si>
  <si>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</si>
  <si>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</si>
  <si>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</si>
  <si>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</si>
  <si>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</si>
  <si>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</si>
  <si>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</si>
  <si>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</si>
  <si>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</si>
  <si>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</si>
  <si>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</si>
  <si>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</si>
  <si>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</si>
  <si>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</si>
  <si>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</si>
  <si>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</si>
  <si>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</si>
  <si>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</si>
  <si>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</si>
  <si>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</si>
  <si>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</si>
  <si>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</si>
  <si>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</si>
  <si>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</si>
  <si>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</si>
  <si>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</si>
  <si>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</si>
  <si>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</si>
  <si>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</si>
  <si>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</si>
  <si>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</si>
  <si>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</si>
  <si>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</si>
  <si>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</si>
  <si>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</si>
  <si>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</si>
  <si>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</si>
  <si>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</si>
  <si>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</si>
  <si>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</si>
  <si>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</si>
  <si>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</si>
  <si>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</si>
  <si>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</si>
  <si>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</si>
  <si>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</si>
  <si>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</si>
  <si>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</si>
  <si>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</si>
  <si>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</si>
  <si>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</si>
  <si>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</si>
  <si>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</si>
  <si>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</si>
  <si>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</si>
  <si>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</si>
  <si>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</si>
  <si>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</si>
  <si>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</si>
  <si>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</si>
  <si>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</si>
  <si>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</si>
  <si>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</si>
  <si>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</si>
  <si>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</si>
  <si>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</si>
  <si>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</si>
  <si>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</si>
  <si>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</si>
  <si>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</si>
  <si>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</si>
  <si>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</si>
  <si>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</si>
  <si>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</si>
  <si>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</si>
  <si>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</si>
  <si>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</si>
  <si>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</si>
  <si>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</si>
  <si>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</si>
  <si>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</si>
  <si>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</si>
  <si>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</si>
  <si>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</si>
  <si>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</si>
  <si>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</si>
  <si>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</si>
  <si>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</si>
  <si>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</si>
  <si>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</si>
  <si>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</si>
  <si>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</si>
  <si>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</si>
  <si>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</si>
  <si>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</si>
  <si>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</si>
  <si>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</si>
  <si>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</si>
  <si>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</si>
  <si>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</si>
  <si>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</si>
  <si>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</si>
  <si>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</si>
  <si>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</si>
  <si>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</si>
  <si>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</si>
  <si>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</si>
  <si>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</si>
  <si>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</si>
  <si>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</si>
  <si>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</si>
  <si>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</si>
  <si>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</si>
  <si>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</si>
  <si>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</si>
  <si>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</si>
  <si>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</si>
  <si>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</si>
  <si>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</si>
  <si>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</si>
  <si>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</si>
  <si>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</si>
  <si>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</si>
  <si>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</si>
  <si>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</si>
  <si>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</si>
  <si>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</si>
  <si>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</si>
  <si>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</si>
  <si>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</si>
  <si>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</si>
  <si>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</si>
  <si>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</si>
  <si>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</si>
  <si>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</si>
  <si>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</si>
  <si>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</si>
  <si>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</si>
  <si>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</si>
  <si>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</si>
  <si>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</si>
  <si>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</si>
  <si>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</si>
  <si>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</si>
  <si>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</si>
  <si>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</si>
  <si>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</si>
  <si>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</si>
  <si>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</si>
  <si>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</si>
  <si>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</si>
  <si>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</si>
  <si>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</si>
  <si>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</si>
  <si>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</si>
  <si>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</si>
  <si>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</si>
  <si>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</si>
  <si>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</si>
  <si>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</si>
  <si>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</si>
  <si>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</si>
  <si>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</si>
  <si>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</si>
  <si>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</si>
  <si>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</si>
  <si>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</si>
  <si>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</si>
  <si>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</si>
  <si>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</si>
  <si>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</si>
  <si>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</si>
  <si>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</si>
  <si>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</si>
  <si>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</si>
  <si>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</si>
  <si>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</si>
  <si>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</si>
  <si>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</si>
  <si>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</si>
  <si>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</si>
  <si>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</si>
  <si>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</si>
  <si>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</si>
  <si>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</si>
  <si>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</si>
  <si>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</si>
  <si>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</si>
  <si>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</si>
  <si>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</si>
  <si>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</si>
  <si>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</si>
  <si>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</si>
  <si>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</si>
  <si>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</si>
  <si>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</si>
  <si>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</si>
  <si>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</si>
  <si>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</si>
  <si>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</si>
  <si>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</si>
  <si>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</si>
  <si>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</si>
  <si>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</si>
  <si>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</si>
  <si>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</si>
  <si>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</si>
  <si>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</si>
  <si>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</si>
  <si>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</si>
  <si>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</si>
  <si>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</si>
  <si>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</si>
  <si>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</si>
  <si>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</si>
  <si>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</si>
  <si>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</si>
  <si>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</si>
  <si>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</si>
  <si>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</si>
  <si>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</si>
  <si>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</si>
  <si>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</si>
  <si>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</si>
  <si>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</si>
  <si>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</si>
  <si>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</si>
  <si>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</si>
  <si>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</si>
  <si>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</si>
  <si>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</si>
  <si>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</si>
  <si>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</si>
  <si>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</si>
  <si>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</si>
  <si>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</si>
  <si>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</si>
  <si>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</si>
  <si>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</si>
  <si>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</si>
  <si>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</si>
  <si>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</si>
  <si>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</si>
  <si>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</si>
  <si>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</si>
  <si>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</si>
  <si>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</si>
  <si>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</si>
  <si>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</si>
  <si>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</si>
  <si>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</si>
  <si>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</si>
  <si>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</si>
  <si>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</si>
  <si>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</si>
  <si>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</si>
  <si>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</si>
  <si>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</si>
  <si>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</si>
  <si>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</si>
  <si>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</si>
  <si>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</si>
  <si>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</si>
  <si>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</si>
  <si>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</si>
  <si>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</si>
  <si>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</si>
  <si>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</si>
  <si>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</si>
  <si>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</si>
  <si>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</si>
  <si>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</si>
  <si>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</si>
  <si>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</si>
  <si>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</si>
  <si>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</si>
  <si>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</si>
  <si>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</si>
  <si>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</si>
  <si>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</si>
  <si>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</si>
  <si>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</si>
  <si>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</si>
  <si>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</si>
  <si>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</si>
  <si>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</si>
  <si>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</si>
  <si>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</si>
  <si>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</si>
  <si>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</si>
  <si>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</si>
  <si>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</si>
  <si>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</si>
  <si>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</si>
  <si>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</si>
  <si>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</si>
  <si>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</si>
  <si>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</si>
  <si>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</si>
  <si>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</si>
  <si>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</si>
  <si>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</si>
  <si>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 xml:space="preserve">            (код бюджету)</t>
  </si>
  <si>
    <t>Заходи з організації рятування на водах, у т.ч. за рахунок:</t>
  </si>
  <si>
    <t>Інша діяльність, пов’язана з експлуатацією об’єктів житлово-комунального господарства,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</si>
  <si>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</si>
  <si>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</si>
  <si>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</si>
  <si>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</si>
  <si>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</si>
  <si>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</si>
  <si>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</si>
  <si>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</si>
  <si>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</si>
  <si>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</si>
  <si>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</si>
  <si>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</si>
  <si>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</si>
  <si>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</si>
  <si>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</si>
  <si>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</si>
  <si>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</si>
  <si>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</si>
  <si>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</si>
  <si>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</si>
  <si>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</si>
  <si>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</si>
  <si>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</si>
  <si>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</si>
  <si>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</si>
  <si>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</si>
  <si>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</si>
  <si>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</si>
  <si>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</si>
  <si>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</si>
  <si>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</si>
  <si>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</si>
  <si>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</si>
  <si>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</si>
  <si>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</si>
  <si>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субвенція з державного бюджету місцевим бюджнтам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</si>
  <si>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</si>
  <si>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1617370</t>
  </si>
  <si>
    <t>7370</t>
  </si>
  <si>
    <t xml:space="preserve">Сумської міської територіальної громади </t>
  </si>
  <si>
    <t>до    рішення    Сумської    міської    ради</t>
  </si>
  <si>
    <t>за І півріччя 2021 року»</t>
  </si>
  <si>
    <t>Затверджено по бюджету з урахуванням змін (відповідно до казначейської звітності)</t>
  </si>
  <si>
    <t>Касові видатки</t>
  </si>
  <si>
    <t>Звіт про виконання видаткової частини бюджету Сумської міської територіальної громади за І півріччя 2021 року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</si>
  <si>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І півріччя 2021 року  за головними розпорядниками бюджетних коштів</t>
  </si>
  <si>
    <t>Разом план</t>
  </si>
  <si>
    <t>% виконання до затвердженогго по бюджету</t>
  </si>
  <si>
    <t>% виконання до затвердженого по бюджету</t>
  </si>
  <si>
    <t>від                     2021   року  №          -  МР</t>
  </si>
  <si>
    <t>(грн.)</t>
  </si>
  <si>
    <t xml:space="preserve">      (код бюджету)</t>
  </si>
  <si>
    <t xml:space="preserve">«Про   звіт    про    виконання     бюджету        
</t>
  </si>
  <si>
    <t xml:space="preserve">               Додаток 2</t>
  </si>
  <si>
    <r>
      <rPr>
        <sz val="24"/>
        <rFont val="Times New Roman"/>
        <family val="1"/>
        <charset val="204"/>
      </rPr>
      <t xml:space="preserve">      </t>
    </r>
    <r>
      <rPr>
        <u/>
        <sz val="24"/>
        <rFont val="Times New Roman"/>
        <family val="1"/>
        <charset val="204"/>
      </rPr>
      <t>18531000000</t>
    </r>
  </si>
  <si>
    <t>видатки споживан-ня</t>
  </si>
  <si>
    <r>
      <rPr>
        <sz val="24"/>
        <rFont val="Times New Roman"/>
        <family val="1"/>
        <charset val="204"/>
      </rPr>
      <t xml:space="preserve">       </t>
    </r>
    <r>
      <rPr>
        <u/>
        <sz val="24"/>
        <rFont val="Times New Roman"/>
        <family val="1"/>
        <charset val="204"/>
      </rPr>
      <t>18531000000</t>
    </r>
  </si>
  <si>
    <t>__________</t>
  </si>
  <si>
    <t xml:space="preserve">«Про   звіт    про    виконання    бюджету        
</t>
  </si>
  <si>
    <t xml:space="preserve">Сумської  міської територіальної громади </t>
  </si>
  <si>
    <t>від                    2021   року  №          -  МР</t>
  </si>
  <si>
    <t xml:space="preserve">            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</si>
</sst>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4"/>
      <name val="Times New Roman"/>
      <family val="1"/>
      <charset val="204"/>
    </font>
    <font>
      <sz val="32"/>
      <name val="Times New Roman"/>
      <family val="1"/>
      <charset val="204"/>
    </font>
    <font>
      <b/>
      <sz val="36"/>
      <name val="Times New Roman"/>
      <family val="1"/>
      <charset val="204"/>
    </font>
    <font>
      <sz val="23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15"/>
      <name val="Times New Roman"/>
      <family val="1"/>
      <charset val="204"/>
    </font>
    <font>
      <sz val="3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205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vertical="center" wrapText="1"/>
    </xf>
    <xf numFmtId="3" fontId="39" fillId="0" borderId="0" xfId="0" applyNumberFormat="1" applyFont="1" applyFill="1" applyAlignment="1">
      <alignment horizontal="left"/>
    </xf>
    <xf numFmtId="0" fontId="48" fillId="0" borderId="0" xfId="0" applyFont="1" applyFill="1" applyAlignment="1"/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Border="1"/>
    <xf numFmtId="3" fontId="48" fillId="0" borderId="0" xfId="0" applyNumberFormat="1" applyFont="1" applyFill="1" applyAlignment="1"/>
    <xf numFmtId="3" fontId="48" fillId="0" borderId="0" xfId="0" applyNumberFormat="1" applyFont="1" applyFill="1" applyAlignment="1">
      <alignment wrapText="1"/>
    </xf>
    <xf numFmtId="3" fontId="39" fillId="0" borderId="0" xfId="0" applyNumberFormat="1" applyFont="1" applyFill="1" applyAlignment="1"/>
    <xf numFmtId="3" fontId="24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0" fontId="40" fillId="0" borderId="0" xfId="0" applyNumberFormat="1" applyFont="1" applyFill="1" applyBorder="1" applyAlignment="1" applyProtection="1">
      <alignment vertical="top" wrapText="1"/>
    </xf>
    <xf numFmtId="3" fontId="48" fillId="0" borderId="0" xfId="0" applyNumberFormat="1" applyFont="1" applyFill="1" applyAlignment="1">
      <alignment wrapText="1"/>
    </xf>
    <xf numFmtId="0" fontId="40" fillId="0" borderId="0" xfId="0" applyNumberFormat="1" applyFont="1" applyFill="1" applyBorder="1" applyAlignment="1" applyProtection="1">
      <alignment horizontal="center" vertical="top" wrapText="1"/>
    </xf>
    <xf numFmtId="165" fontId="29" fillId="0" borderId="7" xfId="0" applyNumberFormat="1" applyFont="1" applyFill="1" applyBorder="1" applyAlignment="1">
      <alignment horizontal="right" wrapText="1"/>
    </xf>
    <xf numFmtId="165" fontId="29" fillId="0" borderId="7" xfId="0" applyNumberFormat="1" applyFont="1" applyFill="1" applyBorder="1" applyAlignment="1">
      <alignment horizontal="right"/>
    </xf>
    <xf numFmtId="165" fontId="31" fillId="0" borderId="7" xfId="0" applyNumberFormat="1" applyFont="1" applyFill="1" applyBorder="1" applyAlignment="1">
      <alignment horizontal="right" wrapText="1"/>
    </xf>
    <xf numFmtId="165" fontId="31" fillId="0" borderId="7" xfId="0" applyNumberFormat="1" applyFont="1" applyFill="1" applyBorder="1" applyAlignment="1">
      <alignment horizontal="right"/>
    </xf>
    <xf numFmtId="0" fontId="50" fillId="0" borderId="0" xfId="0" applyFont="1" applyFill="1" applyAlignment="1"/>
    <xf numFmtId="0" fontId="50" fillId="0" borderId="0" xfId="0" applyFont="1" applyFill="1" applyBorder="1"/>
    <xf numFmtId="0" fontId="50" fillId="0" borderId="0" xfId="0" applyFont="1" applyFill="1" applyAlignment="1">
      <alignment vertical="center"/>
    </xf>
    <xf numFmtId="3" fontId="50" fillId="0" borderId="0" xfId="0" applyNumberFormat="1" applyFont="1" applyFill="1" applyAlignment="1"/>
    <xf numFmtId="3" fontId="50" fillId="0" borderId="0" xfId="0" applyNumberFormat="1" applyFont="1" applyFill="1" applyBorder="1"/>
    <xf numFmtId="3" fontId="55" fillId="0" borderId="7" xfId="0" applyNumberFormat="1" applyFont="1" applyFill="1" applyBorder="1" applyAlignment="1" applyProtection="1">
      <alignment horizontal="center" vertical="center" wrapText="1"/>
    </xf>
    <xf numFmtId="49" fontId="56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4" fontId="56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Alignment="1" applyProtection="1">
      <alignment horizontal="center" vertical="top"/>
    </xf>
    <xf numFmtId="49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 applyProtection="1">
      <alignment horizontal="center"/>
    </xf>
    <xf numFmtId="3" fontId="50" fillId="0" borderId="0" xfId="0" applyNumberFormat="1" applyFont="1" applyFill="1" applyBorder="1" applyAlignment="1" applyProtection="1">
      <alignment horizontal="left" wrapText="1"/>
    </xf>
    <xf numFmtId="3" fontId="55" fillId="0" borderId="12" xfId="0" applyNumberFormat="1" applyFont="1" applyFill="1" applyBorder="1" applyAlignment="1" applyProtection="1">
      <alignment horizontal="center" vertical="center" wrapText="1"/>
    </xf>
    <xf numFmtId="3" fontId="55" fillId="0" borderId="13" xfId="0" applyNumberFormat="1" applyFont="1" applyFill="1" applyBorder="1" applyAlignment="1" applyProtection="1">
      <alignment horizontal="center" vertical="center" wrapText="1"/>
    </xf>
    <xf numFmtId="3" fontId="55" fillId="0" borderId="8" xfId="0" applyNumberFormat="1" applyFont="1" applyFill="1" applyBorder="1" applyAlignment="1" applyProtection="1">
      <alignment horizontal="center" vertical="center" wrapText="1"/>
    </xf>
    <xf numFmtId="3" fontId="38" fillId="0" borderId="9" xfId="0" applyNumberFormat="1" applyFont="1" applyFill="1" applyBorder="1" applyAlignment="1" applyProtection="1">
      <alignment horizontal="center" vertical="center" wrapText="1"/>
    </xf>
    <xf numFmtId="3" fontId="38" fillId="0" borderId="10" xfId="0" applyNumberFormat="1" applyFont="1" applyFill="1" applyBorder="1" applyAlignment="1" applyProtection="1">
      <alignment horizontal="center" vertical="center" wrapText="1"/>
    </xf>
    <xf numFmtId="3" fontId="38" fillId="0" borderId="11" xfId="0" applyNumberFormat="1" applyFont="1" applyFill="1" applyBorder="1" applyAlignment="1" applyProtection="1">
      <alignment horizontal="center" vertical="center" wrapText="1"/>
    </xf>
    <xf numFmtId="3" fontId="36" fillId="0" borderId="12" xfId="0" applyNumberFormat="1" applyFont="1" applyFill="1" applyBorder="1" applyAlignment="1" applyProtection="1">
      <alignment horizontal="center" vertical="center" wrapText="1"/>
    </xf>
    <xf numFmtId="3" fontId="36" fillId="0" borderId="13" xfId="0" applyNumberFormat="1" applyFont="1" applyFill="1" applyBorder="1" applyAlignment="1" applyProtection="1">
      <alignment horizontal="center" vertical="center" wrapText="1"/>
    </xf>
    <xf numFmtId="3" fontId="36" fillId="0" borderId="8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Fill="1" applyAlignment="1">
      <alignment horizontal="center"/>
    </xf>
    <xf numFmtId="3" fontId="50" fillId="0" borderId="0" xfId="0" applyNumberFormat="1" applyFont="1" applyFill="1" applyAlignment="1">
      <alignment wrapText="1"/>
    </xf>
    <xf numFmtId="3" fontId="55" fillId="0" borderId="7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Alignment="1" applyProtection="1">
      <alignment horizontal="center"/>
    </xf>
    <xf numFmtId="0" fontId="54" fillId="0" borderId="0" xfId="0" applyNumberFormat="1" applyFont="1" applyFill="1" applyAlignment="1" applyProtection="1">
      <alignment horizontal="center" vertical="top"/>
    </xf>
    <xf numFmtId="49" fontId="50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6" fillId="0" borderId="7" xfId="0" applyNumberFormat="1" applyFont="1" applyFill="1" applyBorder="1" applyAlignment="1" applyProtection="1">
      <alignment horizontal="center" vertical="center" wrapText="1"/>
    </xf>
    <xf numFmtId="3" fontId="52" fillId="0" borderId="17" xfId="0" applyNumberFormat="1" applyFont="1" applyFill="1" applyBorder="1" applyAlignment="1">
      <alignment horizontal="center" wrapText="1"/>
    </xf>
    <xf numFmtId="3" fontId="38" fillId="0" borderId="14" xfId="0" applyNumberFormat="1" applyFont="1" applyFill="1" applyBorder="1" applyAlignment="1" applyProtection="1">
      <alignment horizontal="center" vertical="center" wrapText="1"/>
    </xf>
    <xf numFmtId="3" fontId="38" fillId="0" borderId="15" xfId="0" applyNumberFormat="1" applyFont="1" applyFill="1" applyBorder="1" applyAlignment="1" applyProtection="1">
      <alignment horizontal="center" vertical="center" wrapText="1"/>
    </xf>
    <xf numFmtId="3" fontId="38" fillId="0" borderId="16" xfId="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49" fontId="53" fillId="0" borderId="0" xfId="0" applyNumberFormat="1" applyFont="1" applyFill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S1677"/>
  <sheetViews>
    <sheetView showGridLines="0" showZeros="0" tabSelected="1" view="pageBreakPreview" topLeftCell="M1" zoomScale="70" zoomScaleNormal="82" zoomScaleSheetLayoutView="70" workbookViewId="0">
      <selection activeCell="P5" sqref="P5"/>
    </sheetView>
  </sheetViews>
  <sheetFormatPr defaultColWidth="9.1640625" defaultRowHeight="15" x14ac:dyDescent="0.25"/>
  <cols>
    <col min="1" max="1" width="16.1640625" style="57" customWidth="1"/>
    <col min="2" max="2" width="15.33203125" style="18" hidden="1" customWidth="1"/>
    <col min="3" max="3" width="14.6640625" style="18" hidden="1" customWidth="1"/>
    <col min="4" max="4" width="62" style="26" customWidth="1"/>
    <col min="5" max="5" width="21.33203125" style="47" customWidth="1"/>
    <col min="6" max="6" width="23.1640625" style="47" hidden="1" customWidth="1"/>
    <col min="7" max="7" width="21.6640625" style="47" customWidth="1"/>
    <col min="8" max="8" width="19.1640625" style="47" customWidth="1"/>
    <col min="9" max="9" width="21.5" style="47" hidden="1" customWidth="1"/>
    <col min="10" max="10" width="21.6640625" style="47" customWidth="1"/>
    <col min="11" max="11" width="19.83203125" style="47" customWidth="1"/>
    <col min="12" max="12" width="19" style="47" customWidth="1"/>
    <col min="13" max="13" width="11" style="47" customWidth="1"/>
    <col min="14" max="14" width="19.83203125" style="47" customWidth="1"/>
    <col min="15" max="15" width="20.1640625" style="47" customWidth="1"/>
    <col min="16" max="16" width="17.6640625" style="47" customWidth="1"/>
    <col min="17" max="17" width="17.5" style="47" customWidth="1"/>
    <col min="18" max="18" width="19.1640625" style="47" customWidth="1"/>
    <col min="19" max="19" width="19.6640625" style="47" customWidth="1"/>
    <col min="20" max="20" width="19" style="47" customWidth="1"/>
    <col min="21" max="21" width="19.33203125" style="47" customWidth="1"/>
    <col min="22" max="22" width="18.33203125" style="47" customWidth="1"/>
    <col min="23" max="23" width="17" style="47" customWidth="1"/>
    <col min="24" max="24" width="20.33203125" style="47" customWidth="1"/>
    <col min="25" max="25" width="19.83203125" style="47" customWidth="1"/>
    <col min="26" max="26" width="12.33203125" style="47" customWidth="1"/>
    <col min="27" max="27" width="21.5" style="47" customWidth="1"/>
    <col min="28" max="28" width="20.5" style="143" hidden="1" customWidth="1"/>
    <col min="29" max="29" width="11.5" style="28" customWidth="1"/>
    <col min="30" max="30" width="10.5" style="28" customWidth="1"/>
    <col min="31" max="539" width="9.1640625" style="28"/>
    <col min="540" max="16384" width="9.1640625" style="20"/>
  </cols>
  <sheetData>
    <row r="1" spans="1:539" ht="36" customHeight="1" x14ac:dyDescent="0.55000000000000004">
      <c r="I1" s="152"/>
      <c r="J1" s="152"/>
      <c r="K1" s="152"/>
      <c r="L1" s="152"/>
      <c r="M1" s="152"/>
      <c r="N1" s="146"/>
      <c r="O1" s="146"/>
      <c r="P1" s="146"/>
      <c r="Q1" s="146"/>
      <c r="R1" s="146"/>
      <c r="S1" s="146"/>
      <c r="T1" s="188" t="s">
        <v>583</v>
      </c>
      <c r="U1" s="188"/>
      <c r="V1" s="188"/>
      <c r="W1" s="188"/>
      <c r="X1" s="188"/>
      <c r="Y1" s="161"/>
      <c r="Z1" s="161"/>
      <c r="AA1" s="162"/>
      <c r="AB1" s="162"/>
    </row>
    <row r="2" spans="1:539" ht="34.5" customHeight="1" x14ac:dyDescent="0.55000000000000004">
      <c r="N2" s="147"/>
      <c r="O2" s="147"/>
      <c r="P2" s="147"/>
      <c r="Q2" s="147"/>
      <c r="R2" s="147"/>
      <c r="S2" s="147"/>
      <c r="T2" s="163" t="s">
        <v>570</v>
      </c>
      <c r="U2" s="163"/>
      <c r="V2" s="163"/>
      <c r="W2" s="163"/>
      <c r="X2" s="163"/>
      <c r="Y2" s="163"/>
      <c r="Z2" s="163"/>
      <c r="AA2" s="162"/>
      <c r="AB2" s="162"/>
    </row>
    <row r="3" spans="1:539" ht="33.75" customHeight="1" x14ac:dyDescent="0.55000000000000004">
      <c r="N3" s="150"/>
      <c r="O3" s="150"/>
      <c r="P3" s="150"/>
      <c r="Q3" s="150"/>
      <c r="R3" s="150"/>
      <c r="S3" s="150"/>
      <c r="T3" s="189" t="s">
        <v>588</v>
      </c>
      <c r="U3" s="189"/>
      <c r="V3" s="189"/>
      <c r="W3" s="189"/>
      <c r="X3" s="189"/>
      <c r="Y3" s="189"/>
      <c r="Z3" s="189"/>
      <c r="AA3" s="189"/>
      <c r="AB3" s="189"/>
      <c r="AC3" s="150"/>
    </row>
    <row r="4" spans="1:539" ht="36" customHeight="1" x14ac:dyDescent="0.55000000000000004">
      <c r="N4" s="149"/>
      <c r="O4" s="149"/>
      <c r="P4" s="149"/>
      <c r="Q4" s="149"/>
      <c r="R4" s="149"/>
      <c r="S4" s="149"/>
      <c r="T4" s="164" t="s">
        <v>589</v>
      </c>
      <c r="U4" s="164"/>
      <c r="V4" s="164"/>
      <c r="W4" s="164"/>
      <c r="X4" s="164"/>
      <c r="Y4" s="164"/>
      <c r="Z4" s="164"/>
      <c r="AA4" s="162"/>
      <c r="AB4" s="162"/>
    </row>
    <row r="5" spans="1:539" ht="42.75" customHeight="1" x14ac:dyDescent="0.55000000000000004">
      <c r="N5" s="149"/>
      <c r="O5" s="149"/>
      <c r="P5" s="149"/>
      <c r="Q5" s="149"/>
      <c r="R5" s="149"/>
      <c r="S5" s="149"/>
      <c r="T5" s="164" t="s">
        <v>571</v>
      </c>
      <c r="U5" s="164"/>
      <c r="V5" s="164"/>
      <c r="W5" s="164"/>
      <c r="X5" s="165"/>
      <c r="Y5" s="164"/>
      <c r="Z5" s="164"/>
      <c r="AA5" s="162"/>
      <c r="AB5" s="162"/>
    </row>
    <row r="6" spans="1:539" ht="31.5" customHeight="1" x14ac:dyDescent="0.55000000000000004">
      <c r="N6" s="149"/>
      <c r="O6" s="149"/>
      <c r="P6" s="149"/>
      <c r="Q6" s="149"/>
      <c r="R6" s="149"/>
      <c r="S6" s="149"/>
      <c r="T6" s="164" t="s">
        <v>590</v>
      </c>
      <c r="U6" s="164"/>
      <c r="V6" s="164"/>
      <c r="W6" s="164"/>
      <c r="X6" s="165"/>
      <c r="Y6" s="164"/>
      <c r="Z6" s="164"/>
      <c r="AA6" s="162"/>
      <c r="AB6" s="162"/>
    </row>
    <row r="7" spans="1:539" ht="28.5" customHeight="1" x14ac:dyDescent="0.4"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</row>
    <row r="8" spans="1:539" ht="26.25" customHeight="1" x14ac:dyDescent="0.4"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</row>
    <row r="9" spans="1:539" ht="26.25" x14ac:dyDescent="0.4"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539" s="44" customFormat="1" ht="93" customHeight="1" x14ac:dyDescent="0.3">
      <c r="A10" s="194" t="s">
        <v>575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</row>
    <row r="11" spans="1:539" s="44" customFormat="1" ht="23.25" customHeight="1" x14ac:dyDescent="0.45">
      <c r="A11" s="191" t="s">
        <v>584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64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</row>
    <row r="12" spans="1:539" s="44" customFormat="1" ht="30.75" x14ac:dyDescent="0.3">
      <c r="A12" s="192" t="s">
        <v>581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64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</row>
    <row r="13" spans="1:539" s="46" customFormat="1" ht="29.25" x14ac:dyDescent="0.4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98" t="s">
        <v>580</v>
      </c>
      <c r="AA13" s="198"/>
      <c r="AB13" s="128" t="s">
        <v>360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</row>
    <row r="14" spans="1:539" s="21" customFormat="1" ht="34.5" customHeight="1" x14ac:dyDescent="0.2">
      <c r="A14" s="195" t="s">
        <v>338</v>
      </c>
      <c r="B14" s="196" t="s">
        <v>339</v>
      </c>
      <c r="C14" s="196" t="s">
        <v>329</v>
      </c>
      <c r="D14" s="196" t="s">
        <v>340</v>
      </c>
      <c r="E14" s="182" t="s">
        <v>226</v>
      </c>
      <c r="F14" s="183"/>
      <c r="G14" s="183"/>
      <c r="H14" s="183"/>
      <c r="I14" s="183"/>
      <c r="J14" s="183"/>
      <c r="K14" s="183"/>
      <c r="L14" s="184"/>
      <c r="M14" s="179" t="s">
        <v>578</v>
      </c>
      <c r="N14" s="182" t="s">
        <v>227</v>
      </c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4"/>
      <c r="Z14" s="179" t="s">
        <v>578</v>
      </c>
      <c r="AA14" s="185" t="s">
        <v>228</v>
      </c>
      <c r="AB14" s="197" t="s">
        <v>576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</row>
    <row r="15" spans="1:539" s="21" customFormat="1" ht="68.25" customHeight="1" x14ac:dyDescent="0.2">
      <c r="A15" s="195"/>
      <c r="B15" s="196"/>
      <c r="C15" s="196"/>
      <c r="D15" s="196"/>
      <c r="E15" s="182" t="s">
        <v>572</v>
      </c>
      <c r="F15" s="183"/>
      <c r="G15" s="183"/>
      <c r="H15" s="183"/>
      <c r="I15" s="184"/>
      <c r="J15" s="182" t="s">
        <v>573</v>
      </c>
      <c r="K15" s="183"/>
      <c r="L15" s="184"/>
      <c r="M15" s="180"/>
      <c r="N15" s="182" t="s">
        <v>572</v>
      </c>
      <c r="O15" s="183"/>
      <c r="P15" s="183"/>
      <c r="Q15" s="183"/>
      <c r="R15" s="183"/>
      <c r="S15" s="184"/>
      <c r="T15" s="182" t="s">
        <v>573</v>
      </c>
      <c r="U15" s="183"/>
      <c r="V15" s="183"/>
      <c r="W15" s="183"/>
      <c r="X15" s="183"/>
      <c r="Y15" s="184"/>
      <c r="Z15" s="180"/>
      <c r="AA15" s="186"/>
      <c r="AB15" s="19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</row>
    <row r="16" spans="1:539" s="21" customFormat="1" ht="27" customHeight="1" x14ac:dyDescent="0.2">
      <c r="A16" s="195"/>
      <c r="B16" s="196"/>
      <c r="C16" s="196"/>
      <c r="D16" s="196"/>
      <c r="E16" s="190" t="s">
        <v>330</v>
      </c>
      <c r="F16" s="190" t="s">
        <v>229</v>
      </c>
      <c r="G16" s="190" t="s">
        <v>230</v>
      </c>
      <c r="H16" s="190"/>
      <c r="I16" s="190" t="s">
        <v>231</v>
      </c>
      <c r="J16" s="190" t="s">
        <v>330</v>
      </c>
      <c r="K16" s="190" t="s">
        <v>230</v>
      </c>
      <c r="L16" s="190"/>
      <c r="M16" s="180"/>
      <c r="N16" s="190" t="s">
        <v>330</v>
      </c>
      <c r="O16" s="190" t="s">
        <v>331</v>
      </c>
      <c r="P16" s="190" t="s">
        <v>229</v>
      </c>
      <c r="Q16" s="190" t="s">
        <v>230</v>
      </c>
      <c r="R16" s="190"/>
      <c r="S16" s="190" t="s">
        <v>231</v>
      </c>
      <c r="T16" s="190" t="s">
        <v>330</v>
      </c>
      <c r="U16" s="190" t="s">
        <v>331</v>
      </c>
      <c r="V16" s="190" t="s">
        <v>585</v>
      </c>
      <c r="W16" s="190" t="s">
        <v>230</v>
      </c>
      <c r="X16" s="190"/>
      <c r="Y16" s="190" t="s">
        <v>231</v>
      </c>
      <c r="Z16" s="180"/>
      <c r="AA16" s="186"/>
      <c r="AB16" s="19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</row>
    <row r="17" spans="1:539" s="21" customFormat="1" ht="62.25" customHeight="1" x14ac:dyDescent="0.2">
      <c r="A17" s="195"/>
      <c r="B17" s="196"/>
      <c r="C17" s="196"/>
      <c r="D17" s="196"/>
      <c r="E17" s="190"/>
      <c r="F17" s="190"/>
      <c r="G17" s="166" t="s">
        <v>232</v>
      </c>
      <c r="H17" s="166" t="s">
        <v>233</v>
      </c>
      <c r="I17" s="190"/>
      <c r="J17" s="190"/>
      <c r="K17" s="166" t="s">
        <v>232</v>
      </c>
      <c r="L17" s="166" t="s">
        <v>233</v>
      </c>
      <c r="M17" s="181"/>
      <c r="N17" s="190"/>
      <c r="O17" s="190"/>
      <c r="P17" s="190"/>
      <c r="Q17" s="166" t="s">
        <v>232</v>
      </c>
      <c r="R17" s="166" t="s">
        <v>233</v>
      </c>
      <c r="S17" s="190"/>
      <c r="T17" s="190"/>
      <c r="U17" s="190"/>
      <c r="V17" s="190"/>
      <c r="W17" s="166" t="s">
        <v>232</v>
      </c>
      <c r="X17" s="166" t="s">
        <v>233</v>
      </c>
      <c r="Y17" s="190"/>
      <c r="Z17" s="181"/>
      <c r="AA17" s="187"/>
      <c r="AB17" s="197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</row>
    <row r="18" spans="1:539" s="27" customFormat="1" ht="24" customHeight="1" x14ac:dyDescent="0.25">
      <c r="A18" s="123" t="s">
        <v>151</v>
      </c>
      <c r="B18" s="124"/>
      <c r="C18" s="124"/>
      <c r="D18" s="125" t="s">
        <v>36</v>
      </c>
      <c r="E18" s="97">
        <f>E19</f>
        <v>241874644</v>
      </c>
      <c r="F18" s="97">
        <f t="shared" ref="F18:L18" si="0">F19</f>
        <v>192715148</v>
      </c>
      <c r="G18" s="97">
        <f t="shared" si="0"/>
        <v>107325600</v>
      </c>
      <c r="H18" s="97">
        <f t="shared" si="0"/>
        <v>4292954</v>
      </c>
      <c r="I18" s="97">
        <f t="shared" si="0"/>
        <v>49159496</v>
      </c>
      <c r="J18" s="97">
        <f t="shared" si="0"/>
        <v>116745332.80000001</v>
      </c>
      <c r="K18" s="97">
        <f t="shared" si="0"/>
        <v>51206253.079999998</v>
      </c>
      <c r="L18" s="97">
        <f t="shared" si="0"/>
        <v>2658604.3899999997</v>
      </c>
      <c r="M18" s="157">
        <f>J18/E18*100</f>
        <v>48.266875299256256</v>
      </c>
      <c r="N18" s="97">
        <f t="shared" ref="N18:AB18" si="1">N19</f>
        <v>36498147</v>
      </c>
      <c r="O18" s="97">
        <f t="shared" si="1"/>
        <v>35975352</v>
      </c>
      <c r="P18" s="97">
        <f t="shared" si="1"/>
        <v>522795</v>
      </c>
      <c r="Q18" s="97">
        <f t="shared" si="1"/>
        <v>119291</v>
      </c>
      <c r="R18" s="97">
        <f t="shared" si="1"/>
        <v>51832</v>
      </c>
      <c r="S18" s="97">
        <f t="shared" si="1"/>
        <v>35975352</v>
      </c>
      <c r="T18" s="97">
        <f t="shared" si="1"/>
        <v>10653183.07</v>
      </c>
      <c r="U18" s="97">
        <f t="shared" si="1"/>
        <v>10449766.67</v>
      </c>
      <c r="V18" s="97">
        <f t="shared" si="1"/>
        <v>203416.4</v>
      </c>
      <c r="W18" s="97">
        <f t="shared" si="1"/>
        <v>0</v>
      </c>
      <c r="X18" s="97">
        <f t="shared" si="1"/>
        <v>3077.35</v>
      </c>
      <c r="Y18" s="97">
        <f t="shared" si="1"/>
        <v>10449766.67</v>
      </c>
      <c r="Z18" s="157">
        <f>T18/N18*100</f>
        <v>29.188284736756636</v>
      </c>
      <c r="AA18" s="97">
        <f t="shared" si="1"/>
        <v>127398515.86999999</v>
      </c>
      <c r="AB18" s="97">
        <f t="shared" si="1"/>
        <v>278372791</v>
      </c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</row>
    <row r="19" spans="1:539" s="34" customFormat="1" ht="36" customHeight="1" x14ac:dyDescent="0.25">
      <c r="A19" s="98" t="s">
        <v>152</v>
      </c>
      <c r="B19" s="99"/>
      <c r="C19" s="99"/>
      <c r="D19" s="79" t="s">
        <v>530</v>
      </c>
      <c r="E19" s="100">
        <f>E22+E23+E24+E25+E27+E28+E29+E30+E31+E32+E33+E34+E35+E36+E37+E38+E39+E40+E41+E42+E43+E44+E45+E48+E49+E50+E51+E52+E53+E54+E55+E56+E58+E59+E60+E46+E47+E61</f>
        <v>241874644</v>
      </c>
      <c r="F19" s="100">
        <f t="shared" ref="F19:L19" si="2">F22+F23+F24+F25+F27+F28+F29+F30+F31+F32+F33+F34+F35+F36+F37+F38+F39+F40+F41+F42+F43+F44+F45+F48+F49+F50+F51+F52+F53+F54+F55+F56+F58+F59+F60+F46+F47+F61</f>
        <v>192715148</v>
      </c>
      <c r="G19" s="100">
        <f t="shared" si="2"/>
        <v>107325600</v>
      </c>
      <c r="H19" s="100">
        <f t="shared" si="2"/>
        <v>4292954</v>
      </c>
      <c r="I19" s="100">
        <f t="shared" si="2"/>
        <v>49159496</v>
      </c>
      <c r="J19" s="100">
        <f t="shared" si="2"/>
        <v>116745332.80000001</v>
      </c>
      <c r="K19" s="100">
        <f t="shared" si="2"/>
        <v>51206253.079999998</v>
      </c>
      <c r="L19" s="100">
        <f t="shared" si="2"/>
        <v>2658604.3899999997</v>
      </c>
      <c r="M19" s="157">
        <f t="shared" ref="M19:M82" si="3">J19/E19*100</f>
        <v>48.266875299256256</v>
      </c>
      <c r="N19" s="100">
        <f t="shared" ref="N19:AB19" si="4">N22+N23+N24+N25+N27+N28+N29+N30+N31+N32+N33+N34+N35+N36+N37+N38+N39+N40+N41+N42+N43+N44+N45+N48+N49+N50+N51+N52+N53+N54+N55+N56+N58+N59+N60+N46+N47+N61</f>
        <v>36498147</v>
      </c>
      <c r="O19" s="100">
        <f t="shared" si="4"/>
        <v>35975352</v>
      </c>
      <c r="P19" s="100">
        <f t="shared" si="4"/>
        <v>522795</v>
      </c>
      <c r="Q19" s="100">
        <f t="shared" si="4"/>
        <v>119291</v>
      </c>
      <c r="R19" s="100">
        <f t="shared" si="4"/>
        <v>51832</v>
      </c>
      <c r="S19" s="100">
        <f t="shared" si="4"/>
        <v>35975352</v>
      </c>
      <c r="T19" s="100">
        <f t="shared" si="4"/>
        <v>10653183.07</v>
      </c>
      <c r="U19" s="100">
        <f t="shared" si="4"/>
        <v>10449766.67</v>
      </c>
      <c r="V19" s="100">
        <f t="shared" si="4"/>
        <v>203416.4</v>
      </c>
      <c r="W19" s="100">
        <f t="shared" si="4"/>
        <v>0</v>
      </c>
      <c r="X19" s="100">
        <f t="shared" si="4"/>
        <v>3077.35</v>
      </c>
      <c r="Y19" s="100">
        <f t="shared" si="4"/>
        <v>10449766.67</v>
      </c>
      <c r="Z19" s="157">
        <f t="shared" ref="Z19:Z78" si="5">T19/N19*100</f>
        <v>29.188284736756636</v>
      </c>
      <c r="AA19" s="100">
        <f t="shared" si="4"/>
        <v>127398515.86999999</v>
      </c>
      <c r="AB19" s="100">
        <f t="shared" si="4"/>
        <v>278372791</v>
      </c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</row>
    <row r="20" spans="1:539" s="34" customFormat="1" ht="63" x14ac:dyDescent="0.25">
      <c r="A20" s="98"/>
      <c r="B20" s="99"/>
      <c r="C20" s="99"/>
      <c r="D20" s="79" t="s">
        <v>384</v>
      </c>
      <c r="E20" s="100">
        <f>E57</f>
        <v>588815</v>
      </c>
      <c r="F20" s="100">
        <f t="shared" ref="F20:AB20" si="6">F57</f>
        <v>588815</v>
      </c>
      <c r="G20" s="100">
        <f t="shared" si="6"/>
        <v>482635</v>
      </c>
      <c r="H20" s="100">
        <f t="shared" si="6"/>
        <v>0</v>
      </c>
      <c r="I20" s="100">
        <f t="shared" si="6"/>
        <v>0</v>
      </c>
      <c r="J20" s="100">
        <f t="shared" si="6"/>
        <v>218894</v>
      </c>
      <c r="K20" s="100">
        <f t="shared" si="6"/>
        <v>179419</v>
      </c>
      <c r="L20" s="100">
        <f t="shared" si="6"/>
        <v>0</v>
      </c>
      <c r="M20" s="157">
        <f t="shared" si="3"/>
        <v>37.175343698784843</v>
      </c>
      <c r="N20" s="100">
        <f t="shared" si="6"/>
        <v>0</v>
      </c>
      <c r="O20" s="100">
        <f t="shared" si="6"/>
        <v>0</v>
      </c>
      <c r="P20" s="100">
        <f t="shared" si="6"/>
        <v>0</v>
      </c>
      <c r="Q20" s="100">
        <f t="shared" si="6"/>
        <v>0</v>
      </c>
      <c r="R20" s="100">
        <f t="shared" si="6"/>
        <v>0</v>
      </c>
      <c r="S20" s="100">
        <f t="shared" si="6"/>
        <v>0</v>
      </c>
      <c r="T20" s="100">
        <f t="shared" si="6"/>
        <v>0</v>
      </c>
      <c r="U20" s="100">
        <f t="shared" si="6"/>
        <v>0</v>
      </c>
      <c r="V20" s="100">
        <f t="shared" si="6"/>
        <v>0</v>
      </c>
      <c r="W20" s="100">
        <f t="shared" si="6"/>
        <v>0</v>
      </c>
      <c r="X20" s="100">
        <f t="shared" si="6"/>
        <v>0</v>
      </c>
      <c r="Y20" s="100">
        <f t="shared" si="6"/>
        <v>0</v>
      </c>
      <c r="Z20" s="157"/>
      <c r="AA20" s="100">
        <f t="shared" si="6"/>
        <v>218894</v>
      </c>
      <c r="AB20" s="100">
        <f t="shared" si="6"/>
        <v>588815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</row>
    <row r="21" spans="1:539" s="34" customFormat="1" ht="63" hidden="1" customHeight="1" x14ac:dyDescent="0.25">
      <c r="A21" s="98"/>
      <c r="B21" s="99"/>
      <c r="C21" s="99"/>
      <c r="D21" s="79" t="str">
        <f>'дод 5'!C25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100">
        <f>E26</f>
        <v>0</v>
      </c>
      <c r="F21" s="100">
        <f t="shared" ref="F21:AB21" si="7">F26</f>
        <v>0</v>
      </c>
      <c r="G21" s="100">
        <f t="shared" si="7"/>
        <v>0</v>
      </c>
      <c r="H21" s="100">
        <f t="shared" si="7"/>
        <v>0</v>
      </c>
      <c r="I21" s="100">
        <f t="shared" si="7"/>
        <v>0</v>
      </c>
      <c r="J21" s="100"/>
      <c r="K21" s="100"/>
      <c r="L21" s="100"/>
      <c r="M21" s="157" t="e">
        <f t="shared" si="3"/>
        <v>#DIV/0!</v>
      </c>
      <c r="N21" s="100">
        <f t="shared" si="7"/>
        <v>0</v>
      </c>
      <c r="O21" s="100">
        <f t="shared" si="7"/>
        <v>0</v>
      </c>
      <c r="P21" s="100">
        <f t="shared" si="7"/>
        <v>0</v>
      </c>
      <c r="Q21" s="100">
        <f t="shared" si="7"/>
        <v>0</v>
      </c>
      <c r="R21" s="100">
        <f t="shared" si="7"/>
        <v>0</v>
      </c>
      <c r="S21" s="100">
        <f t="shared" si="7"/>
        <v>0</v>
      </c>
      <c r="T21" s="97">
        <f t="shared" ref="T21:T82" si="8">V21+Y21</f>
        <v>0</v>
      </c>
      <c r="U21" s="100"/>
      <c r="V21" s="100"/>
      <c r="W21" s="100"/>
      <c r="X21" s="100"/>
      <c r="Y21" s="100"/>
      <c r="Z21" s="157"/>
      <c r="AA21" s="97">
        <f t="shared" ref="AA21:AA82" si="9">J21+T21</f>
        <v>0</v>
      </c>
      <c r="AB21" s="100">
        <f t="shared" si="7"/>
        <v>0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</row>
    <row r="22" spans="1:539" s="22" customFormat="1" ht="48" customHeight="1" x14ac:dyDescent="0.25">
      <c r="A22" s="60" t="s">
        <v>153</v>
      </c>
      <c r="B22" s="95" t="str">
        <f>'дод 5'!A21</f>
        <v>0160</v>
      </c>
      <c r="C22" s="95" t="str">
        <f>'дод 5'!B21</f>
        <v>0111</v>
      </c>
      <c r="D22" s="36" t="s">
        <v>502</v>
      </c>
      <c r="E22" s="101">
        <f t="shared" ref="E22:E61" si="10">F22+I22</f>
        <v>112399809</v>
      </c>
      <c r="F22" s="101">
        <f>112079700+60000+150000+47576+62533</f>
        <v>112399809</v>
      </c>
      <c r="G22" s="101">
        <v>82201100</v>
      </c>
      <c r="H22" s="101">
        <f>2287700+47576+62533</f>
        <v>2397809</v>
      </c>
      <c r="I22" s="101"/>
      <c r="J22" s="101">
        <v>52082154.990000002</v>
      </c>
      <c r="K22" s="101">
        <v>39067626.039999999</v>
      </c>
      <c r="L22" s="101">
        <v>1427863.31</v>
      </c>
      <c r="M22" s="157">
        <f t="shared" si="3"/>
        <v>46.33651556294015</v>
      </c>
      <c r="N22" s="101">
        <f>P22+S22</f>
        <v>0</v>
      </c>
      <c r="O22" s="101">
        <f>150000-150000</f>
        <v>0</v>
      </c>
      <c r="P22" s="101"/>
      <c r="Q22" s="101"/>
      <c r="R22" s="101"/>
      <c r="S22" s="101">
        <f>150000-150000</f>
        <v>0</v>
      </c>
      <c r="T22" s="97">
        <f t="shared" si="8"/>
        <v>797.16</v>
      </c>
      <c r="U22" s="101"/>
      <c r="V22" s="101">
        <v>797.16</v>
      </c>
      <c r="W22" s="101"/>
      <c r="X22" s="101"/>
      <c r="Y22" s="101"/>
      <c r="Z22" s="157"/>
      <c r="AA22" s="97">
        <f t="shared" si="9"/>
        <v>52082952.149999999</v>
      </c>
      <c r="AB22" s="101">
        <f t="shared" ref="AB22:AB61" si="11">E22+N22</f>
        <v>112399809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</row>
    <row r="23" spans="1:539" s="22" customFormat="1" ht="35.25" customHeight="1" x14ac:dyDescent="0.25">
      <c r="A23" s="60" t="s">
        <v>454</v>
      </c>
      <c r="B23" s="60" t="s">
        <v>92</v>
      </c>
      <c r="C23" s="60" t="s">
        <v>464</v>
      </c>
      <c r="D23" s="36" t="s">
        <v>455</v>
      </c>
      <c r="E23" s="101">
        <f t="shared" si="10"/>
        <v>200000</v>
      </c>
      <c r="F23" s="101">
        <v>200000</v>
      </c>
      <c r="G23" s="101"/>
      <c r="H23" s="101"/>
      <c r="I23" s="101"/>
      <c r="J23" s="101"/>
      <c r="K23" s="101"/>
      <c r="L23" s="101"/>
      <c r="M23" s="157">
        <f t="shared" si="3"/>
        <v>0</v>
      </c>
      <c r="N23" s="101">
        <f>P23+S23</f>
        <v>0</v>
      </c>
      <c r="O23" s="101"/>
      <c r="P23" s="101"/>
      <c r="Q23" s="101"/>
      <c r="R23" s="101"/>
      <c r="S23" s="101"/>
      <c r="T23" s="97">
        <f t="shared" si="8"/>
        <v>0</v>
      </c>
      <c r="U23" s="101"/>
      <c r="V23" s="101"/>
      <c r="W23" s="101"/>
      <c r="X23" s="101"/>
      <c r="Y23" s="101"/>
      <c r="Z23" s="157"/>
      <c r="AA23" s="97">
        <f t="shared" si="9"/>
        <v>0</v>
      </c>
      <c r="AB23" s="101">
        <f t="shared" si="11"/>
        <v>200000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</row>
    <row r="24" spans="1:539" s="22" customFormat="1" ht="28.5" customHeight="1" x14ac:dyDescent="0.25">
      <c r="A24" s="60" t="s">
        <v>243</v>
      </c>
      <c r="B24" s="95" t="str">
        <f>'дод 5'!A23</f>
        <v>0180</v>
      </c>
      <c r="C24" s="95" t="str">
        <f>'дод 5'!B23</f>
        <v>0133</v>
      </c>
      <c r="D24" s="61" t="str">
        <f>'дод 5'!C23</f>
        <v>Інша діяльність у сфері державного управління</v>
      </c>
      <c r="E24" s="101">
        <f t="shared" si="10"/>
        <v>396000</v>
      </c>
      <c r="F24" s="101">
        <v>396000</v>
      </c>
      <c r="G24" s="101"/>
      <c r="H24" s="101"/>
      <c r="I24" s="101"/>
      <c r="J24" s="101">
        <v>129355.48</v>
      </c>
      <c r="K24" s="101"/>
      <c r="L24" s="101"/>
      <c r="M24" s="157">
        <f t="shared" si="3"/>
        <v>32.665525252525249</v>
      </c>
      <c r="N24" s="101">
        <f t="shared" ref="N24:N26" si="12">P24+S24</f>
        <v>0</v>
      </c>
      <c r="O24" s="101"/>
      <c r="P24" s="101"/>
      <c r="Q24" s="101"/>
      <c r="R24" s="101"/>
      <c r="S24" s="101"/>
      <c r="T24" s="97">
        <f t="shared" si="8"/>
        <v>0</v>
      </c>
      <c r="U24" s="101"/>
      <c r="V24" s="101"/>
      <c r="W24" s="101"/>
      <c r="X24" s="101"/>
      <c r="Y24" s="101"/>
      <c r="Z24" s="157"/>
      <c r="AA24" s="97">
        <f t="shared" si="9"/>
        <v>129355.48</v>
      </c>
      <c r="AB24" s="101">
        <f t="shared" si="11"/>
        <v>396000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</row>
    <row r="25" spans="1:539" s="22" customFormat="1" ht="15.75" hidden="1" customHeight="1" x14ac:dyDescent="0.25">
      <c r="A25" s="60" t="s">
        <v>437</v>
      </c>
      <c r="B25" s="60" t="s">
        <v>438</v>
      </c>
      <c r="C25" s="60" t="s">
        <v>121</v>
      </c>
      <c r="D25" s="61" t="s">
        <v>439</v>
      </c>
      <c r="E25" s="101">
        <f t="shared" si="10"/>
        <v>0</v>
      </c>
      <c r="F25" s="101"/>
      <c r="G25" s="101"/>
      <c r="H25" s="101"/>
      <c r="I25" s="101"/>
      <c r="J25" s="101"/>
      <c r="K25" s="101"/>
      <c r="L25" s="101"/>
      <c r="M25" s="157" t="e">
        <f t="shared" si="3"/>
        <v>#DIV/0!</v>
      </c>
      <c r="N25" s="101">
        <f t="shared" si="12"/>
        <v>0</v>
      </c>
      <c r="O25" s="101"/>
      <c r="P25" s="101"/>
      <c r="Q25" s="101"/>
      <c r="R25" s="101"/>
      <c r="S25" s="101"/>
      <c r="T25" s="97">
        <f t="shared" si="8"/>
        <v>0</v>
      </c>
      <c r="U25" s="101"/>
      <c r="V25" s="101"/>
      <c r="W25" s="101"/>
      <c r="X25" s="101"/>
      <c r="Y25" s="101"/>
      <c r="Z25" s="157"/>
      <c r="AA25" s="97">
        <f t="shared" si="9"/>
        <v>0</v>
      </c>
      <c r="AB25" s="101">
        <f t="shared" si="11"/>
        <v>0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</row>
    <row r="26" spans="1:539" s="24" customFormat="1" ht="60" hidden="1" customHeight="1" x14ac:dyDescent="0.25">
      <c r="A26" s="86"/>
      <c r="B26" s="102"/>
      <c r="C26" s="102"/>
      <c r="D26" s="89" t="str">
        <f>'дод 5'!C25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6" s="103">
        <f t="shared" si="10"/>
        <v>0</v>
      </c>
      <c r="F26" s="103"/>
      <c r="G26" s="103"/>
      <c r="H26" s="103"/>
      <c r="I26" s="103"/>
      <c r="J26" s="103"/>
      <c r="K26" s="103"/>
      <c r="L26" s="103"/>
      <c r="M26" s="157" t="e">
        <f t="shared" si="3"/>
        <v>#DIV/0!</v>
      </c>
      <c r="N26" s="103">
        <f t="shared" si="12"/>
        <v>0</v>
      </c>
      <c r="O26" s="103"/>
      <c r="P26" s="103"/>
      <c r="Q26" s="103"/>
      <c r="R26" s="103"/>
      <c r="S26" s="103"/>
      <c r="T26" s="97">
        <f t="shared" si="8"/>
        <v>0</v>
      </c>
      <c r="U26" s="103"/>
      <c r="V26" s="103"/>
      <c r="W26" s="103"/>
      <c r="X26" s="103"/>
      <c r="Y26" s="103"/>
      <c r="Z26" s="157"/>
      <c r="AA26" s="97">
        <f t="shared" si="9"/>
        <v>0</v>
      </c>
      <c r="AB26" s="103">
        <f t="shared" si="1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</row>
    <row r="27" spans="1:539" s="22" customFormat="1" ht="46.5" customHeight="1" x14ac:dyDescent="0.25">
      <c r="A27" s="60" t="s">
        <v>259</v>
      </c>
      <c r="B27" s="95" t="str">
        <f>'дод 5'!A95</f>
        <v>3033</v>
      </c>
      <c r="C27" s="95" t="str">
        <f>'дод 5'!B95</f>
        <v>1070</v>
      </c>
      <c r="D27" s="61" t="s">
        <v>413</v>
      </c>
      <c r="E27" s="101">
        <f t="shared" si="10"/>
        <v>270000</v>
      </c>
      <c r="F27" s="101">
        <v>270000</v>
      </c>
      <c r="G27" s="101"/>
      <c r="H27" s="101"/>
      <c r="I27" s="101"/>
      <c r="J27" s="101">
        <v>35058</v>
      </c>
      <c r="K27" s="101"/>
      <c r="L27" s="101"/>
      <c r="M27" s="157">
        <f t="shared" si="3"/>
        <v>12.984444444444446</v>
      </c>
      <c r="N27" s="101">
        <f t="shared" ref="N27:N61" si="13">P27+S27</f>
        <v>0</v>
      </c>
      <c r="O27" s="101"/>
      <c r="P27" s="101"/>
      <c r="Q27" s="101"/>
      <c r="R27" s="101"/>
      <c r="S27" s="101"/>
      <c r="T27" s="97">
        <f t="shared" si="8"/>
        <v>0</v>
      </c>
      <c r="U27" s="101"/>
      <c r="V27" s="101"/>
      <c r="W27" s="101"/>
      <c r="X27" s="101"/>
      <c r="Y27" s="101"/>
      <c r="Z27" s="157"/>
      <c r="AA27" s="97">
        <f t="shared" si="9"/>
        <v>35058</v>
      </c>
      <c r="AB27" s="101">
        <f t="shared" si="11"/>
        <v>270000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</row>
    <row r="28" spans="1:539" s="22" customFormat="1" ht="31.5" customHeight="1" x14ac:dyDescent="0.25">
      <c r="A28" s="60" t="s">
        <v>154</v>
      </c>
      <c r="B28" s="95" t="str">
        <f>'дод 5'!A98</f>
        <v>3036</v>
      </c>
      <c r="C28" s="95" t="str">
        <f>'дод 5'!B98</f>
        <v>1070</v>
      </c>
      <c r="D28" s="61" t="str">
        <f>'дод 5'!C98</f>
        <v>Компенсаційні виплати на пільговий проїзд електротранспортом окремим категоріям громадян</v>
      </c>
      <c r="E28" s="101">
        <f t="shared" si="10"/>
        <v>426500</v>
      </c>
      <c r="F28" s="101">
        <v>426500</v>
      </c>
      <c r="G28" s="101"/>
      <c r="H28" s="101"/>
      <c r="I28" s="101"/>
      <c r="J28" s="101">
        <v>51914</v>
      </c>
      <c r="K28" s="101"/>
      <c r="L28" s="101"/>
      <c r="M28" s="157">
        <f t="shared" si="3"/>
        <v>12.172098475967175</v>
      </c>
      <c r="N28" s="101">
        <f t="shared" si="13"/>
        <v>0</v>
      </c>
      <c r="O28" s="101"/>
      <c r="P28" s="101"/>
      <c r="Q28" s="101"/>
      <c r="R28" s="101"/>
      <c r="S28" s="101"/>
      <c r="T28" s="97">
        <f t="shared" si="8"/>
        <v>0</v>
      </c>
      <c r="U28" s="101"/>
      <c r="V28" s="101"/>
      <c r="W28" s="101"/>
      <c r="X28" s="101"/>
      <c r="Y28" s="101"/>
      <c r="Z28" s="157"/>
      <c r="AA28" s="97">
        <f t="shared" si="9"/>
        <v>51914</v>
      </c>
      <c r="AB28" s="101">
        <f t="shared" si="11"/>
        <v>426500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</row>
    <row r="29" spans="1:539" s="22" customFormat="1" ht="36" customHeight="1" x14ac:dyDescent="0.25">
      <c r="A29" s="60" t="s">
        <v>155</v>
      </c>
      <c r="B29" s="95" t="str">
        <f>'дод 5'!A106</f>
        <v>3121</v>
      </c>
      <c r="C29" s="95" t="str">
        <f>'дод 5'!B106</f>
        <v>1040</v>
      </c>
      <c r="D29" s="61" t="s">
        <v>509</v>
      </c>
      <c r="E29" s="101">
        <f t="shared" si="10"/>
        <v>3206400</v>
      </c>
      <c r="F29" s="101">
        <v>3206400</v>
      </c>
      <c r="G29" s="101">
        <v>2407050</v>
      </c>
      <c r="H29" s="101">
        <v>39590</v>
      </c>
      <c r="I29" s="101"/>
      <c r="J29" s="101">
        <v>1587406.53</v>
      </c>
      <c r="K29" s="101">
        <v>1212357.01</v>
      </c>
      <c r="L29" s="101">
        <v>27900.240000000002</v>
      </c>
      <c r="M29" s="157">
        <f t="shared" si="3"/>
        <v>49.507439184131734</v>
      </c>
      <c r="N29" s="101">
        <f t="shared" si="13"/>
        <v>0</v>
      </c>
      <c r="O29" s="101"/>
      <c r="P29" s="101"/>
      <c r="Q29" s="101"/>
      <c r="R29" s="101"/>
      <c r="S29" s="101"/>
      <c r="T29" s="97">
        <f t="shared" si="8"/>
        <v>680</v>
      </c>
      <c r="U29" s="101"/>
      <c r="V29" s="101">
        <v>680</v>
      </c>
      <c r="W29" s="101"/>
      <c r="X29" s="101"/>
      <c r="Y29" s="101"/>
      <c r="Z29" s="157"/>
      <c r="AA29" s="97">
        <f t="shared" si="9"/>
        <v>1588086.53</v>
      </c>
      <c r="AB29" s="101">
        <f t="shared" si="11"/>
        <v>3206400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</row>
    <row r="30" spans="1:539" s="22" customFormat="1" ht="48.75" customHeight="1" x14ac:dyDescent="0.25">
      <c r="A30" s="60" t="s">
        <v>156</v>
      </c>
      <c r="B30" s="95" t="str">
        <f>'дод 5'!A107</f>
        <v>3131</v>
      </c>
      <c r="C30" s="95" t="str">
        <f>'дод 5'!B107</f>
        <v>1040</v>
      </c>
      <c r="D30" s="61" t="str">
        <f>'дод 5'!C107</f>
        <v>Здійснення заходів та реалізація проектів на виконання Державної цільової соціальної програми "Молодь України"</v>
      </c>
      <c r="E30" s="101">
        <f t="shared" si="10"/>
        <v>684300</v>
      </c>
      <c r="F30" s="101">
        <v>684300</v>
      </c>
      <c r="G30" s="101"/>
      <c r="H30" s="101"/>
      <c r="I30" s="101"/>
      <c r="J30" s="101">
        <v>124879</v>
      </c>
      <c r="K30" s="101"/>
      <c r="L30" s="101"/>
      <c r="M30" s="157">
        <f t="shared" si="3"/>
        <v>18.249159725266693</v>
      </c>
      <c r="N30" s="101">
        <f t="shared" si="13"/>
        <v>0</v>
      </c>
      <c r="O30" s="101"/>
      <c r="P30" s="101"/>
      <c r="Q30" s="101"/>
      <c r="R30" s="101"/>
      <c r="S30" s="101"/>
      <c r="T30" s="97">
        <f t="shared" si="8"/>
        <v>0</v>
      </c>
      <c r="U30" s="101"/>
      <c r="V30" s="101"/>
      <c r="W30" s="101"/>
      <c r="X30" s="101"/>
      <c r="Y30" s="101"/>
      <c r="Z30" s="157"/>
      <c r="AA30" s="97">
        <f t="shared" si="9"/>
        <v>124879</v>
      </c>
      <c r="AB30" s="101">
        <f t="shared" si="11"/>
        <v>684300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</row>
    <row r="31" spans="1:539" s="22" customFormat="1" ht="63" x14ac:dyDescent="0.25">
      <c r="A31" s="60" t="s">
        <v>157</v>
      </c>
      <c r="B31" s="95" t="str">
        <f>'дод 5'!A108</f>
        <v>3140</v>
      </c>
      <c r="C31" s="95" t="str">
        <f>'дод 5'!B108</f>
        <v>1040</v>
      </c>
      <c r="D31" s="61" t="s">
        <v>20</v>
      </c>
      <c r="E31" s="101">
        <f t="shared" si="10"/>
        <v>280000</v>
      </c>
      <c r="F31" s="101">
        <v>280000</v>
      </c>
      <c r="G31" s="101"/>
      <c r="H31" s="101"/>
      <c r="I31" s="101"/>
      <c r="J31" s="101"/>
      <c r="K31" s="101"/>
      <c r="L31" s="101"/>
      <c r="M31" s="157">
        <f t="shared" si="3"/>
        <v>0</v>
      </c>
      <c r="N31" s="101">
        <f t="shared" si="13"/>
        <v>0</v>
      </c>
      <c r="O31" s="101"/>
      <c r="P31" s="101"/>
      <c r="Q31" s="101"/>
      <c r="R31" s="101"/>
      <c r="S31" s="101"/>
      <c r="T31" s="97">
        <f t="shared" si="8"/>
        <v>0</v>
      </c>
      <c r="U31" s="101"/>
      <c r="V31" s="101"/>
      <c r="W31" s="101"/>
      <c r="X31" s="101"/>
      <c r="Y31" s="101"/>
      <c r="Z31" s="157"/>
      <c r="AA31" s="97">
        <f t="shared" si="9"/>
        <v>0</v>
      </c>
      <c r="AB31" s="101">
        <f t="shared" si="11"/>
        <v>280000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</row>
    <row r="32" spans="1:539" s="22" customFormat="1" ht="32.25" customHeight="1" x14ac:dyDescent="0.25">
      <c r="A32" s="60" t="s">
        <v>307</v>
      </c>
      <c r="B32" s="95" t="str">
        <f>'дод 5'!A123</f>
        <v>3241</v>
      </c>
      <c r="C32" s="95" t="str">
        <f>'дод 5'!B123</f>
        <v>1090</v>
      </c>
      <c r="D32" s="61" t="str">
        <f>'дод 5'!C123</f>
        <v>Забезпечення діяльності інших закладів у сфері соціального захисту і соціального забезпечення</v>
      </c>
      <c r="E32" s="101">
        <f t="shared" si="10"/>
        <v>1518300</v>
      </c>
      <c r="F32" s="101">
        <v>1518300</v>
      </c>
      <c r="G32" s="101">
        <v>1078950</v>
      </c>
      <c r="H32" s="101">
        <v>96540</v>
      </c>
      <c r="I32" s="101"/>
      <c r="J32" s="101">
        <v>749293.11</v>
      </c>
      <c r="K32" s="101">
        <v>532467.71</v>
      </c>
      <c r="L32" s="101">
        <v>66921.53</v>
      </c>
      <c r="M32" s="157">
        <f t="shared" si="3"/>
        <v>49.350794309425012</v>
      </c>
      <c r="N32" s="101">
        <f t="shared" si="13"/>
        <v>0</v>
      </c>
      <c r="O32" s="101"/>
      <c r="P32" s="101"/>
      <c r="Q32" s="101"/>
      <c r="R32" s="101"/>
      <c r="S32" s="101"/>
      <c r="T32" s="97">
        <f t="shared" si="8"/>
        <v>0</v>
      </c>
      <c r="U32" s="101"/>
      <c r="V32" s="101"/>
      <c r="W32" s="101"/>
      <c r="X32" s="101"/>
      <c r="Y32" s="101"/>
      <c r="Z32" s="157"/>
      <c r="AA32" s="97">
        <f t="shared" si="9"/>
        <v>749293.11</v>
      </c>
      <c r="AB32" s="101">
        <f t="shared" si="11"/>
        <v>1518300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</row>
    <row r="33" spans="1:539" s="22" customFormat="1" ht="33.75" customHeight="1" x14ac:dyDescent="0.25">
      <c r="A33" s="60" t="s">
        <v>308</v>
      </c>
      <c r="B33" s="95" t="str">
        <f>'дод 5'!A124</f>
        <v>3242</v>
      </c>
      <c r="C33" s="95" t="str">
        <f>'дод 5'!B124</f>
        <v>1090</v>
      </c>
      <c r="D33" s="61" t="s">
        <v>414</v>
      </c>
      <c r="E33" s="101">
        <f t="shared" si="10"/>
        <v>257400</v>
      </c>
      <c r="F33" s="101">
        <v>257400</v>
      </c>
      <c r="G33" s="101"/>
      <c r="H33" s="101"/>
      <c r="I33" s="101"/>
      <c r="J33" s="101">
        <v>81720</v>
      </c>
      <c r="K33" s="101"/>
      <c r="L33" s="101"/>
      <c r="M33" s="157">
        <f t="shared" si="3"/>
        <v>31.74825174825175</v>
      </c>
      <c r="N33" s="101">
        <f t="shared" si="13"/>
        <v>0</v>
      </c>
      <c r="O33" s="101"/>
      <c r="P33" s="101"/>
      <c r="Q33" s="101"/>
      <c r="R33" s="101"/>
      <c r="S33" s="101"/>
      <c r="T33" s="97">
        <f t="shared" si="8"/>
        <v>0</v>
      </c>
      <c r="U33" s="101"/>
      <c r="V33" s="101"/>
      <c r="W33" s="101"/>
      <c r="X33" s="101"/>
      <c r="Y33" s="101"/>
      <c r="Z33" s="157"/>
      <c r="AA33" s="97">
        <f t="shared" si="9"/>
        <v>81720</v>
      </c>
      <c r="AB33" s="101">
        <f t="shared" si="11"/>
        <v>257400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</row>
    <row r="34" spans="1:539" s="22" customFormat="1" ht="39.75" customHeight="1" x14ac:dyDescent="0.25">
      <c r="A34" s="60" t="s">
        <v>320</v>
      </c>
      <c r="B34" s="95" t="str">
        <f>'дод 5'!A128</f>
        <v>4060</v>
      </c>
      <c r="C34" s="95" t="str">
        <f>'дод 5'!B128</f>
        <v>0828</v>
      </c>
      <c r="D34" s="61" t="str">
        <f>'дод 5'!C128</f>
        <v>Забезпечення діяльності палаців i будинків культури, клубів, центрів дозвілля та iнших клубних закладів</v>
      </c>
      <c r="E34" s="101">
        <f t="shared" si="10"/>
        <v>4425500</v>
      </c>
      <c r="F34" s="104">
        <f>4330600+30000+64900</f>
        <v>4425500</v>
      </c>
      <c r="G34" s="101">
        <v>2526200</v>
      </c>
      <c r="H34" s="101">
        <f>452700+30000</f>
        <v>482700</v>
      </c>
      <c r="I34" s="101"/>
      <c r="J34" s="101">
        <v>1985454.17</v>
      </c>
      <c r="K34" s="101">
        <v>1272553.93</v>
      </c>
      <c r="L34" s="101">
        <v>272349.19</v>
      </c>
      <c r="M34" s="157">
        <f t="shared" si="3"/>
        <v>44.863951417918877</v>
      </c>
      <c r="N34" s="101">
        <f t="shared" si="13"/>
        <v>100000</v>
      </c>
      <c r="O34" s="101">
        <v>100000</v>
      </c>
      <c r="P34" s="101"/>
      <c r="Q34" s="101"/>
      <c r="R34" s="101"/>
      <c r="S34" s="101">
        <v>100000</v>
      </c>
      <c r="T34" s="97">
        <f t="shared" si="8"/>
        <v>41298</v>
      </c>
      <c r="U34" s="101"/>
      <c r="V34" s="101">
        <v>41298</v>
      </c>
      <c r="W34" s="101"/>
      <c r="X34" s="101"/>
      <c r="Y34" s="101"/>
      <c r="Z34" s="157">
        <f t="shared" si="5"/>
        <v>41.298000000000002</v>
      </c>
      <c r="AA34" s="97">
        <f t="shared" si="9"/>
        <v>2026752.17</v>
      </c>
      <c r="AB34" s="101">
        <f t="shared" si="11"/>
        <v>4525500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</row>
    <row r="35" spans="1:539" s="22" customFormat="1" ht="30.75" customHeight="1" x14ac:dyDescent="0.25">
      <c r="A35" s="60" t="s">
        <v>305</v>
      </c>
      <c r="B35" s="95" t="str">
        <f>'дод 5'!A129</f>
        <v>4081</v>
      </c>
      <c r="C35" s="95" t="str">
        <f>'дод 5'!B129</f>
        <v>0829</v>
      </c>
      <c r="D35" s="61" t="str">
        <f>'дод 5'!C129</f>
        <v>Забезпечення діяльності інших закладів в галузі культури і мистецтва</v>
      </c>
      <c r="E35" s="101">
        <f t="shared" si="10"/>
        <v>2779300</v>
      </c>
      <c r="F35" s="101">
        <f>2708200+3000+68100</f>
        <v>2779300</v>
      </c>
      <c r="G35" s="101">
        <v>1687000</v>
      </c>
      <c r="H35" s="101">
        <v>72500</v>
      </c>
      <c r="I35" s="101"/>
      <c r="J35" s="101">
        <v>1201976.07</v>
      </c>
      <c r="K35" s="101">
        <v>801419.96</v>
      </c>
      <c r="L35" s="101">
        <v>54849.440000000002</v>
      </c>
      <c r="M35" s="157">
        <f t="shared" si="3"/>
        <v>43.247438923469936</v>
      </c>
      <c r="N35" s="101">
        <f t="shared" si="13"/>
        <v>65000</v>
      </c>
      <c r="O35" s="101">
        <v>65000</v>
      </c>
      <c r="P35" s="101"/>
      <c r="Q35" s="101"/>
      <c r="R35" s="101"/>
      <c r="S35" s="101">
        <v>65000</v>
      </c>
      <c r="T35" s="97">
        <f t="shared" si="8"/>
        <v>0</v>
      </c>
      <c r="U35" s="101"/>
      <c r="V35" s="101"/>
      <c r="W35" s="101"/>
      <c r="X35" s="101"/>
      <c r="Y35" s="101"/>
      <c r="Z35" s="157">
        <f t="shared" si="5"/>
        <v>0</v>
      </c>
      <c r="AA35" s="97">
        <f t="shared" si="9"/>
        <v>1201976.07</v>
      </c>
      <c r="AB35" s="101">
        <f t="shared" si="11"/>
        <v>2844300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</row>
    <row r="36" spans="1:539" s="22" customFormat="1" ht="25.5" customHeight="1" x14ac:dyDescent="0.25">
      <c r="A36" s="60" t="s">
        <v>306</v>
      </c>
      <c r="B36" s="95" t="str">
        <f>'дод 5'!A130</f>
        <v>4082</v>
      </c>
      <c r="C36" s="95" t="str">
        <f>'дод 5'!B130</f>
        <v>0829</v>
      </c>
      <c r="D36" s="61" t="str">
        <f>'дод 5'!C130</f>
        <v>Інші заходи в галузі культури і мистецтва</v>
      </c>
      <c r="E36" s="101">
        <f t="shared" si="10"/>
        <v>355081</v>
      </c>
      <c r="F36" s="101">
        <v>355081</v>
      </c>
      <c r="G36" s="101"/>
      <c r="H36" s="101"/>
      <c r="I36" s="101"/>
      <c r="J36" s="101">
        <v>53782</v>
      </c>
      <c r="K36" s="101"/>
      <c r="L36" s="101"/>
      <c r="M36" s="157">
        <f t="shared" si="3"/>
        <v>15.146403215041074</v>
      </c>
      <c r="N36" s="101">
        <f t="shared" si="13"/>
        <v>0</v>
      </c>
      <c r="O36" s="101"/>
      <c r="P36" s="101"/>
      <c r="Q36" s="101"/>
      <c r="R36" s="101"/>
      <c r="S36" s="101"/>
      <c r="T36" s="97">
        <f t="shared" si="8"/>
        <v>0</v>
      </c>
      <c r="U36" s="101"/>
      <c r="V36" s="101"/>
      <c r="W36" s="101"/>
      <c r="X36" s="101"/>
      <c r="Y36" s="101"/>
      <c r="Z36" s="157"/>
      <c r="AA36" s="97">
        <f t="shared" si="9"/>
        <v>53782</v>
      </c>
      <c r="AB36" s="101">
        <f t="shared" si="11"/>
        <v>355081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</row>
    <row r="37" spans="1:539" s="22" customFormat="1" ht="36.75" customHeight="1" x14ac:dyDescent="0.25">
      <c r="A37" s="105" t="s">
        <v>158</v>
      </c>
      <c r="B37" s="42" t="str">
        <f>'дод 5'!A132</f>
        <v>5011</v>
      </c>
      <c r="C37" s="42" t="str">
        <f>'дод 5'!B132</f>
        <v>0810</v>
      </c>
      <c r="D37" s="36" t="str">
        <f>'дод 5'!C132</f>
        <v>Проведення навчально-тренувальних зборів і змагань з олімпійських видів спорту</v>
      </c>
      <c r="E37" s="101">
        <f t="shared" si="10"/>
        <v>650000</v>
      </c>
      <c r="F37" s="101">
        <f>600000+30000+20000</f>
        <v>650000</v>
      </c>
      <c r="G37" s="101"/>
      <c r="H37" s="101"/>
      <c r="I37" s="101"/>
      <c r="J37" s="101">
        <v>220283</v>
      </c>
      <c r="K37" s="101"/>
      <c r="L37" s="101"/>
      <c r="M37" s="157">
        <f t="shared" si="3"/>
        <v>33.889692307692307</v>
      </c>
      <c r="N37" s="101">
        <f t="shared" si="13"/>
        <v>0</v>
      </c>
      <c r="O37" s="101"/>
      <c r="P37" s="101"/>
      <c r="Q37" s="101"/>
      <c r="R37" s="101"/>
      <c r="S37" s="101"/>
      <c r="T37" s="97">
        <f t="shared" si="8"/>
        <v>0</v>
      </c>
      <c r="U37" s="101"/>
      <c r="V37" s="101"/>
      <c r="W37" s="101"/>
      <c r="X37" s="101"/>
      <c r="Y37" s="101"/>
      <c r="Z37" s="157"/>
      <c r="AA37" s="97">
        <f t="shared" si="9"/>
        <v>220283</v>
      </c>
      <c r="AB37" s="101">
        <f t="shared" si="11"/>
        <v>650000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</row>
    <row r="38" spans="1:539" s="22" customFormat="1" ht="34.5" customHeight="1" x14ac:dyDescent="0.25">
      <c r="A38" s="105" t="s">
        <v>159</v>
      </c>
      <c r="B38" s="42" t="str">
        <f>'дод 5'!A133</f>
        <v>5012</v>
      </c>
      <c r="C38" s="42" t="str">
        <f>'дод 5'!B133</f>
        <v>0810</v>
      </c>
      <c r="D38" s="36" t="str">
        <f>'дод 5'!C133</f>
        <v>Проведення навчально-тренувальних зборів і змагань з неолімпійських видів спорту</v>
      </c>
      <c r="E38" s="101">
        <f t="shared" si="10"/>
        <v>843000</v>
      </c>
      <c r="F38" s="101">
        <f>600000+32000-20000+184000+37000+10000</f>
        <v>843000</v>
      </c>
      <c r="G38" s="101"/>
      <c r="H38" s="101"/>
      <c r="I38" s="101"/>
      <c r="J38" s="101">
        <v>185300.35</v>
      </c>
      <c r="K38" s="101"/>
      <c r="L38" s="101"/>
      <c r="M38" s="157">
        <f t="shared" si="3"/>
        <v>21.981061684460261</v>
      </c>
      <c r="N38" s="101">
        <f t="shared" si="13"/>
        <v>0</v>
      </c>
      <c r="O38" s="101"/>
      <c r="P38" s="101"/>
      <c r="Q38" s="101"/>
      <c r="R38" s="101"/>
      <c r="S38" s="101"/>
      <c r="T38" s="97">
        <f t="shared" si="8"/>
        <v>0</v>
      </c>
      <c r="U38" s="101"/>
      <c r="V38" s="101"/>
      <c r="W38" s="101"/>
      <c r="X38" s="101"/>
      <c r="Y38" s="101"/>
      <c r="Z38" s="157"/>
      <c r="AA38" s="97">
        <f t="shared" si="9"/>
        <v>185300.35</v>
      </c>
      <c r="AB38" s="101">
        <f t="shared" si="11"/>
        <v>843000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</row>
    <row r="39" spans="1:539" s="22" customFormat="1" ht="39" customHeight="1" x14ac:dyDescent="0.25">
      <c r="A39" s="105" t="s">
        <v>160</v>
      </c>
      <c r="B39" s="42" t="str">
        <f>'дод 5'!A134</f>
        <v>5031</v>
      </c>
      <c r="C39" s="42" t="str">
        <f>'дод 5'!B134</f>
        <v>0810</v>
      </c>
      <c r="D39" s="36" t="str">
        <f>'дод 5'!C134</f>
        <v>Утримання та навчально-тренувальна робота комунальних дитячо-юнацьких спортивних шкіл</v>
      </c>
      <c r="E39" s="101">
        <f t="shared" si="10"/>
        <v>17002500</v>
      </c>
      <c r="F39" s="101">
        <f>16311200+198300+253000+110000+130000</f>
        <v>17002500</v>
      </c>
      <c r="G39" s="101">
        <v>12531000</v>
      </c>
      <c r="H39" s="101">
        <v>634200</v>
      </c>
      <c r="I39" s="101"/>
      <c r="J39" s="101">
        <v>8014860.3600000003</v>
      </c>
      <c r="K39" s="101">
        <v>5945795.46</v>
      </c>
      <c r="L39" s="101">
        <v>467190.34</v>
      </c>
      <c r="M39" s="157">
        <f t="shared" si="3"/>
        <v>47.139305161005737</v>
      </c>
      <c r="N39" s="101">
        <f t="shared" si="13"/>
        <v>200700</v>
      </c>
      <c r="O39" s="101">
        <f>110700+90000</f>
        <v>200700</v>
      </c>
      <c r="P39" s="101"/>
      <c r="Q39" s="101"/>
      <c r="R39" s="101"/>
      <c r="S39" s="101">
        <f>110700+90000</f>
        <v>200700</v>
      </c>
      <c r="T39" s="97">
        <f t="shared" si="8"/>
        <v>0</v>
      </c>
      <c r="U39" s="101"/>
      <c r="V39" s="101"/>
      <c r="W39" s="101"/>
      <c r="X39" s="101"/>
      <c r="Y39" s="101"/>
      <c r="Z39" s="157">
        <f t="shared" si="5"/>
        <v>0</v>
      </c>
      <c r="AA39" s="97">
        <f t="shared" si="9"/>
        <v>8014860.3600000003</v>
      </c>
      <c r="AB39" s="101">
        <f t="shared" si="11"/>
        <v>17203200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</row>
    <row r="40" spans="1:539" s="22" customFormat="1" ht="33.75" customHeight="1" x14ac:dyDescent="0.25">
      <c r="A40" s="105" t="s">
        <v>359</v>
      </c>
      <c r="B40" s="42" t="str">
        <f>'дод 5'!A135</f>
        <v>5032</v>
      </c>
      <c r="C40" s="42" t="str">
        <f>'дод 5'!B135</f>
        <v>0810</v>
      </c>
      <c r="D40" s="36" t="str">
        <f>'дод 5'!C135</f>
        <v>Фінансова підтримка дитячо-юнацьких спортивних шкіл фізкультурно-спортивних товариств</v>
      </c>
      <c r="E40" s="101">
        <f t="shared" si="10"/>
        <v>14372000</v>
      </c>
      <c r="F40" s="101">
        <f>13627800+140000+183000+115000+95000+90000+101200+10000+10000</f>
        <v>14372000</v>
      </c>
      <c r="G40" s="101"/>
      <c r="H40" s="101"/>
      <c r="I40" s="101"/>
      <c r="J40" s="101">
        <v>6573104.7599999998</v>
      </c>
      <c r="K40" s="101"/>
      <c r="L40" s="101"/>
      <c r="M40" s="157">
        <f t="shared" si="3"/>
        <v>45.73549095463401</v>
      </c>
      <c r="N40" s="101">
        <f t="shared" si="13"/>
        <v>311700</v>
      </c>
      <c r="O40" s="101">
        <f>215000+30700+66000</f>
        <v>311700</v>
      </c>
      <c r="P40" s="101"/>
      <c r="Q40" s="101"/>
      <c r="R40" s="101"/>
      <c r="S40" s="101">
        <f>215000+30700+66000</f>
        <v>311700</v>
      </c>
      <c r="T40" s="97">
        <f t="shared" si="8"/>
        <v>0</v>
      </c>
      <c r="U40" s="101"/>
      <c r="V40" s="101"/>
      <c r="W40" s="101"/>
      <c r="X40" s="101"/>
      <c r="Y40" s="101"/>
      <c r="Z40" s="157">
        <f t="shared" si="5"/>
        <v>0</v>
      </c>
      <c r="AA40" s="97">
        <f t="shared" si="9"/>
        <v>6573104.7599999998</v>
      </c>
      <c r="AB40" s="101">
        <f t="shared" si="11"/>
        <v>14683700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</row>
    <row r="41" spans="1:539" s="22" customFormat="1" ht="63" x14ac:dyDescent="0.25">
      <c r="A41" s="105" t="s">
        <v>161</v>
      </c>
      <c r="B41" s="42" t="str">
        <f>'дод 5'!A136</f>
        <v>5061</v>
      </c>
      <c r="C41" s="42" t="str">
        <f>'дод 5'!B136</f>
        <v>0810</v>
      </c>
      <c r="D41" s="36" t="str">
        <f>'дод 5'!C136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101">
        <f t="shared" si="10"/>
        <v>4919100</v>
      </c>
      <c r="F41" s="101">
        <f>4794100+70000+25000+30000</f>
        <v>4919100</v>
      </c>
      <c r="G41" s="101">
        <v>2987400</v>
      </c>
      <c r="H41" s="101">
        <f>288100+2155</f>
        <v>290255</v>
      </c>
      <c r="I41" s="101"/>
      <c r="J41" s="101">
        <v>2139475.98</v>
      </c>
      <c r="K41" s="101">
        <v>1455174.81</v>
      </c>
      <c r="L41" s="101">
        <v>181896.77</v>
      </c>
      <c r="M41" s="157">
        <f t="shared" si="3"/>
        <v>43.493240226870768</v>
      </c>
      <c r="N41" s="101">
        <f t="shared" si="13"/>
        <v>1742994</v>
      </c>
      <c r="O41" s="101">
        <f>1530000+30000-30000</f>
        <v>1530000</v>
      </c>
      <c r="P41" s="101">
        <v>212994</v>
      </c>
      <c r="Q41" s="101">
        <v>119291</v>
      </c>
      <c r="R41" s="101">
        <v>50432</v>
      </c>
      <c r="S41" s="101">
        <f>1530000+30000-30000</f>
        <v>1530000</v>
      </c>
      <c r="T41" s="97">
        <f t="shared" si="8"/>
        <v>1528249.52</v>
      </c>
      <c r="U41" s="101">
        <v>1495260</v>
      </c>
      <c r="V41" s="101">
        <v>32989.519999999997</v>
      </c>
      <c r="W41" s="101"/>
      <c r="X41" s="101">
        <v>3077.35</v>
      </c>
      <c r="Y41" s="101">
        <v>1495260</v>
      </c>
      <c r="Z41" s="157">
        <f t="shared" si="5"/>
        <v>87.679562867112566</v>
      </c>
      <c r="AA41" s="97">
        <f t="shared" si="9"/>
        <v>3667725.5</v>
      </c>
      <c r="AB41" s="101">
        <f t="shared" si="11"/>
        <v>6662094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</row>
    <row r="42" spans="1:539" s="22" customFormat="1" ht="47.25" x14ac:dyDescent="0.25">
      <c r="A42" s="105" t="s">
        <v>351</v>
      </c>
      <c r="B42" s="42" t="str">
        <f>'дод 5'!A137</f>
        <v>5062</v>
      </c>
      <c r="C42" s="42" t="str">
        <f>'дод 5'!B137</f>
        <v>0810</v>
      </c>
      <c r="D42" s="36" t="str">
        <f>'дод 5'!C137</f>
        <v>Підтримка спорту вищих досягнень та організацій, які здійснюють фізкультурно-спортивну діяльність в регіоні</v>
      </c>
      <c r="E42" s="101">
        <f t="shared" si="10"/>
        <v>12742300</v>
      </c>
      <c r="F42" s="101">
        <f>11230300+136000+76000+1300000</f>
        <v>12742300</v>
      </c>
      <c r="G42" s="101"/>
      <c r="H42" s="101"/>
      <c r="I42" s="101"/>
      <c r="J42" s="101">
        <v>6288425.4299999997</v>
      </c>
      <c r="K42" s="101"/>
      <c r="L42" s="101"/>
      <c r="M42" s="157">
        <f t="shared" si="3"/>
        <v>49.350787769868859</v>
      </c>
      <c r="N42" s="101">
        <f t="shared" si="13"/>
        <v>0</v>
      </c>
      <c r="O42" s="101"/>
      <c r="P42" s="101"/>
      <c r="Q42" s="101"/>
      <c r="R42" s="101"/>
      <c r="S42" s="101"/>
      <c r="T42" s="97">
        <f t="shared" si="8"/>
        <v>0</v>
      </c>
      <c r="U42" s="101"/>
      <c r="V42" s="101"/>
      <c r="W42" s="101"/>
      <c r="X42" s="101"/>
      <c r="Y42" s="101"/>
      <c r="Z42" s="157"/>
      <c r="AA42" s="97">
        <f t="shared" si="9"/>
        <v>6288425.4299999997</v>
      </c>
      <c r="AB42" s="101">
        <f t="shared" si="11"/>
        <v>12742300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</row>
    <row r="43" spans="1:539" s="22" customFormat="1" ht="39" customHeight="1" x14ac:dyDescent="0.25">
      <c r="A43" s="105" t="s">
        <v>416</v>
      </c>
      <c r="B43" s="42">
        <v>7325</v>
      </c>
      <c r="C43" s="75" t="s">
        <v>113</v>
      </c>
      <c r="D43" s="6" t="s">
        <v>556</v>
      </c>
      <c r="E43" s="101">
        <f t="shared" si="10"/>
        <v>0</v>
      </c>
      <c r="F43" s="101"/>
      <c r="G43" s="101"/>
      <c r="H43" s="101"/>
      <c r="I43" s="101"/>
      <c r="J43" s="101"/>
      <c r="K43" s="101"/>
      <c r="L43" s="101"/>
      <c r="M43" s="157"/>
      <c r="N43" s="101">
        <f t="shared" si="13"/>
        <v>9790000</v>
      </c>
      <c r="O43" s="101">
        <v>9790000</v>
      </c>
      <c r="P43" s="101"/>
      <c r="Q43" s="101"/>
      <c r="R43" s="101"/>
      <c r="S43" s="101">
        <v>9790000</v>
      </c>
      <c r="T43" s="97">
        <f t="shared" si="8"/>
        <v>0</v>
      </c>
      <c r="U43" s="101"/>
      <c r="V43" s="101"/>
      <c r="W43" s="101"/>
      <c r="X43" s="101"/>
      <c r="Y43" s="101"/>
      <c r="Z43" s="157">
        <f t="shared" si="5"/>
        <v>0</v>
      </c>
      <c r="AA43" s="97">
        <f t="shared" si="9"/>
        <v>0</v>
      </c>
      <c r="AB43" s="101">
        <f t="shared" si="11"/>
        <v>9790000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</row>
    <row r="44" spans="1:539" s="22" customFormat="1" ht="18.75" x14ac:dyDescent="0.25">
      <c r="A44" s="105" t="s">
        <v>417</v>
      </c>
      <c r="B44" s="42">
        <v>7330</v>
      </c>
      <c r="C44" s="75" t="s">
        <v>113</v>
      </c>
      <c r="D44" s="6" t="s">
        <v>557</v>
      </c>
      <c r="E44" s="101">
        <f t="shared" si="10"/>
        <v>0</v>
      </c>
      <c r="F44" s="101"/>
      <c r="G44" s="101"/>
      <c r="H44" s="101"/>
      <c r="I44" s="101"/>
      <c r="J44" s="101"/>
      <c r="K44" s="101"/>
      <c r="L44" s="101"/>
      <c r="M44" s="157"/>
      <c r="N44" s="101">
        <f t="shared" si="13"/>
        <v>400000</v>
      </c>
      <c r="O44" s="101">
        <v>400000</v>
      </c>
      <c r="P44" s="101"/>
      <c r="Q44" s="101"/>
      <c r="R44" s="101"/>
      <c r="S44" s="101">
        <v>400000</v>
      </c>
      <c r="T44" s="97">
        <f t="shared" si="8"/>
        <v>331364.34000000003</v>
      </c>
      <c r="U44" s="101">
        <v>331364.34000000003</v>
      </c>
      <c r="V44" s="101"/>
      <c r="W44" s="101"/>
      <c r="X44" s="101"/>
      <c r="Y44" s="101">
        <v>331364.34000000003</v>
      </c>
      <c r="Z44" s="157">
        <f t="shared" si="5"/>
        <v>82.841085000000007</v>
      </c>
      <c r="AA44" s="97">
        <f t="shared" si="9"/>
        <v>331364.34000000003</v>
      </c>
      <c r="AB44" s="101">
        <f t="shared" si="11"/>
        <v>400000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</row>
    <row r="45" spans="1:539" s="22" customFormat="1" ht="31.5" x14ac:dyDescent="0.25">
      <c r="A45" s="105" t="s">
        <v>162</v>
      </c>
      <c r="B45" s="42" t="str">
        <f>'дод 5'!A175</f>
        <v>7412</v>
      </c>
      <c r="C45" s="42" t="str">
        <f>'дод 5'!B175</f>
        <v>0451</v>
      </c>
      <c r="D45" s="36" t="str">
        <f>'дод 5'!C175</f>
        <v>Регулювання цін на послуги місцевого автотранспорту</v>
      </c>
      <c r="E45" s="101">
        <f t="shared" si="10"/>
        <v>7417200</v>
      </c>
      <c r="F45" s="101"/>
      <c r="G45" s="101"/>
      <c r="H45" s="101"/>
      <c r="I45" s="101">
        <v>7417200</v>
      </c>
      <c r="J45" s="101">
        <v>2264157</v>
      </c>
      <c r="K45" s="101"/>
      <c r="L45" s="101"/>
      <c r="M45" s="157">
        <f t="shared" si="3"/>
        <v>30.525764439411095</v>
      </c>
      <c r="N45" s="101">
        <f t="shared" si="13"/>
        <v>0</v>
      </c>
      <c r="O45" s="101"/>
      <c r="P45" s="101"/>
      <c r="Q45" s="101"/>
      <c r="R45" s="101"/>
      <c r="S45" s="101"/>
      <c r="T45" s="97">
        <f t="shared" si="8"/>
        <v>0</v>
      </c>
      <c r="U45" s="101"/>
      <c r="V45" s="101"/>
      <c r="W45" s="101"/>
      <c r="X45" s="101"/>
      <c r="Y45" s="101"/>
      <c r="Z45" s="157"/>
      <c r="AA45" s="97">
        <f t="shared" si="9"/>
        <v>2264157</v>
      </c>
      <c r="AB45" s="101">
        <f t="shared" si="11"/>
        <v>7417200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</row>
    <row r="46" spans="1:539" s="22" customFormat="1" ht="24" customHeight="1" x14ac:dyDescent="0.25">
      <c r="A46" s="105" t="s">
        <v>379</v>
      </c>
      <c r="B46" s="42">
        <f>'дод 5'!A176</f>
        <v>7413</v>
      </c>
      <c r="C46" s="42" t="str">
        <f>'дод 5'!B176</f>
        <v>0451</v>
      </c>
      <c r="D46" s="106" t="str">
        <f>'дод 5'!C176</f>
        <v>Інші заходи у сфері автотранспорту</v>
      </c>
      <c r="E46" s="101">
        <f t="shared" si="10"/>
        <v>11000000</v>
      </c>
      <c r="F46" s="101"/>
      <c r="G46" s="101"/>
      <c r="H46" s="101"/>
      <c r="I46" s="101">
        <v>11000000</v>
      </c>
      <c r="J46" s="101">
        <v>7509222.9199999999</v>
      </c>
      <c r="K46" s="101"/>
      <c r="L46" s="101"/>
      <c r="M46" s="157">
        <f t="shared" si="3"/>
        <v>68.265662909090906</v>
      </c>
      <c r="N46" s="101">
        <f t="shared" si="13"/>
        <v>0</v>
      </c>
      <c r="O46" s="101"/>
      <c r="P46" s="101"/>
      <c r="Q46" s="101"/>
      <c r="R46" s="101"/>
      <c r="S46" s="101"/>
      <c r="T46" s="97">
        <f t="shared" si="8"/>
        <v>0</v>
      </c>
      <c r="U46" s="101"/>
      <c r="V46" s="101"/>
      <c r="W46" s="101"/>
      <c r="X46" s="101"/>
      <c r="Y46" s="101"/>
      <c r="Z46" s="157"/>
      <c r="AA46" s="97">
        <f t="shared" si="9"/>
        <v>7509222.9199999999</v>
      </c>
      <c r="AB46" s="101">
        <f t="shared" si="11"/>
        <v>11000000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  <c r="TS46" s="23"/>
    </row>
    <row r="47" spans="1:539" s="22" customFormat="1" ht="24" customHeight="1" x14ac:dyDescent="0.25">
      <c r="A47" s="105" t="s">
        <v>380</v>
      </c>
      <c r="B47" s="42">
        <f>'дод 5'!A177</f>
        <v>7426</v>
      </c>
      <c r="C47" s="105" t="s">
        <v>415</v>
      </c>
      <c r="D47" s="106" t="str">
        <f>'дод 5'!C177</f>
        <v>Інші заходи у сфері електротранспорту</v>
      </c>
      <c r="E47" s="101">
        <f t="shared" si="10"/>
        <v>30742296</v>
      </c>
      <c r="F47" s="101"/>
      <c r="G47" s="101"/>
      <c r="H47" s="101"/>
      <c r="I47" s="101">
        <v>30742296</v>
      </c>
      <c r="J47" s="101">
        <v>22688829.260000002</v>
      </c>
      <c r="K47" s="101"/>
      <c r="L47" s="101"/>
      <c r="M47" s="157">
        <f t="shared" si="3"/>
        <v>73.80330102865446</v>
      </c>
      <c r="N47" s="101">
        <f t="shared" si="13"/>
        <v>0</v>
      </c>
      <c r="O47" s="101"/>
      <c r="P47" s="101"/>
      <c r="Q47" s="101"/>
      <c r="R47" s="101"/>
      <c r="S47" s="101"/>
      <c r="T47" s="97">
        <f t="shared" si="8"/>
        <v>0</v>
      </c>
      <c r="U47" s="101"/>
      <c r="V47" s="101"/>
      <c r="W47" s="101"/>
      <c r="X47" s="101"/>
      <c r="Y47" s="101"/>
      <c r="Z47" s="157"/>
      <c r="AA47" s="97">
        <f t="shared" si="9"/>
        <v>22688829.260000002</v>
      </c>
      <c r="AB47" s="101">
        <f t="shared" si="11"/>
        <v>30742296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  <c r="TS47" s="23"/>
    </row>
    <row r="48" spans="1:539" s="22" customFormat="1" ht="24" customHeight="1" x14ac:dyDescent="0.25">
      <c r="A48" s="105" t="s">
        <v>456</v>
      </c>
      <c r="B48" s="105" t="s">
        <v>457</v>
      </c>
      <c r="C48" s="105" t="s">
        <v>402</v>
      </c>
      <c r="D48" s="106" t="s">
        <v>463</v>
      </c>
      <c r="E48" s="101">
        <f t="shared" si="10"/>
        <v>2725480</v>
      </c>
      <c r="F48" s="101">
        <v>2725480</v>
      </c>
      <c r="G48" s="101"/>
      <c r="H48" s="101"/>
      <c r="I48" s="101"/>
      <c r="J48" s="101"/>
      <c r="K48" s="101"/>
      <c r="L48" s="101"/>
      <c r="M48" s="157">
        <f t="shared" si="3"/>
        <v>0</v>
      </c>
      <c r="N48" s="101">
        <f t="shared" si="13"/>
        <v>0</v>
      </c>
      <c r="O48" s="101"/>
      <c r="P48" s="101"/>
      <c r="Q48" s="101"/>
      <c r="R48" s="101"/>
      <c r="S48" s="101"/>
      <c r="T48" s="97">
        <f t="shared" si="8"/>
        <v>0</v>
      </c>
      <c r="U48" s="101"/>
      <c r="V48" s="101"/>
      <c r="W48" s="101"/>
      <c r="X48" s="101"/>
      <c r="Y48" s="101"/>
      <c r="Z48" s="157"/>
      <c r="AA48" s="97">
        <f t="shared" si="9"/>
        <v>0</v>
      </c>
      <c r="AB48" s="101">
        <f t="shared" si="11"/>
        <v>2725480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</row>
    <row r="49" spans="1:539" s="22" customFormat="1" ht="30.75" customHeight="1" x14ac:dyDescent="0.25">
      <c r="A49" s="105" t="s">
        <v>235</v>
      </c>
      <c r="B49" s="42" t="str">
        <f>'дод 5'!A185</f>
        <v>7530</v>
      </c>
      <c r="C49" s="42" t="str">
        <f>'дод 5'!B185</f>
        <v>0460</v>
      </c>
      <c r="D49" s="36" t="s">
        <v>236</v>
      </c>
      <c r="E49" s="101">
        <f t="shared" si="10"/>
        <v>7250000</v>
      </c>
      <c r="F49" s="101">
        <f>10400000-3150000</f>
        <v>7250000</v>
      </c>
      <c r="G49" s="101"/>
      <c r="H49" s="101"/>
      <c r="I49" s="101"/>
      <c r="J49" s="101">
        <v>894773.3</v>
      </c>
      <c r="K49" s="101"/>
      <c r="L49" s="101"/>
      <c r="M49" s="157">
        <f t="shared" si="3"/>
        <v>12.341700689655173</v>
      </c>
      <c r="N49" s="101">
        <f t="shared" si="13"/>
        <v>3150000</v>
      </c>
      <c r="O49" s="101">
        <v>3150000</v>
      </c>
      <c r="P49" s="101"/>
      <c r="Q49" s="101"/>
      <c r="R49" s="101"/>
      <c r="S49" s="101">
        <v>3150000</v>
      </c>
      <c r="T49" s="97">
        <f t="shared" si="8"/>
        <v>0</v>
      </c>
      <c r="U49" s="101"/>
      <c r="V49" s="101"/>
      <c r="W49" s="101"/>
      <c r="X49" s="101"/>
      <c r="Y49" s="101"/>
      <c r="Z49" s="157">
        <f t="shared" si="5"/>
        <v>0</v>
      </c>
      <c r="AA49" s="97">
        <f t="shared" si="9"/>
        <v>894773.3</v>
      </c>
      <c r="AB49" s="101">
        <f t="shared" si="11"/>
        <v>10400000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</row>
    <row r="50" spans="1:539" s="22" customFormat="1" ht="31.5" customHeight="1" x14ac:dyDescent="0.25">
      <c r="A50" s="105" t="s">
        <v>163</v>
      </c>
      <c r="B50" s="42" t="str">
        <f>'дод 5'!A188</f>
        <v>7610</v>
      </c>
      <c r="C50" s="42" t="str">
        <f>'дод 5'!B188</f>
        <v>0411</v>
      </c>
      <c r="D50" s="36" t="str">
        <f>'дод 5'!C188</f>
        <v>Сприяння розвитку малого та середнього підприємництва</v>
      </c>
      <c r="E50" s="101">
        <f t="shared" si="10"/>
        <v>60000</v>
      </c>
      <c r="F50" s="101">
        <v>60000</v>
      </c>
      <c r="G50" s="101"/>
      <c r="H50" s="101"/>
      <c r="I50" s="101"/>
      <c r="J50" s="101"/>
      <c r="K50" s="101"/>
      <c r="L50" s="101"/>
      <c r="M50" s="157">
        <f t="shared" si="3"/>
        <v>0</v>
      </c>
      <c r="N50" s="101">
        <f t="shared" si="13"/>
        <v>0</v>
      </c>
      <c r="O50" s="101"/>
      <c r="P50" s="101"/>
      <c r="Q50" s="101"/>
      <c r="R50" s="101"/>
      <c r="S50" s="101"/>
      <c r="T50" s="97">
        <f t="shared" si="8"/>
        <v>0</v>
      </c>
      <c r="U50" s="101"/>
      <c r="V50" s="101"/>
      <c r="W50" s="101"/>
      <c r="X50" s="101"/>
      <c r="Y50" s="101"/>
      <c r="Z50" s="157"/>
      <c r="AA50" s="97">
        <f t="shared" si="9"/>
        <v>0</v>
      </c>
      <c r="AB50" s="101">
        <f t="shared" si="11"/>
        <v>60000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</row>
    <row r="51" spans="1:539" s="22" customFormat="1" ht="33.75" customHeight="1" x14ac:dyDescent="0.25">
      <c r="A51" s="105" t="s">
        <v>164</v>
      </c>
      <c r="B51" s="42" t="str">
        <f>'дод 5'!A193</f>
        <v>7670</v>
      </c>
      <c r="C51" s="42" t="str">
        <f>'дод 5'!B193</f>
        <v>0490</v>
      </c>
      <c r="D51" s="36" t="s">
        <v>25</v>
      </c>
      <c r="E51" s="101">
        <f t="shared" si="10"/>
        <v>0</v>
      </c>
      <c r="F51" s="101"/>
      <c r="G51" s="101"/>
      <c r="H51" s="101"/>
      <c r="I51" s="101"/>
      <c r="J51" s="101"/>
      <c r="K51" s="101"/>
      <c r="L51" s="101"/>
      <c r="M51" s="157"/>
      <c r="N51" s="101">
        <f t="shared" si="13"/>
        <v>18997900</v>
      </c>
      <c r="O51" s="101">
        <v>18997900</v>
      </c>
      <c r="P51" s="101"/>
      <c r="Q51" s="101"/>
      <c r="R51" s="101"/>
      <c r="S51" s="101">
        <v>18997900</v>
      </c>
      <c r="T51" s="97">
        <f t="shared" si="8"/>
        <v>7224877.6699999999</v>
      </c>
      <c r="U51" s="101">
        <v>7224877.6699999999</v>
      </c>
      <c r="V51" s="101"/>
      <c r="W51" s="101"/>
      <c r="X51" s="101"/>
      <c r="Y51" s="101">
        <v>7224877.6699999999</v>
      </c>
      <c r="Z51" s="157">
        <f t="shared" si="5"/>
        <v>38.029875249369667</v>
      </c>
      <c r="AA51" s="97">
        <f t="shared" si="9"/>
        <v>7224877.6699999999</v>
      </c>
      <c r="AB51" s="101">
        <f t="shared" si="11"/>
        <v>18997900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</row>
    <row r="52" spans="1:539" s="22" customFormat="1" ht="36.75" customHeight="1" x14ac:dyDescent="0.25">
      <c r="A52" s="105" t="s">
        <v>249</v>
      </c>
      <c r="B52" s="42" t="str">
        <f>'дод 5'!A195</f>
        <v>7680</v>
      </c>
      <c r="C52" s="42" t="str">
        <f>'дод 5'!B195</f>
        <v>0490</v>
      </c>
      <c r="D52" s="36" t="str">
        <f>'дод 5'!C195</f>
        <v>Членські внески до асоціацій органів місцевого самоврядування</v>
      </c>
      <c r="E52" s="101">
        <f t="shared" si="10"/>
        <v>356337</v>
      </c>
      <c r="F52" s="101">
        <v>356337</v>
      </c>
      <c r="G52" s="101"/>
      <c r="H52" s="101"/>
      <c r="I52" s="101"/>
      <c r="J52" s="101">
        <v>138000</v>
      </c>
      <c r="K52" s="101"/>
      <c r="L52" s="101"/>
      <c r="M52" s="157">
        <f t="shared" si="3"/>
        <v>38.727384470318825</v>
      </c>
      <c r="N52" s="101">
        <f t="shared" si="13"/>
        <v>0</v>
      </c>
      <c r="O52" s="101"/>
      <c r="P52" s="101"/>
      <c r="Q52" s="101"/>
      <c r="R52" s="101"/>
      <c r="S52" s="101"/>
      <c r="T52" s="97">
        <f t="shared" si="8"/>
        <v>0</v>
      </c>
      <c r="U52" s="101"/>
      <c r="V52" s="101"/>
      <c r="W52" s="101"/>
      <c r="X52" s="101"/>
      <c r="Y52" s="101"/>
      <c r="Z52" s="157"/>
      <c r="AA52" s="97">
        <f t="shared" si="9"/>
        <v>138000</v>
      </c>
      <c r="AB52" s="101">
        <f t="shared" si="11"/>
        <v>356337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</row>
    <row r="53" spans="1:539" s="22" customFormat="1" ht="125.25" customHeight="1" x14ac:dyDescent="0.25">
      <c r="A53" s="105" t="s">
        <v>303</v>
      </c>
      <c r="B53" s="42" t="str">
        <f>'дод 5'!A196</f>
        <v>7691</v>
      </c>
      <c r="C53" s="42" t="str">
        <f>'дод 5'!B196</f>
        <v>0490</v>
      </c>
      <c r="D53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101">
        <f t="shared" si="10"/>
        <v>0</v>
      </c>
      <c r="F53" s="101"/>
      <c r="G53" s="101"/>
      <c r="H53" s="101"/>
      <c r="I53" s="101"/>
      <c r="J53" s="101"/>
      <c r="K53" s="101"/>
      <c r="L53" s="101"/>
      <c r="M53" s="157"/>
      <c r="N53" s="101">
        <f t="shared" si="13"/>
        <v>54101</v>
      </c>
      <c r="O53" s="101"/>
      <c r="P53" s="101">
        <v>54101</v>
      </c>
      <c r="Q53" s="101"/>
      <c r="R53" s="101"/>
      <c r="S53" s="101"/>
      <c r="T53" s="97">
        <f t="shared" si="8"/>
        <v>0</v>
      </c>
      <c r="U53" s="101"/>
      <c r="V53" s="101"/>
      <c r="W53" s="101"/>
      <c r="X53" s="101"/>
      <c r="Y53" s="101"/>
      <c r="Z53" s="157">
        <f t="shared" si="5"/>
        <v>0</v>
      </c>
      <c r="AA53" s="97">
        <f t="shared" si="9"/>
        <v>0</v>
      </c>
      <c r="AB53" s="101">
        <f t="shared" si="11"/>
        <v>54101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  <c r="TI53" s="23"/>
      <c r="TJ53" s="23"/>
      <c r="TK53" s="23"/>
      <c r="TL53" s="23"/>
      <c r="TM53" s="23"/>
      <c r="TN53" s="23"/>
      <c r="TO53" s="23"/>
      <c r="TP53" s="23"/>
      <c r="TQ53" s="23"/>
      <c r="TR53" s="23"/>
      <c r="TS53" s="23"/>
    </row>
    <row r="54" spans="1:539" s="22" customFormat="1" ht="23.25" customHeight="1" x14ac:dyDescent="0.25">
      <c r="A54" s="105" t="s">
        <v>242</v>
      </c>
      <c r="B54" s="42" t="str">
        <f>'дод 5'!A197</f>
        <v>7693</v>
      </c>
      <c r="C54" s="42" t="str">
        <f>'дод 5'!B197</f>
        <v>0490</v>
      </c>
      <c r="D54" s="36" t="str">
        <f>'дод 5'!C197</f>
        <v>Інші заходи, пов'язані з економічною діяльністю</v>
      </c>
      <c r="E54" s="101">
        <f t="shared" si="10"/>
        <v>1129332</v>
      </c>
      <c r="F54" s="101">
        <v>1129332</v>
      </c>
      <c r="G54" s="101"/>
      <c r="H54" s="101"/>
      <c r="I54" s="101"/>
      <c r="J54" s="101">
        <v>26266.07</v>
      </c>
      <c r="K54" s="101"/>
      <c r="L54" s="101"/>
      <c r="M54" s="157">
        <f t="shared" si="3"/>
        <v>2.3258058746232284</v>
      </c>
      <c r="N54" s="101">
        <f t="shared" si="13"/>
        <v>0</v>
      </c>
      <c r="O54" s="101"/>
      <c r="P54" s="101"/>
      <c r="Q54" s="101"/>
      <c r="R54" s="101"/>
      <c r="S54" s="101"/>
      <c r="T54" s="97">
        <f t="shared" si="8"/>
        <v>0</v>
      </c>
      <c r="U54" s="101"/>
      <c r="V54" s="101"/>
      <c r="W54" s="101"/>
      <c r="X54" s="101"/>
      <c r="Y54" s="101"/>
      <c r="Z54" s="157"/>
      <c r="AA54" s="97">
        <f t="shared" si="9"/>
        <v>26266.07</v>
      </c>
      <c r="AB54" s="101">
        <f t="shared" si="11"/>
        <v>1129332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  <c r="TS54" s="23"/>
    </row>
    <row r="55" spans="1:539" s="22" customFormat="1" ht="34.5" customHeight="1" x14ac:dyDescent="0.25">
      <c r="A55" s="105" t="s">
        <v>165</v>
      </c>
      <c r="B55" s="42" t="str">
        <f>'дод 5'!A204</f>
        <v>8110</v>
      </c>
      <c r="C55" s="42" t="str">
        <f>'дод 5'!B204</f>
        <v>0320</v>
      </c>
      <c r="D55" s="36" t="str">
        <f>'дод 5'!C204</f>
        <v>Заходи із запобігання та ліквідації надзвичайних ситуацій та наслідків стихійного лиха</v>
      </c>
      <c r="E55" s="101">
        <f t="shared" si="10"/>
        <v>251700</v>
      </c>
      <c r="F55" s="101">
        <v>251700</v>
      </c>
      <c r="G55" s="101"/>
      <c r="H55" s="101">
        <v>6500</v>
      </c>
      <c r="I55" s="101"/>
      <c r="J55" s="101">
        <v>130243.09</v>
      </c>
      <c r="K55" s="101"/>
      <c r="L55" s="101">
        <v>1404</v>
      </c>
      <c r="M55" s="157">
        <f t="shared" si="3"/>
        <v>51.745367500993247</v>
      </c>
      <c r="N55" s="101">
        <f t="shared" si="13"/>
        <v>1430052</v>
      </c>
      <c r="O55" s="101">
        <v>1430052</v>
      </c>
      <c r="P55" s="101"/>
      <c r="Q55" s="101"/>
      <c r="R55" s="101"/>
      <c r="S55" s="101">
        <v>1430052</v>
      </c>
      <c r="T55" s="97">
        <f t="shared" si="8"/>
        <v>1398264.66</v>
      </c>
      <c r="U55" s="101">
        <v>1398264.66</v>
      </c>
      <c r="V55" s="101"/>
      <c r="W55" s="101"/>
      <c r="X55" s="101"/>
      <c r="Y55" s="101">
        <v>1398264.66</v>
      </c>
      <c r="Z55" s="157">
        <f t="shared" si="5"/>
        <v>97.777189920366524</v>
      </c>
      <c r="AA55" s="97">
        <f t="shared" si="9"/>
        <v>1528507.75</v>
      </c>
      <c r="AB55" s="101">
        <f t="shared" si="11"/>
        <v>1681752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  <c r="TS55" s="23"/>
    </row>
    <row r="56" spans="1:539" s="22" customFormat="1" ht="30.75" customHeight="1" x14ac:dyDescent="0.25">
      <c r="A56" s="105" t="s">
        <v>225</v>
      </c>
      <c r="B56" s="42" t="str">
        <f>'дод 5'!A205</f>
        <v>8120</v>
      </c>
      <c r="C56" s="42" t="str">
        <f>'дод 5'!B205</f>
        <v>0320</v>
      </c>
      <c r="D56" s="36" t="str">
        <f>'дод 5'!C205</f>
        <v>Заходи з організації рятування на водах, у т.ч. за рахунок:</v>
      </c>
      <c r="E56" s="101">
        <f>F56+I56</f>
        <v>2454660</v>
      </c>
      <c r="F56" s="101">
        <v>2454660</v>
      </c>
      <c r="G56" s="101">
        <f>1906900</f>
        <v>1906900</v>
      </c>
      <c r="H56" s="101">
        <v>79260</v>
      </c>
      <c r="I56" s="101"/>
      <c r="J56" s="101">
        <v>1152697.74</v>
      </c>
      <c r="K56" s="101">
        <v>918858.16</v>
      </c>
      <c r="L56" s="101">
        <v>17467.28</v>
      </c>
      <c r="M56" s="157">
        <f t="shared" si="3"/>
        <v>46.959568331255653</v>
      </c>
      <c r="N56" s="101">
        <f t="shared" si="13"/>
        <v>5700</v>
      </c>
      <c r="O56" s="101"/>
      <c r="P56" s="101">
        <v>5700</v>
      </c>
      <c r="Q56" s="101"/>
      <c r="R56" s="101">
        <v>1400</v>
      </c>
      <c r="S56" s="101"/>
      <c r="T56" s="97">
        <f t="shared" si="8"/>
        <v>2000</v>
      </c>
      <c r="U56" s="101"/>
      <c r="V56" s="101">
        <v>2000</v>
      </c>
      <c r="W56" s="101"/>
      <c r="X56" s="101"/>
      <c r="Y56" s="101"/>
      <c r="Z56" s="157">
        <f t="shared" si="5"/>
        <v>35.087719298245609</v>
      </c>
      <c r="AA56" s="97">
        <f t="shared" si="9"/>
        <v>1154697.74</v>
      </c>
      <c r="AB56" s="101">
        <f t="shared" si="11"/>
        <v>2460360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  <c r="TS56" s="23"/>
    </row>
    <row r="57" spans="1:539" s="24" customFormat="1" ht="63" x14ac:dyDescent="0.25">
      <c r="A57" s="107"/>
      <c r="B57" s="90"/>
      <c r="C57" s="90"/>
      <c r="D57" s="89" t="str">
        <f>'дод 5'!C206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3">
        <f t="shared" si="10"/>
        <v>588815</v>
      </c>
      <c r="F57" s="103">
        <f>359315+30260+81980+117260</f>
        <v>588815</v>
      </c>
      <c r="G57" s="103">
        <f>294520+24805+67195+96115</f>
        <v>482635</v>
      </c>
      <c r="H57" s="103"/>
      <c r="I57" s="103"/>
      <c r="J57" s="103">
        <v>218894</v>
      </c>
      <c r="K57" s="103">
        <v>179419</v>
      </c>
      <c r="L57" s="103"/>
      <c r="M57" s="157">
        <f t="shared" si="3"/>
        <v>37.175343698784843</v>
      </c>
      <c r="N57" s="103">
        <f t="shared" si="13"/>
        <v>0</v>
      </c>
      <c r="O57" s="103"/>
      <c r="P57" s="103"/>
      <c r="Q57" s="103"/>
      <c r="R57" s="103"/>
      <c r="S57" s="103"/>
      <c r="T57" s="97">
        <f t="shared" si="8"/>
        <v>0</v>
      </c>
      <c r="U57" s="103"/>
      <c r="V57" s="103"/>
      <c r="W57" s="103"/>
      <c r="X57" s="103"/>
      <c r="Y57" s="103"/>
      <c r="Z57" s="157"/>
      <c r="AA57" s="97">
        <f t="shared" si="9"/>
        <v>218894</v>
      </c>
      <c r="AB57" s="103">
        <f t="shared" si="11"/>
        <v>588815</v>
      </c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  <c r="TS57" s="30"/>
    </row>
    <row r="58" spans="1:539" s="22" customFormat="1" ht="21.75" customHeight="1" x14ac:dyDescent="0.25">
      <c r="A58" s="105" t="s">
        <v>245</v>
      </c>
      <c r="B58" s="42" t="str">
        <f>'дод 5'!A208</f>
        <v>8230</v>
      </c>
      <c r="C58" s="42" t="str">
        <f>'дод 5'!B208</f>
        <v>0380</v>
      </c>
      <c r="D58" s="36" t="str">
        <f>'дод 5'!C208</f>
        <v>Інші заходи громадського порядку та безпеки</v>
      </c>
      <c r="E58" s="101">
        <f t="shared" si="10"/>
        <v>352350</v>
      </c>
      <c r="F58" s="101">
        <f>351800+550</f>
        <v>352350</v>
      </c>
      <c r="G58" s="101"/>
      <c r="H58" s="101">
        <v>193600</v>
      </c>
      <c r="I58" s="101"/>
      <c r="J58" s="101">
        <v>162901.19</v>
      </c>
      <c r="K58" s="101"/>
      <c r="L58" s="101">
        <v>140762.29</v>
      </c>
      <c r="M58" s="157">
        <f t="shared" si="3"/>
        <v>46.232777068255999</v>
      </c>
      <c r="N58" s="101">
        <f t="shared" si="13"/>
        <v>0</v>
      </c>
      <c r="O58" s="101"/>
      <c r="P58" s="101"/>
      <c r="Q58" s="101"/>
      <c r="R58" s="101"/>
      <c r="S58" s="101"/>
      <c r="T58" s="97">
        <f t="shared" si="8"/>
        <v>0</v>
      </c>
      <c r="U58" s="101"/>
      <c r="V58" s="101"/>
      <c r="W58" s="101"/>
      <c r="X58" s="101"/>
      <c r="Y58" s="101"/>
      <c r="Z58" s="157"/>
      <c r="AA58" s="97">
        <f t="shared" si="9"/>
        <v>162901.19</v>
      </c>
      <c r="AB58" s="101">
        <f t="shared" si="11"/>
        <v>352350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  <c r="TS58" s="23"/>
    </row>
    <row r="59" spans="1:539" s="22" customFormat="1" ht="36" customHeight="1" x14ac:dyDescent="0.25">
      <c r="A59" s="60" t="s">
        <v>166</v>
      </c>
      <c r="B59" s="95" t="str">
        <f>'дод 5'!A211</f>
        <v>8340</v>
      </c>
      <c r="C59" s="95" t="str">
        <f>'дод 5'!B211</f>
        <v>0540</v>
      </c>
      <c r="D59" s="61" t="str">
        <f>'дод 5'!C211</f>
        <v>Природоохоронні заходи за рахунок цільових фондів</v>
      </c>
      <c r="E59" s="101">
        <f t="shared" si="10"/>
        <v>0</v>
      </c>
      <c r="F59" s="101"/>
      <c r="G59" s="101"/>
      <c r="H59" s="101"/>
      <c r="I59" s="101"/>
      <c r="J59" s="101"/>
      <c r="K59" s="101"/>
      <c r="L59" s="101"/>
      <c r="M59" s="157"/>
      <c r="N59" s="101">
        <f t="shared" si="13"/>
        <v>250000</v>
      </c>
      <c r="O59" s="101"/>
      <c r="P59" s="101">
        <v>250000</v>
      </c>
      <c r="Q59" s="101"/>
      <c r="R59" s="101"/>
      <c r="S59" s="101"/>
      <c r="T59" s="97">
        <f t="shared" si="8"/>
        <v>125651.72</v>
      </c>
      <c r="U59" s="101"/>
      <c r="V59" s="101">
        <v>125651.72</v>
      </c>
      <c r="W59" s="101"/>
      <c r="X59" s="101"/>
      <c r="Y59" s="101"/>
      <c r="Z59" s="157">
        <f t="shared" si="5"/>
        <v>50.260687999999995</v>
      </c>
      <c r="AA59" s="97">
        <f t="shared" si="9"/>
        <v>125651.72</v>
      </c>
      <c r="AB59" s="101">
        <f t="shared" si="11"/>
        <v>250000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  <c r="TI59" s="23"/>
      <c r="TJ59" s="23"/>
      <c r="TK59" s="23"/>
      <c r="TL59" s="23"/>
      <c r="TM59" s="23"/>
      <c r="TN59" s="23"/>
      <c r="TO59" s="23"/>
      <c r="TP59" s="23"/>
      <c r="TQ59" s="23"/>
      <c r="TR59" s="23"/>
      <c r="TS59" s="23"/>
    </row>
    <row r="60" spans="1:539" s="22" customFormat="1" ht="26.25" hidden="1" customHeight="1" x14ac:dyDescent="0.25">
      <c r="A60" s="105" t="s">
        <v>256</v>
      </c>
      <c r="B60" s="42" t="str">
        <f>'дод 5'!A213</f>
        <v>8420</v>
      </c>
      <c r="C60" s="42" t="str">
        <f>'дод 5'!B213</f>
        <v>0830</v>
      </c>
      <c r="D60" s="36" t="str">
        <f>'дод 5'!C213</f>
        <v>Інші заходи у сфері засобів масової інформації</v>
      </c>
      <c r="E60" s="101">
        <f t="shared" si="10"/>
        <v>0</v>
      </c>
      <c r="F60" s="101"/>
      <c r="G60" s="101"/>
      <c r="H60" s="101"/>
      <c r="I60" s="101"/>
      <c r="J60" s="101"/>
      <c r="K60" s="101"/>
      <c r="L60" s="101"/>
      <c r="M60" s="157" t="e">
        <f t="shared" si="3"/>
        <v>#DIV/0!</v>
      </c>
      <c r="N60" s="101">
        <f t="shared" si="13"/>
        <v>0</v>
      </c>
      <c r="O60" s="101"/>
      <c r="P60" s="101"/>
      <c r="Q60" s="101"/>
      <c r="R60" s="101"/>
      <c r="S60" s="101"/>
      <c r="T60" s="97">
        <f t="shared" si="8"/>
        <v>0</v>
      </c>
      <c r="U60" s="101"/>
      <c r="V60" s="101"/>
      <c r="W60" s="101"/>
      <c r="X60" s="101"/>
      <c r="Y60" s="101"/>
      <c r="Z60" s="157" t="e">
        <f t="shared" si="5"/>
        <v>#DIV/0!</v>
      </c>
      <c r="AA60" s="97">
        <f t="shared" si="9"/>
        <v>0</v>
      </c>
      <c r="AB60" s="101">
        <f t="shared" si="11"/>
        <v>0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  <c r="TI60" s="23"/>
      <c r="TJ60" s="23"/>
      <c r="TK60" s="23"/>
      <c r="TL60" s="23"/>
      <c r="TM60" s="23"/>
      <c r="TN60" s="23"/>
      <c r="TO60" s="23"/>
      <c r="TP60" s="23"/>
      <c r="TQ60" s="23"/>
      <c r="TR60" s="23"/>
      <c r="TS60" s="23"/>
    </row>
    <row r="61" spans="1:539" s="22" customFormat="1" ht="47.25" x14ac:dyDescent="0.25">
      <c r="A61" s="105" t="s">
        <v>383</v>
      </c>
      <c r="B61" s="42">
        <v>9800</v>
      </c>
      <c r="C61" s="105" t="s">
        <v>46</v>
      </c>
      <c r="D61" s="36" t="s">
        <v>369</v>
      </c>
      <c r="E61" s="101">
        <f t="shared" si="10"/>
        <v>407799</v>
      </c>
      <c r="F61" s="101">
        <v>407799</v>
      </c>
      <c r="G61" s="101"/>
      <c r="H61" s="101"/>
      <c r="I61" s="101"/>
      <c r="J61" s="101">
        <v>273799</v>
      </c>
      <c r="K61" s="101"/>
      <c r="L61" s="101"/>
      <c r="M61" s="157">
        <f t="shared" si="3"/>
        <v>67.140674695131679</v>
      </c>
      <c r="N61" s="101">
        <f t="shared" si="13"/>
        <v>0</v>
      </c>
      <c r="O61" s="101"/>
      <c r="P61" s="101"/>
      <c r="Q61" s="101"/>
      <c r="R61" s="101"/>
      <c r="S61" s="101"/>
      <c r="T61" s="97">
        <f t="shared" si="8"/>
        <v>0</v>
      </c>
      <c r="U61" s="101"/>
      <c r="V61" s="101"/>
      <c r="W61" s="101"/>
      <c r="X61" s="101"/>
      <c r="Y61" s="101"/>
      <c r="Z61" s="157"/>
      <c r="AA61" s="97">
        <f t="shared" si="9"/>
        <v>273799</v>
      </c>
      <c r="AB61" s="101">
        <f t="shared" si="11"/>
        <v>407799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  <c r="TS61" s="23"/>
    </row>
    <row r="62" spans="1:539" s="27" customFormat="1" ht="36" customHeight="1" x14ac:dyDescent="0.25">
      <c r="A62" s="108" t="s">
        <v>167</v>
      </c>
      <c r="B62" s="39"/>
      <c r="C62" s="39"/>
      <c r="D62" s="109" t="s">
        <v>26</v>
      </c>
      <c r="E62" s="97">
        <f>E63</f>
        <v>1132293932.23</v>
      </c>
      <c r="F62" s="97">
        <f t="shared" ref="F62:L62" si="14">F63</f>
        <v>1132293932.23</v>
      </c>
      <c r="G62" s="97">
        <f t="shared" si="14"/>
        <v>779065830</v>
      </c>
      <c r="H62" s="97">
        <f t="shared" si="14"/>
        <v>56719650</v>
      </c>
      <c r="I62" s="97">
        <f t="shared" si="14"/>
        <v>0</v>
      </c>
      <c r="J62" s="97">
        <f t="shared" si="14"/>
        <v>603330408.12000012</v>
      </c>
      <c r="K62" s="97">
        <f t="shared" si="14"/>
        <v>418247727.14999998</v>
      </c>
      <c r="L62" s="97">
        <f t="shared" si="14"/>
        <v>37944199.330000006</v>
      </c>
      <c r="M62" s="157">
        <f t="shared" si="3"/>
        <v>53.283903670822383</v>
      </c>
      <c r="N62" s="97">
        <f t="shared" ref="N62:AB62" si="15">N63</f>
        <v>84969551.180000007</v>
      </c>
      <c r="O62" s="97">
        <f t="shared" si="15"/>
        <v>46824051.18</v>
      </c>
      <c r="P62" s="97">
        <f t="shared" si="15"/>
        <v>37485500</v>
      </c>
      <c r="Q62" s="97">
        <f t="shared" si="15"/>
        <v>2268060</v>
      </c>
      <c r="R62" s="97">
        <f t="shared" si="15"/>
        <v>139890</v>
      </c>
      <c r="S62" s="97">
        <f t="shared" si="15"/>
        <v>47484051.18</v>
      </c>
      <c r="T62" s="97">
        <f t="shared" si="15"/>
        <v>17529719.780000001</v>
      </c>
      <c r="U62" s="97">
        <f t="shared" si="15"/>
        <v>1714915.31</v>
      </c>
      <c r="V62" s="97">
        <f t="shared" si="15"/>
        <v>15439032.07</v>
      </c>
      <c r="W62" s="97">
        <f t="shared" si="15"/>
        <v>1224957.45</v>
      </c>
      <c r="X62" s="97">
        <f t="shared" si="15"/>
        <v>49646.52</v>
      </c>
      <c r="Y62" s="97">
        <f t="shared" si="15"/>
        <v>2090687.71</v>
      </c>
      <c r="Z62" s="157">
        <f t="shared" si="5"/>
        <v>20.630590060273402</v>
      </c>
      <c r="AA62" s="97">
        <f t="shared" si="15"/>
        <v>620860127.90000021</v>
      </c>
      <c r="AB62" s="97">
        <f t="shared" si="15"/>
        <v>1217263483.4099998</v>
      </c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  <c r="TH62" s="32"/>
      <c r="TI62" s="32"/>
      <c r="TJ62" s="32"/>
      <c r="TK62" s="32"/>
      <c r="TL62" s="32"/>
      <c r="TM62" s="32"/>
      <c r="TN62" s="32"/>
      <c r="TO62" s="32"/>
      <c r="TP62" s="32"/>
      <c r="TQ62" s="32"/>
      <c r="TR62" s="32"/>
      <c r="TS62" s="32"/>
    </row>
    <row r="63" spans="1:539" s="34" customFormat="1" ht="38.25" customHeight="1" x14ac:dyDescent="0.25">
      <c r="A63" s="110" t="s">
        <v>168</v>
      </c>
      <c r="B63" s="76"/>
      <c r="C63" s="76"/>
      <c r="D63" s="79" t="s">
        <v>516</v>
      </c>
      <c r="E63" s="100">
        <f>E75+E76+E77+E78+E79+E82+E84+E87+E89+E90+E91+E92+E93+E95+E96+E98+E100+E101+E102+E103+E104+E106+E107+E108+E109+E110+E112</f>
        <v>1132293932.23</v>
      </c>
      <c r="F63" s="100">
        <f t="shared" ref="F63:L63" si="16">F75+F76+F77+F78+F79+F82+F84+F87+F89+F90+F91+F92+F93+F95+F96+F98+F100+F101+F102+F103+F104+F106+F107+F108+F109+F110+F112</f>
        <v>1132293932.23</v>
      </c>
      <c r="G63" s="100">
        <f t="shared" si="16"/>
        <v>779065830</v>
      </c>
      <c r="H63" s="100">
        <f t="shared" si="16"/>
        <v>56719650</v>
      </c>
      <c r="I63" s="100">
        <f t="shared" si="16"/>
        <v>0</v>
      </c>
      <c r="J63" s="100">
        <f t="shared" si="16"/>
        <v>603330408.12000012</v>
      </c>
      <c r="K63" s="100">
        <f t="shared" si="16"/>
        <v>418247727.14999998</v>
      </c>
      <c r="L63" s="100">
        <f t="shared" si="16"/>
        <v>37944199.330000006</v>
      </c>
      <c r="M63" s="157">
        <f t="shared" si="3"/>
        <v>53.283903670822383</v>
      </c>
      <c r="N63" s="100">
        <f t="shared" ref="N63:AB63" si="17">N75+N76+N77+N78+N79+N82+N84+N87+N89+N90+N91+N92+N93+N95+N96+N98+N100+N101+N102+N103+N104+N106+N107+N108+N109+N110+N112</f>
        <v>84969551.180000007</v>
      </c>
      <c r="O63" s="100">
        <f t="shared" si="17"/>
        <v>46824051.18</v>
      </c>
      <c r="P63" s="100">
        <f t="shared" si="17"/>
        <v>37485500</v>
      </c>
      <c r="Q63" s="100">
        <f t="shared" si="17"/>
        <v>2268060</v>
      </c>
      <c r="R63" s="100">
        <f t="shared" si="17"/>
        <v>139890</v>
      </c>
      <c r="S63" s="100">
        <f t="shared" si="17"/>
        <v>47484051.18</v>
      </c>
      <c r="T63" s="100">
        <f t="shared" si="17"/>
        <v>17529719.780000001</v>
      </c>
      <c r="U63" s="100">
        <f t="shared" si="17"/>
        <v>1714915.31</v>
      </c>
      <c r="V63" s="100">
        <f t="shared" si="17"/>
        <v>15439032.07</v>
      </c>
      <c r="W63" s="100">
        <f t="shared" si="17"/>
        <v>1224957.45</v>
      </c>
      <c r="X63" s="100">
        <f t="shared" si="17"/>
        <v>49646.52</v>
      </c>
      <c r="Y63" s="100">
        <f t="shared" si="17"/>
        <v>2090687.71</v>
      </c>
      <c r="Z63" s="157">
        <f t="shared" si="5"/>
        <v>20.630590060273402</v>
      </c>
      <c r="AA63" s="100">
        <f t="shared" si="17"/>
        <v>620860127.90000021</v>
      </c>
      <c r="AB63" s="100">
        <f t="shared" si="17"/>
        <v>1217263483.4099998</v>
      </c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  <c r="TI63" s="33"/>
      <c r="TJ63" s="33"/>
      <c r="TK63" s="33"/>
      <c r="TL63" s="33"/>
      <c r="TM63" s="33"/>
      <c r="TN63" s="33"/>
      <c r="TO63" s="33"/>
      <c r="TP63" s="33"/>
      <c r="TQ63" s="33"/>
      <c r="TR63" s="33"/>
      <c r="TS63" s="33"/>
    </row>
    <row r="64" spans="1:539" s="34" customFormat="1" ht="41.25" customHeight="1" x14ac:dyDescent="0.25">
      <c r="A64" s="110"/>
      <c r="B64" s="76"/>
      <c r="C64" s="76"/>
      <c r="D64" s="79" t="s">
        <v>391</v>
      </c>
      <c r="E64" s="100">
        <f>E80+E83</f>
        <v>482448000</v>
      </c>
      <c r="F64" s="100">
        <f t="shared" ref="F64:L64" si="18">F80+F83</f>
        <v>482448000</v>
      </c>
      <c r="G64" s="100">
        <f t="shared" si="18"/>
        <v>396066000</v>
      </c>
      <c r="H64" s="100">
        <f t="shared" si="18"/>
        <v>0</v>
      </c>
      <c r="I64" s="100">
        <f t="shared" si="18"/>
        <v>0</v>
      </c>
      <c r="J64" s="100">
        <f t="shared" si="18"/>
        <v>273999127.12</v>
      </c>
      <c r="K64" s="100">
        <f t="shared" si="18"/>
        <v>224936034.97</v>
      </c>
      <c r="L64" s="100">
        <f t="shared" si="18"/>
        <v>0</v>
      </c>
      <c r="M64" s="157">
        <f t="shared" si="3"/>
        <v>56.793504609823231</v>
      </c>
      <c r="N64" s="100">
        <f t="shared" ref="N64:AB64" si="19">N80+N83</f>
        <v>0</v>
      </c>
      <c r="O64" s="100">
        <f t="shared" si="19"/>
        <v>0</v>
      </c>
      <c r="P64" s="100">
        <f t="shared" si="19"/>
        <v>0</v>
      </c>
      <c r="Q64" s="100">
        <f t="shared" si="19"/>
        <v>0</v>
      </c>
      <c r="R64" s="100">
        <f t="shared" si="19"/>
        <v>0</v>
      </c>
      <c r="S64" s="100">
        <f t="shared" si="19"/>
        <v>0</v>
      </c>
      <c r="T64" s="100">
        <f t="shared" si="19"/>
        <v>0</v>
      </c>
      <c r="U64" s="100">
        <f t="shared" si="19"/>
        <v>0</v>
      </c>
      <c r="V64" s="100">
        <f t="shared" si="19"/>
        <v>0</v>
      </c>
      <c r="W64" s="100">
        <f t="shared" si="19"/>
        <v>0</v>
      </c>
      <c r="X64" s="100">
        <f t="shared" si="19"/>
        <v>0</v>
      </c>
      <c r="Y64" s="100">
        <f t="shared" si="19"/>
        <v>0</v>
      </c>
      <c r="Z64" s="157"/>
      <c r="AA64" s="100">
        <f t="shared" si="19"/>
        <v>273999127.12</v>
      </c>
      <c r="AB64" s="100">
        <f t="shared" si="19"/>
        <v>482448000</v>
      </c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  <c r="TI64" s="33"/>
      <c r="TJ64" s="33"/>
      <c r="TK64" s="33"/>
      <c r="TL64" s="33"/>
      <c r="TM64" s="33"/>
      <c r="TN64" s="33"/>
      <c r="TO64" s="33"/>
      <c r="TP64" s="33"/>
      <c r="TQ64" s="33"/>
      <c r="TR64" s="33"/>
      <c r="TS64" s="33"/>
    </row>
    <row r="65" spans="1:539" s="34" customFormat="1" ht="63" hidden="1" customHeight="1" x14ac:dyDescent="0.25">
      <c r="A65" s="110"/>
      <c r="B65" s="76"/>
      <c r="C65" s="76"/>
      <c r="D65" s="79" t="s">
        <v>390</v>
      </c>
      <c r="E65" s="100"/>
      <c r="F65" s="100"/>
      <c r="G65" s="100"/>
      <c r="H65" s="100"/>
      <c r="I65" s="100"/>
      <c r="J65" s="100"/>
      <c r="K65" s="100"/>
      <c r="L65" s="100"/>
      <c r="M65" s="157" t="e">
        <f t="shared" si="3"/>
        <v>#DIV/0!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57"/>
      <c r="AA65" s="100"/>
      <c r="AB65" s="100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  <c r="TI65" s="33"/>
      <c r="TJ65" s="33"/>
      <c r="TK65" s="33"/>
      <c r="TL65" s="33"/>
      <c r="TM65" s="33"/>
      <c r="TN65" s="33"/>
      <c r="TO65" s="33"/>
      <c r="TP65" s="33"/>
      <c r="TQ65" s="33"/>
      <c r="TR65" s="33"/>
      <c r="TS65" s="33"/>
    </row>
    <row r="66" spans="1:539" s="34" customFormat="1" ht="47.25" x14ac:dyDescent="0.25">
      <c r="A66" s="110"/>
      <c r="B66" s="76"/>
      <c r="C66" s="76"/>
      <c r="D66" s="79" t="s">
        <v>554</v>
      </c>
      <c r="E66" s="100">
        <f>E85</f>
        <v>0</v>
      </c>
      <c r="F66" s="100">
        <f t="shared" ref="F66:L66" si="20">F85</f>
        <v>0</v>
      </c>
      <c r="G66" s="100">
        <f t="shared" si="20"/>
        <v>0</v>
      </c>
      <c r="H66" s="100">
        <f t="shared" si="20"/>
        <v>0</v>
      </c>
      <c r="I66" s="100">
        <f t="shared" si="20"/>
        <v>0</v>
      </c>
      <c r="J66" s="100">
        <f t="shared" si="20"/>
        <v>0</v>
      </c>
      <c r="K66" s="100">
        <f t="shared" si="20"/>
        <v>0</v>
      </c>
      <c r="L66" s="100">
        <f t="shared" si="20"/>
        <v>0</v>
      </c>
      <c r="M66" s="157"/>
      <c r="N66" s="100">
        <f t="shared" ref="N66:AB66" si="21">N85</f>
        <v>0</v>
      </c>
      <c r="O66" s="100">
        <f t="shared" si="21"/>
        <v>0</v>
      </c>
      <c r="P66" s="100">
        <f t="shared" si="21"/>
        <v>0</v>
      </c>
      <c r="Q66" s="100">
        <f t="shared" si="21"/>
        <v>0</v>
      </c>
      <c r="R66" s="100">
        <f t="shared" si="21"/>
        <v>0</v>
      </c>
      <c r="S66" s="100">
        <f t="shared" si="21"/>
        <v>0</v>
      </c>
      <c r="T66" s="100">
        <f t="shared" si="21"/>
        <v>0</v>
      </c>
      <c r="U66" s="100">
        <f t="shared" si="21"/>
        <v>0</v>
      </c>
      <c r="V66" s="100">
        <f t="shared" si="21"/>
        <v>0</v>
      </c>
      <c r="W66" s="100">
        <f t="shared" si="21"/>
        <v>0</v>
      </c>
      <c r="X66" s="100">
        <f t="shared" si="21"/>
        <v>0</v>
      </c>
      <c r="Y66" s="100">
        <f t="shared" si="21"/>
        <v>0</v>
      </c>
      <c r="Z66" s="157"/>
      <c r="AA66" s="100">
        <f t="shared" si="21"/>
        <v>0</v>
      </c>
      <c r="AB66" s="100">
        <f t="shared" si="21"/>
        <v>0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  <c r="TI66" s="33"/>
      <c r="TJ66" s="33"/>
      <c r="TK66" s="33"/>
      <c r="TL66" s="33"/>
      <c r="TM66" s="33"/>
      <c r="TN66" s="33"/>
      <c r="TO66" s="33"/>
      <c r="TP66" s="33"/>
      <c r="TQ66" s="33"/>
      <c r="TR66" s="33"/>
      <c r="TS66" s="33"/>
    </row>
    <row r="67" spans="1:539" s="34" customFormat="1" ht="47.25" x14ac:dyDescent="0.25">
      <c r="A67" s="110"/>
      <c r="B67" s="76"/>
      <c r="C67" s="76"/>
      <c r="D67" s="79" t="s">
        <v>386</v>
      </c>
      <c r="E67" s="100">
        <f t="shared" ref="E67:L67" si="22">E81+E94</f>
        <v>3578416</v>
      </c>
      <c r="F67" s="100">
        <f t="shared" si="22"/>
        <v>3578416</v>
      </c>
      <c r="G67" s="100">
        <f t="shared" si="22"/>
        <v>1228720</v>
      </c>
      <c r="H67" s="100">
        <f t="shared" si="22"/>
        <v>0</v>
      </c>
      <c r="I67" s="100">
        <f t="shared" si="22"/>
        <v>0</v>
      </c>
      <c r="J67" s="100">
        <f t="shared" si="22"/>
        <v>1592634.97</v>
      </c>
      <c r="K67" s="100">
        <f t="shared" si="22"/>
        <v>337880.74</v>
      </c>
      <c r="L67" s="100">
        <f t="shared" si="22"/>
        <v>0</v>
      </c>
      <c r="M67" s="157">
        <f t="shared" si="3"/>
        <v>44.506702686328254</v>
      </c>
      <c r="N67" s="100">
        <f t="shared" ref="N67:AB67" si="23">N81+N94</f>
        <v>0</v>
      </c>
      <c r="O67" s="100">
        <f t="shared" si="23"/>
        <v>0</v>
      </c>
      <c r="P67" s="100">
        <f t="shared" si="23"/>
        <v>0</v>
      </c>
      <c r="Q67" s="100">
        <f t="shared" si="23"/>
        <v>0</v>
      </c>
      <c r="R67" s="100">
        <f t="shared" si="23"/>
        <v>0</v>
      </c>
      <c r="S67" s="100">
        <f t="shared" si="23"/>
        <v>0</v>
      </c>
      <c r="T67" s="100">
        <f t="shared" si="23"/>
        <v>0</v>
      </c>
      <c r="U67" s="100">
        <f t="shared" si="23"/>
        <v>0</v>
      </c>
      <c r="V67" s="100">
        <f t="shared" si="23"/>
        <v>0</v>
      </c>
      <c r="W67" s="100">
        <f t="shared" si="23"/>
        <v>0</v>
      </c>
      <c r="X67" s="100">
        <f t="shared" si="23"/>
        <v>0</v>
      </c>
      <c r="Y67" s="100">
        <f t="shared" si="23"/>
        <v>0</v>
      </c>
      <c r="Z67" s="157"/>
      <c r="AA67" s="100">
        <f t="shared" si="23"/>
        <v>1592634.97</v>
      </c>
      <c r="AB67" s="100">
        <f t="shared" si="23"/>
        <v>3578416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  <c r="TS67" s="33"/>
    </row>
    <row r="68" spans="1:539" s="34" customFormat="1" ht="45" hidden="1" customHeight="1" x14ac:dyDescent="0.25">
      <c r="A68" s="110"/>
      <c r="B68" s="76"/>
      <c r="C68" s="76"/>
      <c r="D68" s="79" t="s">
        <v>388</v>
      </c>
      <c r="E68" s="100" t="e">
        <f>#REF!+E91</f>
        <v>#REF!</v>
      </c>
      <c r="F68" s="100" t="e">
        <f>#REF!+F91</f>
        <v>#REF!</v>
      </c>
      <c r="G68" s="100" t="e">
        <f>#REF!+G91</f>
        <v>#REF!</v>
      </c>
      <c r="H68" s="100" t="e">
        <f>#REF!+H91</f>
        <v>#REF!</v>
      </c>
      <c r="I68" s="100" t="e">
        <f>#REF!+I91</f>
        <v>#REF!</v>
      </c>
      <c r="J68" s="100" t="e">
        <f>#REF!+J91</f>
        <v>#REF!</v>
      </c>
      <c r="K68" s="100" t="e">
        <f>#REF!+K91</f>
        <v>#REF!</v>
      </c>
      <c r="L68" s="100" t="e">
        <f>#REF!+L91</f>
        <v>#REF!</v>
      </c>
      <c r="M68" s="157" t="e">
        <f t="shared" si="3"/>
        <v>#REF!</v>
      </c>
      <c r="N68" s="100" t="e">
        <f>#REF!+N91</f>
        <v>#REF!</v>
      </c>
      <c r="O68" s="100" t="e">
        <f>#REF!+O91</f>
        <v>#REF!</v>
      </c>
      <c r="P68" s="100" t="e">
        <f>#REF!+P91</f>
        <v>#REF!</v>
      </c>
      <c r="Q68" s="100" t="e">
        <f>#REF!+Q91</f>
        <v>#REF!</v>
      </c>
      <c r="R68" s="100" t="e">
        <f>#REF!+R91</f>
        <v>#REF!</v>
      </c>
      <c r="S68" s="100" t="e">
        <f>#REF!+S91</f>
        <v>#REF!</v>
      </c>
      <c r="T68" s="100" t="e">
        <f>#REF!+T91</f>
        <v>#REF!</v>
      </c>
      <c r="U68" s="100" t="e">
        <f>#REF!+U91</f>
        <v>#REF!</v>
      </c>
      <c r="V68" s="100" t="e">
        <f>#REF!+V91</f>
        <v>#REF!</v>
      </c>
      <c r="W68" s="100" t="e">
        <f>#REF!+W91</f>
        <v>#REF!</v>
      </c>
      <c r="X68" s="100" t="e">
        <f>#REF!+X91</f>
        <v>#REF!</v>
      </c>
      <c r="Y68" s="100" t="e">
        <f>#REF!+Y91</f>
        <v>#REF!</v>
      </c>
      <c r="Z68" s="157" t="e">
        <f t="shared" si="5"/>
        <v>#REF!</v>
      </c>
      <c r="AA68" s="100" t="e">
        <f>#REF!+AA91</f>
        <v>#REF!</v>
      </c>
      <c r="AB68" s="100" t="e">
        <f>#REF!+AB91</f>
        <v>#REF!</v>
      </c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  <c r="TI68" s="33"/>
      <c r="TJ68" s="33"/>
      <c r="TK68" s="33"/>
      <c r="TL68" s="33"/>
      <c r="TM68" s="33"/>
      <c r="TN68" s="33"/>
      <c r="TO68" s="33"/>
      <c r="TP68" s="33"/>
      <c r="TQ68" s="33"/>
      <c r="TR68" s="33"/>
      <c r="TS68" s="33"/>
    </row>
    <row r="69" spans="1:539" s="34" customFormat="1" ht="63" x14ac:dyDescent="0.25">
      <c r="A69" s="110"/>
      <c r="B69" s="76"/>
      <c r="C69" s="76"/>
      <c r="D69" s="79" t="s">
        <v>385</v>
      </c>
      <c r="E69" s="100">
        <f>E97</f>
        <v>2586117</v>
      </c>
      <c r="F69" s="100">
        <f t="shared" ref="F69:L69" si="24">F97</f>
        <v>2586117</v>
      </c>
      <c r="G69" s="100">
        <f t="shared" si="24"/>
        <v>1459720</v>
      </c>
      <c r="H69" s="100">
        <f t="shared" si="24"/>
        <v>0</v>
      </c>
      <c r="I69" s="100">
        <f t="shared" si="24"/>
        <v>0</v>
      </c>
      <c r="J69" s="100">
        <f t="shared" si="24"/>
        <v>623951.56999999995</v>
      </c>
      <c r="K69" s="100">
        <f t="shared" si="24"/>
        <v>382356.7</v>
      </c>
      <c r="L69" s="100">
        <f t="shared" si="24"/>
        <v>0</v>
      </c>
      <c r="M69" s="157">
        <f t="shared" si="3"/>
        <v>24.12696602667242</v>
      </c>
      <c r="N69" s="100">
        <f t="shared" ref="N69:AB69" si="25">N97</f>
        <v>98583</v>
      </c>
      <c r="O69" s="100">
        <f t="shared" si="25"/>
        <v>98583</v>
      </c>
      <c r="P69" s="100">
        <f t="shared" si="25"/>
        <v>0</v>
      </c>
      <c r="Q69" s="100">
        <f t="shared" si="25"/>
        <v>0</v>
      </c>
      <c r="R69" s="100">
        <f t="shared" si="25"/>
        <v>0</v>
      </c>
      <c r="S69" s="100">
        <f t="shared" si="25"/>
        <v>98583</v>
      </c>
      <c r="T69" s="100">
        <f t="shared" si="25"/>
        <v>0</v>
      </c>
      <c r="U69" s="100">
        <f t="shared" si="25"/>
        <v>0</v>
      </c>
      <c r="V69" s="100">
        <f t="shared" si="25"/>
        <v>0</v>
      </c>
      <c r="W69" s="100">
        <f t="shared" si="25"/>
        <v>0</v>
      </c>
      <c r="X69" s="100">
        <f t="shared" si="25"/>
        <v>0</v>
      </c>
      <c r="Y69" s="100">
        <f t="shared" si="25"/>
        <v>0</v>
      </c>
      <c r="Z69" s="157">
        <f t="shared" si="5"/>
        <v>0</v>
      </c>
      <c r="AA69" s="100">
        <f t="shared" si="25"/>
        <v>623951.56999999995</v>
      </c>
      <c r="AB69" s="100">
        <f t="shared" si="25"/>
        <v>2684700</v>
      </c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  <c r="TS69" s="33"/>
    </row>
    <row r="70" spans="1:539" s="34" customFormat="1" ht="80.25" customHeight="1" x14ac:dyDescent="0.25">
      <c r="A70" s="110"/>
      <c r="B70" s="76"/>
      <c r="C70" s="76"/>
      <c r="D70" s="79" t="s">
        <v>534</v>
      </c>
      <c r="E70" s="100">
        <f>E99</f>
        <v>1174231</v>
      </c>
      <c r="F70" s="100">
        <f t="shared" ref="F70:L70" si="26">F99</f>
        <v>1174231</v>
      </c>
      <c r="G70" s="100">
        <f t="shared" si="26"/>
        <v>962484</v>
      </c>
      <c r="H70" s="100">
        <f t="shared" si="26"/>
        <v>0</v>
      </c>
      <c r="I70" s="100">
        <f t="shared" si="26"/>
        <v>0</v>
      </c>
      <c r="J70" s="100">
        <f t="shared" si="26"/>
        <v>665359.34</v>
      </c>
      <c r="K70" s="100">
        <f t="shared" si="26"/>
        <v>545375.52</v>
      </c>
      <c r="L70" s="100">
        <f t="shared" si="26"/>
        <v>0</v>
      </c>
      <c r="M70" s="157">
        <f t="shared" si="3"/>
        <v>56.663411202736079</v>
      </c>
      <c r="N70" s="100">
        <f t="shared" ref="N70:AB70" si="27">N99</f>
        <v>0</v>
      </c>
      <c r="O70" s="100">
        <f t="shared" si="27"/>
        <v>0</v>
      </c>
      <c r="P70" s="100">
        <f t="shared" si="27"/>
        <v>0</v>
      </c>
      <c r="Q70" s="100">
        <f t="shared" si="27"/>
        <v>0</v>
      </c>
      <c r="R70" s="100">
        <f t="shared" si="27"/>
        <v>0</v>
      </c>
      <c r="S70" s="100">
        <f t="shared" si="27"/>
        <v>0</v>
      </c>
      <c r="T70" s="100">
        <f t="shared" si="27"/>
        <v>0</v>
      </c>
      <c r="U70" s="100">
        <f t="shared" si="27"/>
        <v>0</v>
      </c>
      <c r="V70" s="100">
        <f t="shared" si="27"/>
        <v>0</v>
      </c>
      <c r="W70" s="100">
        <f t="shared" si="27"/>
        <v>0</v>
      </c>
      <c r="X70" s="100">
        <f t="shared" si="27"/>
        <v>0</v>
      </c>
      <c r="Y70" s="100">
        <f t="shared" si="27"/>
        <v>0</v>
      </c>
      <c r="Z70" s="157"/>
      <c r="AA70" s="100">
        <f t="shared" si="27"/>
        <v>665359.34</v>
      </c>
      <c r="AB70" s="100">
        <f t="shared" si="27"/>
        <v>1174231</v>
      </c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  <c r="TS70" s="33"/>
    </row>
    <row r="71" spans="1:539" s="34" customFormat="1" ht="39.75" customHeight="1" x14ac:dyDescent="0.25">
      <c r="A71" s="110"/>
      <c r="B71" s="76"/>
      <c r="C71" s="76"/>
      <c r="D71" s="79" t="s">
        <v>551</v>
      </c>
      <c r="E71" s="100">
        <f>E86+E88+E111</f>
        <v>1397981.6</v>
      </c>
      <c r="F71" s="100">
        <f t="shared" ref="F71:L71" si="28">F86+F88+F111</f>
        <v>1397981.6</v>
      </c>
      <c r="G71" s="100">
        <f t="shared" si="28"/>
        <v>0</v>
      </c>
      <c r="H71" s="100">
        <f t="shared" si="28"/>
        <v>0</v>
      </c>
      <c r="I71" s="100">
        <f t="shared" si="28"/>
        <v>0</v>
      </c>
      <c r="J71" s="100">
        <f t="shared" si="28"/>
        <v>164446</v>
      </c>
      <c r="K71" s="100">
        <f t="shared" si="28"/>
        <v>0</v>
      </c>
      <c r="L71" s="100">
        <f t="shared" si="28"/>
        <v>0</v>
      </c>
      <c r="M71" s="157">
        <f t="shared" si="3"/>
        <v>11.763101889180801</v>
      </c>
      <c r="N71" s="100">
        <f t="shared" ref="N71:AB71" si="29">N86+N88+N111</f>
        <v>7699761.1799999997</v>
      </c>
      <c r="O71" s="100">
        <f t="shared" si="29"/>
        <v>7699761.1799999997</v>
      </c>
      <c r="P71" s="100">
        <f t="shared" si="29"/>
        <v>0</v>
      </c>
      <c r="Q71" s="100">
        <f t="shared" si="29"/>
        <v>0</v>
      </c>
      <c r="R71" s="100">
        <f t="shared" si="29"/>
        <v>0</v>
      </c>
      <c r="S71" s="100">
        <f t="shared" si="29"/>
        <v>7699761.1799999997</v>
      </c>
      <c r="T71" s="100">
        <f t="shared" si="29"/>
        <v>0</v>
      </c>
      <c r="U71" s="100">
        <f t="shared" si="29"/>
        <v>0</v>
      </c>
      <c r="V71" s="100">
        <f t="shared" si="29"/>
        <v>0</v>
      </c>
      <c r="W71" s="100">
        <f t="shared" si="29"/>
        <v>0</v>
      </c>
      <c r="X71" s="100">
        <f t="shared" si="29"/>
        <v>0</v>
      </c>
      <c r="Y71" s="100">
        <f t="shared" si="29"/>
        <v>0</v>
      </c>
      <c r="Z71" s="157">
        <f t="shared" si="5"/>
        <v>0</v>
      </c>
      <c r="AA71" s="100">
        <f t="shared" si="29"/>
        <v>164446</v>
      </c>
      <c r="AB71" s="100">
        <f t="shared" si="29"/>
        <v>9097742.7799999993</v>
      </c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  <c r="TS71" s="33"/>
    </row>
    <row r="72" spans="1:539" s="34" customFormat="1" ht="62.25" customHeight="1" x14ac:dyDescent="0.25">
      <c r="A72" s="110"/>
      <c r="B72" s="76"/>
      <c r="C72" s="76"/>
      <c r="D72" s="144" t="s">
        <v>565</v>
      </c>
      <c r="E72" s="100">
        <f>E105</f>
        <v>0</v>
      </c>
      <c r="F72" s="100">
        <f t="shared" ref="F72:L72" si="30">F105</f>
        <v>0</v>
      </c>
      <c r="G72" s="100">
        <f t="shared" si="30"/>
        <v>0</v>
      </c>
      <c r="H72" s="100">
        <f t="shared" si="30"/>
        <v>0</v>
      </c>
      <c r="I72" s="100">
        <f t="shared" si="30"/>
        <v>0</v>
      </c>
      <c r="J72" s="100">
        <f t="shared" si="30"/>
        <v>0</v>
      </c>
      <c r="K72" s="100">
        <f t="shared" si="30"/>
        <v>0</v>
      </c>
      <c r="L72" s="100">
        <f t="shared" si="30"/>
        <v>0</v>
      </c>
      <c r="M72" s="157"/>
      <c r="N72" s="100">
        <f t="shared" ref="N72:AB72" si="31">N105</f>
        <v>2629959</v>
      </c>
      <c r="O72" s="100">
        <f t="shared" si="31"/>
        <v>2629959</v>
      </c>
      <c r="P72" s="100">
        <f t="shared" si="31"/>
        <v>0</v>
      </c>
      <c r="Q72" s="100">
        <f t="shared" si="31"/>
        <v>0</v>
      </c>
      <c r="R72" s="100">
        <f t="shared" si="31"/>
        <v>0</v>
      </c>
      <c r="S72" s="100">
        <f t="shared" si="31"/>
        <v>2629959</v>
      </c>
      <c r="T72" s="100">
        <f t="shared" si="31"/>
        <v>0</v>
      </c>
      <c r="U72" s="100">
        <f t="shared" si="31"/>
        <v>0</v>
      </c>
      <c r="V72" s="100">
        <f t="shared" si="31"/>
        <v>0</v>
      </c>
      <c r="W72" s="100">
        <f t="shared" si="31"/>
        <v>0</v>
      </c>
      <c r="X72" s="100">
        <f t="shared" si="31"/>
        <v>0</v>
      </c>
      <c r="Y72" s="100">
        <f t="shared" si="31"/>
        <v>0</v>
      </c>
      <c r="Z72" s="157">
        <f t="shared" si="5"/>
        <v>0</v>
      </c>
      <c r="AA72" s="100">
        <f t="shared" si="31"/>
        <v>0</v>
      </c>
      <c r="AB72" s="100">
        <f t="shared" si="31"/>
        <v>2629959</v>
      </c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  <c r="TS72" s="33"/>
    </row>
    <row r="73" spans="1:539" s="34" customFormat="1" ht="78.75" hidden="1" x14ac:dyDescent="0.25">
      <c r="A73" s="110"/>
      <c r="B73" s="76"/>
      <c r="C73" s="76"/>
      <c r="D73" s="79" t="s">
        <v>387</v>
      </c>
      <c r="E73" s="100"/>
      <c r="F73" s="100"/>
      <c r="G73" s="100"/>
      <c r="H73" s="100"/>
      <c r="I73" s="100"/>
      <c r="J73" s="100"/>
      <c r="K73" s="100"/>
      <c r="L73" s="100"/>
      <c r="M73" s="157" t="e">
        <f t="shared" si="3"/>
        <v>#DIV/0!</v>
      </c>
      <c r="N73" s="100"/>
      <c r="O73" s="100"/>
      <c r="P73" s="100"/>
      <c r="Q73" s="100"/>
      <c r="R73" s="100"/>
      <c r="S73" s="100"/>
      <c r="T73" s="97">
        <f t="shared" si="8"/>
        <v>0</v>
      </c>
      <c r="U73" s="100"/>
      <c r="V73" s="100"/>
      <c r="W73" s="100"/>
      <c r="X73" s="100"/>
      <c r="Y73" s="100"/>
      <c r="Z73" s="157" t="e">
        <f t="shared" si="5"/>
        <v>#DIV/0!</v>
      </c>
      <c r="AA73" s="97">
        <f t="shared" si="9"/>
        <v>0</v>
      </c>
      <c r="AB73" s="100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  <c r="TS73" s="33"/>
    </row>
    <row r="74" spans="1:539" s="34" customFormat="1" ht="63" hidden="1" x14ac:dyDescent="0.25">
      <c r="A74" s="98"/>
      <c r="B74" s="111"/>
      <c r="C74" s="112"/>
      <c r="D74" s="77" t="s">
        <v>432</v>
      </c>
      <c r="E74" s="100"/>
      <c r="F74" s="100"/>
      <c r="G74" s="100"/>
      <c r="H74" s="100"/>
      <c r="I74" s="100"/>
      <c r="J74" s="100"/>
      <c r="K74" s="100"/>
      <c r="L74" s="100"/>
      <c r="M74" s="157" t="e">
        <f t="shared" si="3"/>
        <v>#DIV/0!</v>
      </c>
      <c r="N74" s="100"/>
      <c r="O74" s="100"/>
      <c r="P74" s="100"/>
      <c r="Q74" s="100"/>
      <c r="R74" s="100"/>
      <c r="S74" s="100"/>
      <c r="T74" s="97">
        <f t="shared" si="8"/>
        <v>0</v>
      </c>
      <c r="U74" s="100"/>
      <c r="V74" s="100"/>
      <c r="W74" s="100"/>
      <c r="X74" s="100"/>
      <c r="Y74" s="100"/>
      <c r="Z74" s="157" t="e">
        <f t="shared" si="5"/>
        <v>#DIV/0!</v>
      </c>
      <c r="AA74" s="97">
        <f t="shared" si="9"/>
        <v>0</v>
      </c>
      <c r="AB74" s="100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  <c r="TS74" s="33"/>
    </row>
    <row r="75" spans="1:539" s="22" customFormat="1" ht="45.75" customHeight="1" x14ac:dyDescent="0.25">
      <c r="A75" s="60" t="s">
        <v>169</v>
      </c>
      <c r="B75" s="95" t="str">
        <f>'дод 5'!A21</f>
        <v>0160</v>
      </c>
      <c r="C75" s="95" t="str">
        <f>'дод 5'!B21</f>
        <v>0111</v>
      </c>
      <c r="D75" s="36" t="s">
        <v>502</v>
      </c>
      <c r="E75" s="101">
        <f t="shared" ref="E75:E112" si="32">F75+I75</f>
        <v>3843500</v>
      </c>
      <c r="F75" s="101">
        <v>3843500</v>
      </c>
      <c r="G75" s="101">
        <v>2976200</v>
      </c>
      <c r="H75" s="101">
        <v>42800</v>
      </c>
      <c r="I75" s="101"/>
      <c r="J75" s="101">
        <v>1888178.66</v>
      </c>
      <c r="K75" s="101">
        <v>1472830.12</v>
      </c>
      <c r="L75" s="101">
        <v>21315.34</v>
      </c>
      <c r="M75" s="157">
        <f t="shared" si="3"/>
        <v>49.126542474307271</v>
      </c>
      <c r="N75" s="101">
        <f>P75+S75</f>
        <v>20000</v>
      </c>
      <c r="O75" s="101">
        <v>20000</v>
      </c>
      <c r="P75" s="101"/>
      <c r="Q75" s="101"/>
      <c r="R75" s="101"/>
      <c r="S75" s="101">
        <v>20000</v>
      </c>
      <c r="T75" s="97">
        <f t="shared" si="8"/>
        <v>0</v>
      </c>
      <c r="U75" s="101"/>
      <c r="V75" s="101"/>
      <c r="W75" s="101"/>
      <c r="X75" s="101"/>
      <c r="Y75" s="101"/>
      <c r="Z75" s="157">
        <f t="shared" si="5"/>
        <v>0</v>
      </c>
      <c r="AA75" s="97">
        <f t="shared" si="9"/>
        <v>1888178.66</v>
      </c>
      <c r="AB75" s="101">
        <f t="shared" ref="AB75:AB112" si="33">E75+N75</f>
        <v>3863500</v>
      </c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  <c r="TH75" s="23"/>
      <c r="TI75" s="23"/>
      <c r="TJ75" s="23"/>
      <c r="TK75" s="23"/>
      <c r="TL75" s="23"/>
      <c r="TM75" s="23"/>
      <c r="TN75" s="23"/>
      <c r="TO75" s="23"/>
      <c r="TP75" s="23"/>
      <c r="TQ75" s="23"/>
      <c r="TR75" s="23"/>
      <c r="TS75" s="23"/>
    </row>
    <row r="76" spans="1:539" s="22" customFormat="1" ht="21.75" customHeight="1" x14ac:dyDescent="0.25">
      <c r="A76" s="60" t="s">
        <v>170</v>
      </c>
      <c r="B76" s="95" t="str">
        <f>'дод 5'!A35</f>
        <v>1010</v>
      </c>
      <c r="C76" s="95" t="str">
        <f>'дод 5'!B35</f>
        <v>0910</v>
      </c>
      <c r="D76" s="61" t="s">
        <v>511</v>
      </c>
      <c r="E76" s="101">
        <f t="shared" si="32"/>
        <v>291999086.63</v>
      </c>
      <c r="F76" s="101">
        <f>290084900+377000+133998.63+378900+619000+103450+204596+100000+22020-24778</f>
        <v>291999086.63</v>
      </c>
      <c r="G76" s="101">
        <v>205054200</v>
      </c>
      <c r="H76" s="101">
        <v>21914800</v>
      </c>
      <c r="I76" s="101"/>
      <c r="J76" s="101">
        <v>150287348.18000001</v>
      </c>
      <c r="K76" s="101">
        <v>103721952.05</v>
      </c>
      <c r="L76" s="101">
        <v>14755294</v>
      </c>
      <c r="M76" s="157">
        <f t="shared" si="3"/>
        <v>51.468430916851872</v>
      </c>
      <c r="N76" s="101">
        <f>P76+S76</f>
        <v>12282180</v>
      </c>
      <c r="O76" s="101">
        <f>218000+50000+102000+86000+38500+27980</f>
        <v>522480</v>
      </c>
      <c r="P76" s="101">
        <v>11759700</v>
      </c>
      <c r="Q76" s="101"/>
      <c r="R76" s="101"/>
      <c r="S76" s="101">
        <f>218000+50000+102000+86000+38500+27980</f>
        <v>522480</v>
      </c>
      <c r="T76" s="97">
        <f t="shared" si="8"/>
        <v>7101454.2199999997</v>
      </c>
      <c r="U76" s="101"/>
      <c r="V76" s="101">
        <v>7071254.2199999997</v>
      </c>
      <c r="W76" s="101"/>
      <c r="X76" s="101"/>
      <c r="Y76" s="101">
        <v>30200</v>
      </c>
      <c r="Z76" s="157">
        <f t="shared" si="5"/>
        <v>57.819167444215921</v>
      </c>
      <c r="AA76" s="97">
        <f t="shared" si="9"/>
        <v>157388802.40000001</v>
      </c>
      <c r="AB76" s="101">
        <f t="shared" si="33"/>
        <v>304281266.63</v>
      </c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  <c r="TH76" s="23"/>
      <c r="TI76" s="23"/>
      <c r="TJ76" s="23"/>
      <c r="TK76" s="23"/>
      <c r="TL76" s="23"/>
      <c r="TM76" s="23"/>
      <c r="TN76" s="23"/>
      <c r="TO76" s="23"/>
      <c r="TP76" s="23"/>
      <c r="TQ76" s="23"/>
      <c r="TR76" s="23"/>
      <c r="TS76" s="23"/>
    </row>
    <row r="77" spans="1:539" s="22" customFormat="1" ht="37.5" customHeight="1" x14ac:dyDescent="0.25">
      <c r="A77" s="60" t="s">
        <v>478</v>
      </c>
      <c r="B77" s="60">
        <f>'дод 5'!A37</f>
        <v>1021</v>
      </c>
      <c r="C77" s="95" t="str">
        <f>'дод 5'!B37</f>
        <v>0921</v>
      </c>
      <c r="D77" s="61" t="s">
        <v>512</v>
      </c>
      <c r="E77" s="101">
        <f t="shared" si="32"/>
        <v>210272250</v>
      </c>
      <c r="F77" s="101">
        <f>207798800+170000+256650+380600+220200+130000+330000+525700+173300+23800+34000+200000+19200+10000</f>
        <v>210272250</v>
      </c>
      <c r="G77" s="101">
        <f>119643500+19206</f>
        <v>119662706</v>
      </c>
      <c r="H77" s="101">
        <v>30342200</v>
      </c>
      <c r="I77" s="101"/>
      <c r="J77" s="101">
        <v>107173361.34</v>
      </c>
      <c r="K77" s="101">
        <v>60280491.799999997</v>
      </c>
      <c r="L77" s="101">
        <v>20012577.940000001</v>
      </c>
      <c r="M77" s="157">
        <f t="shared" si="3"/>
        <v>50.968856489622382</v>
      </c>
      <c r="N77" s="101">
        <f t="shared" ref="N77:N112" si="34">P77+S77</f>
        <v>25611850</v>
      </c>
      <c r="O77" s="101">
        <f>118000+77400+130000+50000+60650+30000+15000</f>
        <v>481050</v>
      </c>
      <c r="P77" s="101">
        <v>25130800</v>
      </c>
      <c r="Q77" s="101">
        <v>2268060</v>
      </c>
      <c r="R77" s="101">
        <v>139890</v>
      </c>
      <c r="S77" s="101">
        <f>118000+77400+130000+50000+60650+30000+15000</f>
        <v>481050</v>
      </c>
      <c r="T77" s="97">
        <f t="shared" si="8"/>
        <v>8138183.8499999996</v>
      </c>
      <c r="U77" s="101">
        <v>24071.5</v>
      </c>
      <c r="V77" s="101">
        <v>7794331.3399999999</v>
      </c>
      <c r="W77" s="101">
        <v>1224957.45</v>
      </c>
      <c r="X77" s="101">
        <v>49646.52</v>
      </c>
      <c r="Y77" s="101">
        <v>343852.51</v>
      </c>
      <c r="Z77" s="157">
        <f t="shared" si="5"/>
        <v>31.775072280994927</v>
      </c>
      <c r="AA77" s="97">
        <f t="shared" si="9"/>
        <v>115311545.19</v>
      </c>
      <c r="AB77" s="101">
        <f t="shared" si="33"/>
        <v>235884100</v>
      </c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  <c r="TI77" s="23"/>
      <c r="TJ77" s="23"/>
      <c r="TK77" s="23"/>
      <c r="TL77" s="23"/>
      <c r="TM77" s="23"/>
      <c r="TN77" s="23"/>
      <c r="TO77" s="23"/>
      <c r="TP77" s="23"/>
      <c r="TQ77" s="23"/>
      <c r="TR77" s="23"/>
      <c r="TS77" s="23"/>
    </row>
    <row r="78" spans="1:539" s="22" customFormat="1" ht="63" x14ac:dyDescent="0.25">
      <c r="A78" s="60" t="s">
        <v>480</v>
      </c>
      <c r="B78" s="95">
        <v>1022</v>
      </c>
      <c r="C78" s="60" t="s">
        <v>56</v>
      </c>
      <c r="D78" s="36" t="s">
        <v>481</v>
      </c>
      <c r="E78" s="101">
        <f t="shared" si="32"/>
        <v>13959400</v>
      </c>
      <c r="F78" s="101">
        <f>13632600+50000+159800+100000+17000</f>
        <v>13959400</v>
      </c>
      <c r="G78" s="101">
        <v>8830500</v>
      </c>
      <c r="H78" s="101">
        <v>1210000</v>
      </c>
      <c r="I78" s="101"/>
      <c r="J78" s="101">
        <v>7341990.1299999999</v>
      </c>
      <c r="K78" s="101">
        <v>4630061.6100000003</v>
      </c>
      <c r="L78" s="101">
        <v>923850.7</v>
      </c>
      <c r="M78" s="157">
        <f t="shared" si="3"/>
        <v>52.595313050704185</v>
      </c>
      <c r="N78" s="101">
        <f t="shared" si="34"/>
        <v>180000</v>
      </c>
      <c r="O78" s="101">
        <f>250000-100000+30000</f>
        <v>180000</v>
      </c>
      <c r="P78" s="101"/>
      <c r="Q78" s="101"/>
      <c r="R78" s="101"/>
      <c r="S78" s="101">
        <f>250000-100000+30000</f>
        <v>180000</v>
      </c>
      <c r="T78" s="97">
        <f t="shared" si="8"/>
        <v>48268.979999999996</v>
      </c>
      <c r="U78" s="101"/>
      <c r="V78" s="101">
        <v>22477.59</v>
      </c>
      <c r="W78" s="101"/>
      <c r="X78" s="101"/>
      <c r="Y78" s="101">
        <v>25791.39</v>
      </c>
      <c r="Z78" s="157">
        <f t="shared" si="5"/>
        <v>26.816099999999999</v>
      </c>
      <c r="AA78" s="97">
        <f t="shared" si="9"/>
        <v>7390259.1100000003</v>
      </c>
      <c r="AB78" s="101">
        <f t="shared" si="33"/>
        <v>14139400</v>
      </c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  <c r="TS78" s="23"/>
    </row>
    <row r="79" spans="1:539" s="22" customFormat="1" ht="31.5" x14ac:dyDescent="0.25">
      <c r="A79" s="60" t="s">
        <v>482</v>
      </c>
      <c r="B79" s="95">
        <v>1031</v>
      </c>
      <c r="C79" s="60" t="s">
        <v>52</v>
      </c>
      <c r="D79" s="61" t="s">
        <v>512</v>
      </c>
      <c r="E79" s="101">
        <f t="shared" si="32"/>
        <v>468962880</v>
      </c>
      <c r="F79" s="101">
        <v>468962880</v>
      </c>
      <c r="G79" s="101">
        <v>383296900</v>
      </c>
      <c r="H79" s="101"/>
      <c r="I79" s="101"/>
      <c r="J79" s="101">
        <v>266552018.59</v>
      </c>
      <c r="K79" s="101">
        <v>217859004.69999999</v>
      </c>
      <c r="L79" s="101"/>
      <c r="M79" s="157">
        <f t="shared" si="3"/>
        <v>56.838617715329619</v>
      </c>
      <c r="N79" s="101">
        <f t="shared" si="34"/>
        <v>0</v>
      </c>
      <c r="O79" s="101"/>
      <c r="P79" s="101"/>
      <c r="Q79" s="101"/>
      <c r="R79" s="101"/>
      <c r="S79" s="101"/>
      <c r="T79" s="97">
        <f t="shared" si="8"/>
        <v>0</v>
      </c>
      <c r="U79" s="101"/>
      <c r="V79" s="101"/>
      <c r="W79" s="101"/>
      <c r="X79" s="101"/>
      <c r="Y79" s="101"/>
      <c r="Z79" s="157"/>
      <c r="AA79" s="97">
        <f t="shared" si="9"/>
        <v>266552018.59</v>
      </c>
      <c r="AB79" s="101">
        <f t="shared" si="33"/>
        <v>468962880</v>
      </c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  <c r="TS79" s="23"/>
    </row>
    <row r="80" spans="1:539" s="24" customFormat="1" ht="54" customHeight="1" x14ac:dyDescent="0.25">
      <c r="A80" s="86"/>
      <c r="B80" s="113"/>
      <c r="C80" s="113"/>
      <c r="D80" s="89" t="s">
        <v>391</v>
      </c>
      <c r="E80" s="103">
        <f t="shared" si="32"/>
        <v>466883500</v>
      </c>
      <c r="F80" s="103">
        <v>466883500</v>
      </c>
      <c r="G80" s="103">
        <v>383296900</v>
      </c>
      <c r="H80" s="103"/>
      <c r="I80" s="103"/>
      <c r="J80" s="103">
        <v>265372493.59</v>
      </c>
      <c r="K80" s="103">
        <v>217859004.69999999</v>
      </c>
      <c r="L80" s="103"/>
      <c r="M80" s="157">
        <f t="shared" si="3"/>
        <v>56.839124447533486</v>
      </c>
      <c r="N80" s="103">
        <f t="shared" si="34"/>
        <v>0</v>
      </c>
      <c r="O80" s="103"/>
      <c r="P80" s="103"/>
      <c r="Q80" s="103"/>
      <c r="R80" s="103"/>
      <c r="S80" s="103"/>
      <c r="T80" s="97">
        <f t="shared" si="8"/>
        <v>0</v>
      </c>
      <c r="U80" s="103"/>
      <c r="V80" s="103"/>
      <c r="W80" s="103"/>
      <c r="X80" s="103"/>
      <c r="Y80" s="103"/>
      <c r="Z80" s="157"/>
      <c r="AA80" s="97">
        <f t="shared" si="9"/>
        <v>265372493.59</v>
      </c>
      <c r="AB80" s="103">
        <f t="shared" si="33"/>
        <v>466883500</v>
      </c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</row>
    <row r="81" spans="1:539" s="24" customFormat="1" ht="51" customHeight="1" x14ac:dyDescent="0.25">
      <c r="A81" s="86"/>
      <c r="B81" s="113"/>
      <c r="C81" s="113"/>
      <c r="D81" s="89" t="s">
        <v>386</v>
      </c>
      <c r="E81" s="103">
        <f t="shared" si="32"/>
        <v>2079380</v>
      </c>
      <c r="F81" s="103">
        <v>2079380</v>
      </c>
      <c r="G81" s="103"/>
      <c r="H81" s="103"/>
      <c r="I81" s="103"/>
      <c r="J81" s="103">
        <v>1179525</v>
      </c>
      <c r="K81" s="103"/>
      <c r="L81" s="103"/>
      <c r="M81" s="157">
        <f t="shared" si="3"/>
        <v>56.724841058392407</v>
      </c>
      <c r="N81" s="103">
        <f t="shared" si="34"/>
        <v>0</v>
      </c>
      <c r="O81" s="103"/>
      <c r="P81" s="103"/>
      <c r="Q81" s="103"/>
      <c r="R81" s="103"/>
      <c r="S81" s="103"/>
      <c r="T81" s="97">
        <f t="shared" si="8"/>
        <v>0</v>
      </c>
      <c r="U81" s="103"/>
      <c r="V81" s="103"/>
      <c r="W81" s="103"/>
      <c r="X81" s="103"/>
      <c r="Y81" s="103"/>
      <c r="Z81" s="157"/>
      <c r="AA81" s="97">
        <f t="shared" si="9"/>
        <v>1179525</v>
      </c>
      <c r="AB81" s="103">
        <f t="shared" si="33"/>
        <v>2079380</v>
      </c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  <c r="TS81" s="30"/>
    </row>
    <row r="82" spans="1:539" s="22" customFormat="1" ht="65.25" customHeight="1" x14ac:dyDescent="0.25">
      <c r="A82" s="60" t="s">
        <v>483</v>
      </c>
      <c r="B82" s="60" t="s">
        <v>484</v>
      </c>
      <c r="C82" s="60" t="s">
        <v>56</v>
      </c>
      <c r="D82" s="61" t="s">
        <v>513</v>
      </c>
      <c r="E82" s="101">
        <f t="shared" si="32"/>
        <v>15564500</v>
      </c>
      <c r="F82" s="101">
        <v>15564500</v>
      </c>
      <c r="G82" s="101">
        <v>12769100</v>
      </c>
      <c r="H82" s="101"/>
      <c r="I82" s="101"/>
      <c r="J82" s="101">
        <v>8626633.5299999993</v>
      </c>
      <c r="K82" s="101">
        <v>7077030.2699999996</v>
      </c>
      <c r="L82" s="101"/>
      <c r="M82" s="157">
        <f t="shared" si="3"/>
        <v>55.425060425969349</v>
      </c>
      <c r="N82" s="101">
        <f t="shared" si="34"/>
        <v>0</v>
      </c>
      <c r="O82" s="101"/>
      <c r="P82" s="101"/>
      <c r="Q82" s="101"/>
      <c r="R82" s="101"/>
      <c r="S82" s="101"/>
      <c r="T82" s="97">
        <f t="shared" si="8"/>
        <v>0</v>
      </c>
      <c r="U82" s="101"/>
      <c r="V82" s="101"/>
      <c r="W82" s="101"/>
      <c r="X82" s="101"/>
      <c r="Y82" s="101"/>
      <c r="Z82" s="157"/>
      <c r="AA82" s="97">
        <f t="shared" si="9"/>
        <v>8626633.5299999993</v>
      </c>
      <c r="AB82" s="101">
        <f t="shared" si="33"/>
        <v>15564500</v>
      </c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</row>
    <row r="83" spans="1:539" s="24" customFormat="1" ht="43.5" customHeight="1" x14ac:dyDescent="0.25">
      <c r="A83" s="86"/>
      <c r="B83" s="113"/>
      <c r="C83" s="113"/>
      <c r="D83" s="89" t="s">
        <v>391</v>
      </c>
      <c r="E83" s="103">
        <f t="shared" ref="E83:E87" si="35">F83+I83</f>
        <v>15564500</v>
      </c>
      <c r="F83" s="103">
        <v>15564500</v>
      </c>
      <c r="G83" s="103">
        <v>12769100</v>
      </c>
      <c r="H83" s="103"/>
      <c r="I83" s="103"/>
      <c r="J83" s="103">
        <v>8626633.5299999993</v>
      </c>
      <c r="K83" s="103">
        <v>7077030.2699999996</v>
      </c>
      <c r="L83" s="103"/>
      <c r="M83" s="157">
        <f t="shared" ref="M83:M138" si="36">J83/E83*100</f>
        <v>55.425060425969349</v>
      </c>
      <c r="N83" s="103">
        <f t="shared" ref="N83" si="37">P83+S83</f>
        <v>0</v>
      </c>
      <c r="O83" s="103"/>
      <c r="P83" s="103"/>
      <c r="Q83" s="103"/>
      <c r="R83" s="103"/>
      <c r="S83" s="103"/>
      <c r="T83" s="97">
        <f t="shared" ref="T83:T146" si="38">V83+Y83</f>
        <v>0</v>
      </c>
      <c r="U83" s="103"/>
      <c r="V83" s="103"/>
      <c r="W83" s="103"/>
      <c r="X83" s="103"/>
      <c r="Y83" s="103"/>
      <c r="Z83" s="157"/>
      <c r="AA83" s="97">
        <f t="shared" ref="AA83:AA146" si="39">J83+T83</f>
        <v>8626633.5299999993</v>
      </c>
      <c r="AB83" s="103">
        <f t="shared" ref="AB83" si="40">E83+N83</f>
        <v>15564500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  <c r="TS83" s="30"/>
    </row>
    <row r="84" spans="1:539" s="24" customFormat="1" ht="31.5" x14ac:dyDescent="0.25">
      <c r="A84" s="60" t="s">
        <v>540</v>
      </c>
      <c r="B84" s="95">
        <v>1061</v>
      </c>
      <c r="C84" s="60" t="s">
        <v>52</v>
      </c>
      <c r="D84" s="36" t="s">
        <v>512</v>
      </c>
      <c r="E84" s="101">
        <f t="shared" si="35"/>
        <v>664981.6</v>
      </c>
      <c r="F84" s="101">
        <f>664981.6</f>
        <v>664981.6</v>
      </c>
      <c r="G84" s="103"/>
      <c r="H84" s="103"/>
      <c r="I84" s="103"/>
      <c r="J84" s="103">
        <v>124446</v>
      </c>
      <c r="K84" s="103"/>
      <c r="L84" s="103"/>
      <c r="M84" s="157">
        <f t="shared" si="36"/>
        <v>18.714202017018216</v>
      </c>
      <c r="N84" s="101">
        <f t="shared" si="34"/>
        <v>4392761.18</v>
      </c>
      <c r="O84" s="101">
        <f>377160+3253691+761910.18</f>
        <v>4392761.18</v>
      </c>
      <c r="P84" s="101"/>
      <c r="Q84" s="101"/>
      <c r="R84" s="101"/>
      <c r="S84" s="101">
        <f>377160+3253691+761910.18</f>
        <v>4392761.18</v>
      </c>
      <c r="T84" s="97">
        <f t="shared" si="38"/>
        <v>260381</v>
      </c>
      <c r="U84" s="101">
        <v>260381</v>
      </c>
      <c r="V84" s="101"/>
      <c r="W84" s="101"/>
      <c r="X84" s="101"/>
      <c r="Y84" s="101">
        <v>260381</v>
      </c>
      <c r="Z84" s="157">
        <f t="shared" ref="Z84:Z146" si="41">T84/N84*100</f>
        <v>5.9275018452061632</v>
      </c>
      <c r="AA84" s="97">
        <f t="shared" si="39"/>
        <v>384827</v>
      </c>
      <c r="AB84" s="101">
        <f t="shared" si="33"/>
        <v>5057742.7799999993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  <c r="TH84" s="30"/>
      <c r="TI84" s="30"/>
      <c r="TJ84" s="30"/>
      <c r="TK84" s="30"/>
      <c r="TL84" s="30"/>
      <c r="TM84" s="30"/>
      <c r="TN84" s="30"/>
      <c r="TO84" s="30"/>
      <c r="TP84" s="30"/>
      <c r="TQ84" s="30"/>
      <c r="TR84" s="30"/>
      <c r="TS84" s="30"/>
    </row>
    <row r="85" spans="1:539" s="24" customFormat="1" ht="46.5" hidden="1" customHeight="1" x14ac:dyDescent="0.25">
      <c r="A85" s="86"/>
      <c r="B85" s="113"/>
      <c r="C85" s="86"/>
      <c r="D85" s="89"/>
      <c r="E85" s="103">
        <f>F85+I85</f>
        <v>0</v>
      </c>
      <c r="F85" s="103"/>
      <c r="G85" s="103"/>
      <c r="H85" s="103"/>
      <c r="I85" s="103"/>
      <c r="J85" s="103"/>
      <c r="K85" s="103"/>
      <c r="L85" s="103"/>
      <c r="M85" s="157" t="e">
        <f t="shared" si="36"/>
        <v>#DIV/0!</v>
      </c>
      <c r="N85" s="103">
        <f>P85+S85</f>
        <v>0</v>
      </c>
      <c r="O85" s="103"/>
      <c r="P85" s="103"/>
      <c r="Q85" s="103"/>
      <c r="R85" s="103"/>
      <c r="S85" s="103"/>
      <c r="T85" s="97">
        <f t="shared" si="38"/>
        <v>0</v>
      </c>
      <c r="U85" s="103"/>
      <c r="V85" s="103"/>
      <c r="W85" s="103"/>
      <c r="X85" s="103"/>
      <c r="Y85" s="103"/>
      <c r="Z85" s="157" t="e">
        <f t="shared" si="41"/>
        <v>#DIV/0!</v>
      </c>
      <c r="AA85" s="97">
        <f t="shared" si="39"/>
        <v>0</v>
      </c>
      <c r="AB85" s="103">
        <f t="shared" si="33"/>
        <v>0</v>
      </c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  <c r="TS85" s="30"/>
    </row>
    <row r="86" spans="1:539" s="24" customFormat="1" ht="31.5" x14ac:dyDescent="0.25">
      <c r="A86" s="86"/>
      <c r="B86" s="113"/>
      <c r="C86" s="86"/>
      <c r="D86" s="89" t="s">
        <v>551</v>
      </c>
      <c r="E86" s="103">
        <f t="shared" ref="E86:E88" si="42">F86+I86</f>
        <v>664981.6</v>
      </c>
      <c r="F86" s="103">
        <f>664981.6</f>
        <v>664981.6</v>
      </c>
      <c r="G86" s="103"/>
      <c r="H86" s="103"/>
      <c r="I86" s="103"/>
      <c r="J86" s="103">
        <v>124446</v>
      </c>
      <c r="K86" s="103"/>
      <c r="L86" s="103"/>
      <c r="M86" s="157">
        <f t="shared" si="36"/>
        <v>18.714202017018216</v>
      </c>
      <c r="N86" s="103">
        <f t="shared" ref="N86" si="43">P86+S86</f>
        <v>4392761.18</v>
      </c>
      <c r="O86" s="103">
        <f>377160+3253691+761910.18</f>
        <v>4392761.18</v>
      </c>
      <c r="P86" s="103"/>
      <c r="Q86" s="103"/>
      <c r="R86" s="103"/>
      <c r="S86" s="103">
        <f>377160+3253691+761910.18</f>
        <v>4392761.18</v>
      </c>
      <c r="T86" s="97">
        <f t="shared" si="38"/>
        <v>0</v>
      </c>
      <c r="U86" s="103"/>
      <c r="V86" s="103"/>
      <c r="W86" s="103"/>
      <c r="X86" s="103"/>
      <c r="Y86" s="103"/>
      <c r="Z86" s="157">
        <f t="shared" si="41"/>
        <v>0</v>
      </c>
      <c r="AA86" s="97">
        <f t="shared" si="39"/>
        <v>124446</v>
      </c>
      <c r="AB86" s="103">
        <f t="shared" si="33"/>
        <v>5057742.7799999993</v>
      </c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0"/>
    </row>
    <row r="87" spans="1:539" s="24" customFormat="1" ht="63" x14ac:dyDescent="0.25">
      <c r="A87" s="60" t="s">
        <v>545</v>
      </c>
      <c r="B87" s="95">
        <v>1062</v>
      </c>
      <c r="C87" s="60" t="s">
        <v>56</v>
      </c>
      <c r="D87" s="61" t="s">
        <v>513</v>
      </c>
      <c r="E87" s="101">
        <f t="shared" si="35"/>
        <v>40000</v>
      </c>
      <c r="F87" s="101">
        <v>40000</v>
      </c>
      <c r="G87" s="103"/>
      <c r="H87" s="103"/>
      <c r="I87" s="103"/>
      <c r="J87" s="103">
        <v>40000</v>
      </c>
      <c r="K87" s="103"/>
      <c r="L87" s="103"/>
      <c r="M87" s="157">
        <f t="shared" si="36"/>
        <v>100</v>
      </c>
      <c r="N87" s="101">
        <f>P87+S87</f>
        <v>0</v>
      </c>
      <c r="O87" s="103"/>
      <c r="P87" s="103"/>
      <c r="Q87" s="103"/>
      <c r="R87" s="103"/>
      <c r="S87" s="103"/>
      <c r="T87" s="97">
        <f t="shared" si="38"/>
        <v>0</v>
      </c>
      <c r="U87" s="103"/>
      <c r="V87" s="103"/>
      <c r="W87" s="103"/>
      <c r="X87" s="103"/>
      <c r="Y87" s="103"/>
      <c r="Z87" s="157"/>
      <c r="AA87" s="97">
        <f t="shared" si="39"/>
        <v>40000</v>
      </c>
      <c r="AB87" s="101">
        <f t="shared" si="33"/>
        <v>40000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0"/>
    </row>
    <row r="88" spans="1:539" s="24" customFormat="1" ht="31.5" x14ac:dyDescent="0.25">
      <c r="A88" s="86"/>
      <c r="B88" s="113"/>
      <c r="C88" s="86"/>
      <c r="D88" s="89" t="s">
        <v>551</v>
      </c>
      <c r="E88" s="103">
        <f t="shared" si="42"/>
        <v>40000</v>
      </c>
      <c r="F88" s="103">
        <v>40000</v>
      </c>
      <c r="G88" s="103"/>
      <c r="H88" s="103"/>
      <c r="I88" s="103"/>
      <c r="J88" s="103">
        <v>40000</v>
      </c>
      <c r="K88" s="103"/>
      <c r="L88" s="103"/>
      <c r="M88" s="157">
        <f t="shared" si="36"/>
        <v>100</v>
      </c>
      <c r="N88" s="103">
        <f>P88+S88</f>
        <v>0</v>
      </c>
      <c r="O88" s="103"/>
      <c r="P88" s="103"/>
      <c r="Q88" s="103"/>
      <c r="R88" s="103"/>
      <c r="S88" s="103"/>
      <c r="T88" s="97">
        <f t="shared" si="38"/>
        <v>0</v>
      </c>
      <c r="U88" s="103"/>
      <c r="V88" s="103"/>
      <c r="W88" s="103"/>
      <c r="X88" s="103"/>
      <c r="Y88" s="103"/>
      <c r="Z88" s="157"/>
      <c r="AA88" s="97">
        <f t="shared" si="39"/>
        <v>40000</v>
      </c>
      <c r="AB88" s="103">
        <f t="shared" si="33"/>
        <v>40000</v>
      </c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0"/>
    </row>
    <row r="89" spans="1:539" s="22" customFormat="1" ht="36.75" customHeight="1" x14ac:dyDescent="0.25">
      <c r="A89" s="60" t="s">
        <v>485</v>
      </c>
      <c r="B89" s="60" t="s">
        <v>55</v>
      </c>
      <c r="C89" s="60" t="s">
        <v>58</v>
      </c>
      <c r="D89" s="61" t="s">
        <v>367</v>
      </c>
      <c r="E89" s="101">
        <f t="shared" si="32"/>
        <v>34592700</v>
      </c>
      <c r="F89" s="101">
        <f>34328200+64500+200000</f>
        <v>34592700</v>
      </c>
      <c r="G89" s="101">
        <v>25836800</v>
      </c>
      <c r="H89" s="101">
        <v>2353200</v>
      </c>
      <c r="I89" s="101"/>
      <c r="J89" s="101">
        <v>18347843.739999998</v>
      </c>
      <c r="K89" s="101">
        <v>13501918.68</v>
      </c>
      <c r="L89" s="101">
        <v>1802575.08</v>
      </c>
      <c r="M89" s="157">
        <f t="shared" si="36"/>
        <v>53.039640560002546</v>
      </c>
      <c r="N89" s="101">
        <f t="shared" si="34"/>
        <v>112500</v>
      </c>
      <c r="O89" s="101">
        <v>112500</v>
      </c>
      <c r="P89" s="101"/>
      <c r="Q89" s="101"/>
      <c r="R89" s="101"/>
      <c r="S89" s="101">
        <v>112500</v>
      </c>
      <c r="T89" s="97">
        <f t="shared" si="38"/>
        <v>100909.83</v>
      </c>
      <c r="U89" s="101"/>
      <c r="V89" s="101">
        <v>100909.83</v>
      </c>
      <c r="W89" s="101"/>
      <c r="X89" s="101"/>
      <c r="Y89" s="101"/>
      <c r="Z89" s="157">
        <f t="shared" si="41"/>
        <v>89.697626666666665</v>
      </c>
      <c r="AA89" s="97">
        <f t="shared" si="39"/>
        <v>18448753.569999997</v>
      </c>
      <c r="AB89" s="101">
        <f t="shared" si="33"/>
        <v>34705200</v>
      </c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  <c r="TH89" s="23"/>
      <c r="TI89" s="23"/>
      <c r="TJ89" s="23"/>
      <c r="TK89" s="23"/>
      <c r="TL89" s="23"/>
      <c r="TM89" s="23"/>
      <c r="TN89" s="23"/>
      <c r="TO89" s="23"/>
      <c r="TP89" s="23"/>
      <c r="TQ89" s="23"/>
      <c r="TR89" s="23"/>
      <c r="TS89" s="23"/>
    </row>
    <row r="90" spans="1:539" s="22" customFormat="1" ht="31.5" x14ac:dyDescent="0.25">
      <c r="A90" s="60" t="s">
        <v>486</v>
      </c>
      <c r="B90" s="60" t="s">
        <v>487</v>
      </c>
      <c r="C90" s="60" t="s">
        <v>59</v>
      </c>
      <c r="D90" s="36" t="s">
        <v>519</v>
      </c>
      <c r="E90" s="101">
        <f t="shared" si="32"/>
        <v>11329130</v>
      </c>
      <c r="F90" s="101">
        <f>11229130+100000</f>
        <v>11329130</v>
      </c>
      <c r="G90" s="101">
        <v>8331500</v>
      </c>
      <c r="H90" s="101">
        <v>527130</v>
      </c>
      <c r="I90" s="101"/>
      <c r="J90" s="101">
        <v>5554052</v>
      </c>
      <c r="K90" s="101">
        <v>4219264.32</v>
      </c>
      <c r="L90" s="101">
        <v>236246.7</v>
      </c>
      <c r="M90" s="157">
        <f t="shared" si="36"/>
        <v>49.024523507100717</v>
      </c>
      <c r="N90" s="101">
        <f t="shared" si="34"/>
        <v>0</v>
      </c>
      <c r="O90" s="101">
        <f>100000-100000</f>
        <v>0</v>
      </c>
      <c r="P90" s="101"/>
      <c r="Q90" s="101"/>
      <c r="R90" s="101"/>
      <c r="S90" s="101">
        <f>100000-100000</f>
        <v>0</v>
      </c>
      <c r="T90" s="97">
        <f t="shared" si="38"/>
        <v>119231.4</v>
      </c>
      <c r="U90" s="101"/>
      <c r="V90" s="101">
        <v>119231.4</v>
      </c>
      <c r="W90" s="101"/>
      <c r="X90" s="101"/>
      <c r="Y90" s="101"/>
      <c r="Z90" s="157"/>
      <c r="AA90" s="97">
        <f t="shared" si="39"/>
        <v>5673283.4000000004</v>
      </c>
      <c r="AB90" s="101">
        <f t="shared" si="33"/>
        <v>11329130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  <c r="TH90" s="23"/>
      <c r="TI90" s="23"/>
      <c r="TJ90" s="23"/>
      <c r="TK90" s="23"/>
      <c r="TL90" s="23"/>
      <c r="TM90" s="23"/>
      <c r="TN90" s="23"/>
      <c r="TO90" s="23"/>
      <c r="TP90" s="23"/>
      <c r="TQ90" s="23"/>
      <c r="TR90" s="23"/>
      <c r="TS90" s="23"/>
    </row>
    <row r="91" spans="1:539" s="22" customFormat="1" ht="15.75" x14ac:dyDescent="0.25">
      <c r="A91" s="60" t="s">
        <v>488</v>
      </c>
      <c r="B91" s="60" t="s">
        <v>489</v>
      </c>
      <c r="C91" s="60" t="s">
        <v>59</v>
      </c>
      <c r="D91" s="36" t="s">
        <v>283</v>
      </c>
      <c r="E91" s="101">
        <f t="shared" si="32"/>
        <v>113000</v>
      </c>
      <c r="F91" s="101">
        <v>113000</v>
      </c>
      <c r="G91" s="101"/>
      <c r="H91" s="101"/>
      <c r="I91" s="101"/>
      <c r="J91" s="101">
        <v>54000</v>
      </c>
      <c r="K91" s="101"/>
      <c r="L91" s="101"/>
      <c r="M91" s="157">
        <f t="shared" si="36"/>
        <v>47.787610619469028</v>
      </c>
      <c r="N91" s="101">
        <f t="shared" ref="N91" si="44">P91+S91</f>
        <v>0</v>
      </c>
      <c r="O91" s="101"/>
      <c r="P91" s="101"/>
      <c r="Q91" s="101"/>
      <c r="R91" s="101"/>
      <c r="S91" s="101"/>
      <c r="T91" s="97">
        <f t="shared" si="38"/>
        <v>0</v>
      </c>
      <c r="U91" s="101"/>
      <c r="V91" s="101"/>
      <c r="W91" s="101"/>
      <c r="X91" s="101"/>
      <c r="Y91" s="101"/>
      <c r="Z91" s="157"/>
      <c r="AA91" s="97">
        <f t="shared" si="39"/>
        <v>54000</v>
      </c>
      <c r="AB91" s="101">
        <f t="shared" ref="AB91" si="45">E91+N91</f>
        <v>113000</v>
      </c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  <c r="TH91" s="23"/>
      <c r="TI91" s="23"/>
      <c r="TJ91" s="23"/>
      <c r="TK91" s="23"/>
      <c r="TL91" s="23"/>
      <c r="TM91" s="23"/>
      <c r="TN91" s="23"/>
      <c r="TO91" s="23"/>
      <c r="TP91" s="23"/>
      <c r="TQ91" s="23"/>
      <c r="TR91" s="23"/>
      <c r="TS91" s="23"/>
    </row>
    <row r="92" spans="1:539" s="22" customFormat="1" ht="31.5" x14ac:dyDescent="0.25">
      <c r="A92" s="60" t="s">
        <v>490</v>
      </c>
      <c r="B92" s="60" t="s">
        <v>491</v>
      </c>
      <c r="C92" s="60" t="s">
        <v>59</v>
      </c>
      <c r="D92" s="61" t="s">
        <v>492</v>
      </c>
      <c r="E92" s="101">
        <f t="shared" si="32"/>
        <v>431850</v>
      </c>
      <c r="F92" s="101">
        <v>431850</v>
      </c>
      <c r="G92" s="101">
        <v>266200</v>
      </c>
      <c r="H92" s="101">
        <v>52650</v>
      </c>
      <c r="I92" s="101"/>
      <c r="J92" s="101">
        <v>50342.720000000001</v>
      </c>
      <c r="K92" s="101"/>
      <c r="L92" s="101">
        <v>33942.47</v>
      </c>
      <c r="M92" s="157">
        <f t="shared" si="36"/>
        <v>11.657455134884797</v>
      </c>
      <c r="N92" s="101">
        <f t="shared" si="34"/>
        <v>0</v>
      </c>
      <c r="O92" s="101"/>
      <c r="P92" s="101"/>
      <c r="Q92" s="101"/>
      <c r="R92" s="101"/>
      <c r="S92" s="101"/>
      <c r="T92" s="97">
        <f t="shared" si="38"/>
        <v>0</v>
      </c>
      <c r="U92" s="101"/>
      <c r="V92" s="101"/>
      <c r="W92" s="101"/>
      <c r="X92" s="101"/>
      <c r="Y92" s="101"/>
      <c r="Z92" s="157"/>
      <c r="AA92" s="97">
        <f t="shared" si="39"/>
        <v>50342.720000000001</v>
      </c>
      <c r="AB92" s="101">
        <f t="shared" si="33"/>
        <v>431850</v>
      </c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  <c r="PA92" s="23"/>
      <c r="PB92" s="23"/>
      <c r="PC92" s="23"/>
      <c r="PD92" s="23"/>
      <c r="PE92" s="23"/>
      <c r="PF92" s="23"/>
      <c r="PG92" s="23"/>
      <c r="PH92" s="23"/>
      <c r="PI92" s="23"/>
      <c r="PJ92" s="23"/>
      <c r="PK92" s="23"/>
      <c r="PL92" s="23"/>
      <c r="PM92" s="23"/>
      <c r="PN92" s="23"/>
      <c r="PO92" s="23"/>
      <c r="PP92" s="23"/>
      <c r="PQ92" s="23"/>
      <c r="PR92" s="23"/>
      <c r="PS92" s="23"/>
      <c r="PT92" s="23"/>
      <c r="PU92" s="23"/>
      <c r="PV92" s="23"/>
      <c r="PW92" s="23"/>
      <c r="PX92" s="23"/>
      <c r="PY92" s="23"/>
      <c r="PZ92" s="23"/>
      <c r="QA92" s="23"/>
      <c r="QB92" s="23"/>
      <c r="QC92" s="23"/>
      <c r="QD92" s="23"/>
      <c r="QE92" s="23"/>
      <c r="QF92" s="23"/>
      <c r="QG92" s="23"/>
      <c r="QH92" s="23"/>
      <c r="QI92" s="23"/>
      <c r="QJ92" s="23"/>
      <c r="QK92" s="23"/>
      <c r="QL92" s="23"/>
      <c r="QM92" s="23"/>
      <c r="QN92" s="23"/>
      <c r="QO92" s="23"/>
      <c r="QP92" s="23"/>
      <c r="QQ92" s="23"/>
      <c r="QR92" s="23"/>
      <c r="QS92" s="23"/>
      <c r="QT92" s="23"/>
      <c r="QU92" s="23"/>
      <c r="QV92" s="23"/>
      <c r="QW92" s="23"/>
      <c r="QX92" s="23"/>
      <c r="QY92" s="23"/>
      <c r="QZ92" s="23"/>
      <c r="RA92" s="23"/>
      <c r="RB92" s="23"/>
      <c r="RC92" s="23"/>
      <c r="RD92" s="23"/>
      <c r="RE92" s="23"/>
      <c r="RF92" s="23"/>
      <c r="RG92" s="23"/>
      <c r="RH92" s="23"/>
      <c r="RI92" s="23"/>
      <c r="RJ92" s="23"/>
      <c r="RK92" s="23"/>
      <c r="RL92" s="23"/>
      <c r="RM92" s="23"/>
      <c r="RN92" s="23"/>
      <c r="RO92" s="23"/>
      <c r="RP92" s="23"/>
      <c r="RQ92" s="23"/>
      <c r="RR92" s="23"/>
      <c r="RS92" s="23"/>
      <c r="RT92" s="23"/>
      <c r="RU92" s="23"/>
      <c r="RV92" s="23"/>
      <c r="RW92" s="23"/>
      <c r="RX92" s="23"/>
      <c r="RY92" s="23"/>
      <c r="RZ92" s="23"/>
      <c r="SA92" s="23"/>
      <c r="SB92" s="23"/>
      <c r="SC92" s="23"/>
      <c r="SD92" s="23"/>
      <c r="SE92" s="23"/>
      <c r="SF92" s="23"/>
      <c r="SG92" s="23"/>
      <c r="SH92" s="23"/>
      <c r="SI92" s="23"/>
      <c r="SJ92" s="23"/>
      <c r="SK92" s="23"/>
      <c r="SL92" s="23"/>
      <c r="SM92" s="23"/>
      <c r="SN92" s="23"/>
      <c r="SO92" s="23"/>
      <c r="SP92" s="23"/>
      <c r="SQ92" s="23"/>
      <c r="SR92" s="23"/>
      <c r="SS92" s="23"/>
      <c r="ST92" s="23"/>
      <c r="SU92" s="23"/>
      <c r="SV92" s="23"/>
      <c r="SW92" s="23"/>
      <c r="SX92" s="23"/>
      <c r="SY92" s="23"/>
      <c r="SZ92" s="23"/>
      <c r="TA92" s="23"/>
      <c r="TB92" s="23"/>
      <c r="TC92" s="23"/>
      <c r="TD92" s="23"/>
      <c r="TE92" s="23"/>
      <c r="TF92" s="23"/>
      <c r="TG92" s="23"/>
      <c r="TH92" s="23"/>
      <c r="TI92" s="23"/>
      <c r="TJ92" s="23"/>
      <c r="TK92" s="23"/>
      <c r="TL92" s="23"/>
      <c r="TM92" s="23"/>
      <c r="TN92" s="23"/>
      <c r="TO92" s="23"/>
      <c r="TP92" s="23"/>
      <c r="TQ92" s="23"/>
      <c r="TR92" s="23"/>
      <c r="TS92" s="23"/>
    </row>
    <row r="93" spans="1:539" s="22" customFormat="1" ht="45.75" customHeight="1" x14ac:dyDescent="0.25">
      <c r="A93" s="60" t="s">
        <v>493</v>
      </c>
      <c r="B93" s="60" t="s">
        <v>494</v>
      </c>
      <c r="C93" s="60" t="str">
        <f>'дод 5'!B60</f>
        <v>0990</v>
      </c>
      <c r="D93" s="61" t="s">
        <v>514</v>
      </c>
      <c r="E93" s="101">
        <f t="shared" si="32"/>
        <v>1499036</v>
      </c>
      <c r="F93" s="101">
        <v>1499036</v>
      </c>
      <c r="G93" s="101">
        <v>1228720</v>
      </c>
      <c r="H93" s="101"/>
      <c r="I93" s="101"/>
      <c r="J93" s="101">
        <v>413109.97</v>
      </c>
      <c r="K93" s="101">
        <v>337880.74</v>
      </c>
      <c r="L93" s="101"/>
      <c r="M93" s="157">
        <f t="shared" si="36"/>
        <v>27.558375515998279</v>
      </c>
      <c r="N93" s="101">
        <f t="shared" si="34"/>
        <v>0</v>
      </c>
      <c r="O93" s="101"/>
      <c r="P93" s="101"/>
      <c r="Q93" s="101"/>
      <c r="R93" s="101"/>
      <c r="S93" s="101"/>
      <c r="T93" s="97">
        <f t="shared" si="38"/>
        <v>0</v>
      </c>
      <c r="U93" s="101"/>
      <c r="V93" s="101"/>
      <c r="W93" s="101"/>
      <c r="X93" s="101"/>
      <c r="Y93" s="101"/>
      <c r="Z93" s="157"/>
      <c r="AA93" s="97">
        <f t="shared" si="39"/>
        <v>413109.97</v>
      </c>
      <c r="AB93" s="101">
        <f t="shared" si="33"/>
        <v>1499036</v>
      </c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  <c r="TI93" s="23"/>
      <c r="TJ93" s="23"/>
      <c r="TK93" s="23"/>
      <c r="TL93" s="23"/>
      <c r="TM93" s="23"/>
      <c r="TN93" s="23"/>
      <c r="TO93" s="23"/>
      <c r="TP93" s="23"/>
      <c r="TQ93" s="23"/>
      <c r="TR93" s="23"/>
      <c r="TS93" s="23"/>
    </row>
    <row r="94" spans="1:539" s="24" customFormat="1" ht="45.75" customHeight="1" x14ac:dyDescent="0.25">
      <c r="A94" s="86"/>
      <c r="B94" s="86"/>
      <c r="C94" s="86"/>
      <c r="D94" s="89" t="s">
        <v>386</v>
      </c>
      <c r="E94" s="103">
        <f t="shared" si="32"/>
        <v>1499036</v>
      </c>
      <c r="F94" s="103">
        <v>1499036</v>
      </c>
      <c r="G94" s="103">
        <v>1228720</v>
      </c>
      <c r="H94" s="103"/>
      <c r="I94" s="103"/>
      <c r="J94" s="103">
        <v>413109.97</v>
      </c>
      <c r="K94" s="103">
        <v>337880.74</v>
      </c>
      <c r="L94" s="103"/>
      <c r="M94" s="157">
        <f t="shared" si="36"/>
        <v>27.558375515998279</v>
      </c>
      <c r="N94" s="103">
        <f t="shared" si="34"/>
        <v>0</v>
      </c>
      <c r="O94" s="103"/>
      <c r="P94" s="103"/>
      <c r="Q94" s="103"/>
      <c r="R94" s="103"/>
      <c r="S94" s="103"/>
      <c r="T94" s="97">
        <f t="shared" si="38"/>
        <v>0</v>
      </c>
      <c r="U94" s="103"/>
      <c r="V94" s="103"/>
      <c r="W94" s="103"/>
      <c r="X94" s="103"/>
      <c r="Y94" s="103"/>
      <c r="Z94" s="157"/>
      <c r="AA94" s="97">
        <f t="shared" si="39"/>
        <v>413109.97</v>
      </c>
      <c r="AB94" s="103">
        <f t="shared" si="33"/>
        <v>1499036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  <c r="TI94" s="30"/>
      <c r="TJ94" s="30"/>
      <c r="TK94" s="30"/>
      <c r="TL94" s="30"/>
      <c r="TM94" s="30"/>
      <c r="TN94" s="30"/>
      <c r="TO94" s="30"/>
      <c r="TP94" s="30"/>
      <c r="TQ94" s="30"/>
      <c r="TR94" s="30"/>
      <c r="TS94" s="30"/>
    </row>
    <row r="95" spans="1:539" s="22" customFormat="1" ht="36" customHeight="1" x14ac:dyDescent="0.25">
      <c r="A95" s="60" t="s">
        <v>495</v>
      </c>
      <c r="B95" s="60" t="s">
        <v>496</v>
      </c>
      <c r="C95" s="60" t="str">
        <f>'дод 5'!B61</f>
        <v>0990</v>
      </c>
      <c r="D95" s="61" t="s">
        <v>497</v>
      </c>
      <c r="E95" s="101">
        <f t="shared" si="32"/>
        <v>2512770</v>
      </c>
      <c r="F95" s="101">
        <f>2412770+100000</f>
        <v>2512770</v>
      </c>
      <c r="G95" s="101">
        <v>1880000</v>
      </c>
      <c r="H95" s="101">
        <v>84370</v>
      </c>
      <c r="I95" s="101"/>
      <c r="J95" s="101">
        <v>1233218.83</v>
      </c>
      <c r="K95" s="101">
        <v>959196.17</v>
      </c>
      <c r="L95" s="101">
        <v>42644.34</v>
      </c>
      <c r="M95" s="157">
        <f t="shared" si="36"/>
        <v>49.078062456969803</v>
      </c>
      <c r="N95" s="101">
        <f t="shared" si="34"/>
        <v>50000</v>
      </c>
      <c r="O95" s="101">
        <v>50000</v>
      </c>
      <c r="P95" s="101"/>
      <c r="Q95" s="101"/>
      <c r="R95" s="101"/>
      <c r="S95" s="101">
        <v>50000</v>
      </c>
      <c r="T95" s="97">
        <f t="shared" si="38"/>
        <v>1480</v>
      </c>
      <c r="U95" s="101"/>
      <c r="V95" s="101">
        <v>1480</v>
      </c>
      <c r="W95" s="101"/>
      <c r="X95" s="101"/>
      <c r="Y95" s="101"/>
      <c r="Z95" s="157">
        <f t="shared" si="41"/>
        <v>2.96</v>
      </c>
      <c r="AA95" s="97">
        <f t="shared" si="39"/>
        <v>1234698.83</v>
      </c>
      <c r="AB95" s="101">
        <f t="shared" si="33"/>
        <v>2562770</v>
      </c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  <c r="TH95" s="23"/>
      <c r="TI95" s="23"/>
      <c r="TJ95" s="23"/>
      <c r="TK95" s="23"/>
      <c r="TL95" s="23"/>
      <c r="TM95" s="23"/>
      <c r="TN95" s="23"/>
      <c r="TO95" s="23"/>
      <c r="TP95" s="23"/>
      <c r="TQ95" s="23"/>
      <c r="TR95" s="23"/>
      <c r="TS95" s="23"/>
    </row>
    <row r="96" spans="1:539" s="22" customFormat="1" ht="65.25" customHeight="1" x14ac:dyDescent="0.25">
      <c r="A96" s="60" t="s">
        <v>498</v>
      </c>
      <c r="B96" s="60" t="s">
        <v>499</v>
      </c>
      <c r="C96" s="60" t="s">
        <v>59</v>
      </c>
      <c r="D96" s="96" t="s">
        <v>515</v>
      </c>
      <c r="E96" s="101">
        <f t="shared" si="32"/>
        <v>2586117</v>
      </c>
      <c r="F96" s="101">
        <f>1780860+805257</f>
        <v>2586117</v>
      </c>
      <c r="G96" s="101">
        <v>1459720</v>
      </c>
      <c r="H96" s="101"/>
      <c r="I96" s="101"/>
      <c r="J96" s="101">
        <v>623951.56999999995</v>
      </c>
      <c r="K96" s="101">
        <v>382356.7</v>
      </c>
      <c r="L96" s="101"/>
      <c r="M96" s="157">
        <f t="shared" si="36"/>
        <v>24.12696602667242</v>
      </c>
      <c r="N96" s="101">
        <f t="shared" si="34"/>
        <v>98583</v>
      </c>
      <c r="O96" s="101">
        <f>903840-805257</f>
        <v>98583</v>
      </c>
      <c r="P96" s="101"/>
      <c r="Q96" s="101"/>
      <c r="R96" s="101"/>
      <c r="S96" s="101">
        <f>903840-805257</f>
        <v>98583</v>
      </c>
      <c r="T96" s="97">
        <f t="shared" si="38"/>
        <v>0</v>
      </c>
      <c r="U96" s="101"/>
      <c r="V96" s="101"/>
      <c r="W96" s="101"/>
      <c r="X96" s="101"/>
      <c r="Y96" s="101"/>
      <c r="Z96" s="157">
        <f t="shared" si="41"/>
        <v>0</v>
      </c>
      <c r="AA96" s="97">
        <f t="shared" si="39"/>
        <v>623951.56999999995</v>
      </c>
      <c r="AB96" s="101">
        <f t="shared" si="33"/>
        <v>2684700</v>
      </c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  <c r="TH96" s="23"/>
      <c r="TI96" s="23"/>
      <c r="TJ96" s="23"/>
      <c r="TK96" s="23"/>
      <c r="TL96" s="23"/>
      <c r="TM96" s="23"/>
      <c r="TN96" s="23"/>
      <c r="TO96" s="23"/>
      <c r="TP96" s="23"/>
      <c r="TQ96" s="23"/>
      <c r="TR96" s="23"/>
      <c r="TS96" s="23"/>
    </row>
    <row r="97" spans="1:539" s="24" customFormat="1" ht="63" x14ac:dyDescent="0.25">
      <c r="A97" s="86"/>
      <c r="B97" s="113"/>
      <c r="C97" s="113"/>
      <c r="D97" s="89" t="s">
        <v>385</v>
      </c>
      <c r="E97" s="103">
        <f t="shared" si="32"/>
        <v>2586117</v>
      </c>
      <c r="F97" s="103">
        <f>1780860+805257</f>
        <v>2586117</v>
      </c>
      <c r="G97" s="103">
        <v>1459720</v>
      </c>
      <c r="H97" s="103"/>
      <c r="I97" s="103"/>
      <c r="J97" s="103">
        <v>623951.56999999995</v>
      </c>
      <c r="K97" s="103">
        <v>382356.7</v>
      </c>
      <c r="L97" s="103"/>
      <c r="M97" s="157">
        <f t="shared" si="36"/>
        <v>24.12696602667242</v>
      </c>
      <c r="N97" s="103">
        <f t="shared" si="34"/>
        <v>98583</v>
      </c>
      <c r="O97" s="103">
        <f>903840-805257</f>
        <v>98583</v>
      </c>
      <c r="P97" s="103"/>
      <c r="Q97" s="103"/>
      <c r="R97" s="103"/>
      <c r="S97" s="103">
        <f>903840-805257</f>
        <v>98583</v>
      </c>
      <c r="T97" s="97">
        <f t="shared" si="38"/>
        <v>0</v>
      </c>
      <c r="U97" s="103"/>
      <c r="V97" s="103"/>
      <c r="W97" s="103"/>
      <c r="X97" s="103"/>
      <c r="Y97" s="103"/>
      <c r="Z97" s="157">
        <f t="shared" si="41"/>
        <v>0</v>
      </c>
      <c r="AA97" s="97">
        <f t="shared" si="39"/>
        <v>623951.56999999995</v>
      </c>
      <c r="AB97" s="103">
        <f t="shared" si="33"/>
        <v>2684700</v>
      </c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  <c r="TH97" s="30"/>
      <c r="TI97" s="30"/>
      <c r="TJ97" s="30"/>
      <c r="TK97" s="30"/>
      <c r="TL97" s="30"/>
      <c r="TM97" s="30"/>
      <c r="TN97" s="30"/>
      <c r="TO97" s="30"/>
      <c r="TP97" s="30"/>
      <c r="TQ97" s="30"/>
      <c r="TR97" s="30"/>
      <c r="TS97" s="30"/>
    </row>
    <row r="98" spans="1:539" s="24" customFormat="1" ht="70.5" customHeight="1" x14ac:dyDescent="0.25">
      <c r="A98" s="60" t="s">
        <v>532</v>
      </c>
      <c r="B98" s="95">
        <v>1210</v>
      </c>
      <c r="C98" s="60" t="s">
        <v>59</v>
      </c>
      <c r="D98" s="36" t="s">
        <v>533</v>
      </c>
      <c r="E98" s="101">
        <f t="shared" si="32"/>
        <v>1174231</v>
      </c>
      <c r="F98" s="101">
        <v>1174231</v>
      </c>
      <c r="G98" s="101">
        <v>962484</v>
      </c>
      <c r="H98" s="103"/>
      <c r="I98" s="103"/>
      <c r="J98" s="103">
        <v>665359.34</v>
      </c>
      <c r="K98" s="103">
        <v>545375.52</v>
      </c>
      <c r="L98" s="103"/>
      <c r="M98" s="157">
        <f t="shared" si="36"/>
        <v>56.663411202736079</v>
      </c>
      <c r="N98" s="101">
        <f t="shared" si="34"/>
        <v>0</v>
      </c>
      <c r="O98" s="103"/>
      <c r="P98" s="103"/>
      <c r="Q98" s="103"/>
      <c r="R98" s="103"/>
      <c r="S98" s="103"/>
      <c r="T98" s="97">
        <f t="shared" si="38"/>
        <v>0</v>
      </c>
      <c r="U98" s="103"/>
      <c r="V98" s="103"/>
      <c r="W98" s="103"/>
      <c r="X98" s="103"/>
      <c r="Y98" s="103"/>
      <c r="Z98" s="157"/>
      <c r="AA98" s="97">
        <f t="shared" si="39"/>
        <v>665359.34</v>
      </c>
      <c r="AB98" s="101">
        <f t="shared" si="33"/>
        <v>1174231</v>
      </c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  <c r="TH98" s="30"/>
      <c r="TI98" s="30"/>
      <c r="TJ98" s="30"/>
      <c r="TK98" s="30"/>
      <c r="TL98" s="30"/>
      <c r="TM98" s="30"/>
      <c r="TN98" s="30"/>
      <c r="TO98" s="30"/>
      <c r="TP98" s="30"/>
      <c r="TQ98" s="30"/>
      <c r="TR98" s="30"/>
      <c r="TS98" s="30"/>
    </row>
    <row r="99" spans="1:539" s="24" customFormat="1" ht="63" x14ac:dyDescent="0.25">
      <c r="A99" s="86"/>
      <c r="B99" s="113"/>
      <c r="C99" s="113"/>
      <c r="D99" s="89" t="s">
        <v>534</v>
      </c>
      <c r="E99" s="103">
        <f t="shared" si="32"/>
        <v>1174231</v>
      </c>
      <c r="F99" s="103">
        <v>1174231</v>
      </c>
      <c r="G99" s="103">
        <v>962484</v>
      </c>
      <c r="H99" s="103"/>
      <c r="I99" s="103"/>
      <c r="J99" s="103">
        <v>665359.34</v>
      </c>
      <c r="K99" s="103">
        <v>545375.52</v>
      </c>
      <c r="L99" s="103"/>
      <c r="M99" s="157">
        <f t="shared" si="36"/>
        <v>56.663411202736079</v>
      </c>
      <c r="N99" s="103">
        <f t="shared" si="34"/>
        <v>0</v>
      </c>
      <c r="O99" s="103"/>
      <c r="P99" s="103"/>
      <c r="Q99" s="103"/>
      <c r="R99" s="103"/>
      <c r="S99" s="103"/>
      <c r="T99" s="97">
        <f t="shared" si="38"/>
        <v>0</v>
      </c>
      <c r="U99" s="103"/>
      <c r="V99" s="103"/>
      <c r="W99" s="103"/>
      <c r="X99" s="103"/>
      <c r="Y99" s="103"/>
      <c r="Z99" s="157"/>
      <c r="AA99" s="97">
        <f t="shared" si="39"/>
        <v>665359.34</v>
      </c>
      <c r="AB99" s="103">
        <f t="shared" si="33"/>
        <v>1174231</v>
      </c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  <c r="TI99" s="30"/>
      <c r="TJ99" s="30"/>
      <c r="TK99" s="30"/>
      <c r="TL99" s="30"/>
      <c r="TM99" s="30"/>
      <c r="TN99" s="30"/>
      <c r="TO99" s="30"/>
      <c r="TP99" s="30"/>
      <c r="TQ99" s="30"/>
      <c r="TR99" s="30"/>
      <c r="TS99" s="30"/>
    </row>
    <row r="100" spans="1:539" s="24" customFormat="1" ht="63" x14ac:dyDescent="0.25">
      <c r="A100" s="60" t="s">
        <v>500</v>
      </c>
      <c r="B100" s="95">
        <v>3140</v>
      </c>
      <c r="C100" s="95">
        <v>1040</v>
      </c>
      <c r="D100" s="6" t="s">
        <v>20</v>
      </c>
      <c r="E100" s="101">
        <f t="shared" si="32"/>
        <v>3500000</v>
      </c>
      <c r="F100" s="101">
        <v>3500000</v>
      </c>
      <c r="G100" s="101"/>
      <c r="H100" s="101"/>
      <c r="I100" s="101"/>
      <c r="J100" s="101">
        <v>301585.53999999998</v>
      </c>
      <c r="K100" s="101"/>
      <c r="L100" s="101"/>
      <c r="M100" s="157">
        <f t="shared" si="36"/>
        <v>8.6167297142857127</v>
      </c>
      <c r="N100" s="101">
        <f t="shared" si="34"/>
        <v>0</v>
      </c>
      <c r="O100" s="103"/>
      <c r="P100" s="103"/>
      <c r="Q100" s="103"/>
      <c r="R100" s="103"/>
      <c r="S100" s="103"/>
      <c r="T100" s="97">
        <f t="shared" si="38"/>
        <v>246774.81</v>
      </c>
      <c r="U100" s="103"/>
      <c r="V100" s="103">
        <v>246774.81</v>
      </c>
      <c r="W100" s="103"/>
      <c r="X100" s="103"/>
      <c r="Y100" s="103"/>
      <c r="Z100" s="157"/>
      <c r="AA100" s="97">
        <f t="shared" si="39"/>
        <v>548360.35</v>
      </c>
      <c r="AB100" s="101">
        <f t="shared" si="33"/>
        <v>3500000</v>
      </c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  <c r="TH100" s="30"/>
      <c r="TI100" s="30"/>
      <c r="TJ100" s="30"/>
      <c r="TK100" s="30"/>
      <c r="TL100" s="30"/>
      <c r="TM100" s="30"/>
      <c r="TN100" s="30"/>
      <c r="TO100" s="30"/>
      <c r="TP100" s="30"/>
      <c r="TQ100" s="30"/>
      <c r="TR100" s="30"/>
      <c r="TS100" s="30"/>
    </row>
    <row r="101" spans="1:539" s="24" customFormat="1" ht="31.5" x14ac:dyDescent="0.25">
      <c r="A101" s="60" t="s">
        <v>501</v>
      </c>
      <c r="B101" s="95">
        <v>3242</v>
      </c>
      <c r="C101" s="95">
        <v>1090</v>
      </c>
      <c r="D101" s="36" t="s">
        <v>414</v>
      </c>
      <c r="E101" s="101">
        <f t="shared" si="32"/>
        <v>54300</v>
      </c>
      <c r="F101" s="101">
        <v>54300</v>
      </c>
      <c r="G101" s="101"/>
      <c r="H101" s="101"/>
      <c r="I101" s="101"/>
      <c r="J101" s="101">
        <v>19910</v>
      </c>
      <c r="K101" s="101"/>
      <c r="L101" s="101"/>
      <c r="M101" s="157">
        <f t="shared" si="36"/>
        <v>36.666666666666664</v>
      </c>
      <c r="N101" s="101">
        <f t="shared" si="34"/>
        <v>0</v>
      </c>
      <c r="O101" s="103"/>
      <c r="P101" s="103"/>
      <c r="Q101" s="103"/>
      <c r="R101" s="103"/>
      <c r="S101" s="103"/>
      <c r="T101" s="97">
        <f t="shared" si="38"/>
        <v>0</v>
      </c>
      <c r="U101" s="103"/>
      <c r="V101" s="103"/>
      <c r="W101" s="103"/>
      <c r="X101" s="103"/>
      <c r="Y101" s="103"/>
      <c r="Z101" s="157"/>
      <c r="AA101" s="97">
        <f t="shared" si="39"/>
        <v>19910</v>
      </c>
      <c r="AB101" s="101">
        <f t="shared" si="33"/>
        <v>54300</v>
      </c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  <c r="TH101" s="30"/>
      <c r="TI101" s="30"/>
      <c r="TJ101" s="30"/>
      <c r="TK101" s="30"/>
      <c r="TL101" s="30"/>
      <c r="TM101" s="30"/>
      <c r="TN101" s="30"/>
      <c r="TO101" s="30"/>
      <c r="TP101" s="30"/>
      <c r="TQ101" s="30"/>
      <c r="TR101" s="30"/>
      <c r="TS101" s="30"/>
    </row>
    <row r="102" spans="1:539" s="24" customFormat="1" ht="31.5" x14ac:dyDescent="0.25">
      <c r="A102" s="60" t="s">
        <v>503</v>
      </c>
      <c r="B102" s="95">
        <v>5031</v>
      </c>
      <c r="C102" s="60" t="s">
        <v>82</v>
      </c>
      <c r="D102" s="3" t="s">
        <v>22</v>
      </c>
      <c r="E102" s="101">
        <f t="shared" si="32"/>
        <v>8590600</v>
      </c>
      <c r="F102" s="101">
        <v>8590600</v>
      </c>
      <c r="G102" s="101">
        <v>6510800</v>
      </c>
      <c r="H102" s="101">
        <v>192500</v>
      </c>
      <c r="I102" s="101"/>
      <c r="J102" s="101">
        <v>4175717.98</v>
      </c>
      <c r="K102" s="101">
        <v>3260364.47</v>
      </c>
      <c r="L102" s="101">
        <v>115752.76</v>
      </c>
      <c r="M102" s="157">
        <f t="shared" si="36"/>
        <v>48.607989895932761</v>
      </c>
      <c r="N102" s="101">
        <f t="shared" si="34"/>
        <v>0</v>
      </c>
      <c r="O102" s="103"/>
      <c r="P102" s="103"/>
      <c r="Q102" s="103"/>
      <c r="R102" s="103"/>
      <c r="S102" s="103"/>
      <c r="T102" s="97">
        <f t="shared" si="38"/>
        <v>0</v>
      </c>
      <c r="U102" s="103"/>
      <c r="V102" s="103"/>
      <c r="W102" s="103"/>
      <c r="X102" s="103"/>
      <c r="Y102" s="103"/>
      <c r="Z102" s="157"/>
      <c r="AA102" s="97">
        <f t="shared" si="39"/>
        <v>4175717.98</v>
      </c>
      <c r="AB102" s="101">
        <f t="shared" si="33"/>
        <v>8590600</v>
      </c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  <c r="TS102" s="30"/>
    </row>
    <row r="103" spans="1:539" s="24" customFormat="1" ht="18.75" x14ac:dyDescent="0.25">
      <c r="A103" s="60" t="s">
        <v>504</v>
      </c>
      <c r="B103" s="95">
        <v>7321</v>
      </c>
      <c r="C103" s="60" t="s">
        <v>113</v>
      </c>
      <c r="D103" s="6" t="s">
        <v>558</v>
      </c>
      <c r="E103" s="101">
        <f t="shared" si="32"/>
        <v>0</v>
      </c>
      <c r="F103" s="101"/>
      <c r="G103" s="101"/>
      <c r="H103" s="101"/>
      <c r="I103" s="101"/>
      <c r="J103" s="101"/>
      <c r="K103" s="101"/>
      <c r="L103" s="101"/>
      <c r="M103" s="157"/>
      <c r="N103" s="101">
        <f t="shared" si="34"/>
        <v>23789718</v>
      </c>
      <c r="O103" s="101">
        <f>21660000+2000000+139385+600000+584918+112177+193520-969650+15000+146760+300000-380000-905000+49950-300000+517880+24778</f>
        <v>23789718</v>
      </c>
      <c r="P103" s="101"/>
      <c r="Q103" s="101"/>
      <c r="R103" s="101"/>
      <c r="S103" s="101">
        <f>21660000+2000000+139385+600000+584918+112177+193520-969650+15000+146760+300000-380000-905000+49950-300000+517880+24778</f>
        <v>23789718</v>
      </c>
      <c r="T103" s="97">
        <f t="shared" si="38"/>
        <v>764045.29</v>
      </c>
      <c r="U103" s="101">
        <v>764045.29</v>
      </c>
      <c r="V103" s="101"/>
      <c r="W103" s="101"/>
      <c r="X103" s="101"/>
      <c r="Y103" s="101">
        <v>764045.29</v>
      </c>
      <c r="Z103" s="157">
        <f t="shared" si="41"/>
        <v>3.211661819614676</v>
      </c>
      <c r="AA103" s="97">
        <f t="shared" si="39"/>
        <v>764045.29</v>
      </c>
      <c r="AB103" s="101">
        <f t="shared" si="33"/>
        <v>23789718</v>
      </c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  <c r="TS103" s="30"/>
    </row>
    <row r="104" spans="1:539" s="24" customFormat="1" ht="47.25" x14ac:dyDescent="0.25">
      <c r="A104" s="60" t="s">
        <v>564</v>
      </c>
      <c r="B104" s="95">
        <v>7363</v>
      </c>
      <c r="C104" s="60" t="s">
        <v>84</v>
      </c>
      <c r="D104" s="6" t="s">
        <v>400</v>
      </c>
      <c r="E104" s="101">
        <f t="shared" si="32"/>
        <v>0</v>
      </c>
      <c r="F104" s="101"/>
      <c r="G104" s="101"/>
      <c r="H104" s="101"/>
      <c r="I104" s="101"/>
      <c r="J104" s="101"/>
      <c r="K104" s="101"/>
      <c r="L104" s="101"/>
      <c r="M104" s="157"/>
      <c r="N104" s="101">
        <f t="shared" si="34"/>
        <v>2629959</v>
      </c>
      <c r="O104" s="101">
        <v>2629959</v>
      </c>
      <c r="P104" s="101"/>
      <c r="Q104" s="101"/>
      <c r="R104" s="101"/>
      <c r="S104" s="101">
        <v>2629959</v>
      </c>
      <c r="T104" s="97">
        <f t="shared" si="38"/>
        <v>0</v>
      </c>
      <c r="U104" s="101"/>
      <c r="V104" s="101"/>
      <c r="W104" s="101"/>
      <c r="X104" s="101"/>
      <c r="Y104" s="101"/>
      <c r="Z104" s="157">
        <f t="shared" si="41"/>
        <v>0</v>
      </c>
      <c r="AA104" s="97">
        <f t="shared" si="39"/>
        <v>0</v>
      </c>
      <c r="AB104" s="101">
        <f t="shared" si="33"/>
        <v>2629959</v>
      </c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  <c r="TS104" s="30"/>
    </row>
    <row r="105" spans="1:539" s="24" customFormat="1" ht="47.25" x14ac:dyDescent="0.25">
      <c r="A105" s="86"/>
      <c r="B105" s="113"/>
      <c r="C105" s="86"/>
      <c r="D105" s="83" t="s">
        <v>565</v>
      </c>
      <c r="E105" s="103">
        <f t="shared" si="32"/>
        <v>0</v>
      </c>
      <c r="F105" s="103"/>
      <c r="G105" s="103"/>
      <c r="H105" s="103"/>
      <c r="I105" s="103"/>
      <c r="J105" s="103"/>
      <c r="K105" s="103"/>
      <c r="L105" s="103"/>
      <c r="M105" s="157"/>
      <c r="N105" s="103">
        <f t="shared" si="34"/>
        <v>2629959</v>
      </c>
      <c r="O105" s="103">
        <v>2629959</v>
      </c>
      <c r="P105" s="103"/>
      <c r="Q105" s="103"/>
      <c r="R105" s="103"/>
      <c r="S105" s="103">
        <v>2629959</v>
      </c>
      <c r="T105" s="97">
        <f t="shared" si="38"/>
        <v>0</v>
      </c>
      <c r="U105" s="103"/>
      <c r="V105" s="103"/>
      <c r="W105" s="103"/>
      <c r="X105" s="103"/>
      <c r="Y105" s="103"/>
      <c r="Z105" s="157">
        <f t="shared" si="41"/>
        <v>0</v>
      </c>
      <c r="AA105" s="97">
        <f t="shared" si="39"/>
        <v>0</v>
      </c>
      <c r="AB105" s="103">
        <f t="shared" si="33"/>
        <v>2629959</v>
      </c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  <c r="TS105" s="30"/>
    </row>
    <row r="106" spans="1:539" s="24" customFormat="1" ht="15.75" x14ac:dyDescent="0.25">
      <c r="A106" s="60" t="s">
        <v>505</v>
      </c>
      <c r="B106" s="95">
        <v>7640</v>
      </c>
      <c r="C106" s="60" t="s">
        <v>88</v>
      </c>
      <c r="D106" s="3" t="s">
        <v>424</v>
      </c>
      <c r="E106" s="101">
        <f t="shared" si="32"/>
        <v>551000</v>
      </c>
      <c r="F106" s="101">
        <v>551000</v>
      </c>
      <c r="G106" s="101"/>
      <c r="H106" s="101"/>
      <c r="I106" s="101"/>
      <c r="J106" s="101">
        <v>182350</v>
      </c>
      <c r="K106" s="101"/>
      <c r="L106" s="101"/>
      <c r="M106" s="157">
        <f t="shared" si="36"/>
        <v>33.094373865698728</v>
      </c>
      <c r="N106" s="101">
        <f t="shared" si="34"/>
        <v>11240000</v>
      </c>
      <c r="O106" s="101">
        <f>13040000-139385-1660615</f>
        <v>11240000</v>
      </c>
      <c r="P106" s="101"/>
      <c r="Q106" s="101"/>
      <c r="R106" s="101"/>
      <c r="S106" s="101">
        <f>13040000-139385-1660615</f>
        <v>11240000</v>
      </c>
      <c r="T106" s="97">
        <f t="shared" si="38"/>
        <v>666417.52</v>
      </c>
      <c r="U106" s="101">
        <v>666417.52</v>
      </c>
      <c r="V106" s="101"/>
      <c r="W106" s="101"/>
      <c r="X106" s="101"/>
      <c r="Y106" s="101">
        <v>666417.52</v>
      </c>
      <c r="Z106" s="157">
        <f t="shared" si="41"/>
        <v>5.9289814946619215</v>
      </c>
      <c r="AA106" s="97">
        <f t="shared" si="39"/>
        <v>848767.52</v>
      </c>
      <c r="AB106" s="101">
        <f t="shared" si="33"/>
        <v>11791000</v>
      </c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  <c r="TS106" s="30"/>
    </row>
    <row r="107" spans="1:539" s="24" customFormat="1" ht="47.25" x14ac:dyDescent="0.25">
      <c r="A107" s="60" t="s">
        <v>508</v>
      </c>
      <c r="B107" s="95">
        <v>7700</v>
      </c>
      <c r="C107" s="60" t="s">
        <v>95</v>
      </c>
      <c r="D107" s="3" t="s">
        <v>364</v>
      </c>
      <c r="E107" s="101">
        <f t="shared" si="32"/>
        <v>0</v>
      </c>
      <c r="F107" s="101"/>
      <c r="G107" s="101"/>
      <c r="H107" s="101"/>
      <c r="I107" s="101"/>
      <c r="J107" s="101"/>
      <c r="K107" s="101"/>
      <c r="L107" s="101"/>
      <c r="M107" s="157"/>
      <c r="N107" s="101">
        <f t="shared" si="34"/>
        <v>630000</v>
      </c>
      <c r="O107" s="101"/>
      <c r="P107" s="101"/>
      <c r="Q107" s="101"/>
      <c r="R107" s="101"/>
      <c r="S107" s="101">
        <v>630000</v>
      </c>
      <c r="T107" s="97">
        <f t="shared" si="38"/>
        <v>0</v>
      </c>
      <c r="U107" s="101"/>
      <c r="V107" s="101"/>
      <c r="W107" s="101"/>
      <c r="X107" s="101"/>
      <c r="Y107" s="101"/>
      <c r="Z107" s="157">
        <f t="shared" si="41"/>
        <v>0</v>
      </c>
      <c r="AA107" s="97">
        <f t="shared" si="39"/>
        <v>0</v>
      </c>
      <c r="AB107" s="101">
        <f t="shared" si="33"/>
        <v>630000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  <c r="TI107" s="30"/>
      <c r="TJ107" s="30"/>
      <c r="TK107" s="30"/>
      <c r="TL107" s="30"/>
      <c r="TM107" s="30"/>
      <c r="TN107" s="30"/>
      <c r="TO107" s="30"/>
      <c r="TP107" s="30"/>
      <c r="TQ107" s="30"/>
      <c r="TR107" s="30"/>
      <c r="TS107" s="30"/>
    </row>
    <row r="108" spans="1:539" s="24" customFormat="1" ht="22.5" customHeight="1" x14ac:dyDescent="0.25">
      <c r="A108" s="60" t="s">
        <v>506</v>
      </c>
      <c r="B108" s="95">
        <v>8340</v>
      </c>
      <c r="C108" s="60" t="s">
        <v>94</v>
      </c>
      <c r="D108" s="3" t="s">
        <v>10</v>
      </c>
      <c r="E108" s="101">
        <f t="shared" si="32"/>
        <v>0</v>
      </c>
      <c r="F108" s="101"/>
      <c r="G108" s="101"/>
      <c r="H108" s="101"/>
      <c r="I108" s="101"/>
      <c r="J108" s="101"/>
      <c r="K108" s="101"/>
      <c r="L108" s="101"/>
      <c r="M108" s="157"/>
      <c r="N108" s="101">
        <f t="shared" si="34"/>
        <v>625000</v>
      </c>
      <c r="O108" s="101"/>
      <c r="P108" s="101">
        <v>595000</v>
      </c>
      <c r="Q108" s="101"/>
      <c r="R108" s="101"/>
      <c r="S108" s="101">
        <v>30000</v>
      </c>
      <c r="T108" s="97">
        <f t="shared" si="38"/>
        <v>82572.88</v>
      </c>
      <c r="U108" s="101"/>
      <c r="V108" s="101">
        <v>82572.88</v>
      </c>
      <c r="W108" s="101"/>
      <c r="X108" s="101"/>
      <c r="Y108" s="101"/>
      <c r="Z108" s="157">
        <f t="shared" si="41"/>
        <v>13.211660799999999</v>
      </c>
      <c r="AA108" s="97">
        <f t="shared" si="39"/>
        <v>82572.88</v>
      </c>
      <c r="AB108" s="101">
        <f t="shared" si="33"/>
        <v>625000</v>
      </c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  <c r="TI108" s="30"/>
      <c r="TJ108" s="30"/>
      <c r="TK108" s="30"/>
      <c r="TL108" s="30"/>
      <c r="TM108" s="30"/>
      <c r="TN108" s="30"/>
      <c r="TO108" s="30"/>
      <c r="TP108" s="30"/>
      <c r="TQ108" s="30"/>
      <c r="TR108" s="30"/>
      <c r="TS108" s="30"/>
    </row>
    <row r="109" spans="1:539" s="24" customFormat="1" ht="15.75" x14ac:dyDescent="0.25">
      <c r="A109" s="60" t="s">
        <v>507</v>
      </c>
      <c r="B109" s="95">
        <v>9770</v>
      </c>
      <c r="C109" s="60" t="s">
        <v>46</v>
      </c>
      <c r="D109" s="6" t="s">
        <v>358</v>
      </c>
      <c r="E109" s="101">
        <f t="shared" si="32"/>
        <v>59310000</v>
      </c>
      <c r="F109" s="101">
        <f>59300000+10000</f>
        <v>59310000</v>
      </c>
      <c r="G109" s="101"/>
      <c r="H109" s="101"/>
      <c r="I109" s="101"/>
      <c r="J109" s="101">
        <v>29650200</v>
      </c>
      <c r="K109" s="101"/>
      <c r="L109" s="101"/>
      <c r="M109" s="157">
        <f t="shared" si="36"/>
        <v>49.991906929691453</v>
      </c>
      <c r="N109" s="101">
        <f t="shared" si="34"/>
        <v>0</v>
      </c>
      <c r="O109" s="101"/>
      <c r="P109" s="101"/>
      <c r="Q109" s="101"/>
      <c r="R109" s="101"/>
      <c r="S109" s="101"/>
      <c r="T109" s="97">
        <f t="shared" si="38"/>
        <v>0</v>
      </c>
      <c r="U109" s="101"/>
      <c r="V109" s="101"/>
      <c r="W109" s="101"/>
      <c r="X109" s="101"/>
      <c r="Y109" s="101"/>
      <c r="Z109" s="157"/>
      <c r="AA109" s="97">
        <f t="shared" si="39"/>
        <v>29650200</v>
      </c>
      <c r="AB109" s="101">
        <f t="shared" si="33"/>
        <v>59310000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  <c r="TS109" s="30"/>
    </row>
    <row r="110" spans="1:539" s="24" customFormat="1" ht="47.25" x14ac:dyDescent="0.25">
      <c r="A110" s="60" t="s">
        <v>546</v>
      </c>
      <c r="B110" s="95">
        <v>9320</v>
      </c>
      <c r="C110" s="60" t="s">
        <v>46</v>
      </c>
      <c r="D110" s="6" t="s">
        <v>547</v>
      </c>
      <c r="E110" s="101">
        <f t="shared" si="32"/>
        <v>693000</v>
      </c>
      <c r="F110" s="101">
        <v>693000</v>
      </c>
      <c r="G110" s="101"/>
      <c r="H110" s="101"/>
      <c r="I110" s="101"/>
      <c r="J110" s="101"/>
      <c r="K110" s="101"/>
      <c r="L110" s="101"/>
      <c r="M110" s="157">
        <f t="shared" si="36"/>
        <v>0</v>
      </c>
      <c r="N110" s="101">
        <f t="shared" si="34"/>
        <v>3307000</v>
      </c>
      <c r="O110" s="101">
        <v>3307000</v>
      </c>
      <c r="P110" s="101"/>
      <c r="Q110" s="101"/>
      <c r="R110" s="101"/>
      <c r="S110" s="101">
        <v>3307000</v>
      </c>
      <c r="T110" s="97">
        <f t="shared" si="38"/>
        <v>0</v>
      </c>
      <c r="U110" s="101"/>
      <c r="V110" s="101"/>
      <c r="W110" s="101"/>
      <c r="X110" s="101"/>
      <c r="Y110" s="101"/>
      <c r="Z110" s="157">
        <f t="shared" si="41"/>
        <v>0</v>
      </c>
      <c r="AA110" s="97">
        <f t="shared" si="39"/>
        <v>0</v>
      </c>
      <c r="AB110" s="101">
        <f t="shared" si="33"/>
        <v>4000000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  <c r="TH110" s="30"/>
      <c r="TI110" s="30"/>
      <c r="TJ110" s="30"/>
      <c r="TK110" s="30"/>
      <c r="TL110" s="30"/>
      <c r="TM110" s="30"/>
      <c r="TN110" s="30"/>
      <c r="TO110" s="30"/>
      <c r="TP110" s="30"/>
      <c r="TQ110" s="30"/>
      <c r="TR110" s="30"/>
      <c r="TS110" s="30"/>
    </row>
    <row r="111" spans="1:539" s="24" customFormat="1" ht="43.5" customHeight="1" x14ac:dyDescent="0.25">
      <c r="A111" s="86"/>
      <c r="B111" s="113"/>
      <c r="C111" s="86"/>
      <c r="D111" s="89" t="s">
        <v>542</v>
      </c>
      <c r="E111" s="103">
        <f t="shared" si="32"/>
        <v>693000</v>
      </c>
      <c r="F111" s="103">
        <v>693000</v>
      </c>
      <c r="G111" s="103"/>
      <c r="H111" s="103"/>
      <c r="I111" s="103"/>
      <c r="J111" s="103"/>
      <c r="K111" s="103"/>
      <c r="L111" s="103"/>
      <c r="M111" s="157">
        <f t="shared" si="36"/>
        <v>0</v>
      </c>
      <c r="N111" s="103">
        <f t="shared" si="34"/>
        <v>3307000</v>
      </c>
      <c r="O111" s="103">
        <v>3307000</v>
      </c>
      <c r="P111" s="103"/>
      <c r="Q111" s="103"/>
      <c r="R111" s="103"/>
      <c r="S111" s="103">
        <v>3307000</v>
      </c>
      <c r="T111" s="97">
        <f t="shared" si="38"/>
        <v>0</v>
      </c>
      <c r="U111" s="103"/>
      <c r="V111" s="103"/>
      <c r="W111" s="103"/>
      <c r="X111" s="103"/>
      <c r="Y111" s="103"/>
      <c r="Z111" s="157">
        <f t="shared" si="41"/>
        <v>0</v>
      </c>
      <c r="AA111" s="97">
        <f t="shared" si="39"/>
        <v>0</v>
      </c>
      <c r="AB111" s="103">
        <f t="shared" si="33"/>
        <v>4000000</v>
      </c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  <c r="TI111" s="30"/>
      <c r="TJ111" s="30"/>
      <c r="TK111" s="30"/>
      <c r="TL111" s="30"/>
      <c r="TM111" s="30"/>
      <c r="TN111" s="30"/>
      <c r="TO111" s="30"/>
      <c r="TP111" s="30"/>
      <c r="TQ111" s="30"/>
      <c r="TR111" s="30"/>
      <c r="TS111" s="30"/>
    </row>
    <row r="112" spans="1:539" s="24" customFormat="1" ht="48.75" customHeight="1" x14ac:dyDescent="0.25">
      <c r="A112" s="60" t="s">
        <v>537</v>
      </c>
      <c r="B112" s="95">
        <v>9800</v>
      </c>
      <c r="C112" s="60" t="s">
        <v>46</v>
      </c>
      <c r="D112" s="6" t="s">
        <v>369</v>
      </c>
      <c r="E112" s="101">
        <f t="shared" si="32"/>
        <v>49600</v>
      </c>
      <c r="F112" s="101">
        <v>49600</v>
      </c>
      <c r="G112" s="101"/>
      <c r="H112" s="101"/>
      <c r="I112" s="101"/>
      <c r="J112" s="101">
        <v>24790</v>
      </c>
      <c r="K112" s="101"/>
      <c r="L112" s="101"/>
      <c r="M112" s="157">
        <f t="shared" si="36"/>
        <v>49.979838709677423</v>
      </c>
      <c r="N112" s="101">
        <f t="shared" si="34"/>
        <v>0</v>
      </c>
      <c r="O112" s="101"/>
      <c r="P112" s="101"/>
      <c r="Q112" s="101"/>
      <c r="R112" s="101"/>
      <c r="S112" s="101"/>
      <c r="T112" s="97">
        <f t="shared" si="38"/>
        <v>0</v>
      </c>
      <c r="U112" s="101"/>
      <c r="V112" s="101"/>
      <c r="W112" s="101"/>
      <c r="X112" s="101"/>
      <c r="Y112" s="101"/>
      <c r="Z112" s="157"/>
      <c r="AA112" s="97">
        <f t="shared" si="39"/>
        <v>24790</v>
      </c>
      <c r="AB112" s="101">
        <f t="shared" si="33"/>
        <v>49600</v>
      </c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  <c r="TH112" s="30"/>
      <c r="TI112" s="30"/>
      <c r="TJ112" s="30"/>
      <c r="TK112" s="30"/>
      <c r="TL112" s="30"/>
      <c r="TM112" s="30"/>
      <c r="TN112" s="30"/>
      <c r="TO112" s="30"/>
      <c r="TP112" s="30"/>
      <c r="TQ112" s="30"/>
      <c r="TR112" s="30"/>
      <c r="TS112" s="30"/>
    </row>
    <row r="113" spans="1:539" s="27" customFormat="1" ht="30.75" customHeight="1" x14ac:dyDescent="0.25">
      <c r="A113" s="112" t="s">
        <v>171</v>
      </c>
      <c r="B113" s="114"/>
      <c r="C113" s="114"/>
      <c r="D113" s="109" t="s">
        <v>465</v>
      </c>
      <c r="E113" s="97">
        <f>E114</f>
        <v>81224821</v>
      </c>
      <c r="F113" s="97">
        <f t="shared" ref="F113:L113" si="46">F114</f>
        <v>81224821</v>
      </c>
      <c r="G113" s="97">
        <f t="shared" si="46"/>
        <v>4343800</v>
      </c>
      <c r="H113" s="97">
        <f t="shared" si="46"/>
        <v>78600</v>
      </c>
      <c r="I113" s="97">
        <f t="shared" si="46"/>
        <v>0</v>
      </c>
      <c r="J113" s="97">
        <f t="shared" si="46"/>
        <v>43395150.950000003</v>
      </c>
      <c r="K113" s="97">
        <f t="shared" si="46"/>
        <v>2034370.38</v>
      </c>
      <c r="L113" s="97">
        <f t="shared" si="46"/>
        <v>53351.539999999994</v>
      </c>
      <c r="M113" s="157">
        <f t="shared" si="36"/>
        <v>53.4259730163025</v>
      </c>
      <c r="N113" s="97">
        <f t="shared" ref="N113:AB113" si="47">N114</f>
        <v>113468090.53999999</v>
      </c>
      <c r="O113" s="97">
        <f t="shared" si="47"/>
        <v>113468090.53999999</v>
      </c>
      <c r="P113" s="97">
        <f t="shared" si="47"/>
        <v>0</v>
      </c>
      <c r="Q113" s="97">
        <f t="shared" si="47"/>
        <v>0</v>
      </c>
      <c r="R113" s="97">
        <f t="shared" si="47"/>
        <v>0</v>
      </c>
      <c r="S113" s="97">
        <f t="shared" si="47"/>
        <v>113468090.53999999</v>
      </c>
      <c r="T113" s="97">
        <f t="shared" si="47"/>
        <v>71788118.409999996</v>
      </c>
      <c r="U113" s="97">
        <f t="shared" si="47"/>
        <v>71741966.089999989</v>
      </c>
      <c r="V113" s="97">
        <f t="shared" si="47"/>
        <v>46152.32</v>
      </c>
      <c r="W113" s="97">
        <f t="shared" si="47"/>
        <v>0</v>
      </c>
      <c r="X113" s="97">
        <f t="shared" si="47"/>
        <v>0</v>
      </c>
      <c r="Y113" s="97">
        <f t="shared" si="47"/>
        <v>71741966.089999989</v>
      </c>
      <c r="Z113" s="157">
        <f t="shared" si="41"/>
        <v>63.267230521247832</v>
      </c>
      <c r="AA113" s="97">
        <f t="shared" si="47"/>
        <v>115183269.36</v>
      </c>
      <c r="AB113" s="97">
        <f t="shared" si="47"/>
        <v>194692911.53999999</v>
      </c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  <c r="IU113" s="32"/>
      <c r="IV113" s="32"/>
      <c r="IW113" s="32"/>
      <c r="IX113" s="32"/>
      <c r="IY113" s="32"/>
      <c r="IZ113" s="32"/>
      <c r="JA113" s="32"/>
      <c r="JB113" s="32"/>
      <c r="JC113" s="32"/>
      <c r="JD113" s="32"/>
      <c r="JE113" s="32"/>
      <c r="JF113" s="32"/>
      <c r="JG113" s="32"/>
      <c r="JH113" s="32"/>
      <c r="JI113" s="32"/>
      <c r="JJ113" s="32"/>
      <c r="JK113" s="32"/>
      <c r="JL113" s="32"/>
      <c r="JM113" s="32"/>
      <c r="JN113" s="32"/>
      <c r="JO113" s="32"/>
      <c r="JP113" s="32"/>
      <c r="JQ113" s="32"/>
      <c r="JR113" s="32"/>
      <c r="JS113" s="32"/>
      <c r="JT113" s="32"/>
      <c r="JU113" s="32"/>
      <c r="JV113" s="32"/>
      <c r="JW113" s="32"/>
      <c r="JX113" s="32"/>
      <c r="JY113" s="32"/>
      <c r="JZ113" s="32"/>
      <c r="KA113" s="32"/>
      <c r="KB113" s="32"/>
      <c r="KC113" s="32"/>
      <c r="KD113" s="32"/>
      <c r="KE113" s="32"/>
      <c r="KF113" s="32"/>
      <c r="KG113" s="32"/>
      <c r="KH113" s="32"/>
      <c r="KI113" s="32"/>
      <c r="KJ113" s="32"/>
      <c r="KK113" s="32"/>
      <c r="KL113" s="32"/>
      <c r="KM113" s="32"/>
      <c r="KN113" s="32"/>
      <c r="KO113" s="32"/>
      <c r="KP113" s="32"/>
      <c r="KQ113" s="32"/>
      <c r="KR113" s="32"/>
      <c r="KS113" s="32"/>
      <c r="KT113" s="32"/>
      <c r="KU113" s="32"/>
      <c r="KV113" s="32"/>
      <c r="KW113" s="32"/>
      <c r="KX113" s="32"/>
      <c r="KY113" s="32"/>
      <c r="KZ113" s="32"/>
      <c r="LA113" s="32"/>
      <c r="LB113" s="32"/>
      <c r="LC113" s="32"/>
      <c r="LD113" s="32"/>
      <c r="LE113" s="32"/>
      <c r="LF113" s="32"/>
      <c r="LG113" s="32"/>
      <c r="LH113" s="32"/>
      <c r="LI113" s="32"/>
      <c r="LJ113" s="32"/>
      <c r="LK113" s="32"/>
      <c r="LL113" s="32"/>
      <c r="LM113" s="32"/>
      <c r="LN113" s="32"/>
      <c r="LO113" s="32"/>
      <c r="LP113" s="32"/>
      <c r="LQ113" s="32"/>
      <c r="LR113" s="32"/>
      <c r="LS113" s="32"/>
      <c r="LT113" s="32"/>
      <c r="LU113" s="32"/>
      <c r="LV113" s="32"/>
      <c r="LW113" s="32"/>
      <c r="LX113" s="32"/>
      <c r="LY113" s="32"/>
      <c r="LZ113" s="32"/>
      <c r="MA113" s="32"/>
      <c r="MB113" s="32"/>
      <c r="MC113" s="32"/>
      <c r="MD113" s="32"/>
      <c r="ME113" s="32"/>
      <c r="MF113" s="32"/>
      <c r="MG113" s="32"/>
      <c r="MH113" s="32"/>
      <c r="MI113" s="32"/>
      <c r="MJ113" s="32"/>
      <c r="MK113" s="32"/>
      <c r="ML113" s="32"/>
      <c r="MM113" s="32"/>
      <c r="MN113" s="32"/>
      <c r="MO113" s="32"/>
      <c r="MP113" s="32"/>
      <c r="MQ113" s="32"/>
      <c r="MR113" s="32"/>
      <c r="MS113" s="32"/>
      <c r="MT113" s="32"/>
      <c r="MU113" s="32"/>
      <c r="MV113" s="32"/>
      <c r="MW113" s="32"/>
      <c r="MX113" s="32"/>
      <c r="MY113" s="32"/>
      <c r="MZ113" s="32"/>
      <c r="NA113" s="32"/>
      <c r="NB113" s="32"/>
      <c r="NC113" s="32"/>
      <c r="ND113" s="32"/>
      <c r="NE113" s="32"/>
      <c r="NF113" s="32"/>
      <c r="NG113" s="32"/>
      <c r="NH113" s="32"/>
      <c r="NI113" s="32"/>
      <c r="NJ113" s="32"/>
      <c r="NK113" s="32"/>
      <c r="NL113" s="32"/>
      <c r="NM113" s="32"/>
      <c r="NN113" s="32"/>
      <c r="NO113" s="32"/>
      <c r="NP113" s="32"/>
      <c r="NQ113" s="32"/>
      <c r="NR113" s="32"/>
      <c r="NS113" s="32"/>
      <c r="NT113" s="32"/>
      <c r="NU113" s="32"/>
      <c r="NV113" s="32"/>
      <c r="NW113" s="32"/>
      <c r="NX113" s="32"/>
      <c r="NY113" s="32"/>
      <c r="NZ113" s="32"/>
      <c r="OA113" s="32"/>
      <c r="OB113" s="32"/>
      <c r="OC113" s="32"/>
      <c r="OD113" s="32"/>
      <c r="OE113" s="32"/>
      <c r="OF113" s="32"/>
      <c r="OG113" s="32"/>
      <c r="OH113" s="32"/>
      <c r="OI113" s="32"/>
      <c r="OJ113" s="32"/>
      <c r="OK113" s="32"/>
      <c r="OL113" s="32"/>
      <c r="OM113" s="32"/>
      <c r="ON113" s="32"/>
      <c r="OO113" s="32"/>
      <c r="OP113" s="32"/>
      <c r="OQ113" s="32"/>
      <c r="OR113" s="32"/>
      <c r="OS113" s="32"/>
      <c r="OT113" s="32"/>
      <c r="OU113" s="32"/>
      <c r="OV113" s="32"/>
      <c r="OW113" s="32"/>
      <c r="OX113" s="32"/>
      <c r="OY113" s="32"/>
      <c r="OZ113" s="32"/>
      <c r="PA113" s="32"/>
      <c r="PB113" s="32"/>
      <c r="PC113" s="32"/>
      <c r="PD113" s="32"/>
      <c r="PE113" s="32"/>
      <c r="PF113" s="32"/>
      <c r="PG113" s="32"/>
      <c r="PH113" s="32"/>
      <c r="PI113" s="32"/>
      <c r="PJ113" s="32"/>
      <c r="PK113" s="32"/>
      <c r="PL113" s="32"/>
      <c r="PM113" s="32"/>
      <c r="PN113" s="32"/>
      <c r="PO113" s="32"/>
      <c r="PP113" s="32"/>
      <c r="PQ113" s="32"/>
      <c r="PR113" s="32"/>
      <c r="PS113" s="32"/>
      <c r="PT113" s="32"/>
      <c r="PU113" s="32"/>
      <c r="PV113" s="32"/>
      <c r="PW113" s="32"/>
      <c r="PX113" s="32"/>
      <c r="PY113" s="32"/>
      <c r="PZ113" s="32"/>
      <c r="QA113" s="32"/>
      <c r="QB113" s="32"/>
      <c r="QC113" s="32"/>
      <c r="QD113" s="32"/>
      <c r="QE113" s="32"/>
      <c r="QF113" s="32"/>
      <c r="QG113" s="32"/>
      <c r="QH113" s="32"/>
      <c r="QI113" s="32"/>
      <c r="QJ113" s="32"/>
      <c r="QK113" s="32"/>
      <c r="QL113" s="32"/>
      <c r="QM113" s="32"/>
      <c r="QN113" s="32"/>
      <c r="QO113" s="32"/>
      <c r="QP113" s="32"/>
      <c r="QQ113" s="32"/>
      <c r="QR113" s="32"/>
      <c r="QS113" s="32"/>
      <c r="QT113" s="32"/>
      <c r="QU113" s="32"/>
      <c r="QV113" s="32"/>
      <c r="QW113" s="32"/>
      <c r="QX113" s="32"/>
      <c r="QY113" s="32"/>
      <c r="QZ113" s="32"/>
      <c r="RA113" s="32"/>
      <c r="RB113" s="32"/>
      <c r="RC113" s="32"/>
      <c r="RD113" s="32"/>
      <c r="RE113" s="32"/>
      <c r="RF113" s="32"/>
      <c r="RG113" s="32"/>
      <c r="RH113" s="32"/>
      <c r="RI113" s="32"/>
      <c r="RJ113" s="32"/>
      <c r="RK113" s="32"/>
      <c r="RL113" s="32"/>
      <c r="RM113" s="32"/>
      <c r="RN113" s="32"/>
      <c r="RO113" s="32"/>
      <c r="RP113" s="32"/>
      <c r="RQ113" s="32"/>
      <c r="RR113" s="32"/>
      <c r="RS113" s="32"/>
      <c r="RT113" s="32"/>
      <c r="RU113" s="32"/>
      <c r="RV113" s="32"/>
      <c r="RW113" s="32"/>
      <c r="RX113" s="32"/>
      <c r="RY113" s="32"/>
      <c r="RZ113" s="32"/>
      <c r="SA113" s="32"/>
      <c r="SB113" s="32"/>
      <c r="SC113" s="32"/>
      <c r="SD113" s="32"/>
      <c r="SE113" s="32"/>
      <c r="SF113" s="32"/>
      <c r="SG113" s="32"/>
      <c r="SH113" s="32"/>
      <c r="SI113" s="32"/>
      <c r="SJ113" s="32"/>
      <c r="SK113" s="32"/>
      <c r="SL113" s="32"/>
      <c r="SM113" s="32"/>
      <c r="SN113" s="32"/>
      <c r="SO113" s="32"/>
      <c r="SP113" s="32"/>
      <c r="SQ113" s="32"/>
      <c r="SR113" s="32"/>
      <c r="SS113" s="32"/>
      <c r="ST113" s="32"/>
      <c r="SU113" s="32"/>
      <c r="SV113" s="32"/>
      <c r="SW113" s="32"/>
      <c r="SX113" s="32"/>
      <c r="SY113" s="32"/>
      <c r="SZ113" s="32"/>
      <c r="TA113" s="32"/>
      <c r="TB113" s="32"/>
      <c r="TC113" s="32"/>
      <c r="TD113" s="32"/>
      <c r="TE113" s="32"/>
      <c r="TF113" s="32"/>
      <c r="TG113" s="32"/>
      <c r="TH113" s="32"/>
      <c r="TI113" s="32"/>
      <c r="TJ113" s="32"/>
      <c r="TK113" s="32"/>
      <c r="TL113" s="32"/>
      <c r="TM113" s="32"/>
      <c r="TN113" s="32"/>
      <c r="TO113" s="32"/>
      <c r="TP113" s="32"/>
      <c r="TQ113" s="32"/>
      <c r="TR113" s="32"/>
      <c r="TS113" s="32"/>
    </row>
    <row r="114" spans="1:539" s="34" customFormat="1" ht="30.75" customHeight="1" x14ac:dyDescent="0.25">
      <c r="A114" s="98" t="s">
        <v>172</v>
      </c>
      <c r="B114" s="111"/>
      <c r="C114" s="111"/>
      <c r="D114" s="79" t="s">
        <v>474</v>
      </c>
      <c r="E114" s="100">
        <f>E122+E123+E128+E130+E132+E134+E137+E138+E139+E140+E141+E143+E145+E146+E127</f>
        <v>81224821</v>
      </c>
      <c r="F114" s="100">
        <f t="shared" ref="F114:L114" si="48">F122+F123+F128+F130+F132+F134+F137+F138+F139+F140+F141+F143+F145+F146+F127</f>
        <v>81224821</v>
      </c>
      <c r="G114" s="100">
        <f t="shared" si="48"/>
        <v>4343800</v>
      </c>
      <c r="H114" s="100">
        <f t="shared" si="48"/>
        <v>78600</v>
      </c>
      <c r="I114" s="100">
        <f t="shared" si="48"/>
        <v>0</v>
      </c>
      <c r="J114" s="100">
        <f t="shared" si="48"/>
        <v>43395150.950000003</v>
      </c>
      <c r="K114" s="100">
        <f t="shared" si="48"/>
        <v>2034370.38</v>
      </c>
      <c r="L114" s="100">
        <f t="shared" si="48"/>
        <v>53351.539999999994</v>
      </c>
      <c r="M114" s="157">
        <f t="shared" si="36"/>
        <v>53.4259730163025</v>
      </c>
      <c r="N114" s="100">
        <f t="shared" ref="N114:AB114" si="49">N122+N123+N128+N130+N132+N134+N137+N138+N139+N140+N141+N143+N145+N146+N127</f>
        <v>113468090.53999999</v>
      </c>
      <c r="O114" s="100">
        <f t="shared" si="49"/>
        <v>113468090.53999999</v>
      </c>
      <c r="P114" s="100">
        <f t="shared" si="49"/>
        <v>0</v>
      </c>
      <c r="Q114" s="100">
        <f t="shared" si="49"/>
        <v>0</v>
      </c>
      <c r="R114" s="100">
        <f t="shared" si="49"/>
        <v>0</v>
      </c>
      <c r="S114" s="100">
        <f t="shared" si="49"/>
        <v>113468090.53999999</v>
      </c>
      <c r="T114" s="100">
        <f t="shared" si="49"/>
        <v>71788118.409999996</v>
      </c>
      <c r="U114" s="100">
        <f t="shared" si="49"/>
        <v>71741966.089999989</v>
      </c>
      <c r="V114" s="100">
        <f t="shared" si="49"/>
        <v>46152.32</v>
      </c>
      <c r="W114" s="100">
        <f t="shared" si="49"/>
        <v>0</v>
      </c>
      <c r="X114" s="100">
        <f t="shared" si="49"/>
        <v>0</v>
      </c>
      <c r="Y114" s="100">
        <f t="shared" si="49"/>
        <v>71741966.089999989</v>
      </c>
      <c r="Z114" s="157">
        <f t="shared" si="41"/>
        <v>63.267230521247832</v>
      </c>
      <c r="AA114" s="100">
        <f t="shared" si="49"/>
        <v>115183269.36</v>
      </c>
      <c r="AB114" s="100">
        <f t="shared" si="49"/>
        <v>194692911.53999999</v>
      </c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  <c r="TH114" s="33"/>
      <c r="TI114" s="33"/>
      <c r="TJ114" s="33"/>
      <c r="TK114" s="33"/>
      <c r="TL114" s="33"/>
      <c r="TM114" s="33"/>
      <c r="TN114" s="33"/>
      <c r="TO114" s="33"/>
      <c r="TP114" s="33"/>
      <c r="TQ114" s="33"/>
      <c r="TR114" s="33"/>
      <c r="TS114" s="33"/>
    </row>
    <row r="115" spans="1:539" s="34" customFormat="1" ht="31.5" hidden="1" customHeight="1" x14ac:dyDescent="0.25">
      <c r="A115" s="98"/>
      <c r="B115" s="111"/>
      <c r="C115" s="111"/>
      <c r="D115" s="79" t="s">
        <v>392</v>
      </c>
      <c r="E115" s="100">
        <f>E124+E129+E131</f>
        <v>0</v>
      </c>
      <c r="F115" s="100">
        <f t="shared" ref="F115:L115" si="50">F124+F129+F131</f>
        <v>0</v>
      </c>
      <c r="G115" s="100">
        <f t="shared" si="50"/>
        <v>0</v>
      </c>
      <c r="H115" s="100">
        <f t="shared" si="50"/>
        <v>0</v>
      </c>
      <c r="I115" s="100">
        <f t="shared" si="50"/>
        <v>0</v>
      </c>
      <c r="J115" s="100">
        <f t="shared" si="50"/>
        <v>0</v>
      </c>
      <c r="K115" s="100">
        <f t="shared" si="50"/>
        <v>0</v>
      </c>
      <c r="L115" s="100">
        <f t="shared" si="50"/>
        <v>0</v>
      </c>
      <c r="M115" s="157" t="e">
        <f t="shared" si="36"/>
        <v>#DIV/0!</v>
      </c>
      <c r="N115" s="100">
        <f t="shared" ref="N115:AB115" si="51">N124+N129+N131</f>
        <v>0</v>
      </c>
      <c r="O115" s="100">
        <f t="shared" si="51"/>
        <v>0</v>
      </c>
      <c r="P115" s="100">
        <f t="shared" si="51"/>
        <v>0</v>
      </c>
      <c r="Q115" s="100">
        <f t="shared" si="51"/>
        <v>0</v>
      </c>
      <c r="R115" s="100">
        <f t="shared" si="51"/>
        <v>0</v>
      </c>
      <c r="S115" s="100">
        <f t="shared" si="51"/>
        <v>0</v>
      </c>
      <c r="T115" s="100">
        <f t="shared" si="51"/>
        <v>0</v>
      </c>
      <c r="U115" s="100">
        <f t="shared" si="51"/>
        <v>0</v>
      </c>
      <c r="V115" s="100">
        <f t="shared" si="51"/>
        <v>0</v>
      </c>
      <c r="W115" s="100">
        <f t="shared" si="51"/>
        <v>0</v>
      </c>
      <c r="X115" s="100">
        <f t="shared" si="51"/>
        <v>0</v>
      </c>
      <c r="Y115" s="100">
        <f t="shared" si="51"/>
        <v>0</v>
      </c>
      <c r="Z115" s="157" t="e">
        <f t="shared" si="41"/>
        <v>#DIV/0!</v>
      </c>
      <c r="AA115" s="100">
        <f t="shared" si="51"/>
        <v>0</v>
      </c>
      <c r="AB115" s="100">
        <f t="shared" si="51"/>
        <v>0</v>
      </c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  <c r="TS115" s="33"/>
    </row>
    <row r="116" spans="1:539" s="34" customFormat="1" ht="63" hidden="1" customHeight="1" x14ac:dyDescent="0.25">
      <c r="A116" s="98"/>
      <c r="B116" s="111"/>
      <c r="C116" s="111"/>
      <c r="D116" s="79" t="s">
        <v>390</v>
      </c>
      <c r="E116" s="100">
        <f>E142</f>
        <v>0</v>
      </c>
      <c r="F116" s="100">
        <f t="shared" ref="F116:L116" si="52">F142</f>
        <v>0</v>
      </c>
      <c r="G116" s="100">
        <f t="shared" si="52"/>
        <v>0</v>
      </c>
      <c r="H116" s="100">
        <f t="shared" si="52"/>
        <v>0</v>
      </c>
      <c r="I116" s="100">
        <f t="shared" si="52"/>
        <v>0</v>
      </c>
      <c r="J116" s="100">
        <f t="shared" si="52"/>
        <v>0</v>
      </c>
      <c r="K116" s="100">
        <f t="shared" si="52"/>
        <v>0</v>
      </c>
      <c r="L116" s="100">
        <f t="shared" si="52"/>
        <v>0</v>
      </c>
      <c r="M116" s="157" t="e">
        <f t="shared" si="36"/>
        <v>#DIV/0!</v>
      </c>
      <c r="N116" s="100">
        <f t="shared" ref="N116:AB116" si="53">N142</f>
        <v>156000</v>
      </c>
      <c r="O116" s="100">
        <f t="shared" si="53"/>
        <v>156000</v>
      </c>
      <c r="P116" s="100">
        <f t="shared" si="53"/>
        <v>0</v>
      </c>
      <c r="Q116" s="100">
        <f t="shared" si="53"/>
        <v>0</v>
      </c>
      <c r="R116" s="100">
        <f t="shared" si="53"/>
        <v>0</v>
      </c>
      <c r="S116" s="100">
        <f t="shared" si="53"/>
        <v>156000</v>
      </c>
      <c r="T116" s="100">
        <f t="shared" si="53"/>
        <v>0</v>
      </c>
      <c r="U116" s="100">
        <f t="shared" si="53"/>
        <v>0</v>
      </c>
      <c r="V116" s="100">
        <f t="shared" si="53"/>
        <v>0</v>
      </c>
      <c r="W116" s="100">
        <f t="shared" si="53"/>
        <v>0</v>
      </c>
      <c r="X116" s="100">
        <f t="shared" si="53"/>
        <v>0</v>
      </c>
      <c r="Y116" s="100">
        <f t="shared" si="53"/>
        <v>0</v>
      </c>
      <c r="Z116" s="157">
        <f t="shared" si="41"/>
        <v>0</v>
      </c>
      <c r="AA116" s="100">
        <f t="shared" si="53"/>
        <v>0</v>
      </c>
      <c r="AB116" s="100">
        <f t="shared" si="53"/>
        <v>156000</v>
      </c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  <c r="TS116" s="33"/>
    </row>
    <row r="117" spans="1:539" s="34" customFormat="1" ht="47.25" hidden="1" customHeight="1" x14ac:dyDescent="0.25">
      <c r="A117" s="98"/>
      <c r="B117" s="111"/>
      <c r="C117" s="111"/>
      <c r="D117" s="79" t="s">
        <v>393</v>
      </c>
      <c r="E117" s="100">
        <f>E125+E135</f>
        <v>0</v>
      </c>
      <c r="F117" s="100">
        <f t="shared" ref="F117:L117" si="54">F125+F135</f>
        <v>0</v>
      </c>
      <c r="G117" s="100">
        <f t="shared" si="54"/>
        <v>0</v>
      </c>
      <c r="H117" s="100">
        <f t="shared" si="54"/>
        <v>0</v>
      </c>
      <c r="I117" s="100">
        <f t="shared" si="54"/>
        <v>0</v>
      </c>
      <c r="J117" s="100">
        <f t="shared" si="54"/>
        <v>0</v>
      </c>
      <c r="K117" s="100">
        <f t="shared" si="54"/>
        <v>0</v>
      </c>
      <c r="L117" s="100">
        <f t="shared" si="54"/>
        <v>0</v>
      </c>
      <c r="M117" s="157" t="e">
        <f t="shared" si="36"/>
        <v>#DIV/0!</v>
      </c>
      <c r="N117" s="100">
        <f t="shared" ref="N117:AB117" si="55">N125+N135</f>
        <v>0</v>
      </c>
      <c r="O117" s="100">
        <f t="shared" si="55"/>
        <v>0</v>
      </c>
      <c r="P117" s="100">
        <f t="shared" si="55"/>
        <v>0</v>
      </c>
      <c r="Q117" s="100">
        <f t="shared" si="55"/>
        <v>0</v>
      </c>
      <c r="R117" s="100">
        <f t="shared" si="55"/>
        <v>0</v>
      </c>
      <c r="S117" s="100">
        <f t="shared" si="55"/>
        <v>0</v>
      </c>
      <c r="T117" s="100">
        <f t="shared" si="55"/>
        <v>0</v>
      </c>
      <c r="U117" s="100">
        <f t="shared" si="55"/>
        <v>0</v>
      </c>
      <c r="V117" s="100">
        <f t="shared" si="55"/>
        <v>0</v>
      </c>
      <c r="W117" s="100">
        <f t="shared" si="55"/>
        <v>0</v>
      </c>
      <c r="X117" s="100">
        <f t="shared" si="55"/>
        <v>0</v>
      </c>
      <c r="Y117" s="100">
        <f t="shared" si="55"/>
        <v>0</v>
      </c>
      <c r="Z117" s="157" t="e">
        <f t="shared" si="41"/>
        <v>#DIV/0!</v>
      </c>
      <c r="AA117" s="100">
        <f t="shared" si="55"/>
        <v>0</v>
      </c>
      <c r="AB117" s="100">
        <f t="shared" si="55"/>
        <v>0</v>
      </c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  <c r="TH117" s="33"/>
      <c r="TI117" s="33"/>
      <c r="TJ117" s="33"/>
      <c r="TK117" s="33"/>
      <c r="TL117" s="33"/>
      <c r="TM117" s="33"/>
      <c r="TN117" s="33"/>
      <c r="TO117" s="33"/>
      <c r="TP117" s="33"/>
      <c r="TQ117" s="33"/>
      <c r="TR117" s="33"/>
      <c r="TS117" s="33"/>
    </row>
    <row r="118" spans="1:539" s="34" customFormat="1" ht="15.75" hidden="1" customHeight="1" x14ac:dyDescent="0.25">
      <c r="A118" s="98"/>
      <c r="B118" s="111"/>
      <c r="C118" s="111"/>
      <c r="D118" s="79" t="s">
        <v>395</v>
      </c>
      <c r="E118" s="100">
        <f>E126</f>
        <v>0</v>
      </c>
      <c r="F118" s="100">
        <f t="shared" ref="F118:L118" si="56">F126</f>
        <v>0</v>
      </c>
      <c r="G118" s="100">
        <f t="shared" si="56"/>
        <v>0</v>
      </c>
      <c r="H118" s="100">
        <f t="shared" si="56"/>
        <v>0</v>
      </c>
      <c r="I118" s="100">
        <f t="shared" si="56"/>
        <v>0</v>
      </c>
      <c r="J118" s="100">
        <f t="shared" si="56"/>
        <v>0</v>
      </c>
      <c r="K118" s="100">
        <f t="shared" si="56"/>
        <v>0</v>
      </c>
      <c r="L118" s="100">
        <f t="shared" si="56"/>
        <v>0</v>
      </c>
      <c r="M118" s="157" t="e">
        <f t="shared" si="36"/>
        <v>#DIV/0!</v>
      </c>
      <c r="N118" s="100">
        <f t="shared" ref="N118:AB118" si="57">N126</f>
        <v>0</v>
      </c>
      <c r="O118" s="100">
        <f t="shared" si="57"/>
        <v>0</v>
      </c>
      <c r="P118" s="100">
        <f t="shared" si="57"/>
        <v>0</v>
      </c>
      <c r="Q118" s="100">
        <f t="shared" si="57"/>
        <v>0</v>
      </c>
      <c r="R118" s="100">
        <f t="shared" si="57"/>
        <v>0</v>
      </c>
      <c r="S118" s="100">
        <f t="shared" si="57"/>
        <v>0</v>
      </c>
      <c r="T118" s="100">
        <f t="shared" si="57"/>
        <v>0</v>
      </c>
      <c r="U118" s="100">
        <f t="shared" si="57"/>
        <v>0</v>
      </c>
      <c r="V118" s="100">
        <f t="shared" si="57"/>
        <v>0</v>
      </c>
      <c r="W118" s="100">
        <f t="shared" si="57"/>
        <v>0</v>
      </c>
      <c r="X118" s="100">
        <f t="shared" si="57"/>
        <v>0</v>
      </c>
      <c r="Y118" s="100">
        <f t="shared" si="57"/>
        <v>0</v>
      </c>
      <c r="Z118" s="157" t="e">
        <f t="shared" si="41"/>
        <v>#DIV/0!</v>
      </c>
      <c r="AA118" s="100">
        <f t="shared" si="57"/>
        <v>0</v>
      </c>
      <c r="AB118" s="100">
        <f t="shared" si="57"/>
        <v>0</v>
      </c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  <c r="TH118" s="33"/>
      <c r="TI118" s="33"/>
      <c r="TJ118" s="33"/>
      <c r="TK118" s="33"/>
      <c r="TL118" s="33"/>
      <c r="TM118" s="33"/>
      <c r="TN118" s="33"/>
      <c r="TO118" s="33"/>
      <c r="TP118" s="33"/>
      <c r="TQ118" s="33"/>
      <c r="TR118" s="33"/>
      <c r="TS118" s="33"/>
    </row>
    <row r="119" spans="1:539" s="34" customFormat="1" ht="63" x14ac:dyDescent="0.25">
      <c r="A119" s="98"/>
      <c r="B119" s="111"/>
      <c r="C119" s="111"/>
      <c r="D119" s="79" t="s">
        <v>394</v>
      </c>
      <c r="E119" s="100">
        <f>E133+E136</f>
        <v>7670800</v>
      </c>
      <c r="F119" s="100">
        <f t="shared" ref="F119:L119" si="58">F133+F136</f>
        <v>7670800</v>
      </c>
      <c r="G119" s="100">
        <f t="shared" si="58"/>
        <v>0</v>
      </c>
      <c r="H119" s="100">
        <f t="shared" si="58"/>
        <v>0</v>
      </c>
      <c r="I119" s="100">
        <f t="shared" si="58"/>
        <v>0</v>
      </c>
      <c r="J119" s="100">
        <f t="shared" si="58"/>
        <v>6076703.3700000001</v>
      </c>
      <c r="K119" s="100">
        <f t="shared" si="58"/>
        <v>0</v>
      </c>
      <c r="L119" s="100">
        <f t="shared" si="58"/>
        <v>0</v>
      </c>
      <c r="M119" s="157">
        <f t="shared" si="36"/>
        <v>79.218639124993487</v>
      </c>
      <c r="N119" s="100">
        <f t="shared" ref="N119:AB119" si="59">N133+N136</f>
        <v>0</v>
      </c>
      <c r="O119" s="100">
        <f t="shared" si="59"/>
        <v>0</v>
      </c>
      <c r="P119" s="100">
        <f t="shared" si="59"/>
        <v>0</v>
      </c>
      <c r="Q119" s="100">
        <f t="shared" si="59"/>
        <v>0</v>
      </c>
      <c r="R119" s="100">
        <f t="shared" si="59"/>
        <v>0</v>
      </c>
      <c r="S119" s="100">
        <f t="shared" si="59"/>
        <v>0</v>
      </c>
      <c r="T119" s="100">
        <f t="shared" si="59"/>
        <v>0</v>
      </c>
      <c r="U119" s="100">
        <f t="shared" si="59"/>
        <v>0</v>
      </c>
      <c r="V119" s="100">
        <f t="shared" si="59"/>
        <v>0</v>
      </c>
      <c r="W119" s="100">
        <f t="shared" si="59"/>
        <v>0</v>
      </c>
      <c r="X119" s="100">
        <f t="shared" si="59"/>
        <v>0</v>
      </c>
      <c r="Y119" s="100">
        <f t="shared" si="59"/>
        <v>0</v>
      </c>
      <c r="Z119" s="157"/>
      <c r="AA119" s="100">
        <f t="shared" si="59"/>
        <v>6076703.3700000001</v>
      </c>
      <c r="AB119" s="100">
        <f t="shared" si="59"/>
        <v>7670800</v>
      </c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</row>
    <row r="120" spans="1:539" s="34" customFormat="1" ht="49.5" customHeight="1" x14ac:dyDescent="0.25">
      <c r="A120" s="98"/>
      <c r="B120" s="111"/>
      <c r="C120" s="111"/>
      <c r="D120" s="79" t="s">
        <v>566</v>
      </c>
      <c r="E120" s="100">
        <f>E142</f>
        <v>0</v>
      </c>
      <c r="F120" s="100">
        <f t="shared" ref="F120:L120" si="60">F142</f>
        <v>0</v>
      </c>
      <c r="G120" s="100">
        <f t="shared" si="60"/>
        <v>0</v>
      </c>
      <c r="H120" s="100">
        <f t="shared" si="60"/>
        <v>0</v>
      </c>
      <c r="I120" s="100">
        <f t="shared" si="60"/>
        <v>0</v>
      </c>
      <c r="J120" s="100">
        <f t="shared" si="60"/>
        <v>0</v>
      </c>
      <c r="K120" s="100">
        <f t="shared" si="60"/>
        <v>0</v>
      </c>
      <c r="L120" s="100">
        <f t="shared" si="60"/>
        <v>0</v>
      </c>
      <c r="M120" s="157"/>
      <c r="N120" s="100">
        <f t="shared" ref="N120:AB120" si="61">N142</f>
        <v>156000</v>
      </c>
      <c r="O120" s="100">
        <f t="shared" si="61"/>
        <v>156000</v>
      </c>
      <c r="P120" s="100">
        <f t="shared" si="61"/>
        <v>0</v>
      </c>
      <c r="Q120" s="100">
        <f t="shared" si="61"/>
        <v>0</v>
      </c>
      <c r="R120" s="100">
        <f t="shared" si="61"/>
        <v>0</v>
      </c>
      <c r="S120" s="100">
        <f t="shared" si="61"/>
        <v>156000</v>
      </c>
      <c r="T120" s="100">
        <f t="shared" si="61"/>
        <v>0</v>
      </c>
      <c r="U120" s="100">
        <f t="shared" si="61"/>
        <v>0</v>
      </c>
      <c r="V120" s="100">
        <f t="shared" si="61"/>
        <v>0</v>
      </c>
      <c r="W120" s="100">
        <f t="shared" si="61"/>
        <v>0</v>
      </c>
      <c r="X120" s="100">
        <f t="shared" si="61"/>
        <v>0</v>
      </c>
      <c r="Y120" s="100">
        <f t="shared" si="61"/>
        <v>0</v>
      </c>
      <c r="Z120" s="157">
        <f t="shared" si="41"/>
        <v>0</v>
      </c>
      <c r="AA120" s="100">
        <f t="shared" si="61"/>
        <v>0</v>
      </c>
      <c r="AB120" s="100">
        <f t="shared" si="61"/>
        <v>156000</v>
      </c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</row>
    <row r="121" spans="1:539" s="34" customFormat="1" ht="15.75" x14ac:dyDescent="0.25">
      <c r="A121" s="98"/>
      <c r="B121" s="111"/>
      <c r="C121" s="111"/>
      <c r="D121" s="85" t="s">
        <v>421</v>
      </c>
      <c r="E121" s="100">
        <f>E144</f>
        <v>0</v>
      </c>
      <c r="F121" s="100">
        <f t="shared" ref="F121:L121" si="62">F144</f>
        <v>0</v>
      </c>
      <c r="G121" s="100">
        <f t="shared" si="62"/>
        <v>0</v>
      </c>
      <c r="H121" s="100">
        <f t="shared" si="62"/>
        <v>0</v>
      </c>
      <c r="I121" s="100">
        <f t="shared" si="62"/>
        <v>0</v>
      </c>
      <c r="J121" s="100">
        <f t="shared" si="62"/>
        <v>0</v>
      </c>
      <c r="K121" s="100">
        <f t="shared" si="62"/>
        <v>0</v>
      </c>
      <c r="L121" s="100">
        <f t="shared" si="62"/>
        <v>0</v>
      </c>
      <c r="M121" s="157"/>
      <c r="N121" s="100">
        <f t="shared" ref="N121:AB121" si="63">N144</f>
        <v>4662070.12</v>
      </c>
      <c r="O121" s="100">
        <f t="shared" si="63"/>
        <v>4662070.12</v>
      </c>
      <c r="P121" s="100">
        <f t="shared" si="63"/>
        <v>0</v>
      </c>
      <c r="Q121" s="100">
        <f t="shared" si="63"/>
        <v>0</v>
      </c>
      <c r="R121" s="100">
        <f t="shared" si="63"/>
        <v>0</v>
      </c>
      <c r="S121" s="100">
        <f t="shared" si="63"/>
        <v>4662070.12</v>
      </c>
      <c r="T121" s="100">
        <f t="shared" si="63"/>
        <v>2343525.58</v>
      </c>
      <c r="U121" s="100">
        <f t="shared" si="63"/>
        <v>2343525.58</v>
      </c>
      <c r="V121" s="100">
        <f t="shared" si="63"/>
        <v>0</v>
      </c>
      <c r="W121" s="100">
        <f t="shared" si="63"/>
        <v>0</v>
      </c>
      <c r="X121" s="100">
        <f t="shared" si="63"/>
        <v>0</v>
      </c>
      <c r="Y121" s="100">
        <f t="shared" si="63"/>
        <v>0</v>
      </c>
      <c r="Z121" s="157">
        <f t="shared" si="41"/>
        <v>50.267917892234536</v>
      </c>
      <c r="AA121" s="100">
        <f t="shared" si="63"/>
        <v>2343525.58</v>
      </c>
      <c r="AB121" s="100">
        <f t="shared" si="63"/>
        <v>4662070.12</v>
      </c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</row>
    <row r="122" spans="1:539" s="22" customFormat="1" ht="48" customHeight="1" x14ac:dyDescent="0.25">
      <c r="A122" s="60" t="s">
        <v>173</v>
      </c>
      <c r="B122" s="95" t="str">
        <f>'дод 5'!A21</f>
        <v>0160</v>
      </c>
      <c r="C122" s="95" t="str">
        <f>'дод 5'!B21</f>
        <v>0111</v>
      </c>
      <c r="D122" s="36" t="s">
        <v>502</v>
      </c>
      <c r="E122" s="101">
        <f t="shared" ref="E122:E146" si="64">F122+I122</f>
        <v>2550200</v>
      </c>
      <c r="F122" s="101">
        <f>2547700+2500</f>
        <v>2550200</v>
      </c>
      <c r="G122" s="101">
        <v>1956200</v>
      </c>
      <c r="H122" s="101">
        <v>29900</v>
      </c>
      <c r="I122" s="101"/>
      <c r="J122" s="101">
        <v>1096001.1100000001</v>
      </c>
      <c r="K122" s="101">
        <v>840687.19</v>
      </c>
      <c r="L122" s="101">
        <v>22536.01</v>
      </c>
      <c r="M122" s="157">
        <f t="shared" si="36"/>
        <v>42.977064936083451</v>
      </c>
      <c r="N122" s="101">
        <f>P122+S122</f>
        <v>600000</v>
      </c>
      <c r="O122" s="101">
        <v>600000</v>
      </c>
      <c r="P122" s="101"/>
      <c r="Q122" s="101"/>
      <c r="R122" s="101"/>
      <c r="S122" s="101">
        <v>600000</v>
      </c>
      <c r="T122" s="97">
        <f t="shared" si="38"/>
        <v>622990</v>
      </c>
      <c r="U122" s="101">
        <v>598000</v>
      </c>
      <c r="V122" s="101">
        <v>24990</v>
      </c>
      <c r="W122" s="101"/>
      <c r="X122" s="101"/>
      <c r="Y122" s="101">
        <v>598000</v>
      </c>
      <c r="Z122" s="157">
        <f t="shared" si="41"/>
        <v>103.83166666666668</v>
      </c>
      <c r="AA122" s="97">
        <f t="shared" si="39"/>
        <v>1718991.11</v>
      </c>
      <c r="AB122" s="101">
        <f t="shared" ref="AB122:AB146" si="65">E122+N122</f>
        <v>3150200</v>
      </c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  <c r="TH122" s="23"/>
      <c r="TI122" s="23"/>
      <c r="TJ122" s="23"/>
      <c r="TK122" s="23"/>
      <c r="TL122" s="23"/>
      <c r="TM122" s="23"/>
      <c r="TN122" s="23"/>
      <c r="TO122" s="23"/>
      <c r="TP122" s="23"/>
      <c r="TQ122" s="23"/>
      <c r="TR122" s="23"/>
      <c r="TS122" s="23"/>
    </row>
    <row r="123" spans="1:539" s="22" customFormat="1" ht="33" customHeight="1" x14ac:dyDescent="0.25">
      <c r="A123" s="60" t="s">
        <v>174</v>
      </c>
      <c r="B123" s="95" t="str">
        <f>'дод 5'!A73</f>
        <v>2010</v>
      </c>
      <c r="C123" s="95" t="str">
        <f>'дод 5'!B73</f>
        <v>0731</v>
      </c>
      <c r="D123" s="6" t="s">
        <v>466</v>
      </c>
      <c r="E123" s="101">
        <f t="shared" si="64"/>
        <v>34393521</v>
      </c>
      <c r="F123" s="101">
        <v>34393521</v>
      </c>
      <c r="G123" s="101"/>
      <c r="H123" s="101"/>
      <c r="I123" s="115"/>
      <c r="J123" s="101">
        <v>18852579.190000001</v>
      </c>
      <c r="K123" s="101"/>
      <c r="L123" s="101"/>
      <c r="M123" s="157">
        <f t="shared" si="36"/>
        <v>54.814333170482897</v>
      </c>
      <c r="N123" s="101">
        <f t="shared" ref="N123:N146" si="66">P123+S123</f>
        <v>38610682.82</v>
      </c>
      <c r="O123" s="101">
        <v>38610682.82</v>
      </c>
      <c r="P123" s="101"/>
      <c r="Q123" s="101"/>
      <c r="R123" s="101"/>
      <c r="S123" s="101">
        <v>38610682.82</v>
      </c>
      <c r="T123" s="97">
        <f t="shared" si="38"/>
        <v>37283260</v>
      </c>
      <c r="U123" s="101">
        <v>37283260</v>
      </c>
      <c r="V123" s="101"/>
      <c r="W123" s="101"/>
      <c r="X123" s="101"/>
      <c r="Y123" s="101">
        <v>37283260</v>
      </c>
      <c r="Z123" s="157">
        <f t="shared" si="41"/>
        <v>96.562032258822398</v>
      </c>
      <c r="AA123" s="97">
        <f t="shared" si="39"/>
        <v>56135839.189999998</v>
      </c>
      <c r="AB123" s="101">
        <f t="shared" si="65"/>
        <v>73004203.819999993</v>
      </c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  <c r="TI123" s="23"/>
      <c r="TJ123" s="23"/>
      <c r="TK123" s="23"/>
      <c r="TL123" s="23"/>
      <c r="TM123" s="23"/>
      <c r="TN123" s="23"/>
      <c r="TO123" s="23"/>
      <c r="TP123" s="23"/>
      <c r="TQ123" s="23"/>
      <c r="TR123" s="23"/>
      <c r="TS123" s="23"/>
    </row>
    <row r="124" spans="1:539" s="24" customFormat="1" ht="30" hidden="1" customHeight="1" x14ac:dyDescent="0.25">
      <c r="A124" s="86"/>
      <c r="B124" s="113"/>
      <c r="C124" s="113"/>
      <c r="D124" s="89" t="s">
        <v>392</v>
      </c>
      <c r="E124" s="103">
        <f t="shared" si="64"/>
        <v>0</v>
      </c>
      <c r="F124" s="103"/>
      <c r="G124" s="103"/>
      <c r="H124" s="103"/>
      <c r="I124" s="116"/>
      <c r="J124" s="103"/>
      <c r="K124" s="103"/>
      <c r="L124" s="103"/>
      <c r="M124" s="157" t="e">
        <f t="shared" si="36"/>
        <v>#DIV/0!</v>
      </c>
      <c r="N124" s="103">
        <f t="shared" si="66"/>
        <v>0</v>
      </c>
      <c r="O124" s="103"/>
      <c r="P124" s="103"/>
      <c r="Q124" s="103"/>
      <c r="R124" s="103"/>
      <c r="S124" s="103"/>
      <c r="T124" s="97">
        <f t="shared" si="38"/>
        <v>0</v>
      </c>
      <c r="U124" s="103"/>
      <c r="V124" s="103"/>
      <c r="W124" s="103"/>
      <c r="X124" s="103"/>
      <c r="Y124" s="103"/>
      <c r="Z124" s="157" t="e">
        <f t="shared" si="41"/>
        <v>#DIV/0!</v>
      </c>
      <c r="AA124" s="97">
        <f t="shared" si="39"/>
        <v>0</v>
      </c>
      <c r="AB124" s="103">
        <f t="shared" si="65"/>
        <v>0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  <c r="TH124" s="30"/>
      <c r="TI124" s="30"/>
      <c r="TJ124" s="30"/>
      <c r="TK124" s="30"/>
      <c r="TL124" s="30"/>
      <c r="TM124" s="30"/>
      <c r="TN124" s="30"/>
      <c r="TO124" s="30"/>
      <c r="TP124" s="30"/>
      <c r="TQ124" s="30"/>
      <c r="TR124" s="30"/>
      <c r="TS124" s="30"/>
    </row>
    <row r="125" spans="1:539" s="24" customFormat="1" ht="45" hidden="1" customHeight="1" x14ac:dyDescent="0.25">
      <c r="A125" s="86"/>
      <c r="B125" s="113"/>
      <c r="C125" s="113"/>
      <c r="D125" s="89" t="s">
        <v>393</v>
      </c>
      <c r="E125" s="103">
        <f t="shared" si="64"/>
        <v>0</v>
      </c>
      <c r="F125" s="103"/>
      <c r="G125" s="103"/>
      <c r="H125" s="103"/>
      <c r="I125" s="103"/>
      <c r="J125" s="103"/>
      <c r="K125" s="103"/>
      <c r="L125" s="103"/>
      <c r="M125" s="157" t="e">
        <f t="shared" si="36"/>
        <v>#DIV/0!</v>
      </c>
      <c r="N125" s="103">
        <f t="shared" si="66"/>
        <v>0</v>
      </c>
      <c r="O125" s="103"/>
      <c r="P125" s="103"/>
      <c r="Q125" s="103"/>
      <c r="R125" s="103"/>
      <c r="S125" s="103"/>
      <c r="T125" s="97">
        <f t="shared" si="38"/>
        <v>0</v>
      </c>
      <c r="U125" s="103"/>
      <c r="V125" s="103"/>
      <c r="W125" s="103"/>
      <c r="X125" s="103"/>
      <c r="Y125" s="103"/>
      <c r="Z125" s="157" t="e">
        <f t="shared" si="41"/>
        <v>#DIV/0!</v>
      </c>
      <c r="AA125" s="97">
        <f t="shared" si="39"/>
        <v>0</v>
      </c>
      <c r="AB125" s="103">
        <f t="shared" si="65"/>
        <v>0</v>
      </c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  <c r="TH125" s="30"/>
      <c r="TI125" s="30"/>
      <c r="TJ125" s="30"/>
      <c r="TK125" s="30"/>
      <c r="TL125" s="30"/>
      <c r="TM125" s="30"/>
      <c r="TN125" s="30"/>
      <c r="TO125" s="30"/>
      <c r="TP125" s="30"/>
      <c r="TQ125" s="30"/>
      <c r="TR125" s="30"/>
      <c r="TS125" s="30"/>
    </row>
    <row r="126" spans="1:539" s="24" customFormat="1" ht="15" hidden="1" customHeight="1" x14ac:dyDescent="0.25">
      <c r="A126" s="86"/>
      <c r="B126" s="113"/>
      <c r="C126" s="113"/>
      <c r="D126" s="89" t="s">
        <v>395</v>
      </c>
      <c r="E126" s="103">
        <f t="shared" si="64"/>
        <v>0</v>
      </c>
      <c r="F126" s="103"/>
      <c r="G126" s="103"/>
      <c r="H126" s="103"/>
      <c r="I126" s="116"/>
      <c r="J126" s="103"/>
      <c r="K126" s="103"/>
      <c r="L126" s="103"/>
      <c r="M126" s="157" t="e">
        <f t="shared" si="36"/>
        <v>#DIV/0!</v>
      </c>
      <c r="N126" s="103">
        <f t="shared" si="66"/>
        <v>0</v>
      </c>
      <c r="O126" s="103"/>
      <c r="P126" s="103"/>
      <c r="Q126" s="103"/>
      <c r="R126" s="103"/>
      <c r="S126" s="103"/>
      <c r="T126" s="97">
        <f t="shared" si="38"/>
        <v>0</v>
      </c>
      <c r="U126" s="103"/>
      <c r="V126" s="103"/>
      <c r="W126" s="103"/>
      <c r="X126" s="103"/>
      <c r="Y126" s="103"/>
      <c r="Z126" s="157" t="e">
        <f t="shared" si="41"/>
        <v>#DIV/0!</v>
      </c>
      <c r="AA126" s="97">
        <f t="shared" si="39"/>
        <v>0</v>
      </c>
      <c r="AB126" s="103">
        <f t="shared" si="65"/>
        <v>0</v>
      </c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  <c r="TI126" s="30"/>
      <c r="TJ126" s="30"/>
      <c r="TK126" s="30"/>
      <c r="TL126" s="30"/>
      <c r="TM126" s="30"/>
      <c r="TN126" s="30"/>
      <c r="TO126" s="30"/>
      <c r="TP126" s="30"/>
      <c r="TQ126" s="30"/>
      <c r="TR126" s="30"/>
      <c r="TS126" s="30"/>
    </row>
    <row r="127" spans="1:539" s="22" customFormat="1" ht="30" hidden="1" customHeight="1" x14ac:dyDescent="0.25">
      <c r="A127" s="60" t="s">
        <v>451</v>
      </c>
      <c r="B127" s="95">
        <v>2020</v>
      </c>
      <c r="C127" s="60" t="s">
        <v>452</v>
      </c>
      <c r="D127" s="61" t="str">
        <f>'дод 5'!C77</f>
        <v xml:space="preserve"> Спеціалізована стаціонарна медична допомога населенню</v>
      </c>
      <c r="E127" s="101">
        <f t="shared" si="64"/>
        <v>0</v>
      </c>
      <c r="F127" s="101"/>
      <c r="G127" s="115"/>
      <c r="H127" s="115"/>
      <c r="I127" s="115"/>
      <c r="J127" s="101"/>
      <c r="K127" s="101"/>
      <c r="L127" s="101"/>
      <c r="M127" s="157" t="e">
        <f t="shared" si="36"/>
        <v>#DIV/0!</v>
      </c>
      <c r="N127" s="101">
        <f t="shared" si="66"/>
        <v>0</v>
      </c>
      <c r="O127" s="101"/>
      <c r="P127" s="101"/>
      <c r="Q127" s="101"/>
      <c r="R127" s="101"/>
      <c r="S127" s="101"/>
      <c r="T127" s="97">
        <f t="shared" si="38"/>
        <v>0</v>
      </c>
      <c r="U127" s="101"/>
      <c r="V127" s="101"/>
      <c r="W127" s="101"/>
      <c r="X127" s="101"/>
      <c r="Y127" s="101"/>
      <c r="Z127" s="157" t="e">
        <f t="shared" si="41"/>
        <v>#DIV/0!</v>
      </c>
      <c r="AA127" s="97">
        <f t="shared" si="39"/>
        <v>0</v>
      </c>
      <c r="AB127" s="101">
        <f t="shared" si="65"/>
        <v>0</v>
      </c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  <c r="TH127" s="23"/>
      <c r="TI127" s="23"/>
      <c r="TJ127" s="23"/>
      <c r="TK127" s="23"/>
      <c r="TL127" s="23"/>
      <c r="TM127" s="23"/>
      <c r="TN127" s="23"/>
      <c r="TO127" s="23"/>
      <c r="TP127" s="23"/>
      <c r="TQ127" s="23"/>
      <c r="TR127" s="23"/>
      <c r="TS127" s="23"/>
    </row>
    <row r="128" spans="1:539" s="22" customFormat="1" ht="36.75" customHeight="1" x14ac:dyDescent="0.25">
      <c r="A128" s="60" t="s">
        <v>179</v>
      </c>
      <c r="B128" s="95" t="str">
        <f>'дод 5'!A78</f>
        <v>2030</v>
      </c>
      <c r="C128" s="95" t="str">
        <f>'дод 5'!B78</f>
        <v>0733</v>
      </c>
      <c r="D128" s="61" t="s">
        <v>467</v>
      </c>
      <c r="E128" s="101">
        <f t="shared" si="64"/>
        <v>3317600</v>
      </c>
      <c r="F128" s="101">
        <v>3317600</v>
      </c>
      <c r="G128" s="117"/>
      <c r="H128" s="117"/>
      <c r="I128" s="115"/>
      <c r="J128" s="101">
        <v>2168340.08</v>
      </c>
      <c r="K128" s="101"/>
      <c r="L128" s="101"/>
      <c r="M128" s="157">
        <f t="shared" si="36"/>
        <v>65.358695442488539</v>
      </c>
      <c r="N128" s="101">
        <f t="shared" si="66"/>
        <v>5100000</v>
      </c>
      <c r="O128" s="101">
        <v>5100000</v>
      </c>
      <c r="P128" s="101"/>
      <c r="Q128" s="101"/>
      <c r="R128" s="101"/>
      <c r="S128" s="101">
        <v>5100000</v>
      </c>
      <c r="T128" s="97">
        <f t="shared" si="38"/>
        <v>5092999.3</v>
      </c>
      <c r="U128" s="101">
        <v>5092999.3</v>
      </c>
      <c r="V128" s="101"/>
      <c r="W128" s="101"/>
      <c r="X128" s="101"/>
      <c r="Y128" s="101">
        <v>5092999.3</v>
      </c>
      <c r="Z128" s="157">
        <f t="shared" si="41"/>
        <v>99.862731372549021</v>
      </c>
      <c r="AA128" s="97">
        <f t="shared" si="39"/>
        <v>7261339.3799999999</v>
      </c>
      <c r="AB128" s="101">
        <f t="shared" si="65"/>
        <v>8417600</v>
      </c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  <c r="PA128" s="23"/>
      <c r="PB128" s="23"/>
      <c r="PC128" s="23"/>
      <c r="PD128" s="23"/>
      <c r="PE128" s="23"/>
      <c r="PF128" s="23"/>
      <c r="PG128" s="23"/>
      <c r="PH128" s="23"/>
      <c r="PI128" s="23"/>
      <c r="PJ128" s="23"/>
      <c r="PK128" s="23"/>
      <c r="PL128" s="23"/>
      <c r="PM128" s="23"/>
      <c r="PN128" s="23"/>
      <c r="PO128" s="23"/>
      <c r="PP128" s="23"/>
      <c r="PQ128" s="23"/>
      <c r="PR128" s="23"/>
      <c r="PS128" s="23"/>
      <c r="PT128" s="23"/>
      <c r="PU128" s="23"/>
      <c r="PV128" s="23"/>
      <c r="PW128" s="23"/>
      <c r="PX128" s="23"/>
      <c r="PY128" s="23"/>
      <c r="PZ128" s="23"/>
      <c r="QA128" s="23"/>
      <c r="QB128" s="23"/>
      <c r="QC128" s="23"/>
      <c r="QD128" s="23"/>
      <c r="QE128" s="23"/>
      <c r="QF128" s="23"/>
      <c r="QG128" s="23"/>
      <c r="QH128" s="23"/>
      <c r="QI128" s="23"/>
      <c r="QJ128" s="23"/>
      <c r="QK128" s="23"/>
      <c r="QL128" s="23"/>
      <c r="QM128" s="23"/>
      <c r="QN128" s="23"/>
      <c r="QO128" s="23"/>
      <c r="QP128" s="23"/>
      <c r="QQ128" s="23"/>
      <c r="QR128" s="23"/>
      <c r="QS128" s="23"/>
      <c r="QT128" s="23"/>
      <c r="QU128" s="23"/>
      <c r="QV128" s="23"/>
      <c r="QW128" s="23"/>
      <c r="QX128" s="23"/>
      <c r="QY128" s="23"/>
      <c r="QZ128" s="23"/>
      <c r="RA128" s="23"/>
      <c r="RB128" s="23"/>
      <c r="RC128" s="23"/>
      <c r="RD128" s="23"/>
      <c r="RE128" s="23"/>
      <c r="RF128" s="23"/>
      <c r="RG128" s="23"/>
      <c r="RH128" s="23"/>
      <c r="RI128" s="23"/>
      <c r="RJ128" s="23"/>
      <c r="RK128" s="23"/>
      <c r="RL128" s="23"/>
      <c r="RM128" s="23"/>
      <c r="RN128" s="23"/>
      <c r="RO128" s="23"/>
      <c r="RP128" s="23"/>
      <c r="RQ128" s="23"/>
      <c r="RR128" s="23"/>
      <c r="RS128" s="23"/>
      <c r="RT128" s="23"/>
      <c r="RU128" s="23"/>
      <c r="RV128" s="23"/>
      <c r="RW128" s="23"/>
      <c r="RX128" s="23"/>
      <c r="RY128" s="23"/>
      <c r="RZ128" s="23"/>
      <c r="SA128" s="23"/>
      <c r="SB128" s="23"/>
      <c r="SC128" s="23"/>
      <c r="SD128" s="23"/>
      <c r="SE128" s="23"/>
      <c r="SF128" s="23"/>
      <c r="SG128" s="23"/>
      <c r="SH128" s="23"/>
      <c r="SI128" s="23"/>
      <c r="SJ128" s="23"/>
      <c r="SK128" s="23"/>
      <c r="SL128" s="23"/>
      <c r="SM128" s="23"/>
      <c r="SN128" s="23"/>
      <c r="SO128" s="23"/>
      <c r="SP128" s="23"/>
      <c r="SQ128" s="23"/>
      <c r="SR128" s="23"/>
      <c r="SS128" s="23"/>
      <c r="ST128" s="23"/>
      <c r="SU128" s="23"/>
      <c r="SV128" s="23"/>
      <c r="SW128" s="23"/>
      <c r="SX128" s="23"/>
      <c r="SY128" s="23"/>
      <c r="SZ128" s="23"/>
      <c r="TA128" s="23"/>
      <c r="TB128" s="23"/>
      <c r="TC128" s="23"/>
      <c r="TD128" s="23"/>
      <c r="TE128" s="23"/>
      <c r="TF128" s="23"/>
      <c r="TG128" s="23"/>
      <c r="TH128" s="23"/>
      <c r="TI128" s="23"/>
      <c r="TJ128" s="23"/>
      <c r="TK128" s="23"/>
      <c r="TL128" s="23"/>
      <c r="TM128" s="23"/>
      <c r="TN128" s="23"/>
      <c r="TO128" s="23"/>
      <c r="TP128" s="23"/>
      <c r="TQ128" s="23"/>
      <c r="TR128" s="23"/>
      <c r="TS128" s="23"/>
    </row>
    <row r="129" spans="1:539" s="24" customFormat="1" ht="30" hidden="1" customHeight="1" x14ac:dyDescent="0.25">
      <c r="A129" s="86"/>
      <c r="B129" s="113"/>
      <c r="C129" s="113"/>
      <c r="D129" s="89" t="s">
        <v>392</v>
      </c>
      <c r="E129" s="103">
        <f t="shared" si="64"/>
        <v>0</v>
      </c>
      <c r="F129" s="103"/>
      <c r="G129" s="116"/>
      <c r="H129" s="116"/>
      <c r="I129" s="116"/>
      <c r="J129" s="103"/>
      <c r="K129" s="103"/>
      <c r="L129" s="103"/>
      <c r="M129" s="157" t="e">
        <f t="shared" si="36"/>
        <v>#DIV/0!</v>
      </c>
      <c r="N129" s="103"/>
      <c r="O129" s="103"/>
      <c r="P129" s="103"/>
      <c r="Q129" s="103"/>
      <c r="R129" s="103"/>
      <c r="S129" s="103"/>
      <c r="T129" s="97">
        <f t="shared" si="38"/>
        <v>0</v>
      </c>
      <c r="U129" s="103"/>
      <c r="V129" s="103"/>
      <c r="W129" s="103"/>
      <c r="X129" s="103"/>
      <c r="Y129" s="103"/>
      <c r="Z129" s="157" t="e">
        <f t="shared" si="41"/>
        <v>#DIV/0!</v>
      </c>
      <c r="AA129" s="97">
        <f t="shared" si="39"/>
        <v>0</v>
      </c>
      <c r="AB129" s="103">
        <f t="shared" si="65"/>
        <v>0</v>
      </c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  <c r="TF129" s="30"/>
      <c r="TG129" s="30"/>
      <c r="TH129" s="30"/>
      <c r="TI129" s="30"/>
      <c r="TJ129" s="30"/>
      <c r="TK129" s="30"/>
      <c r="TL129" s="30"/>
      <c r="TM129" s="30"/>
      <c r="TN129" s="30"/>
      <c r="TO129" s="30"/>
      <c r="TP129" s="30"/>
      <c r="TQ129" s="30"/>
      <c r="TR129" s="30"/>
      <c r="TS129" s="30"/>
    </row>
    <row r="130" spans="1:539" s="22" customFormat="1" ht="24" customHeight="1" x14ac:dyDescent="0.25">
      <c r="A130" s="60" t="s">
        <v>178</v>
      </c>
      <c r="B130" s="95" t="str">
        <f>'дод 5'!A80</f>
        <v>2100</v>
      </c>
      <c r="C130" s="95" t="str">
        <f>'дод 5'!B80</f>
        <v>0722</v>
      </c>
      <c r="D130" s="61" t="str">
        <f>'дод 5'!C80</f>
        <v>Стоматологічна допомога населенню</v>
      </c>
      <c r="E130" s="101">
        <f t="shared" si="64"/>
        <v>7602100</v>
      </c>
      <c r="F130" s="101">
        <v>7602100</v>
      </c>
      <c r="G130" s="117"/>
      <c r="H130" s="117"/>
      <c r="I130" s="115"/>
      <c r="J130" s="101">
        <v>3728593.49</v>
      </c>
      <c r="K130" s="101"/>
      <c r="L130" s="101"/>
      <c r="M130" s="157">
        <f t="shared" si="36"/>
        <v>49.046888228252719</v>
      </c>
      <c r="N130" s="101">
        <f t="shared" si="66"/>
        <v>0</v>
      </c>
      <c r="O130" s="101"/>
      <c r="P130" s="101"/>
      <c r="Q130" s="101"/>
      <c r="R130" s="101"/>
      <c r="S130" s="101"/>
      <c r="T130" s="97">
        <f t="shared" si="38"/>
        <v>0</v>
      </c>
      <c r="U130" s="101"/>
      <c r="V130" s="101"/>
      <c r="W130" s="101"/>
      <c r="X130" s="101"/>
      <c r="Y130" s="101"/>
      <c r="Z130" s="157"/>
      <c r="AA130" s="97">
        <f t="shared" si="39"/>
        <v>3728593.49</v>
      </c>
      <c r="AB130" s="101">
        <f t="shared" si="65"/>
        <v>7602100</v>
      </c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  <c r="PA130" s="23"/>
      <c r="PB130" s="23"/>
      <c r="PC130" s="23"/>
      <c r="PD130" s="23"/>
      <c r="PE130" s="23"/>
      <c r="PF130" s="23"/>
      <c r="PG130" s="23"/>
      <c r="PH130" s="23"/>
      <c r="PI130" s="23"/>
      <c r="PJ130" s="23"/>
      <c r="PK130" s="23"/>
      <c r="PL130" s="23"/>
      <c r="PM130" s="23"/>
      <c r="PN130" s="23"/>
      <c r="PO130" s="23"/>
      <c r="PP130" s="23"/>
      <c r="PQ130" s="23"/>
      <c r="PR130" s="23"/>
      <c r="PS130" s="23"/>
      <c r="PT130" s="23"/>
      <c r="PU130" s="23"/>
      <c r="PV130" s="23"/>
      <c r="PW130" s="23"/>
      <c r="PX130" s="23"/>
      <c r="PY130" s="23"/>
      <c r="PZ130" s="23"/>
      <c r="QA130" s="23"/>
      <c r="QB130" s="23"/>
      <c r="QC130" s="23"/>
      <c r="QD130" s="23"/>
      <c r="QE130" s="23"/>
      <c r="QF130" s="23"/>
      <c r="QG130" s="23"/>
      <c r="QH130" s="23"/>
      <c r="QI130" s="23"/>
      <c r="QJ130" s="23"/>
      <c r="QK130" s="23"/>
      <c r="QL130" s="23"/>
      <c r="QM130" s="23"/>
      <c r="QN130" s="23"/>
      <c r="QO130" s="23"/>
      <c r="QP130" s="23"/>
      <c r="QQ130" s="23"/>
      <c r="QR130" s="23"/>
      <c r="QS130" s="23"/>
      <c r="QT130" s="23"/>
      <c r="QU130" s="23"/>
      <c r="QV130" s="23"/>
      <c r="QW130" s="23"/>
      <c r="QX130" s="23"/>
      <c r="QY130" s="23"/>
      <c r="QZ130" s="23"/>
      <c r="RA130" s="23"/>
      <c r="RB130" s="23"/>
      <c r="RC130" s="23"/>
      <c r="RD130" s="23"/>
      <c r="RE130" s="23"/>
      <c r="RF130" s="23"/>
      <c r="RG130" s="23"/>
      <c r="RH130" s="23"/>
      <c r="RI130" s="23"/>
      <c r="RJ130" s="23"/>
      <c r="RK130" s="23"/>
      <c r="RL130" s="23"/>
      <c r="RM130" s="23"/>
      <c r="RN130" s="23"/>
      <c r="RO130" s="23"/>
      <c r="RP130" s="23"/>
      <c r="RQ130" s="23"/>
      <c r="RR130" s="23"/>
      <c r="RS130" s="23"/>
      <c r="RT130" s="23"/>
      <c r="RU130" s="23"/>
      <c r="RV130" s="23"/>
      <c r="RW130" s="23"/>
      <c r="RX130" s="23"/>
      <c r="RY130" s="23"/>
      <c r="RZ130" s="23"/>
      <c r="SA130" s="23"/>
      <c r="SB130" s="23"/>
      <c r="SC130" s="23"/>
      <c r="SD130" s="23"/>
      <c r="SE130" s="23"/>
      <c r="SF130" s="23"/>
      <c r="SG130" s="23"/>
      <c r="SH130" s="23"/>
      <c r="SI130" s="23"/>
      <c r="SJ130" s="23"/>
      <c r="SK130" s="23"/>
      <c r="SL130" s="23"/>
      <c r="SM130" s="23"/>
      <c r="SN130" s="23"/>
      <c r="SO130" s="23"/>
      <c r="SP130" s="23"/>
      <c r="SQ130" s="23"/>
      <c r="SR130" s="23"/>
      <c r="SS130" s="23"/>
      <c r="ST130" s="23"/>
      <c r="SU130" s="23"/>
      <c r="SV130" s="23"/>
      <c r="SW130" s="23"/>
      <c r="SX130" s="23"/>
      <c r="SY130" s="23"/>
      <c r="SZ130" s="23"/>
      <c r="TA130" s="23"/>
      <c r="TB130" s="23"/>
      <c r="TC130" s="23"/>
      <c r="TD130" s="23"/>
      <c r="TE130" s="23"/>
      <c r="TF130" s="23"/>
      <c r="TG130" s="23"/>
      <c r="TH130" s="23"/>
      <c r="TI130" s="23"/>
      <c r="TJ130" s="23"/>
      <c r="TK130" s="23"/>
      <c r="TL130" s="23"/>
      <c r="TM130" s="23"/>
      <c r="TN130" s="23"/>
      <c r="TO130" s="23"/>
      <c r="TP130" s="23"/>
      <c r="TQ130" s="23"/>
      <c r="TR130" s="23"/>
      <c r="TS130" s="23"/>
    </row>
    <row r="131" spans="1:539" s="24" customFormat="1" ht="30" hidden="1" customHeight="1" x14ac:dyDescent="0.25">
      <c r="A131" s="86"/>
      <c r="B131" s="113"/>
      <c r="C131" s="113"/>
      <c r="D131" s="89" t="s">
        <v>392</v>
      </c>
      <c r="E131" s="103">
        <f t="shared" si="64"/>
        <v>0</v>
      </c>
      <c r="F131" s="103"/>
      <c r="G131" s="116"/>
      <c r="H131" s="116"/>
      <c r="I131" s="116"/>
      <c r="J131" s="103"/>
      <c r="K131" s="103"/>
      <c r="L131" s="103"/>
      <c r="M131" s="157" t="e">
        <f t="shared" si="36"/>
        <v>#DIV/0!</v>
      </c>
      <c r="N131" s="103">
        <f t="shared" si="66"/>
        <v>0</v>
      </c>
      <c r="O131" s="103"/>
      <c r="P131" s="103"/>
      <c r="Q131" s="103"/>
      <c r="R131" s="103"/>
      <c r="S131" s="103"/>
      <c r="T131" s="97">
        <f t="shared" si="38"/>
        <v>0</v>
      </c>
      <c r="U131" s="103"/>
      <c r="V131" s="103"/>
      <c r="W131" s="103"/>
      <c r="X131" s="103"/>
      <c r="Y131" s="103"/>
      <c r="Z131" s="157"/>
      <c r="AA131" s="97">
        <f t="shared" si="39"/>
        <v>0</v>
      </c>
      <c r="AB131" s="103">
        <f t="shared" si="65"/>
        <v>0</v>
      </c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  <c r="TF131" s="30"/>
      <c r="TG131" s="30"/>
      <c r="TH131" s="30"/>
      <c r="TI131" s="30"/>
      <c r="TJ131" s="30"/>
      <c r="TK131" s="30"/>
      <c r="TL131" s="30"/>
      <c r="TM131" s="30"/>
      <c r="TN131" s="30"/>
      <c r="TO131" s="30"/>
      <c r="TP131" s="30"/>
      <c r="TQ131" s="30"/>
      <c r="TR131" s="30"/>
      <c r="TS131" s="30"/>
    </row>
    <row r="132" spans="1:539" s="22" customFormat="1" ht="48" customHeight="1" x14ac:dyDescent="0.25">
      <c r="A132" s="60" t="s">
        <v>177</v>
      </c>
      <c r="B132" s="95" t="str">
        <f>'дод 5'!A82</f>
        <v>2111</v>
      </c>
      <c r="C132" s="95" t="str">
        <f>'дод 5'!B82</f>
        <v>0726</v>
      </c>
      <c r="D132" s="61" t="str">
        <f>'дод 5'!C82</f>
        <v>Первинна медична допомога населенню, що надається центрами первинної медичної (медико-санітарної) допомоги</v>
      </c>
      <c r="E132" s="101">
        <f t="shared" si="64"/>
        <v>2736000</v>
      </c>
      <c r="F132" s="101">
        <v>2736000</v>
      </c>
      <c r="G132" s="115"/>
      <c r="H132" s="117"/>
      <c r="I132" s="115"/>
      <c r="J132" s="101">
        <v>1509821.05</v>
      </c>
      <c r="K132" s="101"/>
      <c r="L132" s="101"/>
      <c r="M132" s="157">
        <f t="shared" si="36"/>
        <v>55.183517909356731</v>
      </c>
      <c r="N132" s="101">
        <f t="shared" si="66"/>
        <v>0</v>
      </c>
      <c r="O132" s="101"/>
      <c r="P132" s="101"/>
      <c r="Q132" s="101"/>
      <c r="R132" s="101"/>
      <c r="S132" s="101"/>
      <c r="T132" s="97">
        <f t="shared" si="38"/>
        <v>0</v>
      </c>
      <c r="U132" s="101"/>
      <c r="V132" s="101"/>
      <c r="W132" s="101"/>
      <c r="X132" s="101"/>
      <c r="Y132" s="101"/>
      <c r="Z132" s="157"/>
      <c r="AA132" s="97">
        <f t="shared" si="39"/>
        <v>1509821.05</v>
      </c>
      <c r="AB132" s="101">
        <f t="shared" si="65"/>
        <v>2736000</v>
      </c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  <c r="TH132" s="23"/>
      <c r="TI132" s="23"/>
      <c r="TJ132" s="23"/>
      <c r="TK132" s="23"/>
      <c r="TL132" s="23"/>
      <c r="TM132" s="23"/>
      <c r="TN132" s="23"/>
      <c r="TO132" s="23"/>
      <c r="TP132" s="23"/>
      <c r="TQ132" s="23"/>
      <c r="TR132" s="23"/>
      <c r="TS132" s="23"/>
    </row>
    <row r="133" spans="1:539" s="24" customFormat="1" ht="63" hidden="1" customHeight="1" x14ac:dyDescent="0.25">
      <c r="A133" s="86"/>
      <c r="B133" s="113"/>
      <c r="C133" s="113"/>
      <c r="D133" s="87" t="s">
        <v>394</v>
      </c>
      <c r="E133" s="103">
        <f t="shared" si="64"/>
        <v>0</v>
      </c>
      <c r="F133" s="103"/>
      <c r="G133" s="116"/>
      <c r="H133" s="116"/>
      <c r="I133" s="116"/>
      <c r="J133" s="103"/>
      <c r="K133" s="103"/>
      <c r="L133" s="103"/>
      <c r="M133" s="157" t="e">
        <f t="shared" si="36"/>
        <v>#DIV/0!</v>
      </c>
      <c r="N133" s="103">
        <f t="shared" si="66"/>
        <v>0</v>
      </c>
      <c r="O133" s="103"/>
      <c r="P133" s="103"/>
      <c r="Q133" s="103"/>
      <c r="R133" s="103"/>
      <c r="S133" s="103"/>
      <c r="T133" s="97">
        <f t="shared" si="38"/>
        <v>0</v>
      </c>
      <c r="U133" s="103"/>
      <c r="V133" s="103"/>
      <c r="W133" s="103"/>
      <c r="X133" s="103"/>
      <c r="Y133" s="103"/>
      <c r="Z133" s="157"/>
      <c r="AA133" s="97">
        <f t="shared" si="39"/>
        <v>0</v>
      </c>
      <c r="AB133" s="103">
        <f t="shared" si="65"/>
        <v>0</v>
      </c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  <c r="TF133" s="30"/>
      <c r="TG133" s="30"/>
      <c r="TH133" s="30"/>
      <c r="TI133" s="30"/>
      <c r="TJ133" s="30"/>
      <c r="TK133" s="30"/>
      <c r="TL133" s="30"/>
      <c r="TM133" s="30"/>
      <c r="TN133" s="30"/>
      <c r="TO133" s="30"/>
      <c r="TP133" s="30"/>
      <c r="TQ133" s="30"/>
      <c r="TR133" s="30"/>
      <c r="TS133" s="30"/>
    </row>
    <row r="134" spans="1:539" s="22" customFormat="1" ht="31.5" x14ac:dyDescent="0.25">
      <c r="A134" s="60" t="s">
        <v>176</v>
      </c>
      <c r="B134" s="95">
        <f>'дод 5'!A84</f>
        <v>2144</v>
      </c>
      <c r="C134" s="95" t="str">
        <f>'дод 5'!B84</f>
        <v>0763</v>
      </c>
      <c r="D134" s="126" t="str">
        <f>'дод 5'!C84</f>
        <v>Централізовані заходи з лікування хворих на цукровий та нецукровий діабет, у т.ч. за рахунок:</v>
      </c>
      <c r="E134" s="101">
        <f t="shared" si="64"/>
        <v>7670800</v>
      </c>
      <c r="F134" s="101">
        <v>7670800</v>
      </c>
      <c r="G134" s="115"/>
      <c r="H134" s="115"/>
      <c r="I134" s="115"/>
      <c r="J134" s="101">
        <v>6076703.3700000001</v>
      </c>
      <c r="K134" s="101"/>
      <c r="L134" s="101"/>
      <c r="M134" s="157">
        <f t="shared" si="36"/>
        <v>79.218639124993487</v>
      </c>
      <c r="N134" s="101">
        <f t="shared" si="66"/>
        <v>0</v>
      </c>
      <c r="O134" s="101"/>
      <c r="P134" s="101"/>
      <c r="Q134" s="101"/>
      <c r="R134" s="101"/>
      <c r="S134" s="101"/>
      <c r="T134" s="97">
        <f t="shared" si="38"/>
        <v>0</v>
      </c>
      <c r="U134" s="101"/>
      <c r="V134" s="101"/>
      <c r="W134" s="101"/>
      <c r="X134" s="101"/>
      <c r="Y134" s="101"/>
      <c r="Z134" s="157"/>
      <c r="AA134" s="97">
        <f t="shared" si="39"/>
        <v>6076703.3700000001</v>
      </c>
      <c r="AB134" s="101">
        <f t="shared" si="65"/>
        <v>7670800</v>
      </c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  <c r="TI134" s="23"/>
      <c r="TJ134" s="23"/>
      <c r="TK134" s="23"/>
      <c r="TL134" s="23"/>
      <c r="TM134" s="23"/>
      <c r="TN134" s="23"/>
      <c r="TO134" s="23"/>
      <c r="TP134" s="23"/>
      <c r="TQ134" s="23"/>
      <c r="TR134" s="23"/>
      <c r="TS134" s="23"/>
    </row>
    <row r="135" spans="1:539" s="24" customFormat="1" ht="47.25" hidden="1" customHeight="1" x14ac:dyDescent="0.25">
      <c r="A135" s="86"/>
      <c r="B135" s="113"/>
      <c r="C135" s="113"/>
      <c r="D135" s="127" t="s">
        <v>393</v>
      </c>
      <c r="E135" s="103">
        <f t="shared" si="64"/>
        <v>0</v>
      </c>
      <c r="F135" s="103"/>
      <c r="G135" s="103"/>
      <c r="H135" s="103"/>
      <c r="I135" s="103"/>
      <c r="J135" s="103"/>
      <c r="K135" s="103"/>
      <c r="L135" s="103"/>
      <c r="M135" s="157" t="e">
        <f t="shared" si="36"/>
        <v>#DIV/0!</v>
      </c>
      <c r="N135" s="103">
        <f t="shared" si="66"/>
        <v>0</v>
      </c>
      <c r="O135" s="103"/>
      <c r="P135" s="103"/>
      <c r="Q135" s="103"/>
      <c r="R135" s="103"/>
      <c r="S135" s="103"/>
      <c r="T135" s="97">
        <f t="shared" si="38"/>
        <v>0</v>
      </c>
      <c r="U135" s="103"/>
      <c r="V135" s="103"/>
      <c r="W135" s="103"/>
      <c r="X135" s="103"/>
      <c r="Y135" s="103"/>
      <c r="Z135" s="157"/>
      <c r="AA135" s="97">
        <f t="shared" si="39"/>
        <v>0</v>
      </c>
      <c r="AB135" s="103">
        <f t="shared" si="65"/>
        <v>0</v>
      </c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  <c r="TF135" s="30"/>
      <c r="TG135" s="30"/>
      <c r="TH135" s="30"/>
      <c r="TI135" s="30"/>
      <c r="TJ135" s="30"/>
      <c r="TK135" s="30"/>
      <c r="TL135" s="30"/>
      <c r="TM135" s="30"/>
      <c r="TN135" s="30"/>
      <c r="TO135" s="30"/>
      <c r="TP135" s="30"/>
      <c r="TQ135" s="30"/>
      <c r="TR135" s="30"/>
      <c r="TS135" s="30"/>
    </row>
    <row r="136" spans="1:539" s="24" customFormat="1" ht="63" x14ac:dyDescent="0.25">
      <c r="A136" s="86"/>
      <c r="B136" s="113"/>
      <c r="C136" s="113"/>
      <c r="D136" s="127" t="s">
        <v>394</v>
      </c>
      <c r="E136" s="103">
        <f t="shared" si="64"/>
        <v>7670800</v>
      </c>
      <c r="F136" s="103">
        <v>7670800</v>
      </c>
      <c r="G136" s="116"/>
      <c r="H136" s="116"/>
      <c r="I136" s="116"/>
      <c r="J136" s="103">
        <v>6076703.3700000001</v>
      </c>
      <c r="K136" s="103"/>
      <c r="L136" s="103"/>
      <c r="M136" s="157">
        <f t="shared" si="36"/>
        <v>79.218639124993487</v>
      </c>
      <c r="N136" s="103">
        <f t="shared" si="66"/>
        <v>0</v>
      </c>
      <c r="O136" s="103"/>
      <c r="P136" s="103"/>
      <c r="Q136" s="103"/>
      <c r="R136" s="103"/>
      <c r="S136" s="103"/>
      <c r="T136" s="97">
        <f t="shared" si="38"/>
        <v>0</v>
      </c>
      <c r="U136" s="103"/>
      <c r="V136" s="103"/>
      <c r="W136" s="103"/>
      <c r="X136" s="103"/>
      <c r="Y136" s="103"/>
      <c r="Z136" s="157"/>
      <c r="AA136" s="97">
        <f t="shared" si="39"/>
        <v>6076703.3700000001</v>
      </c>
      <c r="AB136" s="103">
        <f t="shared" si="65"/>
        <v>7670800</v>
      </c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  <c r="SO136" s="30"/>
      <c r="SP136" s="30"/>
      <c r="SQ136" s="30"/>
      <c r="SR136" s="30"/>
      <c r="SS136" s="30"/>
      <c r="ST136" s="30"/>
      <c r="SU136" s="30"/>
      <c r="SV136" s="30"/>
      <c r="SW136" s="30"/>
      <c r="SX136" s="30"/>
      <c r="SY136" s="30"/>
      <c r="SZ136" s="30"/>
      <c r="TA136" s="30"/>
      <c r="TB136" s="30"/>
      <c r="TC136" s="30"/>
      <c r="TD136" s="30"/>
      <c r="TE136" s="30"/>
      <c r="TF136" s="30"/>
      <c r="TG136" s="30"/>
      <c r="TH136" s="30"/>
      <c r="TI136" s="30"/>
      <c r="TJ136" s="30"/>
      <c r="TK136" s="30"/>
      <c r="TL136" s="30"/>
      <c r="TM136" s="30"/>
      <c r="TN136" s="30"/>
      <c r="TO136" s="30"/>
      <c r="TP136" s="30"/>
      <c r="TQ136" s="30"/>
      <c r="TR136" s="30"/>
      <c r="TS136" s="30"/>
    </row>
    <row r="137" spans="1:539" s="22" customFormat="1" ht="30" customHeight="1" x14ac:dyDescent="0.25">
      <c r="A137" s="60" t="s">
        <v>327</v>
      </c>
      <c r="B137" s="42" t="str">
        <f>'дод 5'!A87</f>
        <v>2151</v>
      </c>
      <c r="C137" s="42" t="str">
        <f>'дод 5'!B87</f>
        <v>0763</v>
      </c>
      <c r="D137" s="61" t="str">
        <f>'дод 5'!C87</f>
        <v>Забезпечення діяльності інших закладів у сфері охорони здоров’я</v>
      </c>
      <c r="E137" s="101">
        <f t="shared" si="64"/>
        <v>3049300</v>
      </c>
      <c r="F137" s="101">
        <v>3049300</v>
      </c>
      <c r="G137" s="117">
        <v>2387600</v>
      </c>
      <c r="H137" s="117">
        <v>48700</v>
      </c>
      <c r="I137" s="115"/>
      <c r="J137" s="101">
        <v>1509456.75</v>
      </c>
      <c r="K137" s="101">
        <v>1193683.19</v>
      </c>
      <c r="L137" s="101">
        <v>30815.53</v>
      </c>
      <c r="M137" s="157">
        <f t="shared" si="36"/>
        <v>49.501746302430064</v>
      </c>
      <c r="N137" s="101">
        <f t="shared" si="66"/>
        <v>0</v>
      </c>
      <c r="O137" s="101"/>
      <c r="P137" s="101"/>
      <c r="Q137" s="101"/>
      <c r="R137" s="101"/>
      <c r="S137" s="101"/>
      <c r="T137" s="97">
        <f t="shared" si="38"/>
        <v>125</v>
      </c>
      <c r="U137" s="101"/>
      <c r="V137" s="101">
        <v>125</v>
      </c>
      <c r="W137" s="101"/>
      <c r="X137" s="101"/>
      <c r="Y137" s="101"/>
      <c r="Z137" s="157"/>
      <c r="AA137" s="97">
        <f t="shared" si="39"/>
        <v>1509581.75</v>
      </c>
      <c r="AB137" s="101">
        <f t="shared" si="65"/>
        <v>3049300</v>
      </c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  <c r="TI137" s="23"/>
      <c r="TJ137" s="23"/>
      <c r="TK137" s="23"/>
      <c r="TL137" s="23"/>
      <c r="TM137" s="23"/>
      <c r="TN137" s="23"/>
      <c r="TO137" s="23"/>
      <c r="TP137" s="23"/>
      <c r="TQ137" s="23"/>
      <c r="TR137" s="23"/>
      <c r="TS137" s="23"/>
    </row>
    <row r="138" spans="1:539" s="22" customFormat="1" ht="24.75" customHeight="1" x14ac:dyDescent="0.25">
      <c r="A138" s="60" t="s">
        <v>328</v>
      </c>
      <c r="B138" s="42" t="str">
        <f>'дод 5'!A88</f>
        <v>2152</v>
      </c>
      <c r="C138" s="42" t="str">
        <f>'дод 5'!B88</f>
        <v>0763</v>
      </c>
      <c r="D138" s="36" t="str">
        <f>'дод 5'!C88</f>
        <v>Інші програми та заходи у сфері охорони здоров’я</v>
      </c>
      <c r="E138" s="101">
        <f>F138+I138</f>
        <v>19783800</v>
      </c>
      <c r="F138" s="101">
        <v>19783800</v>
      </c>
      <c r="G138" s="101"/>
      <c r="H138" s="101"/>
      <c r="I138" s="101"/>
      <c r="J138" s="101">
        <v>8453655.9100000001</v>
      </c>
      <c r="K138" s="101"/>
      <c r="L138" s="101"/>
      <c r="M138" s="157">
        <f t="shared" si="36"/>
        <v>42.730192935634207</v>
      </c>
      <c r="N138" s="101">
        <f t="shared" si="66"/>
        <v>23031354</v>
      </c>
      <c r="O138" s="101">
        <f>19737500+2000000+793854+500000</f>
        <v>23031354</v>
      </c>
      <c r="P138" s="101"/>
      <c r="Q138" s="101"/>
      <c r="R138" s="101"/>
      <c r="S138" s="101">
        <f>19737500+2000000+793854+500000</f>
        <v>23031354</v>
      </c>
      <c r="T138" s="97">
        <f t="shared" si="38"/>
        <v>17206891.32</v>
      </c>
      <c r="U138" s="101">
        <v>17185854</v>
      </c>
      <c r="V138" s="101">
        <v>21037.32</v>
      </c>
      <c r="W138" s="101"/>
      <c r="X138" s="101"/>
      <c r="Y138" s="101">
        <v>17185854</v>
      </c>
      <c r="Z138" s="157">
        <f t="shared" si="41"/>
        <v>74.710723998250387</v>
      </c>
      <c r="AA138" s="97">
        <f t="shared" si="39"/>
        <v>25660547.23</v>
      </c>
      <c r="AB138" s="101">
        <f t="shared" si="65"/>
        <v>42815154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  <c r="TH138" s="23"/>
      <c r="TI138" s="23"/>
      <c r="TJ138" s="23"/>
      <c r="TK138" s="23"/>
      <c r="TL138" s="23"/>
      <c r="TM138" s="23"/>
      <c r="TN138" s="23"/>
      <c r="TO138" s="23"/>
      <c r="TP138" s="23"/>
      <c r="TQ138" s="23"/>
      <c r="TR138" s="23"/>
      <c r="TS138" s="23"/>
    </row>
    <row r="139" spans="1:539" s="22" customFormat="1" ht="24.75" customHeight="1" x14ac:dyDescent="0.25">
      <c r="A139" s="60" t="s">
        <v>418</v>
      </c>
      <c r="B139" s="42">
        <v>7322</v>
      </c>
      <c r="C139" s="105" t="s">
        <v>113</v>
      </c>
      <c r="D139" s="6" t="s">
        <v>559</v>
      </c>
      <c r="E139" s="101">
        <f>F139+I139</f>
        <v>0</v>
      </c>
      <c r="F139" s="101"/>
      <c r="G139" s="101"/>
      <c r="H139" s="101"/>
      <c r="I139" s="101"/>
      <c r="J139" s="101"/>
      <c r="K139" s="101"/>
      <c r="L139" s="101"/>
      <c r="M139" s="157"/>
      <c r="N139" s="101">
        <f t="shared" si="66"/>
        <v>28153372</v>
      </c>
      <c r="O139" s="101">
        <f>20000000+378711+1600000+3000000+1000000+1024661+1150000</f>
        <v>28153372</v>
      </c>
      <c r="P139" s="101"/>
      <c r="Q139" s="101"/>
      <c r="R139" s="101"/>
      <c r="S139" s="101">
        <f>20000000+378711+1600000+3000000+1000000+1024661+1150000</f>
        <v>28153372</v>
      </c>
      <c r="T139" s="97">
        <f t="shared" si="38"/>
        <v>6945996.9699999997</v>
      </c>
      <c r="U139" s="101">
        <v>6945996.9699999997</v>
      </c>
      <c r="V139" s="101"/>
      <c r="W139" s="101"/>
      <c r="X139" s="101"/>
      <c r="Y139" s="101">
        <v>6945996.9699999997</v>
      </c>
      <c r="Z139" s="157">
        <f t="shared" si="41"/>
        <v>24.671989451210319</v>
      </c>
      <c r="AA139" s="97">
        <f t="shared" si="39"/>
        <v>6945996.9699999997</v>
      </c>
      <c r="AB139" s="101">
        <f t="shared" si="65"/>
        <v>28153372</v>
      </c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  <c r="TG139" s="23"/>
      <c r="TH139" s="23"/>
      <c r="TI139" s="23"/>
      <c r="TJ139" s="23"/>
      <c r="TK139" s="23"/>
      <c r="TL139" s="23"/>
      <c r="TM139" s="23"/>
      <c r="TN139" s="23"/>
      <c r="TO139" s="23"/>
      <c r="TP139" s="23"/>
      <c r="TQ139" s="23"/>
      <c r="TR139" s="23"/>
      <c r="TS139" s="23"/>
    </row>
    <row r="140" spans="1:539" s="22" customFormat="1" ht="47.25" x14ac:dyDescent="0.25">
      <c r="A140" s="60" t="s">
        <v>375</v>
      </c>
      <c r="B140" s="42">
        <f>'дод 5'!A167</f>
        <v>7361</v>
      </c>
      <c r="C140" s="42" t="str">
        <f>'дод 5'!B167</f>
        <v>0490</v>
      </c>
      <c r="D140" s="36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140" s="101">
        <f t="shared" si="64"/>
        <v>0</v>
      </c>
      <c r="F140" s="101"/>
      <c r="G140" s="101"/>
      <c r="H140" s="101"/>
      <c r="I140" s="101"/>
      <c r="J140" s="101"/>
      <c r="K140" s="101"/>
      <c r="L140" s="101"/>
      <c r="M140" s="157"/>
      <c r="N140" s="101">
        <f t="shared" si="66"/>
        <v>4289000</v>
      </c>
      <c r="O140" s="101">
        <f>2289000+2000000</f>
        <v>4289000</v>
      </c>
      <c r="P140" s="101"/>
      <c r="Q140" s="101"/>
      <c r="R140" s="101"/>
      <c r="S140" s="101">
        <f>2289000+2000000</f>
        <v>4289000</v>
      </c>
      <c r="T140" s="97">
        <f t="shared" si="38"/>
        <v>442000</v>
      </c>
      <c r="U140" s="101">
        <v>442000</v>
      </c>
      <c r="V140" s="101"/>
      <c r="W140" s="101"/>
      <c r="X140" s="101"/>
      <c r="Y140" s="101">
        <v>442000</v>
      </c>
      <c r="Z140" s="157">
        <f t="shared" si="41"/>
        <v>10.30543250174866</v>
      </c>
      <c r="AA140" s="97">
        <f t="shared" si="39"/>
        <v>442000</v>
      </c>
      <c r="AB140" s="101">
        <f t="shared" si="65"/>
        <v>4289000</v>
      </c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  <c r="TH140" s="23"/>
      <c r="TI140" s="23"/>
      <c r="TJ140" s="23"/>
      <c r="TK140" s="23"/>
      <c r="TL140" s="23"/>
      <c r="TM140" s="23"/>
      <c r="TN140" s="23"/>
      <c r="TO140" s="23"/>
      <c r="TP140" s="23"/>
      <c r="TQ140" s="23"/>
      <c r="TR140" s="23"/>
      <c r="TS140" s="23"/>
    </row>
    <row r="141" spans="1:539" s="22" customFormat="1" ht="47.25" x14ac:dyDescent="0.25">
      <c r="A141" s="60" t="s">
        <v>425</v>
      </c>
      <c r="B141" s="42">
        <v>7363</v>
      </c>
      <c r="C141" s="105" t="s">
        <v>84</v>
      </c>
      <c r="D141" s="61" t="s">
        <v>400</v>
      </c>
      <c r="E141" s="101">
        <f t="shared" si="64"/>
        <v>0</v>
      </c>
      <c r="F141" s="101"/>
      <c r="G141" s="101"/>
      <c r="H141" s="101"/>
      <c r="I141" s="101"/>
      <c r="J141" s="101"/>
      <c r="K141" s="101"/>
      <c r="L141" s="101"/>
      <c r="M141" s="157"/>
      <c r="N141" s="101">
        <f t="shared" si="66"/>
        <v>156000</v>
      </c>
      <c r="O141" s="101">
        <v>156000</v>
      </c>
      <c r="P141" s="101"/>
      <c r="Q141" s="101"/>
      <c r="R141" s="101"/>
      <c r="S141" s="101">
        <v>156000</v>
      </c>
      <c r="T141" s="97">
        <f t="shared" si="38"/>
        <v>0</v>
      </c>
      <c r="U141" s="101"/>
      <c r="V141" s="101"/>
      <c r="W141" s="101"/>
      <c r="X141" s="101"/>
      <c r="Y141" s="101"/>
      <c r="Z141" s="157">
        <f t="shared" si="41"/>
        <v>0</v>
      </c>
      <c r="AA141" s="97">
        <f t="shared" si="39"/>
        <v>0</v>
      </c>
      <c r="AB141" s="101">
        <f t="shared" si="65"/>
        <v>156000</v>
      </c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  <c r="TH141" s="23"/>
      <c r="TI141" s="23"/>
      <c r="TJ141" s="23"/>
      <c r="TK141" s="23"/>
      <c r="TL141" s="23"/>
      <c r="TM141" s="23"/>
      <c r="TN141" s="23"/>
      <c r="TO141" s="23"/>
      <c r="TP141" s="23"/>
      <c r="TQ141" s="23"/>
      <c r="TR141" s="23"/>
      <c r="TS141" s="23"/>
    </row>
    <row r="142" spans="1:539" s="22" customFormat="1" ht="47.25" x14ac:dyDescent="0.25">
      <c r="A142" s="60"/>
      <c r="B142" s="42"/>
      <c r="C142" s="42"/>
      <c r="D142" s="89" t="s">
        <v>566</v>
      </c>
      <c r="E142" s="103">
        <f t="shared" si="64"/>
        <v>0</v>
      </c>
      <c r="F142" s="103"/>
      <c r="G142" s="103"/>
      <c r="H142" s="103"/>
      <c r="I142" s="103"/>
      <c r="J142" s="103"/>
      <c r="K142" s="103"/>
      <c r="L142" s="103"/>
      <c r="M142" s="157"/>
      <c r="N142" s="103">
        <f t="shared" si="66"/>
        <v>156000</v>
      </c>
      <c r="O142" s="103">
        <v>156000</v>
      </c>
      <c r="P142" s="103"/>
      <c r="Q142" s="103"/>
      <c r="R142" s="103"/>
      <c r="S142" s="103">
        <v>156000</v>
      </c>
      <c r="T142" s="97">
        <f t="shared" si="38"/>
        <v>0</v>
      </c>
      <c r="U142" s="103"/>
      <c r="V142" s="103"/>
      <c r="W142" s="103"/>
      <c r="X142" s="103"/>
      <c r="Y142" s="103"/>
      <c r="Z142" s="157">
        <f t="shared" si="41"/>
        <v>0</v>
      </c>
      <c r="AA142" s="97">
        <f t="shared" si="39"/>
        <v>0</v>
      </c>
      <c r="AB142" s="103">
        <f t="shared" si="65"/>
        <v>156000</v>
      </c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  <c r="TF142" s="23"/>
      <c r="TG142" s="23"/>
      <c r="TH142" s="23"/>
      <c r="TI142" s="23"/>
      <c r="TJ142" s="23"/>
      <c r="TK142" s="23"/>
      <c r="TL142" s="23"/>
      <c r="TM142" s="23"/>
      <c r="TN142" s="23"/>
      <c r="TO142" s="23"/>
      <c r="TP142" s="23"/>
      <c r="TQ142" s="23"/>
      <c r="TR142" s="23"/>
      <c r="TS142" s="23"/>
    </row>
    <row r="143" spans="1:539" s="22" customFormat="1" ht="18.75" customHeight="1" x14ac:dyDescent="0.25">
      <c r="A143" s="60" t="s">
        <v>175</v>
      </c>
      <c r="B143" s="95" t="str">
        <f>'дод 5'!A189</f>
        <v>7640</v>
      </c>
      <c r="C143" s="95" t="str">
        <f>'дод 5'!B189</f>
        <v>0470</v>
      </c>
      <c r="D143" s="61" t="s">
        <v>420</v>
      </c>
      <c r="E143" s="101">
        <f t="shared" si="64"/>
        <v>121500</v>
      </c>
      <c r="F143" s="101">
        <v>121500</v>
      </c>
      <c r="G143" s="101"/>
      <c r="H143" s="101"/>
      <c r="I143" s="101"/>
      <c r="J143" s="101"/>
      <c r="K143" s="101"/>
      <c r="L143" s="101"/>
      <c r="M143" s="157"/>
      <c r="N143" s="101">
        <f t="shared" si="66"/>
        <v>10527570.120000001</v>
      </c>
      <c r="O143" s="101">
        <f>7336970+3190600.12</f>
        <v>10527570.120000001</v>
      </c>
      <c r="P143" s="101"/>
      <c r="Q143" s="101"/>
      <c r="R143" s="101"/>
      <c r="S143" s="101">
        <f>7336970+3190600.12</f>
        <v>10527570.120000001</v>
      </c>
      <c r="T143" s="97">
        <f t="shared" si="38"/>
        <v>2364096.7200000002</v>
      </c>
      <c r="U143" s="101">
        <v>2364096.7200000002</v>
      </c>
      <c r="V143" s="101"/>
      <c r="W143" s="101"/>
      <c r="X143" s="101"/>
      <c r="Y143" s="101">
        <v>2364096.7200000002</v>
      </c>
      <c r="Z143" s="157">
        <f t="shared" si="41"/>
        <v>22.456242922654596</v>
      </c>
      <c r="AA143" s="97">
        <f t="shared" si="39"/>
        <v>2364096.7200000002</v>
      </c>
      <c r="AB143" s="101">
        <f t="shared" si="65"/>
        <v>10649070.120000001</v>
      </c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  <c r="TI143" s="23"/>
      <c r="TJ143" s="23"/>
      <c r="TK143" s="23"/>
      <c r="TL143" s="23"/>
      <c r="TM143" s="23"/>
      <c r="TN143" s="23"/>
      <c r="TO143" s="23"/>
      <c r="TP143" s="23"/>
      <c r="TQ143" s="23"/>
      <c r="TR143" s="23"/>
      <c r="TS143" s="23"/>
    </row>
    <row r="144" spans="1:539" s="24" customFormat="1" ht="15" customHeight="1" x14ac:dyDescent="0.25">
      <c r="A144" s="86"/>
      <c r="B144" s="113"/>
      <c r="C144" s="113"/>
      <c r="D144" s="87" t="s">
        <v>421</v>
      </c>
      <c r="E144" s="103">
        <f t="shared" si="64"/>
        <v>0</v>
      </c>
      <c r="F144" s="103"/>
      <c r="G144" s="103"/>
      <c r="H144" s="103"/>
      <c r="I144" s="103"/>
      <c r="J144" s="103"/>
      <c r="K144" s="103"/>
      <c r="L144" s="103"/>
      <c r="M144" s="157"/>
      <c r="N144" s="103">
        <f t="shared" si="66"/>
        <v>4662070.12</v>
      </c>
      <c r="O144" s="103">
        <f>1471470+3190600.12</f>
        <v>4662070.12</v>
      </c>
      <c r="P144" s="103"/>
      <c r="Q144" s="103"/>
      <c r="R144" s="103"/>
      <c r="S144" s="103">
        <f>1471470+3190600.12</f>
        <v>4662070.12</v>
      </c>
      <c r="T144" s="97">
        <v>2343525.58</v>
      </c>
      <c r="U144" s="103">
        <v>2343525.58</v>
      </c>
      <c r="V144" s="103"/>
      <c r="W144" s="103"/>
      <c r="X144" s="103"/>
      <c r="Y144" s="103"/>
      <c r="Z144" s="157">
        <f t="shared" si="41"/>
        <v>50.267917892234536</v>
      </c>
      <c r="AA144" s="97">
        <f t="shared" si="39"/>
        <v>2343525.58</v>
      </c>
      <c r="AB144" s="103">
        <f t="shared" si="65"/>
        <v>4662070.12</v>
      </c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  <c r="TI144" s="30"/>
      <c r="TJ144" s="30"/>
      <c r="TK144" s="30"/>
      <c r="TL144" s="30"/>
      <c r="TM144" s="30"/>
      <c r="TN144" s="30"/>
      <c r="TO144" s="30"/>
      <c r="TP144" s="30"/>
      <c r="TQ144" s="30"/>
      <c r="TR144" s="30"/>
      <c r="TS144" s="30"/>
    </row>
    <row r="145" spans="1:539" s="22" customFormat="1" ht="45" hidden="1" customHeight="1" x14ac:dyDescent="0.25">
      <c r="A145" s="60" t="s">
        <v>363</v>
      </c>
      <c r="B145" s="95">
        <v>7700</v>
      </c>
      <c r="C145" s="60" t="s">
        <v>95</v>
      </c>
      <c r="D145" s="61" t="s">
        <v>364</v>
      </c>
      <c r="E145" s="101">
        <f t="shared" si="64"/>
        <v>0</v>
      </c>
      <c r="F145" s="101"/>
      <c r="G145" s="101"/>
      <c r="H145" s="101"/>
      <c r="I145" s="101"/>
      <c r="J145" s="101"/>
      <c r="K145" s="101"/>
      <c r="L145" s="101"/>
      <c r="M145" s="157"/>
      <c r="N145" s="101">
        <f t="shared" si="66"/>
        <v>0</v>
      </c>
      <c r="O145" s="101"/>
      <c r="P145" s="101"/>
      <c r="Q145" s="101"/>
      <c r="R145" s="101"/>
      <c r="S145" s="101">
        <f>630000-630000</f>
        <v>0</v>
      </c>
      <c r="T145" s="97">
        <f t="shared" si="38"/>
        <v>0</v>
      </c>
      <c r="U145" s="101"/>
      <c r="V145" s="101"/>
      <c r="W145" s="101"/>
      <c r="X145" s="101"/>
      <c r="Y145" s="101"/>
      <c r="Z145" s="157" t="e">
        <f t="shared" si="41"/>
        <v>#DIV/0!</v>
      </c>
      <c r="AA145" s="97">
        <f t="shared" si="39"/>
        <v>0</v>
      </c>
      <c r="AB145" s="101">
        <f t="shared" si="65"/>
        <v>0</v>
      </c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  <c r="TH145" s="23"/>
      <c r="TI145" s="23"/>
      <c r="TJ145" s="23"/>
      <c r="TK145" s="23"/>
      <c r="TL145" s="23"/>
      <c r="TM145" s="23"/>
      <c r="TN145" s="23"/>
      <c r="TO145" s="23"/>
      <c r="TP145" s="23"/>
      <c r="TQ145" s="23"/>
      <c r="TR145" s="23"/>
      <c r="TS145" s="23"/>
    </row>
    <row r="146" spans="1:539" s="22" customFormat="1" ht="15.75" x14ac:dyDescent="0.25">
      <c r="A146" s="60" t="s">
        <v>435</v>
      </c>
      <c r="B146" s="95">
        <v>9770</v>
      </c>
      <c r="C146" s="60" t="s">
        <v>46</v>
      </c>
      <c r="D146" s="61" t="s">
        <v>436</v>
      </c>
      <c r="E146" s="101">
        <f t="shared" si="64"/>
        <v>0</v>
      </c>
      <c r="F146" s="101"/>
      <c r="G146" s="101"/>
      <c r="H146" s="101"/>
      <c r="I146" s="101"/>
      <c r="J146" s="101"/>
      <c r="K146" s="101"/>
      <c r="L146" s="101"/>
      <c r="M146" s="157"/>
      <c r="N146" s="101">
        <f t="shared" si="66"/>
        <v>3000111.6</v>
      </c>
      <c r="O146" s="101">
        <f>2000000+1000111.6</f>
        <v>3000111.6</v>
      </c>
      <c r="P146" s="101"/>
      <c r="Q146" s="101"/>
      <c r="R146" s="101"/>
      <c r="S146" s="101">
        <f>2000000+1000111.6</f>
        <v>3000111.6</v>
      </c>
      <c r="T146" s="97">
        <f t="shared" si="38"/>
        <v>1829759.1</v>
      </c>
      <c r="U146" s="101">
        <v>1829759.1</v>
      </c>
      <c r="V146" s="101"/>
      <c r="W146" s="101"/>
      <c r="X146" s="101"/>
      <c r="Y146" s="101">
        <v>1829759.1</v>
      </c>
      <c r="Z146" s="157">
        <f t="shared" si="41"/>
        <v>60.989701183115983</v>
      </c>
      <c r="AA146" s="97">
        <f t="shared" si="39"/>
        <v>1829759.1</v>
      </c>
      <c r="AB146" s="101">
        <f t="shared" si="65"/>
        <v>3000111.6</v>
      </c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  <c r="TH146" s="23"/>
      <c r="TI146" s="23"/>
      <c r="TJ146" s="23"/>
      <c r="TK146" s="23"/>
      <c r="TL146" s="23"/>
      <c r="TM146" s="23"/>
      <c r="TN146" s="23"/>
      <c r="TO146" s="23"/>
      <c r="TP146" s="23"/>
      <c r="TQ146" s="23"/>
      <c r="TR146" s="23"/>
      <c r="TS146" s="23"/>
    </row>
    <row r="147" spans="1:539" s="27" customFormat="1" ht="36" customHeight="1" x14ac:dyDescent="0.25">
      <c r="A147" s="112" t="s">
        <v>180</v>
      </c>
      <c r="B147" s="114"/>
      <c r="C147" s="114"/>
      <c r="D147" s="109" t="s">
        <v>39</v>
      </c>
      <c r="E147" s="97">
        <f>E148</f>
        <v>194537699.35000002</v>
      </c>
      <c r="F147" s="97">
        <f t="shared" ref="F147:L147" si="67">F148</f>
        <v>194537699.35000002</v>
      </c>
      <c r="G147" s="97">
        <f t="shared" si="67"/>
        <v>60937100</v>
      </c>
      <c r="H147" s="97">
        <f t="shared" si="67"/>
        <v>1330100</v>
      </c>
      <c r="I147" s="97">
        <f t="shared" si="67"/>
        <v>0</v>
      </c>
      <c r="J147" s="97">
        <f t="shared" si="67"/>
        <v>72581556.159999996</v>
      </c>
      <c r="K147" s="97">
        <f t="shared" si="67"/>
        <v>29657860.370000001</v>
      </c>
      <c r="L147" s="97">
        <f t="shared" si="67"/>
        <v>786377.98</v>
      </c>
      <c r="M147" s="157">
        <f t="shared" ref="M147:M210" si="68">J147/E147*100</f>
        <v>37.309763815709474</v>
      </c>
      <c r="N147" s="97">
        <f t="shared" ref="N147:AB147" si="69">N148</f>
        <v>770200</v>
      </c>
      <c r="O147" s="97">
        <f t="shared" si="69"/>
        <v>674000</v>
      </c>
      <c r="P147" s="97">
        <f t="shared" si="69"/>
        <v>96200</v>
      </c>
      <c r="Q147" s="97">
        <f t="shared" si="69"/>
        <v>75000</v>
      </c>
      <c r="R147" s="97">
        <f t="shared" si="69"/>
        <v>0</v>
      </c>
      <c r="S147" s="97">
        <f t="shared" si="69"/>
        <v>674000</v>
      </c>
      <c r="T147" s="97">
        <f t="shared" si="69"/>
        <v>1226086.4200000002</v>
      </c>
      <c r="U147" s="97">
        <f t="shared" si="69"/>
        <v>0</v>
      </c>
      <c r="V147" s="97">
        <f t="shared" si="69"/>
        <v>677544.26000000013</v>
      </c>
      <c r="W147" s="97">
        <f t="shared" si="69"/>
        <v>18476.419999999998</v>
      </c>
      <c r="X147" s="97">
        <f t="shared" si="69"/>
        <v>0</v>
      </c>
      <c r="Y147" s="97">
        <f t="shared" si="69"/>
        <v>548542.16</v>
      </c>
      <c r="Z147" s="157">
        <f t="shared" ref="Z147:Z209" si="70">T147/N147*100</f>
        <v>159.19065437548693</v>
      </c>
      <c r="AA147" s="97">
        <f t="shared" si="69"/>
        <v>73807642.579999983</v>
      </c>
      <c r="AB147" s="97">
        <f t="shared" si="69"/>
        <v>195307899.35000002</v>
      </c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  <c r="IW147" s="32"/>
      <c r="IX147" s="32"/>
      <c r="IY147" s="32"/>
      <c r="IZ147" s="32"/>
      <c r="JA147" s="32"/>
      <c r="JB147" s="32"/>
      <c r="JC147" s="32"/>
      <c r="JD147" s="32"/>
      <c r="JE147" s="32"/>
      <c r="JF147" s="32"/>
      <c r="JG147" s="32"/>
      <c r="JH147" s="32"/>
      <c r="JI147" s="32"/>
      <c r="JJ147" s="32"/>
      <c r="JK147" s="32"/>
      <c r="JL147" s="32"/>
      <c r="JM147" s="32"/>
      <c r="JN147" s="32"/>
      <c r="JO147" s="32"/>
      <c r="JP147" s="32"/>
      <c r="JQ147" s="32"/>
      <c r="JR147" s="32"/>
      <c r="JS147" s="32"/>
      <c r="JT147" s="32"/>
      <c r="JU147" s="32"/>
      <c r="JV147" s="32"/>
      <c r="JW147" s="32"/>
      <c r="JX147" s="32"/>
      <c r="JY147" s="32"/>
      <c r="JZ147" s="32"/>
      <c r="KA147" s="32"/>
      <c r="KB147" s="32"/>
      <c r="KC147" s="32"/>
      <c r="KD147" s="32"/>
      <c r="KE147" s="32"/>
      <c r="KF147" s="32"/>
      <c r="KG147" s="32"/>
      <c r="KH147" s="32"/>
      <c r="KI147" s="32"/>
      <c r="KJ147" s="32"/>
      <c r="KK147" s="32"/>
      <c r="KL147" s="32"/>
      <c r="KM147" s="32"/>
      <c r="KN147" s="32"/>
      <c r="KO147" s="32"/>
      <c r="KP147" s="32"/>
      <c r="KQ147" s="32"/>
      <c r="KR147" s="32"/>
      <c r="KS147" s="32"/>
      <c r="KT147" s="32"/>
      <c r="KU147" s="32"/>
      <c r="KV147" s="32"/>
      <c r="KW147" s="32"/>
      <c r="KX147" s="32"/>
      <c r="KY147" s="32"/>
      <c r="KZ147" s="32"/>
      <c r="LA147" s="32"/>
      <c r="LB147" s="32"/>
      <c r="LC147" s="32"/>
      <c r="LD147" s="32"/>
      <c r="LE147" s="32"/>
      <c r="LF147" s="32"/>
      <c r="LG147" s="32"/>
      <c r="LH147" s="32"/>
      <c r="LI147" s="32"/>
      <c r="LJ147" s="32"/>
      <c r="LK147" s="32"/>
      <c r="LL147" s="32"/>
      <c r="LM147" s="32"/>
      <c r="LN147" s="32"/>
      <c r="LO147" s="32"/>
      <c r="LP147" s="32"/>
      <c r="LQ147" s="32"/>
      <c r="LR147" s="32"/>
      <c r="LS147" s="32"/>
      <c r="LT147" s="32"/>
      <c r="LU147" s="32"/>
      <c r="LV147" s="32"/>
      <c r="LW147" s="32"/>
      <c r="LX147" s="32"/>
      <c r="LY147" s="32"/>
      <c r="LZ147" s="32"/>
      <c r="MA147" s="32"/>
      <c r="MB147" s="32"/>
      <c r="MC147" s="32"/>
      <c r="MD147" s="32"/>
      <c r="ME147" s="32"/>
      <c r="MF147" s="32"/>
      <c r="MG147" s="32"/>
      <c r="MH147" s="32"/>
      <c r="MI147" s="32"/>
      <c r="MJ147" s="32"/>
      <c r="MK147" s="32"/>
      <c r="ML147" s="32"/>
      <c r="MM147" s="32"/>
      <c r="MN147" s="32"/>
      <c r="MO147" s="32"/>
      <c r="MP147" s="32"/>
      <c r="MQ147" s="32"/>
      <c r="MR147" s="32"/>
      <c r="MS147" s="32"/>
      <c r="MT147" s="32"/>
      <c r="MU147" s="32"/>
      <c r="MV147" s="32"/>
      <c r="MW147" s="32"/>
      <c r="MX147" s="32"/>
      <c r="MY147" s="32"/>
      <c r="MZ147" s="32"/>
      <c r="NA147" s="32"/>
      <c r="NB147" s="32"/>
      <c r="NC147" s="32"/>
      <c r="ND147" s="32"/>
      <c r="NE147" s="32"/>
      <c r="NF147" s="32"/>
      <c r="NG147" s="32"/>
      <c r="NH147" s="32"/>
      <c r="NI147" s="32"/>
      <c r="NJ147" s="32"/>
      <c r="NK147" s="32"/>
      <c r="NL147" s="32"/>
      <c r="NM147" s="32"/>
      <c r="NN147" s="32"/>
      <c r="NO147" s="32"/>
      <c r="NP147" s="32"/>
      <c r="NQ147" s="32"/>
      <c r="NR147" s="32"/>
      <c r="NS147" s="32"/>
      <c r="NT147" s="32"/>
      <c r="NU147" s="32"/>
      <c r="NV147" s="32"/>
      <c r="NW147" s="32"/>
      <c r="NX147" s="32"/>
      <c r="NY147" s="32"/>
      <c r="NZ147" s="32"/>
      <c r="OA147" s="32"/>
      <c r="OB147" s="32"/>
      <c r="OC147" s="32"/>
      <c r="OD147" s="32"/>
      <c r="OE147" s="32"/>
      <c r="OF147" s="32"/>
      <c r="OG147" s="32"/>
      <c r="OH147" s="32"/>
      <c r="OI147" s="32"/>
      <c r="OJ147" s="32"/>
      <c r="OK147" s="32"/>
      <c r="OL147" s="32"/>
      <c r="OM147" s="32"/>
      <c r="ON147" s="32"/>
      <c r="OO147" s="32"/>
      <c r="OP147" s="32"/>
      <c r="OQ147" s="32"/>
      <c r="OR147" s="32"/>
      <c r="OS147" s="32"/>
      <c r="OT147" s="32"/>
      <c r="OU147" s="32"/>
      <c r="OV147" s="32"/>
      <c r="OW147" s="32"/>
      <c r="OX147" s="32"/>
      <c r="OY147" s="32"/>
      <c r="OZ147" s="32"/>
      <c r="PA147" s="32"/>
      <c r="PB147" s="32"/>
      <c r="PC147" s="32"/>
      <c r="PD147" s="32"/>
      <c r="PE147" s="32"/>
      <c r="PF147" s="32"/>
      <c r="PG147" s="32"/>
      <c r="PH147" s="32"/>
      <c r="PI147" s="32"/>
      <c r="PJ147" s="32"/>
      <c r="PK147" s="32"/>
      <c r="PL147" s="32"/>
      <c r="PM147" s="32"/>
      <c r="PN147" s="32"/>
      <c r="PO147" s="32"/>
      <c r="PP147" s="32"/>
      <c r="PQ147" s="32"/>
      <c r="PR147" s="32"/>
      <c r="PS147" s="32"/>
      <c r="PT147" s="32"/>
      <c r="PU147" s="32"/>
      <c r="PV147" s="32"/>
      <c r="PW147" s="32"/>
      <c r="PX147" s="32"/>
      <c r="PY147" s="32"/>
      <c r="PZ147" s="32"/>
      <c r="QA147" s="32"/>
      <c r="QB147" s="32"/>
      <c r="QC147" s="32"/>
      <c r="QD147" s="32"/>
      <c r="QE147" s="32"/>
      <c r="QF147" s="32"/>
      <c r="QG147" s="32"/>
      <c r="QH147" s="32"/>
      <c r="QI147" s="32"/>
      <c r="QJ147" s="32"/>
      <c r="QK147" s="32"/>
      <c r="QL147" s="32"/>
      <c r="QM147" s="32"/>
      <c r="QN147" s="32"/>
      <c r="QO147" s="32"/>
      <c r="QP147" s="32"/>
      <c r="QQ147" s="32"/>
      <c r="QR147" s="32"/>
      <c r="QS147" s="32"/>
      <c r="QT147" s="32"/>
      <c r="QU147" s="32"/>
      <c r="QV147" s="32"/>
      <c r="QW147" s="32"/>
      <c r="QX147" s="32"/>
      <c r="QY147" s="32"/>
      <c r="QZ147" s="32"/>
      <c r="RA147" s="32"/>
      <c r="RB147" s="32"/>
      <c r="RC147" s="32"/>
      <c r="RD147" s="32"/>
      <c r="RE147" s="32"/>
      <c r="RF147" s="32"/>
      <c r="RG147" s="32"/>
      <c r="RH147" s="32"/>
      <c r="RI147" s="32"/>
      <c r="RJ147" s="32"/>
      <c r="RK147" s="32"/>
      <c r="RL147" s="32"/>
      <c r="RM147" s="32"/>
      <c r="RN147" s="32"/>
      <c r="RO147" s="32"/>
      <c r="RP147" s="32"/>
      <c r="RQ147" s="32"/>
      <c r="RR147" s="32"/>
      <c r="RS147" s="32"/>
      <c r="RT147" s="32"/>
      <c r="RU147" s="32"/>
      <c r="RV147" s="32"/>
      <c r="RW147" s="32"/>
      <c r="RX147" s="32"/>
      <c r="RY147" s="32"/>
      <c r="RZ147" s="32"/>
      <c r="SA147" s="32"/>
      <c r="SB147" s="32"/>
      <c r="SC147" s="32"/>
      <c r="SD147" s="32"/>
      <c r="SE147" s="32"/>
      <c r="SF147" s="32"/>
      <c r="SG147" s="32"/>
      <c r="SH147" s="32"/>
      <c r="SI147" s="32"/>
      <c r="SJ147" s="32"/>
      <c r="SK147" s="32"/>
      <c r="SL147" s="32"/>
      <c r="SM147" s="32"/>
      <c r="SN147" s="32"/>
      <c r="SO147" s="32"/>
      <c r="SP147" s="32"/>
      <c r="SQ147" s="32"/>
      <c r="SR147" s="32"/>
      <c r="SS147" s="32"/>
      <c r="ST147" s="32"/>
      <c r="SU147" s="32"/>
      <c r="SV147" s="32"/>
      <c r="SW147" s="32"/>
      <c r="SX147" s="32"/>
      <c r="SY147" s="32"/>
      <c r="SZ147" s="32"/>
      <c r="TA147" s="32"/>
      <c r="TB147" s="32"/>
      <c r="TC147" s="32"/>
      <c r="TD147" s="32"/>
      <c r="TE147" s="32"/>
      <c r="TF147" s="32"/>
      <c r="TG147" s="32"/>
      <c r="TH147" s="32"/>
      <c r="TI147" s="32"/>
      <c r="TJ147" s="32"/>
      <c r="TK147" s="32"/>
      <c r="TL147" s="32"/>
      <c r="TM147" s="32"/>
      <c r="TN147" s="32"/>
      <c r="TO147" s="32"/>
      <c r="TP147" s="32"/>
      <c r="TQ147" s="32"/>
      <c r="TR147" s="32"/>
      <c r="TS147" s="32"/>
    </row>
    <row r="148" spans="1:539" s="34" customFormat="1" ht="32.25" customHeight="1" x14ac:dyDescent="0.25">
      <c r="A148" s="98" t="s">
        <v>181</v>
      </c>
      <c r="B148" s="111"/>
      <c r="C148" s="111"/>
      <c r="D148" s="79" t="s">
        <v>396</v>
      </c>
      <c r="E148" s="100">
        <f>E152+E153+E154+E155+E156+E158+E159+E160+E162+E164+E165+E166+E168+E170+E171+E172+E173+E174+E175+E177+E179+E180+E182+E183</f>
        <v>194537699.35000002</v>
      </c>
      <c r="F148" s="100">
        <f t="shared" ref="F148:L148" si="71">F152+F153+F154+F155+F156+F158+F159+F160+F162+F164+F165+F166+F168+F170+F171+F172+F173+F174+F175+F177+F179+F180+F182+F183</f>
        <v>194537699.35000002</v>
      </c>
      <c r="G148" s="100">
        <f t="shared" si="71"/>
        <v>60937100</v>
      </c>
      <c r="H148" s="100">
        <f t="shared" si="71"/>
        <v>1330100</v>
      </c>
      <c r="I148" s="100">
        <f t="shared" si="71"/>
        <v>0</v>
      </c>
      <c r="J148" s="100">
        <f t="shared" si="71"/>
        <v>72581556.159999996</v>
      </c>
      <c r="K148" s="100">
        <f t="shared" si="71"/>
        <v>29657860.370000001</v>
      </c>
      <c r="L148" s="100">
        <f t="shared" si="71"/>
        <v>786377.98</v>
      </c>
      <c r="M148" s="157">
        <f t="shared" si="68"/>
        <v>37.309763815709474</v>
      </c>
      <c r="N148" s="100">
        <f t="shared" ref="N148:AB148" si="72">N152+N153+N154+N155+N156+N158+N159+N160+N162+N164+N165+N166+N168+N170+N171+N172+N173+N174+N175+N177+N179+N180+N182+N183</f>
        <v>770200</v>
      </c>
      <c r="O148" s="100">
        <f t="shared" si="72"/>
        <v>674000</v>
      </c>
      <c r="P148" s="100">
        <f t="shared" si="72"/>
        <v>96200</v>
      </c>
      <c r="Q148" s="100">
        <f t="shared" si="72"/>
        <v>75000</v>
      </c>
      <c r="R148" s="100">
        <f t="shared" si="72"/>
        <v>0</v>
      </c>
      <c r="S148" s="100">
        <f t="shared" si="72"/>
        <v>674000</v>
      </c>
      <c r="T148" s="100">
        <f t="shared" si="72"/>
        <v>1226086.4200000002</v>
      </c>
      <c r="U148" s="100">
        <f t="shared" si="72"/>
        <v>0</v>
      </c>
      <c r="V148" s="100">
        <f t="shared" si="72"/>
        <v>677544.26000000013</v>
      </c>
      <c r="W148" s="100">
        <f t="shared" si="72"/>
        <v>18476.419999999998</v>
      </c>
      <c r="X148" s="100">
        <f t="shared" si="72"/>
        <v>0</v>
      </c>
      <c r="Y148" s="100">
        <f t="shared" si="72"/>
        <v>548542.16</v>
      </c>
      <c r="Z148" s="157">
        <f t="shared" si="70"/>
        <v>159.19065437548693</v>
      </c>
      <c r="AA148" s="100">
        <f t="shared" si="72"/>
        <v>73807642.579999983</v>
      </c>
      <c r="AB148" s="100">
        <f t="shared" si="72"/>
        <v>195307899.35000002</v>
      </c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  <c r="TF148" s="33"/>
      <c r="TG148" s="33"/>
      <c r="TH148" s="33"/>
      <c r="TI148" s="33"/>
      <c r="TJ148" s="33"/>
      <c r="TK148" s="33"/>
      <c r="TL148" s="33"/>
      <c r="TM148" s="33"/>
      <c r="TN148" s="33"/>
      <c r="TO148" s="33"/>
      <c r="TP148" s="33"/>
      <c r="TQ148" s="33"/>
      <c r="TR148" s="33"/>
      <c r="TS148" s="33"/>
    </row>
    <row r="149" spans="1:539" s="34" customFormat="1" ht="275.25" hidden="1" customHeight="1" x14ac:dyDescent="0.25">
      <c r="A149" s="98"/>
      <c r="B149" s="111"/>
      <c r="C149" s="111"/>
      <c r="D149" s="79" t="str">
        <f>'дод 5'!C90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9" s="100">
        <f>E176</f>
        <v>0</v>
      </c>
      <c r="F149" s="100">
        <f t="shared" ref="F149:L149" si="73">F176</f>
        <v>0</v>
      </c>
      <c r="G149" s="100">
        <f t="shared" si="73"/>
        <v>0</v>
      </c>
      <c r="H149" s="100">
        <f t="shared" si="73"/>
        <v>0</v>
      </c>
      <c r="I149" s="100">
        <f t="shared" si="73"/>
        <v>0</v>
      </c>
      <c r="J149" s="100">
        <f t="shared" si="73"/>
        <v>0</v>
      </c>
      <c r="K149" s="100">
        <f t="shared" si="73"/>
        <v>0</v>
      </c>
      <c r="L149" s="100">
        <f t="shared" si="73"/>
        <v>0</v>
      </c>
      <c r="M149" s="157" t="e">
        <f t="shared" si="68"/>
        <v>#DIV/0!</v>
      </c>
      <c r="N149" s="100">
        <f t="shared" ref="N149:AB149" si="74">N176</f>
        <v>0</v>
      </c>
      <c r="O149" s="100">
        <f t="shared" si="74"/>
        <v>0</v>
      </c>
      <c r="P149" s="100">
        <f t="shared" si="74"/>
        <v>0</v>
      </c>
      <c r="Q149" s="100">
        <f t="shared" si="74"/>
        <v>0</v>
      </c>
      <c r="R149" s="100">
        <f t="shared" si="74"/>
        <v>0</v>
      </c>
      <c r="S149" s="100">
        <f t="shared" si="74"/>
        <v>0</v>
      </c>
      <c r="T149" s="100">
        <f t="shared" si="74"/>
        <v>0</v>
      </c>
      <c r="U149" s="100">
        <f t="shared" si="74"/>
        <v>0</v>
      </c>
      <c r="V149" s="100">
        <f t="shared" si="74"/>
        <v>0</v>
      </c>
      <c r="W149" s="100">
        <f t="shared" si="74"/>
        <v>0</v>
      </c>
      <c r="X149" s="100">
        <f t="shared" si="74"/>
        <v>0</v>
      </c>
      <c r="Y149" s="100">
        <f t="shared" si="74"/>
        <v>0</v>
      </c>
      <c r="Z149" s="157" t="e">
        <f t="shared" si="70"/>
        <v>#DIV/0!</v>
      </c>
      <c r="AA149" s="100">
        <f t="shared" si="74"/>
        <v>0</v>
      </c>
      <c r="AB149" s="100">
        <f t="shared" si="74"/>
        <v>0</v>
      </c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  <c r="QA149" s="33"/>
      <c r="QB149" s="33"/>
      <c r="QC149" s="33"/>
      <c r="QD149" s="33"/>
      <c r="QE149" s="33"/>
      <c r="QF149" s="33"/>
      <c r="QG149" s="33"/>
      <c r="QH149" s="33"/>
      <c r="QI149" s="33"/>
      <c r="QJ149" s="33"/>
      <c r="QK149" s="33"/>
      <c r="QL149" s="33"/>
      <c r="QM149" s="33"/>
      <c r="QN149" s="33"/>
      <c r="QO149" s="33"/>
      <c r="QP149" s="33"/>
      <c r="QQ149" s="33"/>
      <c r="QR149" s="33"/>
      <c r="QS149" s="33"/>
      <c r="QT149" s="33"/>
      <c r="QU149" s="33"/>
      <c r="QV149" s="33"/>
      <c r="QW149" s="33"/>
      <c r="QX149" s="33"/>
      <c r="QY149" s="33"/>
      <c r="QZ149" s="33"/>
      <c r="RA149" s="33"/>
      <c r="RB149" s="33"/>
      <c r="RC149" s="33"/>
      <c r="RD149" s="33"/>
      <c r="RE149" s="33"/>
      <c r="RF149" s="33"/>
      <c r="RG149" s="33"/>
      <c r="RH149" s="33"/>
      <c r="RI149" s="33"/>
      <c r="RJ149" s="33"/>
      <c r="RK149" s="33"/>
      <c r="RL149" s="33"/>
      <c r="RM149" s="33"/>
      <c r="RN149" s="33"/>
      <c r="RO149" s="33"/>
      <c r="RP149" s="33"/>
      <c r="RQ149" s="33"/>
      <c r="RR149" s="33"/>
      <c r="RS149" s="33"/>
      <c r="RT149" s="33"/>
      <c r="RU149" s="33"/>
      <c r="RV149" s="33"/>
      <c r="RW149" s="33"/>
      <c r="RX149" s="33"/>
      <c r="RY149" s="33"/>
      <c r="RZ149" s="33"/>
      <c r="SA149" s="33"/>
      <c r="SB149" s="33"/>
      <c r="SC149" s="33"/>
      <c r="SD149" s="33"/>
      <c r="SE149" s="33"/>
      <c r="SF149" s="33"/>
      <c r="SG149" s="33"/>
      <c r="SH149" s="33"/>
      <c r="SI149" s="33"/>
      <c r="SJ149" s="33"/>
      <c r="SK149" s="33"/>
      <c r="SL149" s="33"/>
      <c r="SM149" s="33"/>
      <c r="SN149" s="33"/>
      <c r="SO149" s="33"/>
      <c r="SP149" s="33"/>
      <c r="SQ149" s="33"/>
      <c r="SR149" s="33"/>
      <c r="SS149" s="33"/>
      <c r="ST149" s="33"/>
      <c r="SU149" s="33"/>
      <c r="SV149" s="33"/>
      <c r="SW149" s="33"/>
      <c r="SX149" s="33"/>
      <c r="SY149" s="33"/>
      <c r="SZ149" s="33"/>
      <c r="TA149" s="33"/>
      <c r="TB149" s="33"/>
      <c r="TC149" s="33"/>
      <c r="TD149" s="33"/>
      <c r="TE149" s="33"/>
      <c r="TF149" s="33"/>
      <c r="TG149" s="33"/>
      <c r="TH149" s="33"/>
      <c r="TI149" s="33"/>
      <c r="TJ149" s="33"/>
      <c r="TK149" s="33"/>
      <c r="TL149" s="33"/>
      <c r="TM149" s="33"/>
      <c r="TN149" s="33"/>
      <c r="TO149" s="33"/>
      <c r="TP149" s="33"/>
      <c r="TQ149" s="33"/>
      <c r="TR149" s="33"/>
      <c r="TS149" s="33"/>
    </row>
    <row r="150" spans="1:539" s="34" customFormat="1" ht="255" hidden="1" customHeight="1" x14ac:dyDescent="0.25">
      <c r="A150" s="98"/>
      <c r="B150" s="111"/>
      <c r="C150" s="111"/>
      <c r="D150" s="79" t="str">
        <f>'дод 5'!C91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0" s="100">
        <f>E178</f>
        <v>0</v>
      </c>
      <c r="F150" s="100">
        <f t="shared" ref="F150:L150" si="75">F178</f>
        <v>0</v>
      </c>
      <c r="G150" s="100">
        <f t="shared" si="75"/>
        <v>0</v>
      </c>
      <c r="H150" s="100">
        <f t="shared" si="75"/>
        <v>0</v>
      </c>
      <c r="I150" s="100">
        <f t="shared" si="75"/>
        <v>0</v>
      </c>
      <c r="J150" s="100">
        <f t="shared" si="75"/>
        <v>0</v>
      </c>
      <c r="K150" s="100">
        <f t="shared" si="75"/>
        <v>0</v>
      </c>
      <c r="L150" s="100">
        <f t="shared" si="75"/>
        <v>0</v>
      </c>
      <c r="M150" s="157" t="e">
        <f t="shared" si="68"/>
        <v>#DIV/0!</v>
      </c>
      <c r="N150" s="100">
        <f t="shared" ref="N150:AB150" si="76">N178</f>
        <v>0</v>
      </c>
      <c r="O150" s="100">
        <f t="shared" si="76"/>
        <v>0</v>
      </c>
      <c r="P150" s="100">
        <f t="shared" si="76"/>
        <v>0</v>
      </c>
      <c r="Q150" s="100">
        <f t="shared" si="76"/>
        <v>0</v>
      </c>
      <c r="R150" s="100">
        <f t="shared" si="76"/>
        <v>0</v>
      </c>
      <c r="S150" s="100">
        <f t="shared" si="76"/>
        <v>0</v>
      </c>
      <c r="T150" s="100">
        <f t="shared" si="76"/>
        <v>0</v>
      </c>
      <c r="U150" s="100">
        <f t="shared" si="76"/>
        <v>0</v>
      </c>
      <c r="V150" s="100">
        <f t="shared" si="76"/>
        <v>0</v>
      </c>
      <c r="W150" s="100">
        <f t="shared" si="76"/>
        <v>0</v>
      </c>
      <c r="X150" s="100">
        <f t="shared" si="76"/>
        <v>0</v>
      </c>
      <c r="Y150" s="100">
        <f t="shared" si="76"/>
        <v>0</v>
      </c>
      <c r="Z150" s="157" t="e">
        <f t="shared" si="70"/>
        <v>#DIV/0!</v>
      </c>
      <c r="AA150" s="100">
        <f t="shared" si="76"/>
        <v>0</v>
      </c>
      <c r="AB150" s="100">
        <f t="shared" si="76"/>
        <v>0</v>
      </c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  <c r="QA150" s="33"/>
      <c r="QB150" s="33"/>
      <c r="QC150" s="33"/>
      <c r="QD150" s="33"/>
      <c r="QE150" s="33"/>
      <c r="QF150" s="33"/>
      <c r="QG150" s="33"/>
      <c r="QH150" s="33"/>
      <c r="QI150" s="33"/>
      <c r="QJ150" s="33"/>
      <c r="QK150" s="33"/>
      <c r="QL150" s="33"/>
      <c r="QM150" s="33"/>
      <c r="QN150" s="33"/>
      <c r="QO150" s="33"/>
      <c r="QP150" s="33"/>
      <c r="QQ150" s="33"/>
      <c r="QR150" s="33"/>
      <c r="QS150" s="33"/>
      <c r="QT150" s="33"/>
      <c r="QU150" s="33"/>
      <c r="QV150" s="33"/>
      <c r="QW150" s="33"/>
      <c r="QX150" s="33"/>
      <c r="QY150" s="33"/>
      <c r="QZ150" s="33"/>
      <c r="RA150" s="33"/>
      <c r="RB150" s="33"/>
      <c r="RC150" s="33"/>
      <c r="RD150" s="33"/>
      <c r="RE150" s="33"/>
      <c r="RF150" s="33"/>
      <c r="RG150" s="33"/>
      <c r="RH150" s="33"/>
      <c r="RI150" s="33"/>
      <c r="RJ150" s="33"/>
      <c r="RK150" s="33"/>
      <c r="RL150" s="33"/>
      <c r="RM150" s="33"/>
      <c r="RN150" s="33"/>
      <c r="RO150" s="33"/>
      <c r="RP150" s="33"/>
      <c r="RQ150" s="33"/>
      <c r="RR150" s="33"/>
      <c r="RS150" s="33"/>
      <c r="RT150" s="33"/>
      <c r="RU150" s="33"/>
      <c r="RV150" s="33"/>
      <c r="RW150" s="33"/>
      <c r="RX150" s="33"/>
      <c r="RY150" s="33"/>
      <c r="RZ150" s="33"/>
      <c r="SA150" s="33"/>
      <c r="SB150" s="33"/>
      <c r="SC150" s="33"/>
      <c r="SD150" s="33"/>
      <c r="SE150" s="33"/>
      <c r="SF150" s="33"/>
      <c r="SG150" s="33"/>
      <c r="SH150" s="33"/>
      <c r="SI150" s="33"/>
      <c r="SJ150" s="33"/>
      <c r="SK150" s="33"/>
      <c r="SL150" s="33"/>
      <c r="SM150" s="33"/>
      <c r="SN150" s="33"/>
      <c r="SO150" s="33"/>
      <c r="SP150" s="33"/>
      <c r="SQ150" s="33"/>
      <c r="SR150" s="33"/>
      <c r="SS150" s="33"/>
      <c r="ST150" s="33"/>
      <c r="SU150" s="33"/>
      <c r="SV150" s="33"/>
      <c r="SW150" s="33"/>
      <c r="SX150" s="33"/>
      <c r="SY150" s="33"/>
      <c r="SZ150" s="33"/>
      <c r="TA150" s="33"/>
      <c r="TB150" s="33"/>
      <c r="TC150" s="33"/>
      <c r="TD150" s="33"/>
      <c r="TE150" s="33"/>
      <c r="TF150" s="33"/>
      <c r="TG150" s="33"/>
      <c r="TH150" s="33"/>
      <c r="TI150" s="33"/>
      <c r="TJ150" s="33"/>
      <c r="TK150" s="33"/>
      <c r="TL150" s="33"/>
      <c r="TM150" s="33"/>
      <c r="TN150" s="33"/>
      <c r="TO150" s="33"/>
      <c r="TP150" s="33"/>
      <c r="TQ150" s="33"/>
      <c r="TR150" s="33"/>
      <c r="TS150" s="33"/>
    </row>
    <row r="151" spans="1:539" s="34" customFormat="1" ht="15.75" x14ac:dyDescent="0.25">
      <c r="A151" s="98"/>
      <c r="B151" s="111"/>
      <c r="C151" s="111"/>
      <c r="D151" s="79" t="s">
        <v>397</v>
      </c>
      <c r="E151" s="100">
        <f>E157+E161+E163+E167+E169+E181</f>
        <v>4847050.24</v>
      </c>
      <c r="F151" s="100">
        <f t="shared" ref="F151:L151" si="77">F157+F161+F163+F167+F169+F181</f>
        <v>4847050.24</v>
      </c>
      <c r="G151" s="100">
        <f t="shared" si="77"/>
        <v>0</v>
      </c>
      <c r="H151" s="100">
        <f t="shared" si="77"/>
        <v>0</v>
      </c>
      <c r="I151" s="100">
        <f t="shared" si="77"/>
        <v>0</v>
      </c>
      <c r="J151" s="100">
        <f t="shared" si="77"/>
        <v>2344197.9799999995</v>
      </c>
      <c r="K151" s="100">
        <f t="shared" si="77"/>
        <v>0</v>
      </c>
      <c r="L151" s="100">
        <f t="shared" si="77"/>
        <v>0</v>
      </c>
      <c r="M151" s="157">
        <f t="shared" si="68"/>
        <v>48.363393485271558</v>
      </c>
      <c r="N151" s="100">
        <f t="shared" ref="N151:AB151" si="78">N157+N161+N163+N167+N169+N181</f>
        <v>0</v>
      </c>
      <c r="O151" s="100">
        <f t="shared" si="78"/>
        <v>0</v>
      </c>
      <c r="P151" s="100">
        <f t="shared" si="78"/>
        <v>0</v>
      </c>
      <c r="Q151" s="100">
        <f t="shared" si="78"/>
        <v>0</v>
      </c>
      <c r="R151" s="100">
        <f t="shared" si="78"/>
        <v>0</v>
      </c>
      <c r="S151" s="100">
        <f t="shared" si="78"/>
        <v>0</v>
      </c>
      <c r="T151" s="100">
        <f t="shared" si="78"/>
        <v>0</v>
      </c>
      <c r="U151" s="100">
        <f t="shared" si="78"/>
        <v>0</v>
      </c>
      <c r="V151" s="100">
        <f t="shared" si="78"/>
        <v>0</v>
      </c>
      <c r="W151" s="100">
        <f t="shared" si="78"/>
        <v>0</v>
      </c>
      <c r="X151" s="100">
        <f t="shared" si="78"/>
        <v>0</v>
      </c>
      <c r="Y151" s="100">
        <f t="shared" si="78"/>
        <v>0</v>
      </c>
      <c r="Z151" s="157"/>
      <c r="AA151" s="100">
        <f t="shared" si="78"/>
        <v>2344197.9799999995</v>
      </c>
      <c r="AB151" s="100">
        <f t="shared" si="78"/>
        <v>4847050.24</v>
      </c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  <c r="TS151" s="33"/>
    </row>
    <row r="152" spans="1:539" s="22" customFormat="1" ht="45.75" customHeight="1" x14ac:dyDescent="0.25">
      <c r="A152" s="60" t="s">
        <v>182</v>
      </c>
      <c r="B152" s="95" t="str">
        <f>'дод 5'!A21</f>
        <v>0160</v>
      </c>
      <c r="C152" s="95" t="str">
        <f>'дод 5'!B21</f>
        <v>0111</v>
      </c>
      <c r="D152" s="36" t="s">
        <v>502</v>
      </c>
      <c r="E152" s="101">
        <f t="shared" ref="E152:E183" si="79">F152+I152</f>
        <v>55362100</v>
      </c>
      <c r="F152" s="101">
        <f>55404100-2500-39500</f>
        <v>55362100</v>
      </c>
      <c r="G152" s="101">
        <v>43270200</v>
      </c>
      <c r="H152" s="101">
        <v>762000</v>
      </c>
      <c r="I152" s="101"/>
      <c r="J152" s="101">
        <v>26961934.149999999</v>
      </c>
      <c r="K152" s="101">
        <v>21199175.949999999</v>
      </c>
      <c r="L152" s="101">
        <v>433421.07</v>
      </c>
      <c r="M152" s="157">
        <f t="shared" si="68"/>
        <v>48.701068330139208</v>
      </c>
      <c r="N152" s="101">
        <f>P152+S152</f>
        <v>68000</v>
      </c>
      <c r="O152" s="101">
        <v>68000</v>
      </c>
      <c r="P152" s="101"/>
      <c r="Q152" s="101"/>
      <c r="R152" s="101"/>
      <c r="S152" s="101">
        <v>68000</v>
      </c>
      <c r="T152" s="97">
        <f t="shared" ref="T152:T210" si="80">V152+Y152</f>
        <v>1085581.08</v>
      </c>
      <c r="U152" s="101"/>
      <c r="V152" s="101">
        <v>537038.92000000004</v>
      </c>
      <c r="W152" s="101"/>
      <c r="X152" s="101"/>
      <c r="Y152" s="101">
        <v>548542.16</v>
      </c>
      <c r="Z152" s="157">
        <f t="shared" si="70"/>
        <v>1596.4427647058824</v>
      </c>
      <c r="AA152" s="97">
        <f t="shared" ref="AA152:AA210" si="81">J152+T152</f>
        <v>28047515.229999997</v>
      </c>
      <c r="AB152" s="101">
        <f t="shared" ref="AB152:AB183" si="82">E152+N152</f>
        <v>55430100</v>
      </c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  <c r="TI152" s="23"/>
      <c r="TJ152" s="23"/>
      <c r="TK152" s="23"/>
      <c r="TL152" s="23"/>
      <c r="TM152" s="23"/>
      <c r="TN152" s="23"/>
      <c r="TO152" s="23"/>
      <c r="TP152" s="23"/>
      <c r="TQ152" s="23"/>
      <c r="TR152" s="23"/>
      <c r="TS152" s="23"/>
    </row>
    <row r="153" spans="1:539" s="22" customFormat="1" ht="23.25" customHeight="1" x14ac:dyDescent="0.25">
      <c r="A153" s="60" t="s">
        <v>544</v>
      </c>
      <c r="B153" s="60" t="s">
        <v>46</v>
      </c>
      <c r="C153" s="60" t="s">
        <v>95</v>
      </c>
      <c r="D153" s="36" t="s">
        <v>244</v>
      </c>
      <c r="E153" s="101">
        <f t="shared" si="79"/>
        <v>39500</v>
      </c>
      <c r="F153" s="101">
        <v>39500</v>
      </c>
      <c r="G153" s="101"/>
      <c r="H153" s="101"/>
      <c r="I153" s="101"/>
      <c r="J153" s="101">
        <v>24245.38</v>
      </c>
      <c r="K153" s="101"/>
      <c r="L153" s="101"/>
      <c r="M153" s="157">
        <f t="shared" si="68"/>
        <v>61.380708860759491</v>
      </c>
      <c r="N153" s="101">
        <f>P153+S153</f>
        <v>0</v>
      </c>
      <c r="O153" s="101"/>
      <c r="P153" s="101"/>
      <c r="Q153" s="101"/>
      <c r="R153" s="101"/>
      <c r="S153" s="101"/>
      <c r="T153" s="97">
        <f t="shared" si="80"/>
        <v>0</v>
      </c>
      <c r="U153" s="101"/>
      <c r="V153" s="101"/>
      <c r="W153" s="101"/>
      <c r="X153" s="101"/>
      <c r="Y153" s="101"/>
      <c r="Z153" s="157"/>
      <c r="AA153" s="97">
        <f t="shared" si="81"/>
        <v>24245.38</v>
      </c>
      <c r="AB153" s="101">
        <f t="shared" si="82"/>
        <v>39500</v>
      </c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  <c r="TH153" s="23"/>
      <c r="TI153" s="23"/>
      <c r="TJ153" s="23"/>
      <c r="TK153" s="23"/>
      <c r="TL153" s="23"/>
      <c r="TM153" s="23"/>
      <c r="TN153" s="23"/>
      <c r="TO153" s="23"/>
      <c r="TP153" s="23"/>
      <c r="TQ153" s="23"/>
      <c r="TR153" s="23"/>
      <c r="TS153" s="23"/>
    </row>
    <row r="154" spans="1:539" s="23" customFormat="1" ht="36" customHeight="1" x14ac:dyDescent="0.25">
      <c r="A154" s="60" t="s">
        <v>183</v>
      </c>
      <c r="B154" s="95" t="str">
        <f>'дод 5'!A93</f>
        <v>3031</v>
      </c>
      <c r="C154" s="95" t="str">
        <f>'дод 5'!B93</f>
        <v>1030</v>
      </c>
      <c r="D154" s="61" t="str">
        <f>'дод 5'!C93</f>
        <v>Надання інших пільг окремим категоріям громадян відповідно до законодавства</v>
      </c>
      <c r="E154" s="101">
        <f t="shared" si="79"/>
        <v>604900</v>
      </c>
      <c r="F154" s="101">
        <v>604900</v>
      </c>
      <c r="G154" s="101"/>
      <c r="H154" s="101"/>
      <c r="I154" s="101"/>
      <c r="J154" s="101">
        <v>261174.06</v>
      </c>
      <c r="K154" s="101"/>
      <c r="L154" s="101"/>
      <c r="M154" s="157">
        <f t="shared" si="68"/>
        <v>43.176402711191933</v>
      </c>
      <c r="N154" s="101">
        <f t="shared" ref="N154:N178" si="83">P154+S154</f>
        <v>0</v>
      </c>
      <c r="O154" s="101"/>
      <c r="P154" s="101"/>
      <c r="Q154" s="101"/>
      <c r="R154" s="101"/>
      <c r="S154" s="101"/>
      <c r="T154" s="97">
        <f t="shared" si="80"/>
        <v>0</v>
      </c>
      <c r="U154" s="101"/>
      <c r="V154" s="101"/>
      <c r="W154" s="101"/>
      <c r="X154" s="101"/>
      <c r="Y154" s="101"/>
      <c r="Z154" s="157"/>
      <c r="AA154" s="97">
        <f t="shared" si="81"/>
        <v>261174.06</v>
      </c>
      <c r="AB154" s="101">
        <f t="shared" si="82"/>
        <v>604900</v>
      </c>
    </row>
    <row r="155" spans="1:539" s="23" customFormat="1" ht="33" customHeight="1" x14ac:dyDescent="0.25">
      <c r="A155" s="60" t="s">
        <v>184</v>
      </c>
      <c r="B155" s="95" t="str">
        <f>'дод 5'!A94</f>
        <v>3032</v>
      </c>
      <c r="C155" s="95" t="str">
        <f>'дод 5'!B94</f>
        <v>1070</v>
      </c>
      <c r="D155" s="61" t="str">
        <f>'дод 5'!C94</f>
        <v>Надання пільг окремим категоріям громадян з оплати послуг зв'язку</v>
      </c>
      <c r="E155" s="101">
        <f t="shared" si="79"/>
        <v>1129230</v>
      </c>
      <c r="F155" s="101">
        <f>1150000-20770</f>
        <v>1129230</v>
      </c>
      <c r="G155" s="101"/>
      <c r="H155" s="101"/>
      <c r="I155" s="101"/>
      <c r="J155" s="101">
        <v>465575.3</v>
      </c>
      <c r="K155" s="101"/>
      <c r="L155" s="101"/>
      <c r="M155" s="157">
        <f t="shared" si="68"/>
        <v>41.22944838518282</v>
      </c>
      <c r="N155" s="101">
        <f t="shared" si="83"/>
        <v>0</v>
      </c>
      <c r="O155" s="101"/>
      <c r="P155" s="101"/>
      <c r="Q155" s="101"/>
      <c r="R155" s="101"/>
      <c r="S155" s="101"/>
      <c r="T155" s="97">
        <f t="shared" si="80"/>
        <v>0</v>
      </c>
      <c r="U155" s="101"/>
      <c r="V155" s="101"/>
      <c r="W155" s="101"/>
      <c r="X155" s="101"/>
      <c r="Y155" s="101"/>
      <c r="Z155" s="157"/>
      <c r="AA155" s="97">
        <f t="shared" si="81"/>
        <v>465575.3</v>
      </c>
      <c r="AB155" s="101">
        <f t="shared" si="82"/>
        <v>1129230</v>
      </c>
    </row>
    <row r="156" spans="1:539" s="23" customFormat="1" ht="48.75" customHeight="1" x14ac:dyDescent="0.25">
      <c r="A156" s="60" t="s">
        <v>354</v>
      </c>
      <c r="B156" s="95" t="str">
        <f>'дод 5'!A95</f>
        <v>3033</v>
      </c>
      <c r="C156" s="95" t="str">
        <f>'дод 5'!B95</f>
        <v>1070</v>
      </c>
      <c r="D156" s="61" t="str">
        <f>'дод 5'!C95</f>
        <v>Компенсаційні виплати на пільговий проїзд автомобільним транспортом окремим категоріям громадян</v>
      </c>
      <c r="E156" s="101">
        <f t="shared" si="79"/>
        <v>23088451.240000002</v>
      </c>
      <c r="F156" s="101">
        <f>3342111.24+19700200+44220+1920</f>
        <v>23088451.240000002</v>
      </c>
      <c r="G156" s="101"/>
      <c r="H156" s="101"/>
      <c r="I156" s="101"/>
      <c r="J156" s="101">
        <v>6987102.1699999999</v>
      </c>
      <c r="K156" s="101"/>
      <c r="L156" s="101"/>
      <c r="M156" s="157">
        <f t="shared" si="68"/>
        <v>30.262325079194007</v>
      </c>
      <c r="N156" s="101">
        <f t="shared" si="83"/>
        <v>0</v>
      </c>
      <c r="O156" s="101"/>
      <c r="P156" s="101"/>
      <c r="Q156" s="101"/>
      <c r="R156" s="101"/>
      <c r="S156" s="101"/>
      <c r="T156" s="97">
        <f t="shared" si="80"/>
        <v>0</v>
      </c>
      <c r="U156" s="101"/>
      <c r="V156" s="101"/>
      <c r="W156" s="101"/>
      <c r="X156" s="101"/>
      <c r="Y156" s="101"/>
      <c r="Z156" s="157"/>
      <c r="AA156" s="97">
        <f t="shared" si="81"/>
        <v>6987102.1699999999</v>
      </c>
      <c r="AB156" s="101">
        <f t="shared" si="82"/>
        <v>23088451.240000002</v>
      </c>
    </row>
    <row r="157" spans="1:539" s="30" customFormat="1" ht="20.25" customHeight="1" x14ac:dyDescent="0.25">
      <c r="A157" s="86"/>
      <c r="B157" s="113"/>
      <c r="C157" s="113"/>
      <c r="D157" s="87" t="s">
        <v>395</v>
      </c>
      <c r="E157" s="103">
        <f t="shared" si="79"/>
        <v>3388251.24</v>
      </c>
      <c r="F157" s="103">
        <f>3342111.24+44220+1920</f>
        <v>3388251.24</v>
      </c>
      <c r="G157" s="103"/>
      <c r="H157" s="103"/>
      <c r="I157" s="103"/>
      <c r="J157" s="103">
        <v>1838443.45</v>
      </c>
      <c r="K157" s="103"/>
      <c r="L157" s="103"/>
      <c r="M157" s="157">
        <f t="shared" si="68"/>
        <v>54.259360353690887</v>
      </c>
      <c r="N157" s="103">
        <f t="shared" si="83"/>
        <v>0</v>
      </c>
      <c r="O157" s="103"/>
      <c r="P157" s="103"/>
      <c r="Q157" s="103"/>
      <c r="R157" s="103"/>
      <c r="S157" s="103"/>
      <c r="T157" s="97">
        <f t="shared" si="80"/>
        <v>0</v>
      </c>
      <c r="U157" s="103"/>
      <c r="V157" s="103"/>
      <c r="W157" s="103"/>
      <c r="X157" s="103"/>
      <c r="Y157" s="103"/>
      <c r="Z157" s="157"/>
      <c r="AA157" s="97">
        <f t="shared" si="81"/>
        <v>1838443.45</v>
      </c>
      <c r="AB157" s="103">
        <f t="shared" si="82"/>
        <v>3388251.24</v>
      </c>
    </row>
    <row r="158" spans="1:539" s="23" customFormat="1" ht="35.25" customHeight="1" x14ac:dyDescent="0.25">
      <c r="A158" s="60" t="s">
        <v>326</v>
      </c>
      <c r="B158" s="95" t="str">
        <f>'дод 5'!A97</f>
        <v>3035</v>
      </c>
      <c r="C158" s="95" t="str">
        <f>'дод 5'!B97</f>
        <v>1070</v>
      </c>
      <c r="D158" s="61" t="str">
        <f>'дод 5'!C97</f>
        <v>Компенсаційні виплати за пільговий проїзд окремих категорій громадян на залізничному транспорті</v>
      </c>
      <c r="E158" s="101">
        <f t="shared" si="79"/>
        <v>1500000</v>
      </c>
      <c r="F158" s="101">
        <v>1500000</v>
      </c>
      <c r="G158" s="101"/>
      <c r="H158" s="101"/>
      <c r="I158" s="101"/>
      <c r="J158" s="101">
        <v>625000</v>
      </c>
      <c r="K158" s="101"/>
      <c r="L158" s="101"/>
      <c r="M158" s="157">
        <f t="shared" si="68"/>
        <v>41.666666666666671</v>
      </c>
      <c r="N158" s="101">
        <f t="shared" si="83"/>
        <v>0</v>
      </c>
      <c r="O158" s="101"/>
      <c r="P158" s="101"/>
      <c r="Q158" s="101"/>
      <c r="R158" s="101"/>
      <c r="S158" s="101"/>
      <c r="T158" s="97">
        <f t="shared" si="80"/>
        <v>0</v>
      </c>
      <c r="U158" s="101"/>
      <c r="V158" s="101"/>
      <c r="W158" s="101"/>
      <c r="X158" s="101"/>
      <c r="Y158" s="101"/>
      <c r="Z158" s="157"/>
      <c r="AA158" s="97">
        <f t="shared" si="81"/>
        <v>625000</v>
      </c>
      <c r="AB158" s="101">
        <f t="shared" si="82"/>
        <v>1500000</v>
      </c>
    </row>
    <row r="159" spans="1:539" s="23" customFormat="1" ht="36" customHeight="1" x14ac:dyDescent="0.25">
      <c r="A159" s="60" t="s">
        <v>185</v>
      </c>
      <c r="B159" s="95" t="str">
        <f>'дод 5'!A98</f>
        <v>3036</v>
      </c>
      <c r="C159" s="95" t="str">
        <f>'дод 5'!B98</f>
        <v>1070</v>
      </c>
      <c r="D159" s="61" t="str">
        <f>'дод 5'!C98</f>
        <v>Компенсаційні виплати на пільговий проїзд електротранспортом окремим категоріям громадян</v>
      </c>
      <c r="E159" s="101">
        <f t="shared" si="79"/>
        <v>37333000</v>
      </c>
      <c r="F159" s="101">
        <v>37333000</v>
      </c>
      <c r="G159" s="101"/>
      <c r="H159" s="101"/>
      <c r="I159" s="101"/>
      <c r="J159" s="101">
        <v>10646551.560000001</v>
      </c>
      <c r="K159" s="101"/>
      <c r="L159" s="101"/>
      <c r="M159" s="157">
        <f t="shared" si="68"/>
        <v>28.517803444673618</v>
      </c>
      <c r="N159" s="101">
        <f t="shared" si="83"/>
        <v>0</v>
      </c>
      <c r="O159" s="101"/>
      <c r="P159" s="101"/>
      <c r="Q159" s="101"/>
      <c r="R159" s="101"/>
      <c r="S159" s="101"/>
      <c r="T159" s="97">
        <f t="shared" si="80"/>
        <v>0</v>
      </c>
      <c r="U159" s="101"/>
      <c r="V159" s="101"/>
      <c r="W159" s="101"/>
      <c r="X159" s="101"/>
      <c r="Y159" s="101"/>
      <c r="Z159" s="157"/>
      <c r="AA159" s="97">
        <f t="shared" si="81"/>
        <v>10646551.560000001</v>
      </c>
      <c r="AB159" s="101">
        <f t="shared" si="82"/>
        <v>37333000</v>
      </c>
    </row>
    <row r="160" spans="1:539" s="22" customFormat="1" ht="47.25" x14ac:dyDescent="0.25">
      <c r="A160" s="60" t="s">
        <v>352</v>
      </c>
      <c r="B160" s="95" t="str">
        <f>'дод 5'!A99</f>
        <v>3050</v>
      </c>
      <c r="C160" s="95" t="str">
        <f>'дод 5'!B99</f>
        <v>1070</v>
      </c>
      <c r="D160" s="61" t="str">
        <f>'дод 5'!C99</f>
        <v>Пільгове медичне обслуговування осіб, які постраждали внаслідок Чорнобильської катастрофи, у т.ч. за рахунок:</v>
      </c>
      <c r="E160" s="101">
        <f t="shared" si="79"/>
        <v>667500</v>
      </c>
      <c r="F160" s="101">
        <v>667500</v>
      </c>
      <c r="G160" s="101"/>
      <c r="H160" s="101"/>
      <c r="I160" s="101"/>
      <c r="J160" s="101">
        <v>233299.68</v>
      </c>
      <c r="K160" s="101"/>
      <c r="L160" s="101"/>
      <c r="M160" s="157">
        <f t="shared" si="68"/>
        <v>34.951262921348317</v>
      </c>
      <c r="N160" s="101">
        <f t="shared" si="83"/>
        <v>0</v>
      </c>
      <c r="O160" s="101"/>
      <c r="P160" s="101"/>
      <c r="Q160" s="101"/>
      <c r="R160" s="101"/>
      <c r="S160" s="101"/>
      <c r="T160" s="97">
        <f t="shared" si="80"/>
        <v>0</v>
      </c>
      <c r="U160" s="101"/>
      <c r="V160" s="101"/>
      <c r="W160" s="101"/>
      <c r="X160" s="101"/>
      <c r="Y160" s="101"/>
      <c r="Z160" s="157"/>
      <c r="AA160" s="97">
        <f t="shared" si="81"/>
        <v>233299.68</v>
      </c>
      <c r="AB160" s="101">
        <f t="shared" si="82"/>
        <v>667500</v>
      </c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  <c r="TI160" s="23"/>
      <c r="TJ160" s="23"/>
      <c r="TK160" s="23"/>
      <c r="TL160" s="23"/>
      <c r="TM160" s="23"/>
      <c r="TN160" s="23"/>
      <c r="TO160" s="23"/>
      <c r="TP160" s="23"/>
      <c r="TQ160" s="23"/>
      <c r="TR160" s="23"/>
      <c r="TS160" s="23"/>
    </row>
    <row r="161" spans="1:539" s="24" customFormat="1" ht="18.75" customHeight="1" x14ac:dyDescent="0.25">
      <c r="A161" s="86"/>
      <c r="B161" s="113"/>
      <c r="C161" s="113"/>
      <c r="D161" s="87" t="s">
        <v>395</v>
      </c>
      <c r="E161" s="103">
        <f t="shared" si="79"/>
        <v>667500</v>
      </c>
      <c r="F161" s="103">
        <v>667500</v>
      </c>
      <c r="G161" s="103"/>
      <c r="H161" s="103"/>
      <c r="I161" s="103"/>
      <c r="J161" s="103">
        <v>233299.68</v>
      </c>
      <c r="K161" s="103"/>
      <c r="L161" s="103"/>
      <c r="M161" s="157">
        <f t="shared" si="68"/>
        <v>34.951262921348317</v>
      </c>
      <c r="N161" s="103">
        <f t="shared" si="83"/>
        <v>0</v>
      </c>
      <c r="O161" s="103"/>
      <c r="P161" s="103"/>
      <c r="Q161" s="103"/>
      <c r="R161" s="103"/>
      <c r="S161" s="103"/>
      <c r="T161" s="97">
        <f t="shared" si="80"/>
        <v>0</v>
      </c>
      <c r="U161" s="103"/>
      <c r="V161" s="103"/>
      <c r="W161" s="103"/>
      <c r="X161" s="103"/>
      <c r="Y161" s="103"/>
      <c r="Z161" s="157"/>
      <c r="AA161" s="97">
        <f t="shared" si="81"/>
        <v>233299.68</v>
      </c>
      <c r="AB161" s="103">
        <f t="shared" si="82"/>
        <v>667500</v>
      </c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  <c r="TH161" s="30"/>
      <c r="TI161" s="30"/>
      <c r="TJ161" s="30"/>
      <c r="TK161" s="30"/>
      <c r="TL161" s="30"/>
      <c r="TM161" s="30"/>
      <c r="TN161" s="30"/>
      <c r="TO161" s="30"/>
      <c r="TP161" s="30"/>
      <c r="TQ161" s="30"/>
      <c r="TR161" s="30"/>
      <c r="TS161" s="30"/>
    </row>
    <row r="162" spans="1:539" s="22" customFormat="1" ht="36.75" customHeight="1" x14ac:dyDescent="0.25">
      <c r="A162" s="60" t="s">
        <v>353</v>
      </c>
      <c r="B162" s="95" t="str">
        <f>'дод 5'!A101</f>
        <v>3090</v>
      </c>
      <c r="C162" s="95" t="str">
        <f>'дод 5'!B101</f>
        <v>1030</v>
      </c>
      <c r="D162" s="61" t="str">
        <f>'дод 5'!C101</f>
        <v>Видатки на поховання учасників бойових дій та осіб з інвалідністю внаслідок війни, у т.ч. за рахунок:</v>
      </c>
      <c r="E162" s="101">
        <f t="shared" si="79"/>
        <v>245000</v>
      </c>
      <c r="F162" s="101">
        <v>245000</v>
      </c>
      <c r="G162" s="101"/>
      <c r="H162" s="101"/>
      <c r="I162" s="101"/>
      <c r="J162" s="101">
        <v>46358.26</v>
      </c>
      <c r="K162" s="101"/>
      <c r="L162" s="101"/>
      <c r="M162" s="157">
        <f t="shared" si="68"/>
        <v>18.921738775510207</v>
      </c>
      <c r="N162" s="101">
        <f t="shared" si="83"/>
        <v>0</v>
      </c>
      <c r="O162" s="101"/>
      <c r="P162" s="101"/>
      <c r="Q162" s="101"/>
      <c r="R162" s="101"/>
      <c r="S162" s="101"/>
      <c r="T162" s="97">
        <f t="shared" si="80"/>
        <v>0</v>
      </c>
      <c r="U162" s="101"/>
      <c r="V162" s="101"/>
      <c r="W162" s="101"/>
      <c r="X162" s="101"/>
      <c r="Y162" s="101"/>
      <c r="Z162" s="157"/>
      <c r="AA162" s="97">
        <f t="shared" si="81"/>
        <v>46358.26</v>
      </c>
      <c r="AB162" s="101">
        <f t="shared" si="82"/>
        <v>245000</v>
      </c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  <c r="TI162" s="23"/>
      <c r="TJ162" s="23"/>
      <c r="TK162" s="23"/>
      <c r="TL162" s="23"/>
      <c r="TM162" s="23"/>
      <c r="TN162" s="23"/>
      <c r="TO162" s="23"/>
      <c r="TP162" s="23"/>
      <c r="TQ162" s="23"/>
      <c r="TR162" s="23"/>
      <c r="TS162" s="23"/>
    </row>
    <row r="163" spans="1:539" s="24" customFormat="1" ht="15.75" x14ac:dyDescent="0.25">
      <c r="A163" s="86"/>
      <c r="B163" s="113"/>
      <c r="C163" s="113"/>
      <c r="D163" s="87" t="s">
        <v>395</v>
      </c>
      <c r="E163" s="103">
        <f t="shared" si="79"/>
        <v>245000</v>
      </c>
      <c r="F163" s="103">
        <v>245000</v>
      </c>
      <c r="G163" s="103"/>
      <c r="H163" s="103"/>
      <c r="I163" s="103"/>
      <c r="J163" s="103">
        <v>46358.26</v>
      </c>
      <c r="K163" s="103"/>
      <c r="L163" s="103"/>
      <c r="M163" s="157">
        <f t="shared" si="68"/>
        <v>18.921738775510207</v>
      </c>
      <c r="N163" s="103">
        <f t="shared" si="83"/>
        <v>0</v>
      </c>
      <c r="O163" s="103"/>
      <c r="P163" s="103"/>
      <c r="Q163" s="103"/>
      <c r="R163" s="103"/>
      <c r="S163" s="103"/>
      <c r="T163" s="97">
        <f t="shared" si="80"/>
        <v>0</v>
      </c>
      <c r="U163" s="103"/>
      <c r="V163" s="103"/>
      <c r="W163" s="103"/>
      <c r="X163" s="103"/>
      <c r="Y163" s="103"/>
      <c r="Z163" s="157"/>
      <c r="AA163" s="97">
        <f t="shared" si="81"/>
        <v>46358.26</v>
      </c>
      <c r="AB163" s="103">
        <f t="shared" si="82"/>
        <v>245000</v>
      </c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/>
      <c r="JC163" s="30"/>
      <c r="JD163" s="30"/>
      <c r="JE163" s="30"/>
      <c r="JF163" s="30"/>
      <c r="JG163" s="30"/>
      <c r="JH163" s="30"/>
      <c r="JI163" s="30"/>
      <c r="JJ163" s="30"/>
      <c r="JK163" s="30"/>
      <c r="JL163" s="30"/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30"/>
      <c r="KU163" s="30"/>
      <c r="KV163" s="30"/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  <c r="LU163" s="30"/>
      <c r="LV163" s="30"/>
      <c r="LW163" s="30"/>
      <c r="LX163" s="30"/>
      <c r="LY163" s="30"/>
      <c r="LZ163" s="30"/>
      <c r="MA163" s="30"/>
      <c r="MB163" s="30"/>
      <c r="MC163" s="30"/>
      <c r="MD163" s="30"/>
      <c r="ME163" s="30"/>
      <c r="MF163" s="30"/>
      <c r="MG163" s="30"/>
      <c r="MH163" s="30"/>
      <c r="MI163" s="30"/>
      <c r="MJ163" s="30"/>
      <c r="MK163" s="30"/>
      <c r="ML163" s="30"/>
      <c r="MM163" s="30"/>
      <c r="MN163" s="30"/>
      <c r="MO163" s="30"/>
      <c r="MP163" s="30"/>
      <c r="MQ163" s="30"/>
      <c r="MR163" s="30"/>
      <c r="MS163" s="30"/>
      <c r="MT163" s="30"/>
      <c r="MU163" s="30"/>
      <c r="MV163" s="30"/>
      <c r="MW163" s="30"/>
      <c r="MX163" s="30"/>
      <c r="MY163" s="30"/>
      <c r="MZ163" s="30"/>
      <c r="NA163" s="30"/>
      <c r="NB163" s="30"/>
      <c r="NC163" s="30"/>
      <c r="ND163" s="30"/>
      <c r="NE163" s="30"/>
      <c r="NF163" s="30"/>
      <c r="NG163" s="30"/>
      <c r="NH163" s="30"/>
      <c r="NI163" s="30"/>
      <c r="NJ163" s="30"/>
      <c r="NK163" s="30"/>
      <c r="NL163" s="30"/>
      <c r="NM163" s="30"/>
      <c r="NN163" s="30"/>
      <c r="NO163" s="30"/>
      <c r="NP163" s="30"/>
      <c r="NQ163" s="30"/>
      <c r="NR163" s="30"/>
      <c r="NS163" s="30"/>
      <c r="NT163" s="30"/>
      <c r="NU163" s="30"/>
      <c r="NV163" s="30"/>
      <c r="NW163" s="30"/>
      <c r="NX163" s="30"/>
      <c r="NY163" s="30"/>
      <c r="NZ163" s="30"/>
      <c r="OA163" s="30"/>
      <c r="OB163" s="30"/>
      <c r="OC163" s="30"/>
      <c r="OD163" s="30"/>
      <c r="OE163" s="30"/>
      <c r="OF163" s="30"/>
      <c r="OG163" s="30"/>
      <c r="OH163" s="30"/>
      <c r="OI163" s="30"/>
      <c r="OJ163" s="30"/>
      <c r="OK163" s="30"/>
      <c r="OL163" s="30"/>
      <c r="OM163" s="30"/>
      <c r="ON163" s="30"/>
      <c r="OO163" s="30"/>
      <c r="OP163" s="30"/>
      <c r="OQ163" s="30"/>
      <c r="OR163" s="30"/>
      <c r="OS163" s="30"/>
      <c r="OT163" s="30"/>
      <c r="OU163" s="30"/>
      <c r="OV163" s="30"/>
      <c r="OW163" s="30"/>
      <c r="OX163" s="30"/>
      <c r="OY163" s="30"/>
      <c r="OZ163" s="30"/>
      <c r="PA163" s="30"/>
      <c r="PB163" s="30"/>
      <c r="PC163" s="30"/>
      <c r="PD163" s="30"/>
      <c r="PE163" s="30"/>
      <c r="PF163" s="30"/>
      <c r="PG163" s="30"/>
      <c r="PH163" s="30"/>
      <c r="PI163" s="30"/>
      <c r="PJ163" s="30"/>
      <c r="PK163" s="30"/>
      <c r="PL163" s="30"/>
      <c r="PM163" s="30"/>
      <c r="PN163" s="30"/>
      <c r="PO163" s="30"/>
      <c r="PP163" s="30"/>
      <c r="PQ163" s="30"/>
      <c r="PR163" s="30"/>
      <c r="PS163" s="30"/>
      <c r="PT163" s="30"/>
      <c r="PU163" s="30"/>
      <c r="PV163" s="30"/>
      <c r="PW163" s="30"/>
      <c r="PX163" s="30"/>
      <c r="PY163" s="30"/>
      <c r="PZ163" s="30"/>
      <c r="QA163" s="30"/>
      <c r="QB163" s="30"/>
      <c r="QC163" s="30"/>
      <c r="QD163" s="30"/>
      <c r="QE163" s="30"/>
      <c r="QF163" s="30"/>
      <c r="QG163" s="30"/>
      <c r="QH163" s="30"/>
      <c r="QI163" s="30"/>
      <c r="QJ163" s="30"/>
      <c r="QK163" s="30"/>
      <c r="QL163" s="30"/>
      <c r="QM163" s="30"/>
      <c r="QN163" s="30"/>
      <c r="QO163" s="30"/>
      <c r="QP163" s="30"/>
      <c r="QQ163" s="30"/>
      <c r="QR163" s="30"/>
      <c r="QS163" s="30"/>
      <c r="QT163" s="30"/>
      <c r="QU163" s="30"/>
      <c r="QV163" s="30"/>
      <c r="QW163" s="30"/>
      <c r="QX163" s="30"/>
      <c r="QY163" s="30"/>
      <c r="QZ163" s="30"/>
      <c r="RA163" s="30"/>
      <c r="RB163" s="30"/>
      <c r="RC163" s="30"/>
      <c r="RD163" s="30"/>
      <c r="RE163" s="30"/>
      <c r="RF163" s="30"/>
      <c r="RG163" s="30"/>
      <c r="RH163" s="30"/>
      <c r="RI163" s="30"/>
      <c r="RJ163" s="30"/>
      <c r="RK163" s="30"/>
      <c r="RL163" s="30"/>
      <c r="RM163" s="30"/>
      <c r="RN163" s="30"/>
      <c r="RO163" s="30"/>
      <c r="RP163" s="30"/>
      <c r="RQ163" s="30"/>
      <c r="RR163" s="30"/>
      <c r="RS163" s="30"/>
      <c r="RT163" s="30"/>
      <c r="RU163" s="30"/>
      <c r="RV163" s="30"/>
      <c r="RW163" s="30"/>
      <c r="RX163" s="30"/>
      <c r="RY163" s="30"/>
      <c r="RZ163" s="30"/>
      <c r="SA163" s="30"/>
      <c r="SB163" s="30"/>
      <c r="SC163" s="30"/>
      <c r="SD163" s="30"/>
      <c r="SE163" s="30"/>
      <c r="SF163" s="30"/>
      <c r="SG163" s="30"/>
      <c r="SH163" s="30"/>
      <c r="SI163" s="30"/>
      <c r="SJ163" s="30"/>
      <c r="SK163" s="30"/>
      <c r="SL163" s="30"/>
      <c r="SM163" s="30"/>
      <c r="SN163" s="30"/>
      <c r="SO163" s="30"/>
      <c r="SP163" s="30"/>
      <c r="SQ163" s="30"/>
      <c r="SR163" s="30"/>
      <c r="SS163" s="30"/>
      <c r="ST163" s="30"/>
      <c r="SU163" s="30"/>
      <c r="SV163" s="30"/>
      <c r="SW163" s="30"/>
      <c r="SX163" s="30"/>
      <c r="SY163" s="30"/>
      <c r="SZ163" s="30"/>
      <c r="TA163" s="30"/>
      <c r="TB163" s="30"/>
      <c r="TC163" s="30"/>
      <c r="TD163" s="30"/>
      <c r="TE163" s="30"/>
      <c r="TF163" s="30"/>
      <c r="TG163" s="30"/>
      <c r="TH163" s="30"/>
      <c r="TI163" s="30"/>
      <c r="TJ163" s="30"/>
      <c r="TK163" s="30"/>
      <c r="TL163" s="30"/>
      <c r="TM163" s="30"/>
      <c r="TN163" s="30"/>
      <c r="TO163" s="30"/>
      <c r="TP163" s="30"/>
      <c r="TQ163" s="30"/>
      <c r="TR163" s="30"/>
      <c r="TS163" s="30"/>
    </row>
    <row r="164" spans="1:539" s="22" customFormat="1" ht="64.5" customHeight="1" x14ac:dyDescent="0.25">
      <c r="A164" s="60" t="s">
        <v>186</v>
      </c>
      <c r="B164" s="95" t="str">
        <f>'дод 5'!A103</f>
        <v>3104</v>
      </c>
      <c r="C164" s="95" t="str">
        <f>'дод 5'!B103</f>
        <v>1020</v>
      </c>
      <c r="D164" s="61" t="str">
        <f>'дод 5'!C103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4" s="101">
        <f t="shared" si="79"/>
        <v>17414450</v>
      </c>
      <c r="F164" s="101">
        <f>17394450+20000+20000-20000</f>
        <v>17414450</v>
      </c>
      <c r="G164" s="101">
        <v>13551350</v>
      </c>
      <c r="H164" s="101">
        <f>208050+26750</f>
        <v>234800</v>
      </c>
      <c r="I164" s="101"/>
      <c r="J164" s="101">
        <v>8293821.1600000001</v>
      </c>
      <c r="K164" s="101">
        <v>6496153.1200000001</v>
      </c>
      <c r="L164" s="101">
        <v>150051.54</v>
      </c>
      <c r="M164" s="157">
        <f t="shared" si="68"/>
        <v>47.626087301063194</v>
      </c>
      <c r="N164" s="101">
        <f t="shared" si="83"/>
        <v>96200</v>
      </c>
      <c r="O164" s="101"/>
      <c r="P164" s="101">
        <v>96200</v>
      </c>
      <c r="Q164" s="101">
        <v>75000</v>
      </c>
      <c r="R164" s="101"/>
      <c r="S164" s="101"/>
      <c r="T164" s="97">
        <f t="shared" si="80"/>
        <v>127498.53</v>
      </c>
      <c r="U164" s="101"/>
      <c r="V164" s="101">
        <v>127498.53</v>
      </c>
      <c r="W164" s="101">
        <v>18476.419999999998</v>
      </c>
      <c r="X164" s="101"/>
      <c r="Y164" s="101"/>
      <c r="Z164" s="157">
        <f t="shared" si="70"/>
        <v>132.53485446985448</v>
      </c>
      <c r="AA164" s="97">
        <f t="shared" si="81"/>
        <v>8421319.6899999995</v>
      </c>
      <c r="AB164" s="101">
        <f t="shared" si="82"/>
        <v>17510650</v>
      </c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  <c r="TS164" s="23"/>
    </row>
    <row r="165" spans="1:539" s="22" customFormat="1" ht="81.75" customHeight="1" x14ac:dyDescent="0.25">
      <c r="A165" s="60" t="s">
        <v>187</v>
      </c>
      <c r="B165" s="95" t="str">
        <f>'дод 5'!A109</f>
        <v>3160</v>
      </c>
      <c r="C165" s="95">
        <f>'дод 5'!B109</f>
        <v>1010</v>
      </c>
      <c r="D165" s="61" t="str">
        <f>'дод 5'!C109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5" s="101">
        <f t="shared" si="79"/>
        <v>2500000</v>
      </c>
      <c r="F165" s="101">
        <v>2500000</v>
      </c>
      <c r="G165" s="101"/>
      <c r="H165" s="101"/>
      <c r="I165" s="101"/>
      <c r="J165" s="101">
        <v>1496315.83</v>
      </c>
      <c r="K165" s="101"/>
      <c r="L165" s="101"/>
      <c r="M165" s="157">
        <f t="shared" si="68"/>
        <v>59.852633200000007</v>
      </c>
      <c r="N165" s="101">
        <f t="shared" si="83"/>
        <v>0</v>
      </c>
      <c r="O165" s="101"/>
      <c r="P165" s="101"/>
      <c r="Q165" s="101"/>
      <c r="R165" s="101"/>
      <c r="S165" s="101"/>
      <c r="T165" s="97">
        <f t="shared" si="80"/>
        <v>0</v>
      </c>
      <c r="U165" s="101"/>
      <c r="V165" s="101"/>
      <c r="W165" s="101"/>
      <c r="X165" s="101"/>
      <c r="Y165" s="101"/>
      <c r="Z165" s="157"/>
      <c r="AA165" s="97">
        <f t="shared" si="81"/>
        <v>1496315.83</v>
      </c>
      <c r="AB165" s="101">
        <f t="shared" si="82"/>
        <v>2500000</v>
      </c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  <c r="TS165" s="23"/>
    </row>
    <row r="166" spans="1:539" s="22" customFormat="1" ht="63" x14ac:dyDescent="0.25">
      <c r="A166" s="60" t="s">
        <v>355</v>
      </c>
      <c r="B166" s="95" t="str">
        <f>'дод 5'!A110</f>
        <v>3171</v>
      </c>
      <c r="C166" s="95">
        <f>'дод 5'!B110</f>
        <v>1010</v>
      </c>
      <c r="D166" s="61" t="str">
        <f>'дод 5'!C110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66" s="101">
        <f t="shared" si="79"/>
        <v>198209</v>
      </c>
      <c r="F166" s="101">
        <v>198209</v>
      </c>
      <c r="G166" s="101"/>
      <c r="H166" s="101"/>
      <c r="I166" s="101"/>
      <c r="J166" s="101">
        <v>90096.59</v>
      </c>
      <c r="K166" s="101"/>
      <c r="L166" s="101"/>
      <c r="M166" s="157">
        <f t="shared" si="68"/>
        <v>45.455347638099177</v>
      </c>
      <c r="N166" s="101">
        <f t="shared" si="83"/>
        <v>0</v>
      </c>
      <c r="O166" s="101"/>
      <c r="P166" s="101"/>
      <c r="Q166" s="101"/>
      <c r="R166" s="101"/>
      <c r="S166" s="101"/>
      <c r="T166" s="97">
        <f t="shared" si="80"/>
        <v>0</v>
      </c>
      <c r="U166" s="101"/>
      <c r="V166" s="101"/>
      <c r="W166" s="101"/>
      <c r="X166" s="101"/>
      <c r="Y166" s="101"/>
      <c r="Z166" s="157"/>
      <c r="AA166" s="97">
        <f t="shared" si="81"/>
        <v>90096.59</v>
      </c>
      <c r="AB166" s="101">
        <f t="shared" si="82"/>
        <v>198209</v>
      </c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  <c r="TH166" s="23"/>
      <c r="TI166" s="23"/>
      <c r="TJ166" s="23"/>
      <c r="TK166" s="23"/>
      <c r="TL166" s="23"/>
      <c r="TM166" s="23"/>
      <c r="TN166" s="23"/>
      <c r="TO166" s="23"/>
      <c r="TP166" s="23"/>
      <c r="TQ166" s="23"/>
      <c r="TR166" s="23"/>
      <c r="TS166" s="23"/>
    </row>
    <row r="167" spans="1:539" s="24" customFormat="1" ht="15.75" x14ac:dyDescent="0.25">
      <c r="A167" s="86"/>
      <c r="B167" s="113"/>
      <c r="C167" s="113"/>
      <c r="D167" s="87" t="s">
        <v>395</v>
      </c>
      <c r="E167" s="103">
        <f t="shared" si="79"/>
        <v>198209</v>
      </c>
      <c r="F167" s="103">
        <v>198209</v>
      </c>
      <c r="G167" s="103"/>
      <c r="H167" s="103"/>
      <c r="I167" s="103"/>
      <c r="J167" s="103">
        <v>90096.59</v>
      </c>
      <c r="K167" s="103"/>
      <c r="L167" s="103"/>
      <c r="M167" s="157">
        <f t="shared" si="68"/>
        <v>45.455347638099177</v>
      </c>
      <c r="N167" s="103">
        <f t="shared" si="83"/>
        <v>0</v>
      </c>
      <c r="O167" s="103"/>
      <c r="P167" s="103"/>
      <c r="Q167" s="103"/>
      <c r="R167" s="103"/>
      <c r="S167" s="103"/>
      <c r="T167" s="97">
        <f t="shared" si="80"/>
        <v>0</v>
      </c>
      <c r="U167" s="103"/>
      <c r="V167" s="103"/>
      <c r="W167" s="103"/>
      <c r="X167" s="103"/>
      <c r="Y167" s="103"/>
      <c r="Z167" s="157"/>
      <c r="AA167" s="97">
        <f t="shared" si="81"/>
        <v>90096.59</v>
      </c>
      <c r="AB167" s="103">
        <f t="shared" si="82"/>
        <v>198209</v>
      </c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  <c r="IX167" s="30"/>
      <c r="IY167" s="30"/>
      <c r="IZ167" s="30"/>
      <c r="JA167" s="30"/>
      <c r="JB167" s="30"/>
      <c r="JC167" s="30"/>
      <c r="JD167" s="30"/>
      <c r="JE167" s="30"/>
      <c r="JF167" s="30"/>
      <c r="JG167" s="30"/>
      <c r="JH167" s="30"/>
      <c r="JI167" s="30"/>
      <c r="JJ167" s="30"/>
      <c r="JK167" s="30"/>
      <c r="JL167" s="30"/>
      <c r="JM167" s="30"/>
      <c r="JN167" s="30"/>
      <c r="JO167" s="30"/>
      <c r="JP167" s="30"/>
      <c r="JQ167" s="30"/>
      <c r="JR167" s="30"/>
      <c r="JS167" s="30"/>
      <c r="JT167" s="30"/>
      <c r="JU167" s="30"/>
      <c r="JV167" s="30"/>
      <c r="JW167" s="30"/>
      <c r="JX167" s="30"/>
      <c r="JY167" s="30"/>
      <c r="JZ167" s="30"/>
      <c r="KA167" s="30"/>
      <c r="KB167" s="30"/>
      <c r="KC167" s="30"/>
      <c r="KD167" s="30"/>
      <c r="KE167" s="30"/>
      <c r="KF167" s="30"/>
      <c r="KG167" s="30"/>
      <c r="KH167" s="30"/>
      <c r="KI167" s="30"/>
      <c r="KJ167" s="30"/>
      <c r="KK167" s="30"/>
      <c r="KL167" s="30"/>
      <c r="KM167" s="30"/>
      <c r="KN167" s="30"/>
      <c r="KO167" s="30"/>
      <c r="KP167" s="30"/>
      <c r="KQ167" s="30"/>
      <c r="KR167" s="30"/>
      <c r="KS167" s="30"/>
      <c r="KT167" s="30"/>
      <c r="KU167" s="30"/>
      <c r="KV167" s="30"/>
      <c r="KW167" s="30"/>
      <c r="KX167" s="30"/>
      <c r="KY167" s="30"/>
      <c r="KZ167" s="30"/>
      <c r="LA167" s="30"/>
      <c r="LB167" s="30"/>
      <c r="LC167" s="30"/>
      <c r="LD167" s="30"/>
      <c r="LE167" s="30"/>
      <c r="LF167" s="30"/>
      <c r="LG167" s="30"/>
      <c r="LH167" s="30"/>
      <c r="LI167" s="30"/>
      <c r="LJ167" s="30"/>
      <c r="LK167" s="30"/>
      <c r="LL167" s="30"/>
      <c r="LM167" s="30"/>
      <c r="LN167" s="30"/>
      <c r="LO167" s="30"/>
      <c r="LP167" s="30"/>
      <c r="LQ167" s="30"/>
      <c r="LR167" s="30"/>
      <c r="LS167" s="30"/>
      <c r="LT167" s="30"/>
      <c r="LU167" s="30"/>
      <c r="LV167" s="30"/>
      <c r="LW167" s="30"/>
      <c r="LX167" s="30"/>
      <c r="LY167" s="30"/>
      <c r="LZ167" s="30"/>
      <c r="MA167" s="30"/>
      <c r="MB167" s="30"/>
      <c r="MC167" s="30"/>
      <c r="MD167" s="30"/>
      <c r="ME167" s="30"/>
      <c r="MF167" s="30"/>
      <c r="MG167" s="30"/>
      <c r="MH167" s="30"/>
      <c r="MI167" s="30"/>
      <c r="MJ167" s="30"/>
      <c r="MK167" s="30"/>
      <c r="ML167" s="30"/>
      <c r="MM167" s="30"/>
      <c r="MN167" s="30"/>
      <c r="MO167" s="30"/>
      <c r="MP167" s="30"/>
      <c r="MQ167" s="30"/>
      <c r="MR167" s="30"/>
      <c r="MS167" s="30"/>
      <c r="MT167" s="30"/>
      <c r="MU167" s="30"/>
      <c r="MV167" s="30"/>
      <c r="MW167" s="30"/>
      <c r="MX167" s="30"/>
      <c r="MY167" s="30"/>
      <c r="MZ167" s="30"/>
      <c r="NA167" s="30"/>
      <c r="NB167" s="30"/>
      <c r="NC167" s="30"/>
      <c r="ND167" s="30"/>
      <c r="NE167" s="30"/>
      <c r="NF167" s="30"/>
      <c r="NG167" s="30"/>
      <c r="NH167" s="30"/>
      <c r="NI167" s="30"/>
      <c r="NJ167" s="30"/>
      <c r="NK167" s="30"/>
      <c r="NL167" s="30"/>
      <c r="NM167" s="30"/>
      <c r="NN167" s="30"/>
      <c r="NO167" s="30"/>
      <c r="NP167" s="30"/>
      <c r="NQ167" s="30"/>
      <c r="NR167" s="30"/>
      <c r="NS167" s="30"/>
      <c r="NT167" s="30"/>
      <c r="NU167" s="30"/>
      <c r="NV167" s="30"/>
      <c r="NW167" s="30"/>
      <c r="NX167" s="30"/>
      <c r="NY167" s="30"/>
      <c r="NZ167" s="30"/>
      <c r="OA167" s="30"/>
      <c r="OB167" s="30"/>
      <c r="OC167" s="30"/>
      <c r="OD167" s="30"/>
      <c r="OE167" s="30"/>
      <c r="OF167" s="30"/>
      <c r="OG167" s="30"/>
      <c r="OH167" s="30"/>
      <c r="OI167" s="30"/>
      <c r="OJ167" s="30"/>
      <c r="OK167" s="30"/>
      <c r="OL167" s="30"/>
      <c r="OM167" s="30"/>
      <c r="ON167" s="30"/>
      <c r="OO167" s="30"/>
      <c r="OP167" s="30"/>
      <c r="OQ167" s="30"/>
      <c r="OR167" s="30"/>
      <c r="OS167" s="30"/>
      <c r="OT167" s="30"/>
      <c r="OU167" s="30"/>
      <c r="OV167" s="30"/>
      <c r="OW167" s="30"/>
      <c r="OX167" s="30"/>
      <c r="OY167" s="30"/>
      <c r="OZ167" s="30"/>
      <c r="PA167" s="30"/>
      <c r="PB167" s="30"/>
      <c r="PC167" s="30"/>
      <c r="PD167" s="30"/>
      <c r="PE167" s="30"/>
      <c r="PF167" s="30"/>
      <c r="PG167" s="30"/>
      <c r="PH167" s="30"/>
      <c r="PI167" s="30"/>
      <c r="PJ167" s="30"/>
      <c r="PK167" s="30"/>
      <c r="PL167" s="30"/>
      <c r="PM167" s="30"/>
      <c r="PN167" s="30"/>
      <c r="PO167" s="30"/>
      <c r="PP167" s="30"/>
      <c r="PQ167" s="30"/>
      <c r="PR167" s="30"/>
      <c r="PS167" s="30"/>
      <c r="PT167" s="30"/>
      <c r="PU167" s="30"/>
      <c r="PV167" s="30"/>
      <c r="PW167" s="30"/>
      <c r="PX167" s="30"/>
      <c r="PY167" s="30"/>
      <c r="PZ167" s="30"/>
      <c r="QA167" s="30"/>
      <c r="QB167" s="30"/>
      <c r="QC167" s="30"/>
      <c r="QD167" s="30"/>
      <c r="QE167" s="30"/>
      <c r="QF167" s="30"/>
      <c r="QG167" s="30"/>
      <c r="QH167" s="30"/>
      <c r="QI167" s="30"/>
      <c r="QJ167" s="30"/>
      <c r="QK167" s="30"/>
      <c r="QL167" s="30"/>
      <c r="QM167" s="30"/>
      <c r="QN167" s="30"/>
      <c r="QO167" s="30"/>
      <c r="QP167" s="30"/>
      <c r="QQ167" s="30"/>
      <c r="QR167" s="30"/>
      <c r="QS167" s="30"/>
      <c r="QT167" s="30"/>
      <c r="QU167" s="30"/>
      <c r="QV167" s="30"/>
      <c r="QW167" s="30"/>
      <c r="QX167" s="30"/>
      <c r="QY167" s="30"/>
      <c r="QZ167" s="30"/>
      <c r="RA167" s="30"/>
      <c r="RB167" s="30"/>
      <c r="RC167" s="30"/>
      <c r="RD167" s="30"/>
      <c r="RE167" s="30"/>
      <c r="RF167" s="30"/>
      <c r="RG167" s="30"/>
      <c r="RH167" s="30"/>
      <c r="RI167" s="30"/>
      <c r="RJ167" s="30"/>
      <c r="RK167" s="30"/>
      <c r="RL167" s="30"/>
      <c r="RM167" s="30"/>
      <c r="RN167" s="30"/>
      <c r="RO167" s="30"/>
      <c r="RP167" s="30"/>
      <c r="RQ167" s="30"/>
      <c r="RR167" s="30"/>
      <c r="RS167" s="30"/>
      <c r="RT167" s="30"/>
      <c r="RU167" s="30"/>
      <c r="RV167" s="30"/>
      <c r="RW167" s="30"/>
      <c r="RX167" s="30"/>
      <c r="RY167" s="30"/>
      <c r="RZ167" s="30"/>
      <c r="SA167" s="30"/>
      <c r="SB167" s="30"/>
      <c r="SC167" s="30"/>
      <c r="SD167" s="30"/>
      <c r="SE167" s="30"/>
      <c r="SF167" s="30"/>
      <c r="SG167" s="30"/>
      <c r="SH167" s="30"/>
      <c r="SI167" s="30"/>
      <c r="SJ167" s="30"/>
      <c r="SK167" s="30"/>
      <c r="SL167" s="30"/>
      <c r="SM167" s="30"/>
      <c r="SN167" s="30"/>
      <c r="SO167" s="30"/>
      <c r="SP167" s="30"/>
      <c r="SQ167" s="30"/>
      <c r="SR167" s="30"/>
      <c r="SS167" s="30"/>
      <c r="ST167" s="30"/>
      <c r="SU167" s="30"/>
      <c r="SV167" s="30"/>
      <c r="SW167" s="30"/>
      <c r="SX167" s="30"/>
      <c r="SY167" s="30"/>
      <c r="SZ167" s="30"/>
      <c r="TA167" s="30"/>
      <c r="TB167" s="30"/>
      <c r="TC167" s="30"/>
      <c r="TD167" s="30"/>
      <c r="TE167" s="30"/>
      <c r="TF167" s="30"/>
      <c r="TG167" s="30"/>
      <c r="TH167" s="30"/>
      <c r="TI167" s="30"/>
      <c r="TJ167" s="30"/>
      <c r="TK167" s="30"/>
      <c r="TL167" s="30"/>
      <c r="TM167" s="30"/>
      <c r="TN167" s="30"/>
      <c r="TO167" s="30"/>
      <c r="TP167" s="30"/>
      <c r="TQ167" s="30"/>
      <c r="TR167" s="30"/>
      <c r="TS167" s="30"/>
    </row>
    <row r="168" spans="1:539" s="22" customFormat="1" ht="31.5" x14ac:dyDescent="0.25">
      <c r="A168" s="60" t="s">
        <v>356</v>
      </c>
      <c r="B168" s="95" t="str">
        <f>'дод 5'!A112</f>
        <v>3172</v>
      </c>
      <c r="C168" s="95">
        <f>'дод 5'!B112</f>
        <v>1010</v>
      </c>
      <c r="D168" s="61" t="s">
        <v>408</v>
      </c>
      <c r="E168" s="101">
        <f t="shared" si="79"/>
        <v>90</v>
      </c>
      <c r="F168" s="101">
        <v>90</v>
      </c>
      <c r="G168" s="101"/>
      <c r="H168" s="101"/>
      <c r="I168" s="101"/>
      <c r="J168" s="101"/>
      <c r="K168" s="101"/>
      <c r="L168" s="101"/>
      <c r="M168" s="157">
        <f t="shared" si="68"/>
        <v>0</v>
      </c>
      <c r="N168" s="101">
        <f t="shared" si="83"/>
        <v>0</v>
      </c>
      <c r="O168" s="101"/>
      <c r="P168" s="101"/>
      <c r="Q168" s="101"/>
      <c r="R168" s="101"/>
      <c r="S168" s="101"/>
      <c r="T168" s="97">
        <f t="shared" si="80"/>
        <v>0</v>
      </c>
      <c r="U168" s="101"/>
      <c r="V168" s="101"/>
      <c r="W168" s="101"/>
      <c r="X168" s="101"/>
      <c r="Y168" s="101"/>
      <c r="Z168" s="157"/>
      <c r="AA168" s="97">
        <f t="shared" si="81"/>
        <v>0</v>
      </c>
      <c r="AB168" s="101">
        <f t="shared" si="82"/>
        <v>90</v>
      </c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  <c r="TI168" s="23"/>
      <c r="TJ168" s="23"/>
      <c r="TK168" s="23"/>
      <c r="TL168" s="23"/>
      <c r="TM168" s="23"/>
      <c r="TN168" s="23"/>
      <c r="TO168" s="23"/>
      <c r="TP168" s="23"/>
      <c r="TQ168" s="23"/>
      <c r="TR168" s="23"/>
      <c r="TS168" s="23"/>
    </row>
    <row r="169" spans="1:539" s="24" customFormat="1" ht="15.75" x14ac:dyDescent="0.25">
      <c r="A169" s="86"/>
      <c r="B169" s="113"/>
      <c r="C169" s="113"/>
      <c r="D169" s="87" t="s">
        <v>395</v>
      </c>
      <c r="E169" s="103">
        <f t="shared" si="79"/>
        <v>90</v>
      </c>
      <c r="F169" s="103">
        <v>90</v>
      </c>
      <c r="G169" s="103"/>
      <c r="H169" s="103"/>
      <c r="I169" s="103"/>
      <c r="J169" s="103"/>
      <c r="K169" s="103"/>
      <c r="L169" s="103"/>
      <c r="M169" s="157">
        <f t="shared" si="68"/>
        <v>0</v>
      </c>
      <c r="N169" s="103">
        <f t="shared" si="83"/>
        <v>0</v>
      </c>
      <c r="O169" s="103"/>
      <c r="P169" s="103"/>
      <c r="Q169" s="103"/>
      <c r="R169" s="103"/>
      <c r="S169" s="103"/>
      <c r="T169" s="97">
        <f t="shared" si="80"/>
        <v>0</v>
      </c>
      <c r="U169" s="103"/>
      <c r="V169" s="103"/>
      <c r="W169" s="103"/>
      <c r="X169" s="103"/>
      <c r="Y169" s="103"/>
      <c r="Z169" s="157"/>
      <c r="AA169" s="97">
        <f t="shared" si="81"/>
        <v>0</v>
      </c>
      <c r="AB169" s="103">
        <f t="shared" si="82"/>
        <v>90</v>
      </c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30"/>
      <c r="JA169" s="30"/>
      <c r="JB169" s="30"/>
      <c r="JC169" s="30"/>
      <c r="JD169" s="30"/>
      <c r="JE169" s="30"/>
      <c r="JF169" s="30"/>
      <c r="JG169" s="30"/>
      <c r="JH169" s="30"/>
      <c r="JI169" s="30"/>
      <c r="JJ169" s="30"/>
      <c r="JK169" s="30"/>
      <c r="JL169" s="30"/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/>
      <c r="JY169" s="30"/>
      <c r="JZ169" s="30"/>
      <c r="KA169" s="30"/>
      <c r="KB169" s="30"/>
      <c r="KC169" s="30"/>
      <c r="KD169" s="30"/>
      <c r="KE169" s="30"/>
      <c r="KF169" s="30"/>
      <c r="KG169" s="30"/>
      <c r="KH169" s="30"/>
      <c r="KI169" s="30"/>
      <c r="KJ169" s="30"/>
      <c r="KK169" s="30"/>
      <c r="KL169" s="30"/>
      <c r="KM169" s="30"/>
      <c r="KN169" s="30"/>
      <c r="KO169" s="30"/>
      <c r="KP169" s="30"/>
      <c r="KQ169" s="30"/>
      <c r="KR169" s="30"/>
      <c r="KS169" s="30"/>
      <c r="KT169" s="30"/>
      <c r="KU169" s="30"/>
      <c r="KV169" s="30"/>
      <c r="KW169" s="30"/>
      <c r="KX169" s="30"/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/>
      <c r="LK169" s="30"/>
      <c r="LL169" s="30"/>
      <c r="LM169" s="30"/>
      <c r="LN169" s="30"/>
      <c r="LO169" s="30"/>
      <c r="LP169" s="30"/>
      <c r="LQ169" s="30"/>
      <c r="LR169" s="30"/>
      <c r="LS169" s="30"/>
      <c r="LT169" s="30"/>
      <c r="LU169" s="30"/>
      <c r="LV169" s="30"/>
      <c r="LW169" s="30"/>
      <c r="LX169" s="30"/>
      <c r="LY169" s="30"/>
      <c r="LZ169" s="30"/>
      <c r="MA169" s="30"/>
      <c r="MB169" s="30"/>
      <c r="MC169" s="30"/>
      <c r="MD169" s="30"/>
      <c r="ME169" s="30"/>
      <c r="MF169" s="30"/>
      <c r="MG169" s="30"/>
      <c r="MH169" s="30"/>
      <c r="MI169" s="30"/>
      <c r="MJ169" s="30"/>
      <c r="MK169" s="30"/>
      <c r="ML169" s="30"/>
      <c r="MM169" s="30"/>
      <c r="MN169" s="30"/>
      <c r="MO169" s="30"/>
      <c r="MP169" s="30"/>
      <c r="MQ169" s="30"/>
      <c r="MR169" s="30"/>
      <c r="MS169" s="30"/>
      <c r="MT169" s="30"/>
      <c r="MU169" s="30"/>
      <c r="MV169" s="30"/>
      <c r="MW169" s="30"/>
      <c r="MX169" s="30"/>
      <c r="MY169" s="30"/>
      <c r="MZ169" s="30"/>
      <c r="NA169" s="30"/>
      <c r="NB169" s="30"/>
      <c r="NC169" s="30"/>
      <c r="ND169" s="30"/>
      <c r="NE169" s="30"/>
      <c r="NF169" s="30"/>
      <c r="NG169" s="30"/>
      <c r="NH169" s="30"/>
      <c r="NI169" s="30"/>
      <c r="NJ169" s="30"/>
      <c r="NK169" s="30"/>
      <c r="NL169" s="30"/>
      <c r="NM169" s="30"/>
      <c r="NN169" s="30"/>
      <c r="NO169" s="30"/>
      <c r="NP169" s="30"/>
      <c r="NQ169" s="30"/>
      <c r="NR169" s="30"/>
      <c r="NS169" s="30"/>
      <c r="NT169" s="30"/>
      <c r="NU169" s="30"/>
      <c r="NV169" s="30"/>
      <c r="NW169" s="30"/>
      <c r="NX169" s="30"/>
      <c r="NY169" s="30"/>
      <c r="NZ169" s="30"/>
      <c r="OA169" s="30"/>
      <c r="OB169" s="30"/>
      <c r="OC169" s="30"/>
      <c r="OD169" s="30"/>
      <c r="OE169" s="30"/>
      <c r="OF169" s="30"/>
      <c r="OG169" s="30"/>
      <c r="OH169" s="30"/>
      <c r="OI169" s="30"/>
      <c r="OJ169" s="30"/>
      <c r="OK169" s="30"/>
      <c r="OL169" s="30"/>
      <c r="OM169" s="30"/>
      <c r="ON169" s="30"/>
      <c r="OO169" s="30"/>
      <c r="OP169" s="30"/>
      <c r="OQ169" s="30"/>
      <c r="OR169" s="30"/>
      <c r="OS169" s="30"/>
      <c r="OT169" s="30"/>
      <c r="OU169" s="30"/>
      <c r="OV169" s="30"/>
      <c r="OW169" s="30"/>
      <c r="OX169" s="30"/>
      <c r="OY169" s="30"/>
      <c r="OZ169" s="30"/>
      <c r="PA169" s="30"/>
      <c r="PB169" s="30"/>
      <c r="PC169" s="30"/>
      <c r="PD169" s="30"/>
      <c r="PE169" s="30"/>
      <c r="PF169" s="30"/>
      <c r="PG169" s="30"/>
      <c r="PH169" s="30"/>
      <c r="PI169" s="30"/>
      <c r="PJ169" s="30"/>
      <c r="PK169" s="30"/>
      <c r="PL169" s="30"/>
      <c r="PM169" s="30"/>
      <c r="PN169" s="30"/>
      <c r="PO169" s="30"/>
      <c r="PP169" s="30"/>
      <c r="PQ169" s="30"/>
      <c r="PR169" s="30"/>
      <c r="PS169" s="30"/>
      <c r="PT169" s="30"/>
      <c r="PU169" s="30"/>
      <c r="PV169" s="30"/>
      <c r="PW169" s="30"/>
      <c r="PX169" s="30"/>
      <c r="PY169" s="30"/>
      <c r="PZ169" s="30"/>
      <c r="QA169" s="30"/>
      <c r="QB169" s="30"/>
      <c r="QC169" s="30"/>
      <c r="QD169" s="30"/>
      <c r="QE169" s="30"/>
      <c r="QF169" s="30"/>
      <c r="QG169" s="30"/>
      <c r="QH169" s="30"/>
      <c r="QI169" s="30"/>
      <c r="QJ169" s="30"/>
      <c r="QK169" s="30"/>
      <c r="QL169" s="30"/>
      <c r="QM169" s="30"/>
      <c r="QN169" s="30"/>
      <c r="QO169" s="30"/>
      <c r="QP169" s="30"/>
      <c r="QQ169" s="30"/>
      <c r="QR169" s="30"/>
      <c r="QS169" s="30"/>
      <c r="QT169" s="30"/>
      <c r="QU169" s="30"/>
      <c r="QV169" s="30"/>
      <c r="QW169" s="30"/>
      <c r="QX169" s="30"/>
      <c r="QY169" s="30"/>
      <c r="QZ169" s="30"/>
      <c r="RA169" s="30"/>
      <c r="RB169" s="30"/>
      <c r="RC169" s="30"/>
      <c r="RD169" s="30"/>
      <c r="RE169" s="30"/>
      <c r="RF169" s="30"/>
      <c r="RG169" s="30"/>
      <c r="RH169" s="30"/>
      <c r="RI169" s="30"/>
      <c r="RJ169" s="30"/>
      <c r="RK169" s="30"/>
      <c r="RL169" s="30"/>
      <c r="RM169" s="30"/>
      <c r="RN169" s="30"/>
      <c r="RO169" s="30"/>
      <c r="RP169" s="30"/>
      <c r="RQ169" s="30"/>
      <c r="RR169" s="30"/>
      <c r="RS169" s="30"/>
      <c r="RT169" s="30"/>
      <c r="RU169" s="30"/>
      <c r="RV169" s="30"/>
      <c r="RW169" s="30"/>
      <c r="RX169" s="30"/>
      <c r="RY169" s="30"/>
      <c r="RZ169" s="30"/>
      <c r="SA169" s="30"/>
      <c r="SB169" s="30"/>
      <c r="SC169" s="30"/>
      <c r="SD169" s="30"/>
      <c r="SE169" s="30"/>
      <c r="SF169" s="30"/>
      <c r="SG169" s="30"/>
      <c r="SH169" s="30"/>
      <c r="SI169" s="30"/>
      <c r="SJ169" s="30"/>
      <c r="SK169" s="30"/>
      <c r="SL169" s="30"/>
      <c r="SM169" s="30"/>
      <c r="SN169" s="30"/>
      <c r="SO169" s="30"/>
      <c r="SP169" s="30"/>
      <c r="SQ169" s="30"/>
      <c r="SR169" s="30"/>
      <c r="SS169" s="30"/>
      <c r="ST169" s="30"/>
      <c r="SU169" s="30"/>
      <c r="SV169" s="30"/>
      <c r="SW169" s="30"/>
      <c r="SX169" s="30"/>
      <c r="SY169" s="30"/>
      <c r="SZ169" s="30"/>
      <c r="TA169" s="30"/>
      <c r="TB169" s="30"/>
      <c r="TC169" s="30"/>
      <c r="TD169" s="30"/>
      <c r="TE169" s="30"/>
      <c r="TF169" s="30"/>
      <c r="TG169" s="30"/>
      <c r="TH169" s="30"/>
      <c r="TI169" s="30"/>
      <c r="TJ169" s="30"/>
      <c r="TK169" s="30"/>
      <c r="TL169" s="30"/>
      <c r="TM169" s="30"/>
      <c r="TN169" s="30"/>
      <c r="TO169" s="30"/>
      <c r="TP169" s="30"/>
      <c r="TQ169" s="30"/>
      <c r="TR169" s="30"/>
      <c r="TS169" s="30"/>
    </row>
    <row r="170" spans="1:539" s="22" customFormat="1" ht="78.75" x14ac:dyDescent="0.25">
      <c r="A170" s="60" t="s">
        <v>188</v>
      </c>
      <c r="B170" s="95" t="str">
        <f>'дод 5'!A114</f>
        <v>3180</v>
      </c>
      <c r="C170" s="95" t="str">
        <f>'дод 5'!B114</f>
        <v>1060</v>
      </c>
      <c r="D170" s="61" t="str">
        <f>'дод 5'!C114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70" s="101">
        <f t="shared" si="79"/>
        <v>2213520</v>
      </c>
      <c r="F170" s="101">
        <v>2213520</v>
      </c>
      <c r="G170" s="101"/>
      <c r="H170" s="101"/>
      <c r="I170" s="101"/>
      <c r="J170" s="101">
        <v>1383964.91</v>
      </c>
      <c r="K170" s="101"/>
      <c r="L170" s="101"/>
      <c r="M170" s="157">
        <f t="shared" si="68"/>
        <v>62.523262044164952</v>
      </c>
      <c r="N170" s="101">
        <f t="shared" si="83"/>
        <v>0</v>
      </c>
      <c r="O170" s="101"/>
      <c r="P170" s="101"/>
      <c r="Q170" s="101"/>
      <c r="R170" s="101"/>
      <c r="S170" s="101"/>
      <c r="T170" s="97">
        <f t="shared" si="80"/>
        <v>0</v>
      </c>
      <c r="U170" s="101"/>
      <c r="V170" s="101"/>
      <c r="W170" s="101"/>
      <c r="X170" s="101"/>
      <c r="Y170" s="101"/>
      <c r="Z170" s="157"/>
      <c r="AA170" s="97">
        <f t="shared" si="81"/>
        <v>1383964.91</v>
      </c>
      <c r="AB170" s="101">
        <f t="shared" si="82"/>
        <v>2213520</v>
      </c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  <c r="TS170" s="23"/>
    </row>
    <row r="171" spans="1:539" s="22" customFormat="1" ht="31.5" customHeight="1" x14ac:dyDescent="0.25">
      <c r="A171" s="60" t="s">
        <v>310</v>
      </c>
      <c r="B171" s="95" t="str">
        <f>'дод 5'!A115</f>
        <v>3191</v>
      </c>
      <c r="C171" s="95" t="str">
        <f>'дод 5'!B115</f>
        <v>1030</v>
      </c>
      <c r="D171" s="61" t="str">
        <f>'дод 5'!C115</f>
        <v>Інші видатки на соціальний захист ветеранів війни та праці</v>
      </c>
      <c r="E171" s="101">
        <f t="shared" si="79"/>
        <v>2089960</v>
      </c>
      <c r="F171" s="101">
        <v>2089960</v>
      </c>
      <c r="G171" s="101"/>
      <c r="H171" s="101"/>
      <c r="I171" s="101"/>
      <c r="J171" s="101">
        <v>1050245.54</v>
      </c>
      <c r="K171" s="101"/>
      <c r="L171" s="101"/>
      <c r="M171" s="157">
        <f t="shared" si="68"/>
        <v>50.251944534823636</v>
      </c>
      <c r="N171" s="101">
        <f t="shared" si="83"/>
        <v>0</v>
      </c>
      <c r="O171" s="101"/>
      <c r="P171" s="101"/>
      <c r="Q171" s="101"/>
      <c r="R171" s="101"/>
      <c r="S171" s="101"/>
      <c r="T171" s="97">
        <f t="shared" si="80"/>
        <v>0</v>
      </c>
      <c r="U171" s="101"/>
      <c r="V171" s="101"/>
      <c r="W171" s="101"/>
      <c r="X171" s="101"/>
      <c r="Y171" s="101"/>
      <c r="Z171" s="157"/>
      <c r="AA171" s="97">
        <f t="shared" si="81"/>
        <v>1050245.54</v>
      </c>
      <c r="AB171" s="101">
        <f t="shared" si="82"/>
        <v>2089960</v>
      </c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  <c r="TI171" s="23"/>
      <c r="TJ171" s="23"/>
      <c r="TK171" s="23"/>
      <c r="TL171" s="23"/>
      <c r="TM171" s="23"/>
      <c r="TN171" s="23"/>
      <c r="TO171" s="23"/>
      <c r="TP171" s="23"/>
      <c r="TQ171" s="23"/>
      <c r="TR171" s="23"/>
      <c r="TS171" s="23"/>
    </row>
    <row r="172" spans="1:539" s="22" customFormat="1" ht="47.25" x14ac:dyDescent="0.25">
      <c r="A172" s="60" t="s">
        <v>311</v>
      </c>
      <c r="B172" s="95" t="str">
        <f>'дод 5'!A116</f>
        <v>3192</v>
      </c>
      <c r="C172" s="95" t="str">
        <f>'дод 5'!B116</f>
        <v>1030</v>
      </c>
      <c r="D172" s="61" t="s">
        <v>510</v>
      </c>
      <c r="E172" s="101">
        <f t="shared" si="79"/>
        <v>2250688</v>
      </c>
      <c r="F172" s="101">
        <v>2250688</v>
      </c>
      <c r="G172" s="101"/>
      <c r="H172" s="101"/>
      <c r="I172" s="101"/>
      <c r="J172" s="101">
        <v>939337.7</v>
      </c>
      <c r="K172" s="101"/>
      <c r="L172" s="101"/>
      <c r="M172" s="157">
        <f t="shared" si="68"/>
        <v>41.735580409190433</v>
      </c>
      <c r="N172" s="101">
        <f t="shared" si="83"/>
        <v>0</v>
      </c>
      <c r="O172" s="101"/>
      <c r="P172" s="101"/>
      <c r="Q172" s="101"/>
      <c r="R172" s="101"/>
      <c r="S172" s="101"/>
      <c r="T172" s="97">
        <f t="shared" si="80"/>
        <v>0</v>
      </c>
      <c r="U172" s="101"/>
      <c r="V172" s="101"/>
      <c r="W172" s="101"/>
      <c r="X172" s="101"/>
      <c r="Y172" s="101"/>
      <c r="Z172" s="157"/>
      <c r="AA172" s="97">
        <f t="shared" si="81"/>
        <v>939337.7</v>
      </c>
      <c r="AB172" s="101">
        <f t="shared" si="82"/>
        <v>2250688</v>
      </c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  <c r="TS172" s="23"/>
    </row>
    <row r="173" spans="1:539" s="22" customFormat="1" ht="34.5" customHeight="1" x14ac:dyDescent="0.25">
      <c r="A173" s="60" t="s">
        <v>189</v>
      </c>
      <c r="B173" s="95" t="str">
        <f>'дод 5'!A117</f>
        <v>3200</v>
      </c>
      <c r="C173" s="95" t="str">
        <f>'дод 5'!B117</f>
        <v>1090</v>
      </c>
      <c r="D173" s="61" t="str">
        <f>'дод 5'!C117</f>
        <v>Забезпечення обробки інформації з нарахування та виплати допомог і компенсацій</v>
      </c>
      <c r="E173" s="101">
        <f t="shared" si="79"/>
        <v>92000</v>
      </c>
      <c r="F173" s="101">
        <v>92000</v>
      </c>
      <c r="G173" s="101"/>
      <c r="H173" s="101"/>
      <c r="I173" s="101"/>
      <c r="J173" s="101">
        <v>45235.199999999997</v>
      </c>
      <c r="K173" s="101"/>
      <c r="L173" s="101"/>
      <c r="M173" s="157">
        <f t="shared" si="68"/>
        <v>49.168695652173909</v>
      </c>
      <c r="N173" s="101">
        <f t="shared" si="83"/>
        <v>0</v>
      </c>
      <c r="O173" s="101"/>
      <c r="P173" s="101"/>
      <c r="Q173" s="101"/>
      <c r="R173" s="101"/>
      <c r="S173" s="101"/>
      <c r="T173" s="97">
        <f t="shared" si="80"/>
        <v>0</v>
      </c>
      <c r="U173" s="101"/>
      <c r="V173" s="101"/>
      <c r="W173" s="101"/>
      <c r="X173" s="101"/>
      <c r="Y173" s="101"/>
      <c r="Z173" s="157"/>
      <c r="AA173" s="97">
        <f t="shared" si="81"/>
        <v>45235.199999999997</v>
      </c>
      <c r="AB173" s="101">
        <f t="shared" si="82"/>
        <v>92000</v>
      </c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  <c r="TI173" s="23"/>
      <c r="TJ173" s="23"/>
      <c r="TK173" s="23"/>
      <c r="TL173" s="23"/>
      <c r="TM173" s="23"/>
      <c r="TN173" s="23"/>
      <c r="TO173" s="23"/>
      <c r="TP173" s="23"/>
      <c r="TQ173" s="23"/>
      <c r="TR173" s="23"/>
      <c r="TS173" s="23"/>
    </row>
    <row r="174" spans="1:539" s="22" customFormat="1" ht="19.5" customHeight="1" x14ac:dyDescent="0.25">
      <c r="A174" s="105" t="s">
        <v>312</v>
      </c>
      <c r="B174" s="42" t="str">
        <f>'дод 5'!A118</f>
        <v>3210</v>
      </c>
      <c r="C174" s="42" t="str">
        <f>'дод 5'!B118</f>
        <v>1050</v>
      </c>
      <c r="D174" s="36" t="str">
        <f>'дод 5'!C118</f>
        <v>Організація та проведення громадських робіт</v>
      </c>
      <c r="E174" s="101">
        <f t="shared" si="79"/>
        <v>50000</v>
      </c>
      <c r="F174" s="101">
        <v>50000</v>
      </c>
      <c r="G174" s="101">
        <v>40900</v>
      </c>
      <c r="H174" s="101"/>
      <c r="I174" s="101"/>
      <c r="J174" s="101"/>
      <c r="K174" s="101"/>
      <c r="L174" s="101"/>
      <c r="M174" s="157">
        <f t="shared" si="68"/>
        <v>0</v>
      </c>
      <c r="N174" s="101">
        <f t="shared" si="83"/>
        <v>0</v>
      </c>
      <c r="O174" s="101"/>
      <c r="P174" s="101"/>
      <c r="Q174" s="101"/>
      <c r="R174" s="101"/>
      <c r="S174" s="101"/>
      <c r="T174" s="97">
        <f t="shared" si="80"/>
        <v>0</v>
      </c>
      <c r="U174" s="101"/>
      <c r="V174" s="101"/>
      <c r="W174" s="101"/>
      <c r="X174" s="101"/>
      <c r="Y174" s="101"/>
      <c r="Z174" s="157"/>
      <c r="AA174" s="97">
        <f t="shared" si="81"/>
        <v>0</v>
      </c>
      <c r="AB174" s="101">
        <f t="shared" si="82"/>
        <v>50000</v>
      </c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  <c r="TJ174" s="23"/>
      <c r="TK174" s="23"/>
      <c r="TL174" s="23"/>
      <c r="TM174" s="23"/>
      <c r="TN174" s="23"/>
      <c r="TO174" s="23"/>
      <c r="TP174" s="23"/>
      <c r="TQ174" s="23"/>
      <c r="TR174" s="23"/>
      <c r="TS174" s="23"/>
    </row>
    <row r="175" spans="1:539" s="22" customFormat="1" ht="225" hidden="1" customHeight="1" x14ac:dyDescent="0.25">
      <c r="A175" s="105" t="s">
        <v>444</v>
      </c>
      <c r="B175" s="42">
        <v>3221</v>
      </c>
      <c r="C175" s="105" t="s">
        <v>54</v>
      </c>
      <c r="D175" s="36" t="str">
        <f>'дод 5'!C119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5" s="101">
        <f t="shared" si="79"/>
        <v>0</v>
      </c>
      <c r="F175" s="118"/>
      <c r="G175" s="101"/>
      <c r="H175" s="101"/>
      <c r="I175" s="101"/>
      <c r="J175" s="101"/>
      <c r="K175" s="101"/>
      <c r="L175" s="101"/>
      <c r="M175" s="157" t="e">
        <f t="shared" si="68"/>
        <v>#DIV/0!</v>
      </c>
      <c r="N175" s="101">
        <f t="shared" si="83"/>
        <v>0</v>
      </c>
      <c r="O175" s="101"/>
      <c r="P175" s="101"/>
      <c r="Q175" s="101"/>
      <c r="R175" s="101"/>
      <c r="S175" s="101"/>
      <c r="T175" s="97">
        <f t="shared" si="80"/>
        <v>0</v>
      </c>
      <c r="U175" s="101"/>
      <c r="V175" s="101"/>
      <c r="W175" s="101"/>
      <c r="X175" s="101"/>
      <c r="Y175" s="101"/>
      <c r="Z175" s="157" t="e">
        <f t="shared" si="70"/>
        <v>#DIV/0!</v>
      </c>
      <c r="AA175" s="97">
        <f t="shared" si="81"/>
        <v>0</v>
      </c>
      <c r="AB175" s="101">
        <f t="shared" si="82"/>
        <v>0</v>
      </c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  <c r="TJ175" s="23"/>
      <c r="TK175" s="23"/>
      <c r="TL175" s="23"/>
      <c r="TM175" s="23"/>
      <c r="TN175" s="23"/>
      <c r="TO175" s="23"/>
      <c r="TP175" s="23"/>
      <c r="TQ175" s="23"/>
      <c r="TR175" s="23"/>
      <c r="TS175" s="23"/>
    </row>
    <row r="176" spans="1:539" s="24" customFormat="1" ht="255.75" hidden="1" customHeight="1" x14ac:dyDescent="0.25">
      <c r="A176" s="107"/>
      <c r="B176" s="90"/>
      <c r="C176" s="107"/>
      <c r="D176" s="89" t="str">
        <f>'дод 5'!C90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6" s="101">
        <f t="shared" si="79"/>
        <v>0</v>
      </c>
      <c r="F176" s="119"/>
      <c r="G176" s="103"/>
      <c r="H176" s="103"/>
      <c r="I176" s="103"/>
      <c r="J176" s="103"/>
      <c r="K176" s="103"/>
      <c r="L176" s="103"/>
      <c r="M176" s="157" t="e">
        <f t="shared" si="68"/>
        <v>#DIV/0!</v>
      </c>
      <c r="N176" s="101">
        <f t="shared" si="83"/>
        <v>0</v>
      </c>
      <c r="O176" s="103"/>
      <c r="P176" s="103"/>
      <c r="Q176" s="103"/>
      <c r="R176" s="103"/>
      <c r="S176" s="103"/>
      <c r="T176" s="97">
        <f t="shared" si="80"/>
        <v>0</v>
      </c>
      <c r="U176" s="103"/>
      <c r="V176" s="103"/>
      <c r="W176" s="103"/>
      <c r="X176" s="103"/>
      <c r="Y176" s="103"/>
      <c r="Z176" s="157" t="e">
        <f t="shared" si="70"/>
        <v>#DIV/0!</v>
      </c>
      <c r="AA176" s="97">
        <f t="shared" si="81"/>
        <v>0</v>
      </c>
      <c r="AB176" s="103">
        <f t="shared" si="82"/>
        <v>0</v>
      </c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  <c r="TH176" s="30"/>
      <c r="TI176" s="30"/>
      <c r="TJ176" s="30"/>
      <c r="TK176" s="30"/>
      <c r="TL176" s="30"/>
      <c r="TM176" s="30"/>
      <c r="TN176" s="30"/>
      <c r="TO176" s="30"/>
      <c r="TP176" s="30"/>
      <c r="TQ176" s="30"/>
      <c r="TR176" s="30"/>
      <c r="TS176" s="30"/>
    </row>
    <row r="177" spans="1:539" s="22" customFormat="1" ht="174.75" hidden="1" customHeight="1" x14ac:dyDescent="0.25">
      <c r="A177" s="105" t="s">
        <v>443</v>
      </c>
      <c r="B177" s="42">
        <v>3223</v>
      </c>
      <c r="C177" s="105" t="s">
        <v>54</v>
      </c>
      <c r="D177" s="36" t="str">
        <f>'дод 5'!C121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7" s="101">
        <f t="shared" si="79"/>
        <v>0</v>
      </c>
      <c r="F177" s="101"/>
      <c r="G177" s="101"/>
      <c r="H177" s="101"/>
      <c r="I177" s="101"/>
      <c r="J177" s="101"/>
      <c r="K177" s="101"/>
      <c r="L177" s="101"/>
      <c r="M177" s="157" t="e">
        <f t="shared" si="68"/>
        <v>#DIV/0!</v>
      </c>
      <c r="N177" s="101">
        <f t="shared" si="83"/>
        <v>0</v>
      </c>
      <c r="O177" s="101"/>
      <c r="P177" s="101"/>
      <c r="Q177" s="101"/>
      <c r="R177" s="101"/>
      <c r="S177" s="101"/>
      <c r="T177" s="97">
        <f t="shared" si="80"/>
        <v>0</v>
      </c>
      <c r="U177" s="101"/>
      <c r="V177" s="101"/>
      <c r="W177" s="101"/>
      <c r="X177" s="101"/>
      <c r="Y177" s="101"/>
      <c r="Z177" s="157" t="e">
        <f t="shared" si="70"/>
        <v>#DIV/0!</v>
      </c>
      <c r="AA177" s="97">
        <f t="shared" si="81"/>
        <v>0</v>
      </c>
      <c r="AB177" s="101">
        <f t="shared" si="82"/>
        <v>0</v>
      </c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  <c r="TI177" s="23"/>
      <c r="TJ177" s="23"/>
      <c r="TK177" s="23"/>
      <c r="TL177" s="23"/>
      <c r="TM177" s="23"/>
      <c r="TN177" s="23"/>
      <c r="TO177" s="23"/>
      <c r="TP177" s="23"/>
      <c r="TQ177" s="23"/>
      <c r="TR177" s="23"/>
      <c r="TS177" s="23"/>
    </row>
    <row r="178" spans="1:539" s="24" customFormat="1" ht="216" hidden="1" customHeight="1" x14ac:dyDescent="0.25">
      <c r="A178" s="107"/>
      <c r="B178" s="90"/>
      <c r="C178" s="107"/>
      <c r="D178" s="89" t="str">
        <f>'дод 5'!C122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8" s="103">
        <f t="shared" si="79"/>
        <v>0</v>
      </c>
      <c r="F178" s="103"/>
      <c r="G178" s="103"/>
      <c r="H178" s="103"/>
      <c r="I178" s="103"/>
      <c r="J178" s="103"/>
      <c r="K178" s="103"/>
      <c r="L178" s="103"/>
      <c r="M178" s="157" t="e">
        <f t="shared" si="68"/>
        <v>#DIV/0!</v>
      </c>
      <c r="N178" s="103">
        <f t="shared" si="83"/>
        <v>0</v>
      </c>
      <c r="O178" s="103"/>
      <c r="P178" s="103"/>
      <c r="Q178" s="103"/>
      <c r="R178" s="103"/>
      <c r="S178" s="103"/>
      <c r="T178" s="97">
        <f t="shared" si="80"/>
        <v>0</v>
      </c>
      <c r="U178" s="103"/>
      <c r="V178" s="103"/>
      <c r="W178" s="103"/>
      <c r="X178" s="103"/>
      <c r="Y178" s="103"/>
      <c r="Z178" s="157" t="e">
        <f t="shared" si="70"/>
        <v>#DIV/0!</v>
      </c>
      <c r="AA178" s="97">
        <f t="shared" si="81"/>
        <v>0</v>
      </c>
      <c r="AB178" s="103">
        <f t="shared" si="82"/>
        <v>0</v>
      </c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  <c r="SO178" s="30"/>
      <c r="SP178" s="30"/>
      <c r="SQ178" s="30"/>
      <c r="SR178" s="30"/>
      <c r="SS178" s="30"/>
      <c r="ST178" s="30"/>
      <c r="SU178" s="30"/>
      <c r="SV178" s="30"/>
      <c r="SW178" s="30"/>
      <c r="SX178" s="30"/>
      <c r="SY178" s="30"/>
      <c r="SZ178" s="30"/>
      <c r="TA178" s="30"/>
      <c r="TB178" s="30"/>
      <c r="TC178" s="30"/>
      <c r="TD178" s="30"/>
      <c r="TE178" s="30"/>
      <c r="TF178" s="30"/>
      <c r="TG178" s="30"/>
      <c r="TH178" s="30"/>
      <c r="TI178" s="30"/>
      <c r="TJ178" s="30"/>
      <c r="TK178" s="30"/>
      <c r="TL178" s="30"/>
      <c r="TM178" s="30"/>
      <c r="TN178" s="30"/>
      <c r="TO178" s="30"/>
      <c r="TP178" s="30"/>
      <c r="TQ178" s="30"/>
      <c r="TR178" s="30"/>
      <c r="TS178" s="30"/>
    </row>
    <row r="179" spans="1:539" s="22" customFormat="1" ht="31.5" customHeight="1" x14ac:dyDescent="0.25">
      <c r="A179" s="60" t="s">
        <v>309</v>
      </c>
      <c r="B179" s="95" t="str">
        <f>'дод 5'!A123</f>
        <v>3241</v>
      </c>
      <c r="C179" s="95" t="str">
        <f>'дод 5'!B123</f>
        <v>1090</v>
      </c>
      <c r="D179" s="61" t="str">
        <f>'дод 5'!C123</f>
        <v>Забезпечення діяльності інших закладів у сфері соціального захисту і соціального забезпечення</v>
      </c>
      <c r="E179" s="101">
        <f t="shared" si="79"/>
        <v>6852708.5599999996</v>
      </c>
      <c r="F179" s="101">
        <f>6615708.56+38000+199000</f>
        <v>6852708.5599999996</v>
      </c>
      <c r="G179" s="101">
        <v>4074650</v>
      </c>
      <c r="H179" s="101">
        <v>333300</v>
      </c>
      <c r="I179" s="101"/>
      <c r="J179" s="101">
        <v>3049219.35</v>
      </c>
      <c r="K179" s="101">
        <v>1962531.3</v>
      </c>
      <c r="L179" s="101">
        <v>202905.37</v>
      </c>
      <c r="M179" s="157">
        <f t="shared" si="68"/>
        <v>44.496556701661341</v>
      </c>
      <c r="N179" s="101">
        <f t="shared" ref="N179:N183" si="84">P179+S179</f>
        <v>161000</v>
      </c>
      <c r="O179" s="101">
        <f>360000-199000</f>
        <v>161000</v>
      </c>
      <c r="P179" s="101"/>
      <c r="Q179" s="101"/>
      <c r="R179" s="101"/>
      <c r="S179" s="101">
        <f>360000-199000</f>
        <v>161000</v>
      </c>
      <c r="T179" s="97">
        <f t="shared" si="80"/>
        <v>13006.81</v>
      </c>
      <c r="U179" s="101"/>
      <c r="V179" s="101">
        <v>13006.81</v>
      </c>
      <c r="W179" s="101"/>
      <c r="X179" s="101"/>
      <c r="Y179" s="101"/>
      <c r="Z179" s="157">
        <f t="shared" si="70"/>
        <v>8.0787639751552796</v>
      </c>
      <c r="AA179" s="97">
        <f t="shared" si="81"/>
        <v>3062226.16</v>
      </c>
      <c r="AB179" s="101">
        <f t="shared" si="82"/>
        <v>7013708.5599999996</v>
      </c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  <c r="TH179" s="23"/>
      <c r="TI179" s="23"/>
      <c r="TJ179" s="23"/>
      <c r="TK179" s="23"/>
      <c r="TL179" s="23"/>
      <c r="TM179" s="23"/>
      <c r="TN179" s="23"/>
      <c r="TO179" s="23"/>
      <c r="TP179" s="23"/>
      <c r="TQ179" s="23"/>
      <c r="TR179" s="23"/>
      <c r="TS179" s="23"/>
    </row>
    <row r="180" spans="1:539" s="22" customFormat="1" ht="33" customHeight="1" x14ac:dyDescent="0.25">
      <c r="A180" s="60" t="s">
        <v>357</v>
      </c>
      <c r="B180" s="95" t="str">
        <f>'дод 5'!A124</f>
        <v>3242</v>
      </c>
      <c r="C180" s="95" t="str">
        <f>'дод 5'!B124</f>
        <v>1090</v>
      </c>
      <c r="D180" s="61" t="s">
        <v>524</v>
      </c>
      <c r="E180" s="101">
        <f t="shared" si="79"/>
        <v>38406392.549999997</v>
      </c>
      <c r="F180" s="101">
        <f>34325670+76000+12000+250000+1652252.55+881000+791200+57000+20770+189500+106000+5000+5000+10000+25000</f>
        <v>38406392.549999997</v>
      </c>
      <c r="G180" s="101"/>
      <c r="H180" s="101"/>
      <c r="I180" s="101"/>
      <c r="J180" s="101">
        <v>8640829.3200000003</v>
      </c>
      <c r="K180" s="101"/>
      <c r="L180" s="101"/>
      <c r="M180" s="157">
        <f t="shared" si="68"/>
        <v>22.498414316707287</v>
      </c>
      <c r="N180" s="101">
        <f t="shared" si="84"/>
        <v>45000</v>
      </c>
      <c r="O180" s="101">
        <v>45000</v>
      </c>
      <c r="P180" s="101"/>
      <c r="Q180" s="101"/>
      <c r="R180" s="101"/>
      <c r="S180" s="101">
        <v>45000</v>
      </c>
      <c r="T180" s="97">
        <f t="shared" si="80"/>
        <v>0</v>
      </c>
      <c r="U180" s="101"/>
      <c r="V180" s="101"/>
      <c r="W180" s="101"/>
      <c r="X180" s="101"/>
      <c r="Y180" s="101"/>
      <c r="Z180" s="157">
        <f t="shared" si="70"/>
        <v>0</v>
      </c>
      <c r="AA180" s="97">
        <f t="shared" si="81"/>
        <v>8640829.3200000003</v>
      </c>
      <c r="AB180" s="101">
        <f t="shared" si="82"/>
        <v>38451392.549999997</v>
      </c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  <c r="TI180" s="23"/>
      <c r="TJ180" s="23"/>
      <c r="TK180" s="23"/>
      <c r="TL180" s="23"/>
      <c r="TM180" s="23"/>
      <c r="TN180" s="23"/>
      <c r="TO180" s="23"/>
      <c r="TP180" s="23"/>
      <c r="TQ180" s="23"/>
      <c r="TR180" s="23"/>
      <c r="TS180" s="23"/>
    </row>
    <row r="181" spans="1:539" s="24" customFormat="1" ht="15" customHeight="1" x14ac:dyDescent="0.25">
      <c r="A181" s="86"/>
      <c r="B181" s="113"/>
      <c r="C181" s="113"/>
      <c r="D181" s="87" t="s">
        <v>395</v>
      </c>
      <c r="E181" s="103">
        <f t="shared" si="79"/>
        <v>348000</v>
      </c>
      <c r="F181" s="103">
        <f>336000+12000</f>
        <v>348000</v>
      </c>
      <c r="G181" s="103"/>
      <c r="H181" s="103"/>
      <c r="I181" s="103"/>
      <c r="J181" s="103">
        <v>136000</v>
      </c>
      <c r="K181" s="103"/>
      <c r="L181" s="103"/>
      <c r="M181" s="157">
        <f t="shared" si="68"/>
        <v>39.080459770114942</v>
      </c>
      <c r="N181" s="103">
        <f t="shared" si="84"/>
        <v>0</v>
      </c>
      <c r="O181" s="103"/>
      <c r="P181" s="103"/>
      <c r="Q181" s="103"/>
      <c r="R181" s="103"/>
      <c r="S181" s="103"/>
      <c r="T181" s="97">
        <f t="shared" si="80"/>
        <v>0</v>
      </c>
      <c r="U181" s="103"/>
      <c r="V181" s="103"/>
      <c r="W181" s="103"/>
      <c r="X181" s="103"/>
      <c r="Y181" s="103"/>
      <c r="Z181" s="157"/>
      <c r="AA181" s="97">
        <f t="shared" si="81"/>
        <v>136000</v>
      </c>
      <c r="AB181" s="103">
        <f t="shared" si="82"/>
        <v>348000</v>
      </c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  <c r="TG181" s="30"/>
      <c r="TH181" s="30"/>
      <c r="TI181" s="30"/>
      <c r="TJ181" s="30"/>
      <c r="TK181" s="30"/>
      <c r="TL181" s="30"/>
      <c r="TM181" s="30"/>
      <c r="TN181" s="30"/>
      <c r="TO181" s="30"/>
      <c r="TP181" s="30"/>
      <c r="TQ181" s="30"/>
      <c r="TR181" s="30"/>
      <c r="TS181" s="30"/>
    </row>
    <row r="182" spans="1:539" s="22" customFormat="1" ht="18.75" x14ac:dyDescent="0.25">
      <c r="A182" s="60" t="s">
        <v>419</v>
      </c>
      <c r="B182" s="95">
        <v>7323</v>
      </c>
      <c r="C182" s="60" t="s">
        <v>113</v>
      </c>
      <c r="D182" s="141" t="s">
        <v>560</v>
      </c>
      <c r="E182" s="101">
        <f t="shared" si="79"/>
        <v>0</v>
      </c>
      <c r="F182" s="101"/>
      <c r="G182" s="101"/>
      <c r="H182" s="101"/>
      <c r="I182" s="101"/>
      <c r="J182" s="101"/>
      <c r="K182" s="101"/>
      <c r="L182" s="101"/>
      <c r="M182" s="157"/>
      <c r="N182" s="101">
        <f t="shared" si="84"/>
        <v>400000</v>
      </c>
      <c r="O182" s="101">
        <v>400000</v>
      </c>
      <c r="P182" s="101"/>
      <c r="Q182" s="101"/>
      <c r="R182" s="101"/>
      <c r="S182" s="101">
        <v>400000</v>
      </c>
      <c r="T182" s="97">
        <f t="shared" si="80"/>
        <v>0</v>
      </c>
      <c r="U182" s="101"/>
      <c r="V182" s="101"/>
      <c r="W182" s="101"/>
      <c r="X182" s="101"/>
      <c r="Y182" s="101"/>
      <c r="Z182" s="157">
        <f t="shared" si="70"/>
        <v>0</v>
      </c>
      <c r="AA182" s="97">
        <f t="shared" si="81"/>
        <v>0</v>
      </c>
      <c r="AB182" s="101">
        <f t="shared" si="82"/>
        <v>400000</v>
      </c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  <c r="TI182" s="23"/>
      <c r="TJ182" s="23"/>
      <c r="TK182" s="23"/>
      <c r="TL182" s="23"/>
      <c r="TM182" s="23"/>
      <c r="TN182" s="23"/>
      <c r="TO182" s="23"/>
      <c r="TP182" s="23"/>
      <c r="TQ182" s="23"/>
      <c r="TR182" s="23"/>
      <c r="TS182" s="23"/>
    </row>
    <row r="183" spans="1:539" s="22" customFormat="1" ht="22.5" customHeight="1" x14ac:dyDescent="0.25">
      <c r="A183" s="60" t="s">
        <v>267</v>
      </c>
      <c r="B183" s="95" t="str">
        <f>'дод 5'!A226</f>
        <v>9770</v>
      </c>
      <c r="C183" s="95" t="str">
        <f>'дод 5'!B226</f>
        <v>0180</v>
      </c>
      <c r="D183" s="61" t="str">
        <f>'дод 5'!C226</f>
        <v>Інші субвенції з місцевого бюджету</v>
      </c>
      <c r="E183" s="101">
        <f t="shared" si="79"/>
        <v>2500000</v>
      </c>
      <c r="F183" s="101">
        <v>2500000</v>
      </c>
      <c r="G183" s="101"/>
      <c r="H183" s="101"/>
      <c r="I183" s="101"/>
      <c r="J183" s="101">
        <v>1341250</v>
      </c>
      <c r="K183" s="101"/>
      <c r="L183" s="101"/>
      <c r="M183" s="157">
        <f t="shared" si="68"/>
        <v>53.65</v>
      </c>
      <c r="N183" s="101">
        <f t="shared" si="84"/>
        <v>0</v>
      </c>
      <c r="O183" s="101"/>
      <c r="P183" s="101"/>
      <c r="Q183" s="101"/>
      <c r="R183" s="101"/>
      <c r="S183" s="101"/>
      <c r="T183" s="97">
        <f t="shared" si="80"/>
        <v>0</v>
      </c>
      <c r="U183" s="101"/>
      <c r="V183" s="101"/>
      <c r="W183" s="101"/>
      <c r="X183" s="101"/>
      <c r="Y183" s="101"/>
      <c r="Z183" s="157"/>
      <c r="AA183" s="97">
        <f t="shared" si="81"/>
        <v>1341250</v>
      </c>
      <c r="AB183" s="101">
        <f t="shared" si="82"/>
        <v>2500000</v>
      </c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  <c r="TH183" s="23"/>
      <c r="TI183" s="23"/>
      <c r="TJ183" s="23"/>
      <c r="TK183" s="23"/>
      <c r="TL183" s="23"/>
      <c r="TM183" s="23"/>
      <c r="TN183" s="23"/>
      <c r="TO183" s="23"/>
      <c r="TP183" s="23"/>
      <c r="TQ183" s="23"/>
      <c r="TR183" s="23"/>
      <c r="TS183" s="23"/>
    </row>
    <row r="184" spans="1:539" s="27" customFormat="1" ht="31.5" x14ac:dyDescent="0.25">
      <c r="A184" s="108" t="s">
        <v>190</v>
      </c>
      <c r="B184" s="39"/>
      <c r="C184" s="39"/>
      <c r="D184" s="109" t="s">
        <v>365</v>
      </c>
      <c r="E184" s="97">
        <f>E185</f>
        <v>5869080</v>
      </c>
      <c r="F184" s="97">
        <f t="shared" ref="F184:L184" si="85">F185</f>
        <v>5869080</v>
      </c>
      <c r="G184" s="97">
        <f t="shared" si="85"/>
        <v>4491300</v>
      </c>
      <c r="H184" s="97">
        <f t="shared" si="85"/>
        <v>51600</v>
      </c>
      <c r="I184" s="97">
        <f t="shared" si="85"/>
        <v>0</v>
      </c>
      <c r="J184" s="97">
        <f t="shared" si="85"/>
        <v>2774414.25</v>
      </c>
      <c r="K184" s="97">
        <f t="shared" si="85"/>
        <v>2161121.7799999998</v>
      </c>
      <c r="L184" s="97">
        <f t="shared" si="85"/>
        <v>30472.7</v>
      </c>
      <c r="M184" s="157">
        <f t="shared" si="68"/>
        <v>47.271706127706558</v>
      </c>
      <c r="N184" s="97">
        <f t="shared" ref="N184:AB184" si="86">N185</f>
        <v>30000</v>
      </c>
      <c r="O184" s="97">
        <f t="shared" si="86"/>
        <v>30000</v>
      </c>
      <c r="P184" s="97">
        <f t="shared" si="86"/>
        <v>0</v>
      </c>
      <c r="Q184" s="97">
        <f t="shared" si="86"/>
        <v>0</v>
      </c>
      <c r="R184" s="97">
        <f t="shared" si="86"/>
        <v>0</v>
      </c>
      <c r="S184" s="97">
        <f t="shared" si="86"/>
        <v>30000</v>
      </c>
      <c r="T184" s="97">
        <f t="shared" si="86"/>
        <v>0</v>
      </c>
      <c r="U184" s="97">
        <f t="shared" si="86"/>
        <v>0</v>
      </c>
      <c r="V184" s="97">
        <f t="shared" si="86"/>
        <v>0</v>
      </c>
      <c r="W184" s="97">
        <f t="shared" si="86"/>
        <v>0</v>
      </c>
      <c r="X184" s="97">
        <f t="shared" si="86"/>
        <v>0</v>
      </c>
      <c r="Y184" s="97">
        <f t="shared" si="86"/>
        <v>0</v>
      </c>
      <c r="Z184" s="157">
        <f t="shared" si="70"/>
        <v>0</v>
      </c>
      <c r="AA184" s="97">
        <f t="shared" si="86"/>
        <v>2774414.25</v>
      </c>
      <c r="AB184" s="97">
        <f t="shared" si="86"/>
        <v>5899080</v>
      </c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  <c r="IU184" s="32"/>
      <c r="IV184" s="32"/>
      <c r="IW184" s="32"/>
      <c r="IX184" s="32"/>
      <c r="IY184" s="32"/>
      <c r="IZ184" s="32"/>
      <c r="JA184" s="32"/>
      <c r="JB184" s="32"/>
      <c r="JC184" s="32"/>
      <c r="JD184" s="32"/>
      <c r="JE184" s="32"/>
      <c r="JF184" s="32"/>
      <c r="JG184" s="32"/>
      <c r="JH184" s="32"/>
      <c r="JI184" s="32"/>
      <c r="JJ184" s="32"/>
      <c r="JK184" s="32"/>
      <c r="JL184" s="32"/>
      <c r="JM184" s="32"/>
      <c r="JN184" s="32"/>
      <c r="JO184" s="32"/>
      <c r="JP184" s="32"/>
      <c r="JQ184" s="32"/>
      <c r="JR184" s="32"/>
      <c r="JS184" s="32"/>
      <c r="JT184" s="32"/>
      <c r="JU184" s="32"/>
      <c r="JV184" s="32"/>
      <c r="JW184" s="32"/>
      <c r="JX184" s="32"/>
      <c r="JY184" s="32"/>
      <c r="JZ184" s="32"/>
      <c r="KA184" s="32"/>
      <c r="KB184" s="32"/>
      <c r="KC184" s="32"/>
      <c r="KD184" s="32"/>
      <c r="KE184" s="32"/>
      <c r="KF184" s="32"/>
      <c r="KG184" s="32"/>
      <c r="KH184" s="32"/>
      <c r="KI184" s="32"/>
      <c r="KJ184" s="32"/>
      <c r="KK184" s="32"/>
      <c r="KL184" s="32"/>
      <c r="KM184" s="32"/>
      <c r="KN184" s="32"/>
      <c r="KO184" s="32"/>
      <c r="KP184" s="32"/>
      <c r="KQ184" s="32"/>
      <c r="KR184" s="32"/>
      <c r="KS184" s="32"/>
      <c r="KT184" s="32"/>
      <c r="KU184" s="32"/>
      <c r="KV184" s="32"/>
      <c r="KW184" s="32"/>
      <c r="KX184" s="32"/>
      <c r="KY184" s="32"/>
      <c r="KZ184" s="32"/>
      <c r="LA184" s="32"/>
      <c r="LB184" s="32"/>
      <c r="LC184" s="32"/>
      <c r="LD184" s="32"/>
      <c r="LE184" s="32"/>
      <c r="LF184" s="32"/>
      <c r="LG184" s="32"/>
      <c r="LH184" s="32"/>
      <c r="LI184" s="32"/>
      <c r="LJ184" s="32"/>
      <c r="LK184" s="32"/>
      <c r="LL184" s="32"/>
      <c r="LM184" s="32"/>
      <c r="LN184" s="32"/>
      <c r="LO184" s="32"/>
      <c r="LP184" s="32"/>
      <c r="LQ184" s="32"/>
      <c r="LR184" s="32"/>
      <c r="LS184" s="32"/>
      <c r="LT184" s="32"/>
      <c r="LU184" s="32"/>
      <c r="LV184" s="32"/>
      <c r="LW184" s="32"/>
      <c r="LX184" s="32"/>
      <c r="LY184" s="32"/>
      <c r="LZ184" s="32"/>
      <c r="MA184" s="32"/>
      <c r="MB184" s="32"/>
      <c r="MC184" s="32"/>
      <c r="MD184" s="32"/>
      <c r="ME184" s="32"/>
      <c r="MF184" s="32"/>
      <c r="MG184" s="32"/>
      <c r="MH184" s="32"/>
      <c r="MI184" s="32"/>
      <c r="MJ184" s="32"/>
      <c r="MK184" s="32"/>
      <c r="ML184" s="32"/>
      <c r="MM184" s="32"/>
      <c r="MN184" s="32"/>
      <c r="MO184" s="32"/>
      <c r="MP184" s="32"/>
      <c r="MQ184" s="32"/>
      <c r="MR184" s="32"/>
      <c r="MS184" s="32"/>
      <c r="MT184" s="32"/>
      <c r="MU184" s="32"/>
      <c r="MV184" s="32"/>
      <c r="MW184" s="32"/>
      <c r="MX184" s="32"/>
      <c r="MY184" s="32"/>
      <c r="MZ184" s="32"/>
      <c r="NA184" s="32"/>
      <c r="NB184" s="32"/>
      <c r="NC184" s="32"/>
      <c r="ND184" s="32"/>
      <c r="NE184" s="32"/>
      <c r="NF184" s="32"/>
      <c r="NG184" s="32"/>
      <c r="NH184" s="32"/>
      <c r="NI184" s="32"/>
      <c r="NJ184" s="32"/>
      <c r="NK184" s="32"/>
      <c r="NL184" s="32"/>
      <c r="NM184" s="32"/>
      <c r="NN184" s="32"/>
      <c r="NO184" s="32"/>
      <c r="NP184" s="32"/>
      <c r="NQ184" s="32"/>
      <c r="NR184" s="32"/>
      <c r="NS184" s="32"/>
      <c r="NT184" s="32"/>
      <c r="NU184" s="32"/>
      <c r="NV184" s="32"/>
      <c r="NW184" s="32"/>
      <c r="NX184" s="32"/>
      <c r="NY184" s="32"/>
      <c r="NZ184" s="32"/>
      <c r="OA184" s="32"/>
      <c r="OB184" s="32"/>
      <c r="OC184" s="32"/>
      <c r="OD184" s="32"/>
      <c r="OE184" s="32"/>
      <c r="OF184" s="32"/>
      <c r="OG184" s="32"/>
      <c r="OH184" s="32"/>
      <c r="OI184" s="32"/>
      <c r="OJ184" s="32"/>
      <c r="OK184" s="32"/>
      <c r="OL184" s="32"/>
      <c r="OM184" s="32"/>
      <c r="ON184" s="32"/>
      <c r="OO184" s="32"/>
      <c r="OP184" s="32"/>
      <c r="OQ184" s="32"/>
      <c r="OR184" s="32"/>
      <c r="OS184" s="32"/>
      <c r="OT184" s="32"/>
      <c r="OU184" s="32"/>
      <c r="OV184" s="32"/>
      <c r="OW184" s="32"/>
      <c r="OX184" s="32"/>
      <c r="OY184" s="32"/>
      <c r="OZ184" s="32"/>
      <c r="PA184" s="32"/>
      <c r="PB184" s="32"/>
      <c r="PC184" s="32"/>
      <c r="PD184" s="32"/>
      <c r="PE184" s="32"/>
      <c r="PF184" s="32"/>
      <c r="PG184" s="32"/>
      <c r="PH184" s="32"/>
      <c r="PI184" s="32"/>
      <c r="PJ184" s="32"/>
      <c r="PK184" s="32"/>
      <c r="PL184" s="32"/>
      <c r="PM184" s="32"/>
      <c r="PN184" s="32"/>
      <c r="PO184" s="32"/>
      <c r="PP184" s="32"/>
      <c r="PQ184" s="32"/>
      <c r="PR184" s="32"/>
      <c r="PS184" s="32"/>
      <c r="PT184" s="32"/>
      <c r="PU184" s="32"/>
      <c r="PV184" s="32"/>
      <c r="PW184" s="32"/>
      <c r="PX184" s="32"/>
      <c r="PY184" s="32"/>
      <c r="PZ184" s="32"/>
      <c r="QA184" s="32"/>
      <c r="QB184" s="32"/>
      <c r="QC184" s="32"/>
      <c r="QD184" s="32"/>
      <c r="QE184" s="32"/>
      <c r="QF184" s="32"/>
      <c r="QG184" s="32"/>
      <c r="QH184" s="32"/>
      <c r="QI184" s="32"/>
      <c r="QJ184" s="32"/>
      <c r="QK184" s="32"/>
      <c r="QL184" s="32"/>
      <c r="QM184" s="32"/>
      <c r="QN184" s="32"/>
      <c r="QO184" s="32"/>
      <c r="QP184" s="32"/>
      <c r="QQ184" s="32"/>
      <c r="QR184" s="32"/>
      <c r="QS184" s="32"/>
      <c r="QT184" s="32"/>
      <c r="QU184" s="32"/>
      <c r="QV184" s="32"/>
      <c r="QW184" s="32"/>
      <c r="QX184" s="32"/>
      <c r="QY184" s="32"/>
      <c r="QZ184" s="32"/>
      <c r="RA184" s="32"/>
      <c r="RB184" s="32"/>
      <c r="RC184" s="32"/>
      <c r="RD184" s="32"/>
      <c r="RE184" s="32"/>
      <c r="RF184" s="32"/>
      <c r="RG184" s="32"/>
      <c r="RH184" s="32"/>
      <c r="RI184" s="32"/>
      <c r="RJ184" s="32"/>
      <c r="RK184" s="32"/>
      <c r="RL184" s="32"/>
      <c r="RM184" s="32"/>
      <c r="RN184" s="32"/>
      <c r="RO184" s="32"/>
      <c r="RP184" s="32"/>
      <c r="RQ184" s="32"/>
      <c r="RR184" s="32"/>
      <c r="RS184" s="32"/>
      <c r="RT184" s="32"/>
      <c r="RU184" s="32"/>
      <c r="RV184" s="32"/>
      <c r="RW184" s="32"/>
      <c r="RX184" s="32"/>
      <c r="RY184" s="32"/>
      <c r="RZ184" s="32"/>
      <c r="SA184" s="32"/>
      <c r="SB184" s="32"/>
      <c r="SC184" s="32"/>
      <c r="SD184" s="32"/>
      <c r="SE184" s="32"/>
      <c r="SF184" s="32"/>
      <c r="SG184" s="32"/>
      <c r="SH184" s="32"/>
      <c r="SI184" s="32"/>
      <c r="SJ184" s="32"/>
      <c r="SK184" s="32"/>
      <c r="SL184" s="32"/>
      <c r="SM184" s="32"/>
      <c r="SN184" s="32"/>
      <c r="SO184" s="32"/>
      <c r="SP184" s="32"/>
      <c r="SQ184" s="32"/>
      <c r="SR184" s="32"/>
      <c r="SS184" s="32"/>
      <c r="ST184" s="32"/>
      <c r="SU184" s="32"/>
      <c r="SV184" s="32"/>
      <c r="SW184" s="32"/>
      <c r="SX184" s="32"/>
      <c r="SY184" s="32"/>
      <c r="SZ184" s="32"/>
      <c r="TA184" s="32"/>
      <c r="TB184" s="32"/>
      <c r="TC184" s="32"/>
      <c r="TD184" s="32"/>
      <c r="TE184" s="32"/>
      <c r="TF184" s="32"/>
      <c r="TG184" s="32"/>
      <c r="TH184" s="32"/>
      <c r="TI184" s="32"/>
      <c r="TJ184" s="32"/>
      <c r="TK184" s="32"/>
      <c r="TL184" s="32"/>
      <c r="TM184" s="32"/>
      <c r="TN184" s="32"/>
      <c r="TO184" s="32"/>
      <c r="TP184" s="32"/>
      <c r="TQ184" s="32"/>
      <c r="TR184" s="32"/>
      <c r="TS184" s="32"/>
    </row>
    <row r="185" spans="1:539" s="34" customFormat="1" ht="33.75" customHeight="1" x14ac:dyDescent="0.25">
      <c r="A185" s="110" t="s">
        <v>191</v>
      </c>
      <c r="B185" s="76"/>
      <c r="C185" s="76"/>
      <c r="D185" s="79" t="s">
        <v>365</v>
      </c>
      <c r="E185" s="100">
        <f>E187+E188+E189+E190</f>
        <v>5869080</v>
      </c>
      <c r="F185" s="100">
        <f t="shared" ref="F185:L185" si="87">F187+F188+F189+F190</f>
        <v>5869080</v>
      </c>
      <c r="G185" s="100">
        <f t="shared" si="87"/>
        <v>4491300</v>
      </c>
      <c r="H185" s="100">
        <f t="shared" si="87"/>
        <v>51600</v>
      </c>
      <c r="I185" s="100">
        <f t="shared" si="87"/>
        <v>0</v>
      </c>
      <c r="J185" s="100">
        <f t="shared" si="87"/>
        <v>2774414.25</v>
      </c>
      <c r="K185" s="100">
        <f t="shared" si="87"/>
        <v>2161121.7799999998</v>
      </c>
      <c r="L185" s="100">
        <f t="shared" si="87"/>
        <v>30472.7</v>
      </c>
      <c r="M185" s="157">
        <f t="shared" si="68"/>
        <v>47.271706127706558</v>
      </c>
      <c r="N185" s="100">
        <f t="shared" ref="N185:AB185" si="88">N187+N188+N189+N190</f>
        <v>30000</v>
      </c>
      <c r="O185" s="100">
        <f t="shared" si="88"/>
        <v>30000</v>
      </c>
      <c r="P185" s="100">
        <f t="shared" si="88"/>
        <v>0</v>
      </c>
      <c r="Q185" s="100">
        <f t="shared" si="88"/>
        <v>0</v>
      </c>
      <c r="R185" s="100">
        <f t="shared" si="88"/>
        <v>0</v>
      </c>
      <c r="S185" s="100">
        <f t="shared" si="88"/>
        <v>30000</v>
      </c>
      <c r="T185" s="100">
        <f t="shared" si="88"/>
        <v>0</v>
      </c>
      <c r="U185" s="100">
        <f t="shared" si="88"/>
        <v>0</v>
      </c>
      <c r="V185" s="100">
        <f t="shared" si="88"/>
        <v>0</v>
      </c>
      <c r="W185" s="100">
        <f t="shared" si="88"/>
        <v>0</v>
      </c>
      <c r="X185" s="100">
        <f t="shared" si="88"/>
        <v>0</v>
      </c>
      <c r="Y185" s="100">
        <f t="shared" si="88"/>
        <v>0</v>
      </c>
      <c r="Z185" s="157">
        <f t="shared" si="70"/>
        <v>0</v>
      </c>
      <c r="AA185" s="100">
        <f t="shared" si="88"/>
        <v>2774414.25</v>
      </c>
      <c r="AB185" s="100">
        <f t="shared" si="88"/>
        <v>5899080</v>
      </c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  <c r="TI185" s="33"/>
      <c r="TJ185" s="33"/>
      <c r="TK185" s="33"/>
      <c r="TL185" s="33"/>
      <c r="TM185" s="33"/>
      <c r="TN185" s="33"/>
      <c r="TO185" s="33"/>
      <c r="TP185" s="33"/>
      <c r="TQ185" s="33"/>
      <c r="TR185" s="33"/>
      <c r="TS185" s="33"/>
    </row>
    <row r="186" spans="1:539" s="34" customFormat="1" ht="120" hidden="1" customHeight="1" x14ac:dyDescent="0.25">
      <c r="A186" s="110"/>
      <c r="B186" s="76"/>
      <c r="C186" s="76"/>
      <c r="D186" s="79" t="s">
        <v>449</v>
      </c>
      <c r="E186" s="100">
        <f>E191</f>
        <v>0</v>
      </c>
      <c r="F186" s="100">
        <f t="shared" ref="F186:AB186" si="89">F191</f>
        <v>0</v>
      </c>
      <c r="G186" s="100">
        <f t="shared" si="89"/>
        <v>0</v>
      </c>
      <c r="H186" s="100">
        <f t="shared" si="89"/>
        <v>0</v>
      </c>
      <c r="I186" s="100">
        <f t="shared" si="89"/>
        <v>0</v>
      </c>
      <c r="J186" s="100"/>
      <c r="K186" s="100"/>
      <c r="L186" s="100"/>
      <c r="M186" s="157" t="e">
        <f t="shared" si="68"/>
        <v>#DIV/0!</v>
      </c>
      <c r="N186" s="100">
        <f t="shared" si="89"/>
        <v>0</v>
      </c>
      <c r="O186" s="100">
        <f t="shared" si="89"/>
        <v>0</v>
      </c>
      <c r="P186" s="100">
        <f t="shared" si="89"/>
        <v>0</v>
      </c>
      <c r="Q186" s="100">
        <f t="shared" si="89"/>
        <v>0</v>
      </c>
      <c r="R186" s="100">
        <f t="shared" si="89"/>
        <v>0</v>
      </c>
      <c r="S186" s="100">
        <f t="shared" si="89"/>
        <v>0</v>
      </c>
      <c r="T186" s="97">
        <f t="shared" si="80"/>
        <v>0</v>
      </c>
      <c r="U186" s="100"/>
      <c r="V186" s="100"/>
      <c r="W186" s="100"/>
      <c r="X186" s="100"/>
      <c r="Y186" s="100"/>
      <c r="Z186" s="157" t="e">
        <f t="shared" si="70"/>
        <v>#DIV/0!</v>
      </c>
      <c r="AA186" s="97">
        <f t="shared" si="81"/>
        <v>0</v>
      </c>
      <c r="AB186" s="100">
        <f t="shared" si="89"/>
        <v>0</v>
      </c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  <c r="TI186" s="33"/>
      <c r="TJ186" s="33"/>
      <c r="TK186" s="33"/>
      <c r="TL186" s="33"/>
      <c r="TM186" s="33"/>
      <c r="TN186" s="33"/>
      <c r="TO186" s="33"/>
      <c r="TP186" s="33"/>
      <c r="TQ186" s="33"/>
      <c r="TR186" s="33"/>
      <c r="TS186" s="33"/>
    </row>
    <row r="187" spans="1:539" s="22" customFormat="1" ht="47.25" x14ac:dyDescent="0.25">
      <c r="A187" s="60" t="s">
        <v>192</v>
      </c>
      <c r="B187" s="95" t="str">
        <f>'дод 5'!A21</f>
        <v>0160</v>
      </c>
      <c r="C187" s="95" t="str">
        <f>'дод 5'!B21</f>
        <v>0111</v>
      </c>
      <c r="D187" s="36" t="s">
        <v>502</v>
      </c>
      <c r="E187" s="101">
        <f>F187+I187</f>
        <v>5701700</v>
      </c>
      <c r="F187" s="101">
        <f>5689700+12000</f>
        <v>5701700</v>
      </c>
      <c r="G187" s="101">
        <v>4491300</v>
      </c>
      <c r="H187" s="101">
        <v>51600</v>
      </c>
      <c r="I187" s="101"/>
      <c r="J187" s="101">
        <v>2703895.31</v>
      </c>
      <c r="K187" s="101">
        <v>2161121.7799999998</v>
      </c>
      <c r="L187" s="101">
        <v>30472.7</v>
      </c>
      <c r="M187" s="157">
        <f t="shared" si="68"/>
        <v>47.422616237262574</v>
      </c>
      <c r="N187" s="101">
        <f>P187+S187</f>
        <v>0</v>
      </c>
      <c r="O187" s="101">
        <f>12000-12000</f>
        <v>0</v>
      </c>
      <c r="P187" s="101"/>
      <c r="Q187" s="101"/>
      <c r="R187" s="101"/>
      <c r="S187" s="101">
        <f>12000-12000</f>
        <v>0</v>
      </c>
      <c r="T187" s="97">
        <f t="shared" si="80"/>
        <v>0</v>
      </c>
      <c r="U187" s="101"/>
      <c r="V187" s="101"/>
      <c r="W187" s="101"/>
      <c r="X187" s="101"/>
      <c r="Y187" s="101"/>
      <c r="Z187" s="157"/>
      <c r="AA187" s="97">
        <f t="shared" si="81"/>
        <v>2703895.31</v>
      </c>
      <c r="AB187" s="101">
        <f>E187+N187</f>
        <v>5701700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  <c r="TH187" s="23"/>
      <c r="TI187" s="23"/>
      <c r="TJ187" s="23"/>
      <c r="TK187" s="23"/>
      <c r="TL187" s="23"/>
      <c r="TM187" s="23"/>
      <c r="TN187" s="23"/>
      <c r="TO187" s="23"/>
      <c r="TP187" s="23"/>
      <c r="TQ187" s="23"/>
      <c r="TR187" s="23"/>
      <c r="TS187" s="23"/>
    </row>
    <row r="188" spans="1:539" s="22" customFormat="1" ht="63" x14ac:dyDescent="0.25">
      <c r="A188" s="60" t="s">
        <v>336</v>
      </c>
      <c r="B188" s="95">
        <v>3111</v>
      </c>
      <c r="C188" s="95">
        <v>1040</v>
      </c>
      <c r="D188" s="36" t="str">
        <f>'дод 5'!C104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88" s="101">
        <f>F188+I188</f>
        <v>71140</v>
      </c>
      <c r="F188" s="101">
        <f>50000+21140</f>
        <v>71140</v>
      </c>
      <c r="G188" s="101"/>
      <c r="H188" s="101"/>
      <c r="I188" s="101"/>
      <c r="J188" s="101">
        <v>20733</v>
      </c>
      <c r="K188" s="101"/>
      <c r="L188" s="101"/>
      <c r="M188" s="157">
        <f t="shared" si="68"/>
        <v>29.143941523755974</v>
      </c>
      <c r="N188" s="101">
        <f t="shared" ref="N188:N191" si="90">P188+S188</f>
        <v>0</v>
      </c>
      <c r="O188" s="101">
        <f>21140-21140</f>
        <v>0</v>
      </c>
      <c r="P188" s="101"/>
      <c r="Q188" s="101"/>
      <c r="R188" s="101"/>
      <c r="S188" s="101">
        <f>21140-21140</f>
        <v>0</v>
      </c>
      <c r="T188" s="97">
        <f t="shared" si="80"/>
        <v>0</v>
      </c>
      <c r="U188" s="101"/>
      <c r="V188" s="101"/>
      <c r="W188" s="101"/>
      <c r="X188" s="101"/>
      <c r="Y188" s="101"/>
      <c r="Z188" s="157"/>
      <c r="AA188" s="97">
        <f t="shared" si="81"/>
        <v>20733</v>
      </c>
      <c r="AB188" s="101">
        <f>E188+N188</f>
        <v>71140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  <c r="TH188" s="23"/>
      <c r="TI188" s="23"/>
      <c r="TJ188" s="23"/>
      <c r="TK188" s="23"/>
      <c r="TL188" s="23"/>
      <c r="TM188" s="23"/>
      <c r="TN188" s="23"/>
      <c r="TO188" s="23"/>
      <c r="TP188" s="23"/>
      <c r="TQ188" s="23"/>
      <c r="TR188" s="23"/>
      <c r="TS188" s="23"/>
    </row>
    <row r="189" spans="1:539" s="22" customFormat="1" ht="31.5" customHeight="1" x14ac:dyDescent="0.25">
      <c r="A189" s="60" t="s">
        <v>193</v>
      </c>
      <c r="B189" s="95" t="str">
        <f>'дод 5'!A105</f>
        <v>3112</v>
      </c>
      <c r="C189" s="95" t="str">
        <f>'дод 5'!B105</f>
        <v>1040</v>
      </c>
      <c r="D189" s="61" t="str">
        <f>'дод 5'!C105</f>
        <v>Заходи державної політики з питань дітей та їх соціального захисту</v>
      </c>
      <c r="E189" s="101">
        <f>F189+I189</f>
        <v>96240</v>
      </c>
      <c r="F189" s="101">
        <v>96240</v>
      </c>
      <c r="G189" s="101"/>
      <c r="H189" s="101"/>
      <c r="I189" s="101"/>
      <c r="J189" s="101">
        <v>49785.94</v>
      </c>
      <c r="K189" s="101"/>
      <c r="L189" s="101"/>
      <c r="M189" s="157">
        <f t="shared" si="68"/>
        <v>51.731026600166253</v>
      </c>
      <c r="N189" s="101">
        <f t="shared" si="90"/>
        <v>0</v>
      </c>
      <c r="O189" s="101"/>
      <c r="P189" s="101"/>
      <c r="Q189" s="101"/>
      <c r="R189" s="101"/>
      <c r="S189" s="101"/>
      <c r="T189" s="97">
        <f t="shared" si="80"/>
        <v>0</v>
      </c>
      <c r="U189" s="101"/>
      <c r="V189" s="101"/>
      <c r="W189" s="101"/>
      <c r="X189" s="101"/>
      <c r="Y189" s="101"/>
      <c r="Z189" s="157"/>
      <c r="AA189" s="97">
        <f t="shared" si="81"/>
        <v>49785.94</v>
      </c>
      <c r="AB189" s="101">
        <f>E189+N189</f>
        <v>96240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  <c r="TH189" s="23"/>
      <c r="TI189" s="23"/>
      <c r="TJ189" s="23"/>
      <c r="TK189" s="23"/>
      <c r="TL189" s="23"/>
      <c r="TM189" s="23"/>
      <c r="TN189" s="23"/>
      <c r="TO189" s="23"/>
      <c r="TP189" s="23"/>
      <c r="TQ189" s="23"/>
      <c r="TR189" s="23"/>
      <c r="TS189" s="23"/>
    </row>
    <row r="190" spans="1:539" s="22" customFormat="1" ht="86.25" customHeight="1" x14ac:dyDescent="0.25">
      <c r="A190" s="60" t="s">
        <v>440</v>
      </c>
      <c r="B190" s="95">
        <v>6083</v>
      </c>
      <c r="C190" s="60" t="s">
        <v>69</v>
      </c>
      <c r="D190" s="11" t="s">
        <v>441</v>
      </c>
      <c r="E190" s="101">
        <f>F190+I190</f>
        <v>0</v>
      </c>
      <c r="F190" s="101"/>
      <c r="G190" s="101"/>
      <c r="H190" s="101"/>
      <c r="I190" s="101"/>
      <c r="J190" s="101"/>
      <c r="K190" s="101"/>
      <c r="L190" s="101"/>
      <c r="M190" s="157"/>
      <c r="N190" s="101">
        <f t="shared" si="90"/>
        <v>30000</v>
      </c>
      <c r="O190" s="101">
        <v>30000</v>
      </c>
      <c r="P190" s="101"/>
      <c r="Q190" s="101"/>
      <c r="R190" s="101"/>
      <c r="S190" s="101">
        <v>30000</v>
      </c>
      <c r="T190" s="97">
        <f t="shared" si="80"/>
        <v>0</v>
      </c>
      <c r="U190" s="101"/>
      <c r="V190" s="101"/>
      <c r="W190" s="101"/>
      <c r="X190" s="101"/>
      <c r="Y190" s="101"/>
      <c r="Z190" s="157">
        <f t="shared" si="70"/>
        <v>0</v>
      </c>
      <c r="AA190" s="97">
        <f t="shared" si="81"/>
        <v>0</v>
      </c>
      <c r="AB190" s="101">
        <f>E190+N190</f>
        <v>30000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  <c r="TI190" s="23"/>
      <c r="TJ190" s="23"/>
      <c r="TK190" s="23"/>
      <c r="TL190" s="23"/>
      <c r="TM190" s="23"/>
      <c r="TN190" s="23"/>
      <c r="TO190" s="23"/>
      <c r="TP190" s="23"/>
      <c r="TQ190" s="23"/>
      <c r="TR190" s="23"/>
      <c r="TS190" s="23"/>
    </row>
    <row r="191" spans="1:539" s="24" customFormat="1" ht="126" hidden="1" x14ac:dyDescent="0.25">
      <c r="A191" s="86"/>
      <c r="B191" s="113"/>
      <c r="C191" s="86"/>
      <c r="D191" s="92" t="s">
        <v>449</v>
      </c>
      <c r="E191" s="101">
        <f>F191+I191</f>
        <v>0</v>
      </c>
      <c r="F191" s="103"/>
      <c r="G191" s="103"/>
      <c r="H191" s="103"/>
      <c r="I191" s="103"/>
      <c r="J191" s="103"/>
      <c r="K191" s="103"/>
      <c r="L191" s="103"/>
      <c r="M191" s="157" t="e">
        <f t="shared" si="68"/>
        <v>#DIV/0!</v>
      </c>
      <c r="N191" s="101">
        <f t="shared" si="90"/>
        <v>0</v>
      </c>
      <c r="O191" s="103"/>
      <c r="P191" s="103"/>
      <c r="Q191" s="103"/>
      <c r="R191" s="103"/>
      <c r="S191" s="103"/>
      <c r="T191" s="97">
        <f t="shared" si="80"/>
        <v>0</v>
      </c>
      <c r="U191" s="103"/>
      <c r="V191" s="103"/>
      <c r="W191" s="103"/>
      <c r="X191" s="103"/>
      <c r="Y191" s="103"/>
      <c r="Z191" s="157" t="e">
        <f t="shared" si="70"/>
        <v>#DIV/0!</v>
      </c>
      <c r="AA191" s="97">
        <f t="shared" si="81"/>
        <v>0</v>
      </c>
      <c r="AB191" s="101">
        <f>E191+N191</f>
        <v>0</v>
      </c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  <c r="LU191" s="30"/>
      <c r="LV191" s="30"/>
      <c r="LW191" s="30"/>
      <c r="LX191" s="30"/>
      <c r="LY191" s="30"/>
      <c r="LZ191" s="30"/>
      <c r="MA191" s="30"/>
      <c r="MB191" s="30"/>
      <c r="MC191" s="30"/>
      <c r="MD191" s="30"/>
      <c r="ME191" s="30"/>
      <c r="MF191" s="30"/>
      <c r="MG191" s="30"/>
      <c r="MH191" s="30"/>
      <c r="MI191" s="30"/>
      <c r="MJ191" s="30"/>
      <c r="MK191" s="30"/>
      <c r="ML191" s="30"/>
      <c r="MM191" s="30"/>
      <c r="MN191" s="30"/>
      <c r="MO191" s="30"/>
      <c r="MP191" s="30"/>
      <c r="MQ191" s="30"/>
      <c r="MR191" s="30"/>
      <c r="MS191" s="30"/>
      <c r="MT191" s="30"/>
      <c r="MU191" s="30"/>
      <c r="MV191" s="30"/>
      <c r="MW191" s="30"/>
      <c r="MX191" s="30"/>
      <c r="MY191" s="30"/>
      <c r="MZ191" s="30"/>
      <c r="NA191" s="30"/>
      <c r="NB191" s="30"/>
      <c r="NC191" s="30"/>
      <c r="ND191" s="30"/>
      <c r="NE191" s="30"/>
      <c r="NF191" s="30"/>
      <c r="NG191" s="30"/>
      <c r="NH191" s="30"/>
      <c r="NI191" s="30"/>
      <c r="NJ191" s="30"/>
      <c r="NK191" s="30"/>
      <c r="NL191" s="30"/>
      <c r="NM191" s="30"/>
      <c r="NN191" s="30"/>
      <c r="NO191" s="30"/>
      <c r="NP191" s="30"/>
      <c r="NQ191" s="30"/>
      <c r="NR191" s="30"/>
      <c r="NS191" s="30"/>
      <c r="NT191" s="30"/>
      <c r="NU191" s="30"/>
      <c r="NV191" s="30"/>
      <c r="NW191" s="30"/>
      <c r="NX191" s="30"/>
      <c r="NY191" s="30"/>
      <c r="NZ191" s="30"/>
      <c r="OA191" s="30"/>
      <c r="OB191" s="30"/>
      <c r="OC191" s="30"/>
      <c r="OD191" s="30"/>
      <c r="OE191" s="30"/>
      <c r="OF191" s="30"/>
      <c r="OG191" s="30"/>
      <c r="OH191" s="30"/>
      <c r="OI191" s="30"/>
      <c r="OJ191" s="30"/>
      <c r="OK191" s="30"/>
      <c r="OL191" s="30"/>
      <c r="OM191" s="30"/>
      <c r="ON191" s="30"/>
      <c r="OO191" s="30"/>
      <c r="OP191" s="30"/>
      <c r="OQ191" s="30"/>
      <c r="OR191" s="30"/>
      <c r="OS191" s="30"/>
      <c r="OT191" s="30"/>
      <c r="OU191" s="30"/>
      <c r="OV191" s="30"/>
      <c r="OW191" s="30"/>
      <c r="OX191" s="30"/>
      <c r="OY191" s="30"/>
      <c r="OZ191" s="30"/>
      <c r="PA191" s="30"/>
      <c r="PB191" s="30"/>
      <c r="PC191" s="30"/>
      <c r="PD191" s="30"/>
      <c r="PE191" s="30"/>
      <c r="PF191" s="30"/>
      <c r="PG191" s="30"/>
      <c r="PH191" s="30"/>
      <c r="PI191" s="30"/>
      <c r="PJ191" s="30"/>
      <c r="PK191" s="30"/>
      <c r="PL191" s="30"/>
      <c r="PM191" s="30"/>
      <c r="PN191" s="30"/>
      <c r="PO191" s="30"/>
      <c r="PP191" s="30"/>
      <c r="PQ191" s="30"/>
      <c r="PR191" s="30"/>
      <c r="PS191" s="30"/>
      <c r="PT191" s="30"/>
      <c r="PU191" s="30"/>
      <c r="PV191" s="30"/>
      <c r="PW191" s="30"/>
      <c r="PX191" s="30"/>
      <c r="PY191" s="30"/>
      <c r="PZ191" s="30"/>
      <c r="QA191" s="30"/>
      <c r="QB191" s="30"/>
      <c r="QC191" s="30"/>
      <c r="QD191" s="30"/>
      <c r="QE191" s="30"/>
      <c r="QF191" s="30"/>
      <c r="QG191" s="30"/>
      <c r="QH191" s="30"/>
      <c r="QI191" s="30"/>
      <c r="QJ191" s="30"/>
      <c r="QK191" s="30"/>
      <c r="QL191" s="30"/>
      <c r="QM191" s="30"/>
      <c r="QN191" s="30"/>
      <c r="QO191" s="30"/>
      <c r="QP191" s="30"/>
      <c r="QQ191" s="30"/>
      <c r="QR191" s="30"/>
      <c r="QS191" s="30"/>
      <c r="QT191" s="30"/>
      <c r="QU191" s="30"/>
      <c r="QV191" s="30"/>
      <c r="QW191" s="30"/>
      <c r="QX191" s="30"/>
      <c r="QY191" s="30"/>
      <c r="QZ191" s="30"/>
      <c r="RA191" s="30"/>
      <c r="RB191" s="30"/>
      <c r="RC191" s="30"/>
      <c r="RD191" s="30"/>
      <c r="RE191" s="30"/>
      <c r="RF191" s="30"/>
      <c r="RG191" s="30"/>
      <c r="RH191" s="30"/>
      <c r="RI191" s="30"/>
      <c r="RJ191" s="30"/>
      <c r="RK191" s="30"/>
      <c r="RL191" s="30"/>
      <c r="RM191" s="30"/>
      <c r="RN191" s="30"/>
      <c r="RO191" s="30"/>
      <c r="RP191" s="30"/>
      <c r="RQ191" s="30"/>
      <c r="RR191" s="30"/>
      <c r="RS191" s="30"/>
      <c r="RT191" s="30"/>
      <c r="RU191" s="30"/>
      <c r="RV191" s="30"/>
      <c r="RW191" s="30"/>
      <c r="RX191" s="30"/>
      <c r="RY191" s="30"/>
      <c r="RZ191" s="30"/>
      <c r="SA191" s="30"/>
      <c r="SB191" s="30"/>
      <c r="SC191" s="30"/>
      <c r="SD191" s="30"/>
      <c r="SE191" s="30"/>
      <c r="SF191" s="30"/>
      <c r="SG191" s="30"/>
      <c r="SH191" s="30"/>
      <c r="SI191" s="30"/>
      <c r="SJ191" s="30"/>
      <c r="SK191" s="30"/>
      <c r="SL191" s="30"/>
      <c r="SM191" s="30"/>
      <c r="SN191" s="30"/>
      <c r="SO191" s="30"/>
      <c r="SP191" s="30"/>
      <c r="SQ191" s="30"/>
      <c r="SR191" s="30"/>
      <c r="SS191" s="30"/>
      <c r="ST191" s="30"/>
      <c r="SU191" s="30"/>
      <c r="SV191" s="30"/>
      <c r="SW191" s="30"/>
      <c r="SX191" s="30"/>
      <c r="SY191" s="30"/>
      <c r="SZ191" s="30"/>
      <c r="TA191" s="30"/>
      <c r="TB191" s="30"/>
      <c r="TC191" s="30"/>
      <c r="TD191" s="30"/>
      <c r="TE191" s="30"/>
      <c r="TF191" s="30"/>
      <c r="TG191" s="30"/>
      <c r="TH191" s="30"/>
      <c r="TI191" s="30"/>
      <c r="TJ191" s="30"/>
      <c r="TK191" s="30"/>
      <c r="TL191" s="30"/>
      <c r="TM191" s="30"/>
      <c r="TN191" s="30"/>
      <c r="TO191" s="30"/>
      <c r="TP191" s="30"/>
      <c r="TQ191" s="30"/>
      <c r="TR191" s="30"/>
      <c r="TS191" s="30"/>
    </row>
    <row r="192" spans="1:539" s="27" customFormat="1" ht="22.5" customHeight="1" x14ac:dyDescent="0.25">
      <c r="A192" s="112" t="s">
        <v>27</v>
      </c>
      <c r="B192" s="114"/>
      <c r="C192" s="114"/>
      <c r="D192" s="109" t="s">
        <v>337</v>
      </c>
      <c r="E192" s="97">
        <f>E193</f>
        <v>81527460</v>
      </c>
      <c r="F192" s="97">
        <f t="shared" ref="F192:L192" si="91">F193</f>
        <v>81527460</v>
      </c>
      <c r="G192" s="97">
        <f t="shared" si="91"/>
        <v>62366800</v>
      </c>
      <c r="H192" s="97">
        <f t="shared" si="91"/>
        <v>1929560</v>
      </c>
      <c r="I192" s="97">
        <f t="shared" si="91"/>
        <v>0</v>
      </c>
      <c r="J192" s="97">
        <f t="shared" si="91"/>
        <v>43698110.709999993</v>
      </c>
      <c r="K192" s="97">
        <f t="shared" si="91"/>
        <v>34328296.929999992</v>
      </c>
      <c r="L192" s="97">
        <f t="shared" si="91"/>
        <v>1315320.2899999998</v>
      </c>
      <c r="M192" s="157">
        <f t="shared" si="68"/>
        <v>53.599254422988274</v>
      </c>
      <c r="N192" s="97">
        <f t="shared" ref="N192:AB192" si="92">N193</f>
        <v>5460600</v>
      </c>
      <c r="O192" s="97">
        <f t="shared" si="92"/>
        <v>2700500</v>
      </c>
      <c r="P192" s="97">
        <f t="shared" si="92"/>
        <v>2756970</v>
      </c>
      <c r="Q192" s="97">
        <f t="shared" si="92"/>
        <v>2239004</v>
      </c>
      <c r="R192" s="97">
        <f t="shared" si="92"/>
        <v>3300</v>
      </c>
      <c r="S192" s="97">
        <f t="shared" si="92"/>
        <v>2703630</v>
      </c>
      <c r="T192" s="97">
        <f t="shared" si="92"/>
        <v>2893020.8499999996</v>
      </c>
      <c r="U192" s="97">
        <f t="shared" si="92"/>
        <v>393019.79</v>
      </c>
      <c r="V192" s="97">
        <f t="shared" si="92"/>
        <v>2334079.7799999998</v>
      </c>
      <c r="W192" s="97">
        <f t="shared" si="92"/>
        <v>1896088.2</v>
      </c>
      <c r="X192" s="97">
        <f t="shared" si="92"/>
        <v>1885</v>
      </c>
      <c r="Y192" s="97">
        <f t="shared" si="92"/>
        <v>558941.06999999995</v>
      </c>
      <c r="Z192" s="157">
        <f t="shared" si="70"/>
        <v>52.979907885580332</v>
      </c>
      <c r="AA192" s="97">
        <f t="shared" si="92"/>
        <v>46591131.559999995</v>
      </c>
      <c r="AB192" s="97">
        <f t="shared" si="92"/>
        <v>86988060</v>
      </c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  <c r="IT192" s="32"/>
      <c r="IU192" s="32"/>
      <c r="IV192" s="32"/>
      <c r="IW192" s="32"/>
      <c r="IX192" s="32"/>
      <c r="IY192" s="32"/>
      <c r="IZ192" s="32"/>
      <c r="JA192" s="32"/>
      <c r="JB192" s="32"/>
      <c r="JC192" s="32"/>
      <c r="JD192" s="32"/>
      <c r="JE192" s="32"/>
      <c r="JF192" s="32"/>
      <c r="JG192" s="32"/>
      <c r="JH192" s="32"/>
      <c r="JI192" s="32"/>
      <c r="JJ192" s="32"/>
      <c r="JK192" s="32"/>
      <c r="JL192" s="32"/>
      <c r="JM192" s="32"/>
      <c r="JN192" s="32"/>
      <c r="JO192" s="32"/>
      <c r="JP192" s="32"/>
      <c r="JQ192" s="32"/>
      <c r="JR192" s="32"/>
      <c r="JS192" s="32"/>
      <c r="JT192" s="32"/>
      <c r="JU192" s="32"/>
      <c r="JV192" s="32"/>
      <c r="JW192" s="32"/>
      <c r="JX192" s="32"/>
      <c r="JY192" s="32"/>
      <c r="JZ192" s="32"/>
      <c r="KA192" s="32"/>
      <c r="KB192" s="32"/>
      <c r="KC192" s="32"/>
      <c r="KD192" s="32"/>
      <c r="KE192" s="32"/>
      <c r="KF192" s="32"/>
      <c r="KG192" s="32"/>
      <c r="KH192" s="32"/>
      <c r="KI192" s="32"/>
      <c r="KJ192" s="32"/>
      <c r="KK192" s="32"/>
      <c r="KL192" s="32"/>
      <c r="KM192" s="32"/>
      <c r="KN192" s="32"/>
      <c r="KO192" s="32"/>
      <c r="KP192" s="32"/>
      <c r="KQ192" s="32"/>
      <c r="KR192" s="32"/>
      <c r="KS192" s="32"/>
      <c r="KT192" s="32"/>
      <c r="KU192" s="32"/>
      <c r="KV192" s="32"/>
      <c r="KW192" s="32"/>
      <c r="KX192" s="32"/>
      <c r="KY192" s="32"/>
      <c r="KZ192" s="32"/>
      <c r="LA192" s="32"/>
      <c r="LB192" s="32"/>
      <c r="LC192" s="32"/>
      <c r="LD192" s="32"/>
      <c r="LE192" s="32"/>
      <c r="LF192" s="32"/>
      <c r="LG192" s="32"/>
      <c r="LH192" s="32"/>
      <c r="LI192" s="32"/>
      <c r="LJ192" s="32"/>
      <c r="LK192" s="32"/>
      <c r="LL192" s="32"/>
      <c r="LM192" s="32"/>
      <c r="LN192" s="32"/>
      <c r="LO192" s="32"/>
      <c r="LP192" s="32"/>
      <c r="LQ192" s="32"/>
      <c r="LR192" s="32"/>
      <c r="LS192" s="32"/>
      <c r="LT192" s="32"/>
      <c r="LU192" s="32"/>
      <c r="LV192" s="32"/>
      <c r="LW192" s="32"/>
      <c r="LX192" s="32"/>
      <c r="LY192" s="32"/>
      <c r="LZ192" s="32"/>
      <c r="MA192" s="32"/>
      <c r="MB192" s="32"/>
      <c r="MC192" s="32"/>
      <c r="MD192" s="32"/>
      <c r="ME192" s="32"/>
      <c r="MF192" s="32"/>
      <c r="MG192" s="32"/>
      <c r="MH192" s="32"/>
      <c r="MI192" s="32"/>
      <c r="MJ192" s="32"/>
      <c r="MK192" s="32"/>
      <c r="ML192" s="32"/>
      <c r="MM192" s="32"/>
      <c r="MN192" s="32"/>
      <c r="MO192" s="32"/>
      <c r="MP192" s="32"/>
      <c r="MQ192" s="32"/>
      <c r="MR192" s="32"/>
      <c r="MS192" s="32"/>
      <c r="MT192" s="32"/>
      <c r="MU192" s="32"/>
      <c r="MV192" s="32"/>
      <c r="MW192" s="32"/>
      <c r="MX192" s="32"/>
      <c r="MY192" s="32"/>
      <c r="MZ192" s="32"/>
      <c r="NA192" s="32"/>
      <c r="NB192" s="32"/>
      <c r="NC192" s="32"/>
      <c r="ND192" s="32"/>
      <c r="NE192" s="32"/>
      <c r="NF192" s="32"/>
      <c r="NG192" s="32"/>
      <c r="NH192" s="32"/>
      <c r="NI192" s="32"/>
      <c r="NJ192" s="32"/>
      <c r="NK192" s="32"/>
      <c r="NL192" s="32"/>
      <c r="NM192" s="32"/>
      <c r="NN192" s="32"/>
      <c r="NO192" s="32"/>
      <c r="NP192" s="32"/>
      <c r="NQ192" s="32"/>
      <c r="NR192" s="32"/>
      <c r="NS192" s="32"/>
      <c r="NT192" s="32"/>
      <c r="NU192" s="32"/>
      <c r="NV192" s="32"/>
      <c r="NW192" s="32"/>
      <c r="NX192" s="32"/>
      <c r="NY192" s="32"/>
      <c r="NZ192" s="32"/>
      <c r="OA192" s="32"/>
      <c r="OB192" s="32"/>
      <c r="OC192" s="32"/>
      <c r="OD192" s="32"/>
      <c r="OE192" s="32"/>
      <c r="OF192" s="32"/>
      <c r="OG192" s="32"/>
      <c r="OH192" s="32"/>
      <c r="OI192" s="32"/>
      <c r="OJ192" s="32"/>
      <c r="OK192" s="32"/>
      <c r="OL192" s="32"/>
      <c r="OM192" s="32"/>
      <c r="ON192" s="32"/>
      <c r="OO192" s="32"/>
      <c r="OP192" s="32"/>
      <c r="OQ192" s="32"/>
      <c r="OR192" s="32"/>
      <c r="OS192" s="32"/>
      <c r="OT192" s="32"/>
      <c r="OU192" s="32"/>
      <c r="OV192" s="32"/>
      <c r="OW192" s="32"/>
      <c r="OX192" s="32"/>
      <c r="OY192" s="32"/>
      <c r="OZ192" s="32"/>
      <c r="PA192" s="32"/>
      <c r="PB192" s="32"/>
      <c r="PC192" s="32"/>
      <c r="PD192" s="32"/>
      <c r="PE192" s="32"/>
      <c r="PF192" s="32"/>
      <c r="PG192" s="32"/>
      <c r="PH192" s="32"/>
      <c r="PI192" s="32"/>
      <c r="PJ192" s="32"/>
      <c r="PK192" s="32"/>
      <c r="PL192" s="32"/>
      <c r="PM192" s="32"/>
      <c r="PN192" s="32"/>
      <c r="PO192" s="32"/>
      <c r="PP192" s="32"/>
      <c r="PQ192" s="32"/>
      <c r="PR192" s="32"/>
      <c r="PS192" s="32"/>
      <c r="PT192" s="32"/>
      <c r="PU192" s="32"/>
      <c r="PV192" s="32"/>
      <c r="PW192" s="32"/>
      <c r="PX192" s="32"/>
      <c r="PY192" s="32"/>
      <c r="PZ192" s="32"/>
      <c r="QA192" s="32"/>
      <c r="QB192" s="32"/>
      <c r="QC192" s="32"/>
      <c r="QD192" s="32"/>
      <c r="QE192" s="32"/>
      <c r="QF192" s="32"/>
      <c r="QG192" s="32"/>
      <c r="QH192" s="32"/>
      <c r="QI192" s="32"/>
      <c r="QJ192" s="32"/>
      <c r="QK192" s="32"/>
      <c r="QL192" s="32"/>
      <c r="QM192" s="32"/>
      <c r="QN192" s="32"/>
      <c r="QO192" s="32"/>
      <c r="QP192" s="32"/>
      <c r="QQ192" s="32"/>
      <c r="QR192" s="32"/>
      <c r="QS192" s="32"/>
      <c r="QT192" s="32"/>
      <c r="QU192" s="32"/>
      <c r="QV192" s="32"/>
      <c r="QW192" s="32"/>
      <c r="QX192" s="32"/>
      <c r="QY192" s="32"/>
      <c r="QZ192" s="32"/>
      <c r="RA192" s="32"/>
      <c r="RB192" s="32"/>
      <c r="RC192" s="32"/>
      <c r="RD192" s="32"/>
      <c r="RE192" s="32"/>
      <c r="RF192" s="32"/>
      <c r="RG192" s="32"/>
      <c r="RH192" s="32"/>
      <c r="RI192" s="32"/>
      <c r="RJ192" s="32"/>
      <c r="RK192" s="32"/>
      <c r="RL192" s="32"/>
      <c r="RM192" s="32"/>
      <c r="RN192" s="32"/>
      <c r="RO192" s="32"/>
      <c r="RP192" s="32"/>
      <c r="RQ192" s="32"/>
      <c r="RR192" s="32"/>
      <c r="RS192" s="32"/>
      <c r="RT192" s="32"/>
      <c r="RU192" s="32"/>
      <c r="RV192" s="32"/>
      <c r="RW192" s="32"/>
      <c r="RX192" s="32"/>
      <c r="RY192" s="32"/>
      <c r="RZ192" s="32"/>
      <c r="SA192" s="32"/>
      <c r="SB192" s="32"/>
      <c r="SC192" s="32"/>
      <c r="SD192" s="32"/>
      <c r="SE192" s="32"/>
      <c r="SF192" s="32"/>
      <c r="SG192" s="32"/>
      <c r="SH192" s="32"/>
      <c r="SI192" s="32"/>
      <c r="SJ192" s="32"/>
      <c r="SK192" s="32"/>
      <c r="SL192" s="32"/>
      <c r="SM192" s="32"/>
      <c r="SN192" s="32"/>
      <c r="SO192" s="32"/>
      <c r="SP192" s="32"/>
      <c r="SQ192" s="32"/>
      <c r="SR192" s="32"/>
      <c r="SS192" s="32"/>
      <c r="ST192" s="32"/>
      <c r="SU192" s="32"/>
      <c r="SV192" s="32"/>
      <c r="SW192" s="32"/>
      <c r="SX192" s="32"/>
      <c r="SY192" s="32"/>
      <c r="SZ192" s="32"/>
      <c r="TA192" s="32"/>
      <c r="TB192" s="32"/>
      <c r="TC192" s="32"/>
      <c r="TD192" s="32"/>
      <c r="TE192" s="32"/>
      <c r="TF192" s="32"/>
      <c r="TG192" s="32"/>
      <c r="TH192" s="32"/>
      <c r="TI192" s="32"/>
      <c r="TJ192" s="32"/>
      <c r="TK192" s="32"/>
      <c r="TL192" s="32"/>
      <c r="TM192" s="32"/>
      <c r="TN192" s="32"/>
      <c r="TO192" s="32"/>
      <c r="TP192" s="32"/>
      <c r="TQ192" s="32"/>
      <c r="TR192" s="32"/>
      <c r="TS192" s="32"/>
    </row>
    <row r="193" spans="1:539" s="34" customFormat="1" ht="21.75" customHeight="1" x14ac:dyDescent="0.25">
      <c r="A193" s="98" t="s">
        <v>194</v>
      </c>
      <c r="B193" s="111"/>
      <c r="C193" s="111"/>
      <c r="D193" s="79" t="s">
        <v>337</v>
      </c>
      <c r="E193" s="100">
        <f>E194+E195+E196+E198+E199++E201+E197+E200+E202</f>
        <v>81527460</v>
      </c>
      <c r="F193" s="100">
        <f t="shared" ref="F193:L193" si="93">F194+F195+F196+F198+F199++F201+F197+F200+F202</f>
        <v>81527460</v>
      </c>
      <c r="G193" s="100">
        <f t="shared" si="93"/>
        <v>62366800</v>
      </c>
      <c r="H193" s="100">
        <f t="shared" si="93"/>
        <v>1929560</v>
      </c>
      <c r="I193" s="100">
        <f t="shared" si="93"/>
        <v>0</v>
      </c>
      <c r="J193" s="100">
        <f t="shared" si="93"/>
        <v>43698110.709999993</v>
      </c>
      <c r="K193" s="100">
        <f t="shared" si="93"/>
        <v>34328296.929999992</v>
      </c>
      <c r="L193" s="100">
        <f t="shared" si="93"/>
        <v>1315320.2899999998</v>
      </c>
      <c r="M193" s="157">
        <f t="shared" si="68"/>
        <v>53.599254422988274</v>
      </c>
      <c r="N193" s="100">
        <f t="shared" ref="N193:AB193" si="94">N194+N195+N196+N198+N199++N201+N197+N200+N202</f>
        <v>5460600</v>
      </c>
      <c r="O193" s="100">
        <f t="shared" si="94"/>
        <v>2700500</v>
      </c>
      <c r="P193" s="100">
        <f t="shared" si="94"/>
        <v>2756970</v>
      </c>
      <c r="Q193" s="100">
        <f t="shared" si="94"/>
        <v>2239004</v>
      </c>
      <c r="R193" s="100">
        <f t="shared" si="94"/>
        <v>3300</v>
      </c>
      <c r="S193" s="100">
        <f t="shared" si="94"/>
        <v>2703630</v>
      </c>
      <c r="T193" s="100">
        <f t="shared" si="94"/>
        <v>2893020.8499999996</v>
      </c>
      <c r="U193" s="100">
        <f t="shared" si="94"/>
        <v>393019.79</v>
      </c>
      <c r="V193" s="100">
        <f t="shared" si="94"/>
        <v>2334079.7799999998</v>
      </c>
      <c r="W193" s="100">
        <f t="shared" si="94"/>
        <v>1896088.2</v>
      </c>
      <c r="X193" s="100">
        <f t="shared" si="94"/>
        <v>1885</v>
      </c>
      <c r="Y193" s="100">
        <f t="shared" si="94"/>
        <v>558941.06999999995</v>
      </c>
      <c r="Z193" s="157">
        <f t="shared" si="70"/>
        <v>52.979907885580332</v>
      </c>
      <c r="AA193" s="100">
        <f t="shared" si="94"/>
        <v>46591131.559999995</v>
      </c>
      <c r="AB193" s="100">
        <f t="shared" si="94"/>
        <v>86988060</v>
      </c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  <c r="IW193" s="33"/>
      <c r="IX193" s="33"/>
      <c r="IY193" s="33"/>
      <c r="IZ193" s="33"/>
      <c r="JA193" s="33"/>
      <c r="JB193" s="33"/>
      <c r="JC193" s="33"/>
      <c r="JD193" s="33"/>
      <c r="JE193" s="33"/>
      <c r="JF193" s="33"/>
      <c r="JG193" s="33"/>
      <c r="JH193" s="33"/>
      <c r="JI193" s="33"/>
      <c r="JJ193" s="33"/>
      <c r="JK193" s="33"/>
      <c r="JL193" s="33"/>
      <c r="JM193" s="33"/>
      <c r="JN193" s="33"/>
      <c r="JO193" s="33"/>
      <c r="JP193" s="33"/>
      <c r="JQ193" s="33"/>
      <c r="JR193" s="33"/>
      <c r="JS193" s="33"/>
      <c r="JT193" s="33"/>
      <c r="JU193" s="33"/>
      <c r="JV193" s="33"/>
      <c r="JW193" s="33"/>
      <c r="JX193" s="33"/>
      <c r="JY193" s="33"/>
      <c r="JZ193" s="33"/>
      <c r="KA193" s="33"/>
      <c r="KB193" s="33"/>
      <c r="KC193" s="33"/>
      <c r="KD193" s="33"/>
      <c r="KE193" s="33"/>
      <c r="KF193" s="33"/>
      <c r="KG193" s="33"/>
      <c r="KH193" s="33"/>
      <c r="KI193" s="33"/>
      <c r="KJ193" s="33"/>
      <c r="KK193" s="33"/>
      <c r="KL193" s="33"/>
      <c r="KM193" s="33"/>
      <c r="KN193" s="33"/>
      <c r="KO193" s="33"/>
      <c r="KP193" s="33"/>
      <c r="KQ193" s="33"/>
      <c r="KR193" s="33"/>
      <c r="KS193" s="33"/>
      <c r="KT193" s="33"/>
      <c r="KU193" s="33"/>
      <c r="KV193" s="33"/>
      <c r="KW193" s="33"/>
      <c r="KX193" s="33"/>
      <c r="KY193" s="33"/>
      <c r="KZ193" s="33"/>
      <c r="LA193" s="33"/>
      <c r="LB193" s="33"/>
      <c r="LC193" s="33"/>
      <c r="LD193" s="33"/>
      <c r="LE193" s="33"/>
      <c r="LF193" s="33"/>
      <c r="LG193" s="33"/>
      <c r="LH193" s="33"/>
      <c r="LI193" s="33"/>
      <c r="LJ193" s="33"/>
      <c r="LK193" s="33"/>
      <c r="LL193" s="33"/>
      <c r="LM193" s="33"/>
      <c r="LN193" s="33"/>
      <c r="LO193" s="33"/>
      <c r="LP193" s="33"/>
      <c r="LQ193" s="33"/>
      <c r="LR193" s="33"/>
      <c r="LS193" s="33"/>
      <c r="LT193" s="33"/>
      <c r="LU193" s="33"/>
      <c r="LV193" s="33"/>
      <c r="LW193" s="33"/>
      <c r="LX193" s="33"/>
      <c r="LY193" s="33"/>
      <c r="LZ193" s="33"/>
      <c r="MA193" s="33"/>
      <c r="MB193" s="33"/>
      <c r="MC193" s="33"/>
      <c r="MD193" s="33"/>
      <c r="ME193" s="33"/>
      <c r="MF193" s="33"/>
      <c r="MG193" s="33"/>
      <c r="MH193" s="33"/>
      <c r="MI193" s="33"/>
      <c r="MJ193" s="33"/>
      <c r="MK193" s="33"/>
      <c r="ML193" s="33"/>
      <c r="MM193" s="33"/>
      <c r="MN193" s="33"/>
      <c r="MO193" s="33"/>
      <c r="MP193" s="33"/>
      <c r="MQ193" s="33"/>
      <c r="MR193" s="33"/>
      <c r="MS193" s="33"/>
      <c r="MT193" s="33"/>
      <c r="MU193" s="33"/>
      <c r="MV193" s="33"/>
      <c r="MW193" s="33"/>
      <c r="MX193" s="33"/>
      <c r="MY193" s="33"/>
      <c r="MZ193" s="33"/>
      <c r="NA193" s="33"/>
      <c r="NB193" s="33"/>
      <c r="NC193" s="33"/>
      <c r="ND193" s="33"/>
      <c r="NE193" s="33"/>
      <c r="NF193" s="33"/>
      <c r="NG193" s="33"/>
      <c r="NH193" s="33"/>
      <c r="NI193" s="33"/>
      <c r="NJ193" s="33"/>
      <c r="NK193" s="33"/>
      <c r="NL193" s="33"/>
      <c r="NM193" s="33"/>
      <c r="NN193" s="33"/>
      <c r="NO193" s="33"/>
      <c r="NP193" s="33"/>
      <c r="NQ193" s="33"/>
      <c r="NR193" s="33"/>
      <c r="NS193" s="33"/>
      <c r="NT193" s="33"/>
      <c r="NU193" s="33"/>
      <c r="NV193" s="33"/>
      <c r="NW193" s="33"/>
      <c r="NX193" s="33"/>
      <c r="NY193" s="33"/>
      <c r="NZ193" s="33"/>
      <c r="OA193" s="33"/>
      <c r="OB193" s="33"/>
      <c r="OC193" s="33"/>
      <c r="OD193" s="33"/>
      <c r="OE193" s="33"/>
      <c r="OF193" s="33"/>
      <c r="OG193" s="33"/>
      <c r="OH193" s="33"/>
      <c r="OI193" s="33"/>
      <c r="OJ193" s="33"/>
      <c r="OK193" s="33"/>
      <c r="OL193" s="33"/>
      <c r="OM193" s="33"/>
      <c r="ON193" s="33"/>
      <c r="OO193" s="33"/>
      <c r="OP193" s="33"/>
      <c r="OQ193" s="33"/>
      <c r="OR193" s="33"/>
      <c r="OS193" s="33"/>
      <c r="OT193" s="33"/>
      <c r="OU193" s="33"/>
      <c r="OV193" s="33"/>
      <c r="OW193" s="33"/>
      <c r="OX193" s="33"/>
      <c r="OY193" s="33"/>
      <c r="OZ193" s="33"/>
      <c r="PA193" s="33"/>
      <c r="PB193" s="33"/>
      <c r="PC193" s="33"/>
      <c r="PD193" s="33"/>
      <c r="PE193" s="33"/>
      <c r="PF193" s="33"/>
      <c r="PG193" s="33"/>
      <c r="PH193" s="33"/>
      <c r="PI193" s="33"/>
      <c r="PJ193" s="33"/>
      <c r="PK193" s="33"/>
      <c r="PL193" s="33"/>
      <c r="PM193" s="33"/>
      <c r="PN193" s="33"/>
      <c r="PO193" s="33"/>
      <c r="PP193" s="33"/>
      <c r="PQ193" s="33"/>
      <c r="PR193" s="33"/>
      <c r="PS193" s="33"/>
      <c r="PT193" s="33"/>
      <c r="PU193" s="33"/>
      <c r="PV193" s="33"/>
      <c r="PW193" s="33"/>
      <c r="PX193" s="33"/>
      <c r="PY193" s="33"/>
      <c r="PZ193" s="33"/>
      <c r="QA193" s="33"/>
      <c r="QB193" s="33"/>
      <c r="QC193" s="33"/>
      <c r="QD193" s="33"/>
      <c r="QE193" s="33"/>
      <c r="QF193" s="33"/>
      <c r="QG193" s="33"/>
      <c r="QH193" s="33"/>
      <c r="QI193" s="33"/>
      <c r="QJ193" s="33"/>
      <c r="QK193" s="33"/>
      <c r="QL193" s="33"/>
      <c r="QM193" s="33"/>
      <c r="QN193" s="33"/>
      <c r="QO193" s="33"/>
      <c r="QP193" s="33"/>
      <c r="QQ193" s="33"/>
      <c r="QR193" s="33"/>
      <c r="QS193" s="33"/>
      <c r="QT193" s="33"/>
      <c r="QU193" s="33"/>
      <c r="QV193" s="33"/>
      <c r="QW193" s="33"/>
      <c r="QX193" s="33"/>
      <c r="QY193" s="33"/>
      <c r="QZ193" s="33"/>
      <c r="RA193" s="33"/>
      <c r="RB193" s="33"/>
      <c r="RC193" s="33"/>
      <c r="RD193" s="33"/>
      <c r="RE193" s="33"/>
      <c r="RF193" s="33"/>
      <c r="RG193" s="33"/>
      <c r="RH193" s="33"/>
      <c r="RI193" s="33"/>
      <c r="RJ193" s="33"/>
      <c r="RK193" s="33"/>
      <c r="RL193" s="33"/>
      <c r="RM193" s="33"/>
      <c r="RN193" s="33"/>
      <c r="RO193" s="33"/>
      <c r="RP193" s="33"/>
      <c r="RQ193" s="33"/>
      <c r="RR193" s="33"/>
      <c r="RS193" s="33"/>
      <c r="RT193" s="33"/>
      <c r="RU193" s="33"/>
      <c r="RV193" s="33"/>
      <c r="RW193" s="33"/>
      <c r="RX193" s="33"/>
      <c r="RY193" s="33"/>
      <c r="RZ193" s="33"/>
      <c r="SA193" s="33"/>
      <c r="SB193" s="33"/>
      <c r="SC193" s="33"/>
      <c r="SD193" s="33"/>
      <c r="SE193" s="33"/>
      <c r="SF193" s="33"/>
      <c r="SG193" s="33"/>
      <c r="SH193" s="33"/>
      <c r="SI193" s="33"/>
      <c r="SJ193" s="33"/>
      <c r="SK193" s="33"/>
      <c r="SL193" s="33"/>
      <c r="SM193" s="33"/>
      <c r="SN193" s="33"/>
      <c r="SO193" s="33"/>
      <c r="SP193" s="33"/>
      <c r="SQ193" s="33"/>
      <c r="SR193" s="33"/>
      <c r="SS193" s="33"/>
      <c r="ST193" s="33"/>
      <c r="SU193" s="33"/>
      <c r="SV193" s="33"/>
      <c r="SW193" s="33"/>
      <c r="SX193" s="33"/>
      <c r="SY193" s="33"/>
      <c r="SZ193" s="33"/>
      <c r="TA193" s="33"/>
      <c r="TB193" s="33"/>
      <c r="TC193" s="33"/>
      <c r="TD193" s="33"/>
      <c r="TE193" s="33"/>
      <c r="TF193" s="33"/>
      <c r="TG193" s="33"/>
      <c r="TH193" s="33"/>
      <c r="TI193" s="33"/>
      <c r="TJ193" s="33"/>
      <c r="TK193" s="33"/>
      <c r="TL193" s="33"/>
      <c r="TM193" s="33"/>
      <c r="TN193" s="33"/>
      <c r="TO193" s="33"/>
      <c r="TP193" s="33"/>
      <c r="TQ193" s="33"/>
      <c r="TR193" s="33"/>
      <c r="TS193" s="33"/>
    </row>
    <row r="194" spans="1:539" s="22" customFormat="1" ht="47.25" x14ac:dyDescent="0.25">
      <c r="A194" s="60" t="s">
        <v>141</v>
      </c>
      <c r="B194" s="95" t="str">
        <f>'дод 5'!A21</f>
        <v>0160</v>
      </c>
      <c r="C194" s="95" t="str">
        <f>'дод 5'!B21</f>
        <v>0111</v>
      </c>
      <c r="D194" s="36" t="s">
        <v>502</v>
      </c>
      <c r="E194" s="101">
        <f t="shared" ref="E194:E202" si="95">F194+I194</f>
        <v>2163700</v>
      </c>
      <c r="F194" s="101">
        <v>2163700</v>
      </c>
      <c r="G194" s="101">
        <v>1695500</v>
      </c>
      <c r="H194" s="101">
        <v>18000</v>
      </c>
      <c r="I194" s="101"/>
      <c r="J194" s="101">
        <v>893615.11</v>
      </c>
      <c r="K194" s="101">
        <v>707891.38</v>
      </c>
      <c r="L194" s="101">
        <v>11188.47</v>
      </c>
      <c r="M194" s="157">
        <f t="shared" si="68"/>
        <v>41.300323982067752</v>
      </c>
      <c r="N194" s="101">
        <f>P194+S194</f>
        <v>0</v>
      </c>
      <c r="O194" s="101"/>
      <c r="P194" s="101"/>
      <c r="Q194" s="101"/>
      <c r="R194" s="101"/>
      <c r="S194" s="101"/>
      <c r="T194" s="97">
        <f t="shared" si="80"/>
        <v>0</v>
      </c>
      <c r="U194" s="101"/>
      <c r="V194" s="101"/>
      <c r="W194" s="101"/>
      <c r="X194" s="101"/>
      <c r="Y194" s="101"/>
      <c r="Z194" s="157"/>
      <c r="AA194" s="97">
        <f t="shared" si="81"/>
        <v>893615.11</v>
      </c>
      <c r="AB194" s="101">
        <f t="shared" ref="AB194:AB202" si="96">E194+N194</f>
        <v>2163700</v>
      </c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  <c r="TI194" s="23"/>
      <c r="TJ194" s="23"/>
      <c r="TK194" s="23"/>
      <c r="TL194" s="23"/>
      <c r="TM194" s="23"/>
      <c r="TN194" s="23"/>
      <c r="TO194" s="23"/>
      <c r="TP194" s="23"/>
      <c r="TQ194" s="23"/>
      <c r="TR194" s="23"/>
      <c r="TS194" s="23"/>
    </row>
    <row r="195" spans="1:539" s="22" customFormat="1" ht="22.5" customHeight="1" x14ac:dyDescent="0.25">
      <c r="A195" s="60" t="s">
        <v>517</v>
      </c>
      <c r="B195" s="95">
        <v>1080</v>
      </c>
      <c r="C195" s="60" t="s">
        <v>58</v>
      </c>
      <c r="D195" s="61" t="s">
        <v>518</v>
      </c>
      <c r="E195" s="101">
        <f t="shared" si="95"/>
        <v>50782500</v>
      </c>
      <c r="F195" s="101">
        <f>50652500+65000+20000+30000+15000</f>
        <v>50782500</v>
      </c>
      <c r="G195" s="101">
        <v>40594000</v>
      </c>
      <c r="H195" s="101">
        <f>612300</f>
        <v>612300</v>
      </c>
      <c r="I195" s="101"/>
      <c r="J195" s="101">
        <v>29923637.350000001</v>
      </c>
      <c r="K195" s="101">
        <v>24124447.59</v>
      </c>
      <c r="L195" s="101">
        <v>464961.4</v>
      </c>
      <c r="M195" s="157">
        <f t="shared" si="68"/>
        <v>58.925096932998578</v>
      </c>
      <c r="N195" s="101">
        <f t="shared" ref="N195:N202" si="97">P195+S195</f>
        <v>2729100</v>
      </c>
      <c r="O195" s="101"/>
      <c r="P195" s="101">
        <v>2725970</v>
      </c>
      <c r="Q195" s="101">
        <v>2226904</v>
      </c>
      <c r="R195" s="101"/>
      <c r="S195" s="101">
        <v>3130</v>
      </c>
      <c r="T195" s="97">
        <f t="shared" si="80"/>
        <v>2350707.5699999998</v>
      </c>
      <c r="U195" s="101"/>
      <c r="V195" s="101">
        <v>2324513.67</v>
      </c>
      <c r="W195" s="101">
        <v>1896088.2</v>
      </c>
      <c r="X195" s="101"/>
      <c r="Y195" s="101">
        <v>26193.9</v>
      </c>
      <c r="Z195" s="157">
        <f t="shared" si="70"/>
        <v>86.134900516653829</v>
      </c>
      <c r="AA195" s="97">
        <f t="shared" si="81"/>
        <v>32274344.920000002</v>
      </c>
      <c r="AB195" s="101">
        <f t="shared" si="96"/>
        <v>53511600</v>
      </c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  <c r="TI195" s="23"/>
      <c r="TJ195" s="23"/>
      <c r="TK195" s="23"/>
      <c r="TL195" s="23"/>
      <c r="TM195" s="23"/>
      <c r="TN195" s="23"/>
      <c r="TO195" s="23"/>
      <c r="TP195" s="23"/>
      <c r="TQ195" s="23"/>
      <c r="TR195" s="23"/>
      <c r="TS195" s="23"/>
    </row>
    <row r="196" spans="1:539" s="22" customFormat="1" ht="21" customHeight="1" x14ac:dyDescent="0.25">
      <c r="A196" s="60" t="s">
        <v>195</v>
      </c>
      <c r="B196" s="95" t="str">
        <f>'дод 5'!A127</f>
        <v>4030</v>
      </c>
      <c r="C196" s="95" t="str">
        <f>'дод 5'!B127</f>
        <v>0824</v>
      </c>
      <c r="D196" s="61" t="str">
        <f>'дод 5'!C127</f>
        <v>Забезпечення діяльності бібліотек</v>
      </c>
      <c r="E196" s="101">
        <f t="shared" si="95"/>
        <v>22829400</v>
      </c>
      <c r="F196" s="101">
        <f>22627900+77000+112000+10000+2500</f>
        <v>22829400</v>
      </c>
      <c r="G196" s="101">
        <v>16852700</v>
      </c>
      <c r="H196" s="101">
        <v>1133500</v>
      </c>
      <c r="I196" s="101"/>
      <c r="J196" s="101">
        <v>10751425.33</v>
      </c>
      <c r="K196" s="101">
        <v>7936724.0099999998</v>
      </c>
      <c r="L196" s="101">
        <v>807747.76</v>
      </c>
      <c r="M196" s="157">
        <f t="shared" si="68"/>
        <v>47.094646946481298</v>
      </c>
      <c r="N196" s="101">
        <f t="shared" si="97"/>
        <v>252500</v>
      </c>
      <c r="O196" s="101">
        <f>195000+20000+5000+7500</f>
        <v>227500</v>
      </c>
      <c r="P196" s="101">
        <v>25000</v>
      </c>
      <c r="Q196" s="101">
        <v>12100</v>
      </c>
      <c r="R196" s="101"/>
      <c r="S196" s="101">
        <f>195000+20000+5000+7500</f>
        <v>227500</v>
      </c>
      <c r="T196" s="97">
        <f t="shared" si="80"/>
        <v>140849.49</v>
      </c>
      <c r="U196" s="101"/>
      <c r="V196" s="101">
        <v>1122.1099999999999</v>
      </c>
      <c r="W196" s="101"/>
      <c r="X196" s="101"/>
      <c r="Y196" s="101">
        <v>139727.38</v>
      </c>
      <c r="Z196" s="157">
        <f t="shared" si="70"/>
        <v>55.781976237623752</v>
      </c>
      <c r="AA196" s="97">
        <f t="shared" si="81"/>
        <v>10892274.82</v>
      </c>
      <c r="AB196" s="101">
        <f t="shared" si="96"/>
        <v>23081900</v>
      </c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  <c r="TI196" s="23"/>
      <c r="TJ196" s="23"/>
      <c r="TK196" s="23"/>
      <c r="TL196" s="23"/>
      <c r="TM196" s="23"/>
      <c r="TN196" s="23"/>
      <c r="TO196" s="23"/>
      <c r="TP196" s="23"/>
      <c r="TQ196" s="23"/>
      <c r="TR196" s="23"/>
      <c r="TS196" s="23"/>
    </row>
    <row r="197" spans="1:539" s="22" customFormat="1" ht="48.75" customHeight="1" x14ac:dyDescent="0.25">
      <c r="A197" s="60">
        <v>1014060</v>
      </c>
      <c r="B197" s="95" t="str">
        <f>'дод 5'!A128</f>
        <v>4060</v>
      </c>
      <c r="C197" s="95" t="str">
        <f>'дод 5'!B128</f>
        <v>0828</v>
      </c>
      <c r="D197" s="61" t="str">
        <f>'дод 5'!C128</f>
        <v>Забезпечення діяльності палаців i будинків культури, клубів, центрів дозвілля та iнших клубних закладів</v>
      </c>
      <c r="E197" s="101">
        <f t="shared" si="95"/>
        <v>2260460</v>
      </c>
      <c r="F197" s="101">
        <f>2160300+15160+20000+25000+40000</f>
        <v>2260460</v>
      </c>
      <c r="G197" s="101">
        <v>1531600</v>
      </c>
      <c r="H197" s="101">
        <f>115700+15160</f>
        <v>130860</v>
      </c>
      <c r="I197" s="101"/>
      <c r="J197" s="101">
        <v>934060.37</v>
      </c>
      <c r="K197" s="101">
        <v>744849.9</v>
      </c>
      <c r="L197" s="101">
        <v>13719.2</v>
      </c>
      <c r="M197" s="157">
        <f t="shared" si="68"/>
        <v>41.321694256921162</v>
      </c>
      <c r="N197" s="101">
        <f t="shared" si="97"/>
        <v>6000</v>
      </c>
      <c r="O197" s="101">
        <f>40000-40000</f>
        <v>0</v>
      </c>
      <c r="P197" s="101">
        <v>6000</v>
      </c>
      <c r="Q197" s="101"/>
      <c r="R197" s="101">
        <v>3300</v>
      </c>
      <c r="S197" s="101">
        <f>40000-40000</f>
        <v>0</v>
      </c>
      <c r="T197" s="97">
        <f t="shared" si="80"/>
        <v>8444</v>
      </c>
      <c r="U197" s="101"/>
      <c r="V197" s="101">
        <v>8444</v>
      </c>
      <c r="W197" s="101"/>
      <c r="X197" s="101">
        <v>1885</v>
      </c>
      <c r="Y197" s="101"/>
      <c r="Z197" s="157">
        <f t="shared" si="70"/>
        <v>140.73333333333332</v>
      </c>
      <c r="AA197" s="97">
        <f t="shared" si="81"/>
        <v>942504.37</v>
      </c>
      <c r="AB197" s="101">
        <f t="shared" si="96"/>
        <v>2266460</v>
      </c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  <c r="TJ197" s="23"/>
      <c r="TK197" s="23"/>
      <c r="TL197" s="23"/>
      <c r="TM197" s="23"/>
      <c r="TN197" s="23"/>
      <c r="TO197" s="23"/>
      <c r="TP197" s="23"/>
      <c r="TQ197" s="23"/>
      <c r="TR197" s="23"/>
      <c r="TS197" s="23"/>
    </row>
    <row r="198" spans="1:539" s="24" customFormat="1" ht="33.75" customHeight="1" x14ac:dyDescent="0.25">
      <c r="A198" s="60">
        <v>1014081</v>
      </c>
      <c r="B198" s="95" t="str">
        <f>'дод 5'!A129</f>
        <v>4081</v>
      </c>
      <c r="C198" s="95" t="str">
        <f>'дод 5'!B129</f>
        <v>0829</v>
      </c>
      <c r="D198" s="61" t="str">
        <f>'дод 5'!C129</f>
        <v>Забезпечення діяльності інших закладів в галузі культури і мистецтва</v>
      </c>
      <c r="E198" s="101">
        <f t="shared" si="95"/>
        <v>2206400</v>
      </c>
      <c r="F198" s="101">
        <v>2206400</v>
      </c>
      <c r="G198" s="101">
        <v>1693000</v>
      </c>
      <c r="H198" s="101">
        <v>34900</v>
      </c>
      <c r="I198" s="101"/>
      <c r="J198" s="101">
        <v>1033787.55</v>
      </c>
      <c r="K198" s="101">
        <v>814384.05</v>
      </c>
      <c r="L198" s="101">
        <v>17703.46</v>
      </c>
      <c r="M198" s="157">
        <f t="shared" si="68"/>
        <v>46.854040518491665</v>
      </c>
      <c r="N198" s="101">
        <f t="shared" si="97"/>
        <v>23000</v>
      </c>
      <c r="O198" s="101">
        <v>23000</v>
      </c>
      <c r="P198" s="101"/>
      <c r="Q198" s="101"/>
      <c r="R198" s="101"/>
      <c r="S198" s="101">
        <v>23000</v>
      </c>
      <c r="T198" s="97">
        <f t="shared" si="80"/>
        <v>0</v>
      </c>
      <c r="U198" s="101"/>
      <c r="V198" s="101"/>
      <c r="W198" s="101"/>
      <c r="X198" s="101"/>
      <c r="Y198" s="101"/>
      <c r="Z198" s="157">
        <f t="shared" si="70"/>
        <v>0</v>
      </c>
      <c r="AA198" s="97">
        <f t="shared" si="81"/>
        <v>1033787.55</v>
      </c>
      <c r="AB198" s="101">
        <f t="shared" si="96"/>
        <v>2229400</v>
      </c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  <c r="TH198" s="30"/>
      <c r="TI198" s="30"/>
      <c r="TJ198" s="30"/>
      <c r="TK198" s="30"/>
      <c r="TL198" s="30"/>
      <c r="TM198" s="30"/>
      <c r="TN198" s="30"/>
      <c r="TO198" s="30"/>
      <c r="TP198" s="30"/>
      <c r="TQ198" s="30"/>
      <c r="TR198" s="30"/>
      <c r="TS198" s="30"/>
    </row>
    <row r="199" spans="1:539" s="24" customFormat="1" ht="25.5" customHeight="1" x14ac:dyDescent="0.25">
      <c r="A199" s="60">
        <v>1014082</v>
      </c>
      <c r="B199" s="95" t="str">
        <f>'дод 5'!A130</f>
        <v>4082</v>
      </c>
      <c r="C199" s="95" t="str">
        <f>'дод 5'!B130</f>
        <v>0829</v>
      </c>
      <c r="D199" s="61" t="str">
        <f>'дод 5'!C130</f>
        <v>Інші заходи в галузі культури і мистецтва</v>
      </c>
      <c r="E199" s="101">
        <f t="shared" si="95"/>
        <v>1285000</v>
      </c>
      <c r="F199" s="101">
        <f>1100000+100000+85000</f>
        <v>1285000</v>
      </c>
      <c r="G199" s="101"/>
      <c r="H199" s="101"/>
      <c r="I199" s="101"/>
      <c r="J199" s="101">
        <v>161585</v>
      </c>
      <c r="K199" s="101"/>
      <c r="L199" s="101"/>
      <c r="M199" s="157">
        <f t="shared" si="68"/>
        <v>12.574708171206225</v>
      </c>
      <c r="N199" s="101">
        <f t="shared" si="97"/>
        <v>0</v>
      </c>
      <c r="O199" s="101"/>
      <c r="P199" s="101"/>
      <c r="Q199" s="101"/>
      <c r="R199" s="101"/>
      <c r="S199" s="101"/>
      <c r="T199" s="97">
        <f t="shared" si="80"/>
        <v>0</v>
      </c>
      <c r="U199" s="101"/>
      <c r="V199" s="101"/>
      <c r="W199" s="101"/>
      <c r="X199" s="101"/>
      <c r="Y199" s="101"/>
      <c r="Z199" s="157"/>
      <c r="AA199" s="97">
        <f t="shared" si="81"/>
        <v>161585</v>
      </c>
      <c r="AB199" s="101">
        <f t="shared" si="96"/>
        <v>1285000</v>
      </c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  <c r="TH199" s="30"/>
      <c r="TI199" s="30"/>
      <c r="TJ199" s="30"/>
      <c r="TK199" s="30"/>
      <c r="TL199" s="30"/>
      <c r="TM199" s="30"/>
      <c r="TN199" s="30"/>
      <c r="TO199" s="30"/>
      <c r="TP199" s="30"/>
      <c r="TQ199" s="30"/>
      <c r="TR199" s="30"/>
      <c r="TS199" s="30"/>
    </row>
    <row r="200" spans="1:539" s="24" customFormat="1" ht="25.5" customHeight="1" x14ac:dyDescent="0.25">
      <c r="A200" s="60" t="s">
        <v>458</v>
      </c>
      <c r="B200" s="60" t="s">
        <v>459</v>
      </c>
      <c r="C200" s="60" t="s">
        <v>113</v>
      </c>
      <c r="D200" s="6" t="s">
        <v>561</v>
      </c>
      <c r="E200" s="101">
        <f t="shared" si="95"/>
        <v>0</v>
      </c>
      <c r="F200" s="101"/>
      <c r="G200" s="101"/>
      <c r="H200" s="101"/>
      <c r="I200" s="101"/>
      <c r="J200" s="101"/>
      <c r="K200" s="101"/>
      <c r="L200" s="101"/>
      <c r="M200" s="157"/>
      <c r="N200" s="101">
        <f t="shared" si="97"/>
        <v>950000</v>
      </c>
      <c r="O200" s="101">
        <v>950000</v>
      </c>
      <c r="P200" s="101"/>
      <c r="Q200" s="101"/>
      <c r="R200" s="101"/>
      <c r="S200" s="101">
        <v>950000</v>
      </c>
      <c r="T200" s="97">
        <f t="shared" si="80"/>
        <v>0</v>
      </c>
      <c r="U200" s="101"/>
      <c r="V200" s="101"/>
      <c r="W200" s="101"/>
      <c r="X200" s="101"/>
      <c r="Y200" s="101"/>
      <c r="Z200" s="157">
        <f t="shared" si="70"/>
        <v>0</v>
      </c>
      <c r="AA200" s="97">
        <f t="shared" si="81"/>
        <v>0</v>
      </c>
      <c r="AB200" s="101">
        <f t="shared" si="96"/>
        <v>950000</v>
      </c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  <c r="SQ200" s="30"/>
      <c r="SR200" s="30"/>
      <c r="SS200" s="30"/>
      <c r="ST200" s="30"/>
      <c r="SU200" s="30"/>
      <c r="SV200" s="30"/>
      <c r="SW200" s="30"/>
      <c r="SX200" s="30"/>
      <c r="SY200" s="30"/>
      <c r="SZ200" s="30"/>
      <c r="TA200" s="30"/>
      <c r="TB200" s="30"/>
      <c r="TC200" s="30"/>
      <c r="TD200" s="30"/>
      <c r="TE200" s="30"/>
      <c r="TF200" s="30"/>
      <c r="TG200" s="30"/>
      <c r="TH200" s="30"/>
      <c r="TI200" s="30"/>
      <c r="TJ200" s="30"/>
      <c r="TK200" s="30"/>
      <c r="TL200" s="30"/>
      <c r="TM200" s="30"/>
      <c r="TN200" s="30"/>
      <c r="TO200" s="30"/>
      <c r="TP200" s="30"/>
      <c r="TQ200" s="30"/>
      <c r="TR200" s="30"/>
      <c r="TS200" s="30"/>
    </row>
    <row r="201" spans="1:539" s="22" customFormat="1" ht="22.5" customHeight="1" x14ac:dyDescent="0.25">
      <c r="A201" s="60" t="s">
        <v>147</v>
      </c>
      <c r="B201" s="95" t="str">
        <f>'дод 5'!A189</f>
        <v>7640</v>
      </c>
      <c r="C201" s="95" t="str">
        <f>'дод 5'!B189</f>
        <v>0470</v>
      </c>
      <c r="D201" s="61" t="s">
        <v>424</v>
      </c>
      <c r="E201" s="101">
        <f t="shared" si="95"/>
        <v>0</v>
      </c>
      <c r="F201" s="101"/>
      <c r="G201" s="101"/>
      <c r="H201" s="101"/>
      <c r="I201" s="101"/>
      <c r="J201" s="101"/>
      <c r="K201" s="101"/>
      <c r="L201" s="101"/>
      <c r="M201" s="157"/>
      <c r="N201" s="101">
        <f t="shared" si="97"/>
        <v>1500000</v>
      </c>
      <c r="O201" s="101">
        <v>1500000</v>
      </c>
      <c r="P201" s="101"/>
      <c r="Q201" s="101"/>
      <c r="R201" s="101"/>
      <c r="S201" s="101">
        <v>1500000</v>
      </c>
      <c r="T201" s="97">
        <f t="shared" si="80"/>
        <v>393019.79</v>
      </c>
      <c r="U201" s="101">
        <v>393019.79</v>
      </c>
      <c r="V201" s="101"/>
      <c r="W201" s="101"/>
      <c r="X201" s="101"/>
      <c r="Y201" s="101">
        <v>393019.79</v>
      </c>
      <c r="Z201" s="157">
        <f t="shared" si="70"/>
        <v>26.201319333333334</v>
      </c>
      <c r="AA201" s="97">
        <f t="shared" si="81"/>
        <v>393019.79</v>
      </c>
      <c r="AB201" s="101">
        <f t="shared" si="96"/>
        <v>1500000</v>
      </c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  <c r="TI201" s="23"/>
      <c r="TJ201" s="23"/>
      <c r="TK201" s="23"/>
      <c r="TL201" s="23"/>
      <c r="TM201" s="23"/>
      <c r="TN201" s="23"/>
      <c r="TO201" s="23"/>
      <c r="TP201" s="23"/>
      <c r="TQ201" s="23"/>
      <c r="TR201" s="23"/>
      <c r="TS201" s="23"/>
    </row>
    <row r="202" spans="1:539" s="22" customFormat="1" ht="22.5" hidden="1" customHeight="1" x14ac:dyDescent="0.25">
      <c r="A202" s="60">
        <v>1018340</v>
      </c>
      <c r="B202" s="95" t="str">
        <f>'дод 5'!A211</f>
        <v>8340</v>
      </c>
      <c r="C202" s="95" t="str">
        <f>'дод 5'!B211</f>
        <v>0540</v>
      </c>
      <c r="D202" s="120" t="str">
        <f>'дод 5'!C211</f>
        <v>Природоохоронні заходи за рахунок цільових фондів</v>
      </c>
      <c r="E202" s="101">
        <f t="shared" si="95"/>
        <v>0</v>
      </c>
      <c r="F202" s="101"/>
      <c r="G202" s="101"/>
      <c r="H202" s="101"/>
      <c r="I202" s="101"/>
      <c r="J202" s="101"/>
      <c r="K202" s="101"/>
      <c r="L202" s="101"/>
      <c r="M202" s="157" t="e">
        <f t="shared" si="68"/>
        <v>#DIV/0!</v>
      </c>
      <c r="N202" s="101">
        <f t="shared" si="97"/>
        <v>0</v>
      </c>
      <c r="O202" s="101"/>
      <c r="P202" s="101"/>
      <c r="Q202" s="101"/>
      <c r="R202" s="101"/>
      <c r="S202" s="101"/>
      <c r="T202" s="97">
        <f t="shared" si="80"/>
        <v>0</v>
      </c>
      <c r="U202" s="101"/>
      <c r="V202" s="101"/>
      <c r="W202" s="101"/>
      <c r="X202" s="101"/>
      <c r="Y202" s="101"/>
      <c r="Z202" s="157" t="e">
        <f t="shared" si="70"/>
        <v>#DIV/0!</v>
      </c>
      <c r="AA202" s="97">
        <f t="shared" si="81"/>
        <v>0</v>
      </c>
      <c r="AB202" s="101">
        <f t="shared" si="96"/>
        <v>0</v>
      </c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  <c r="TI202" s="23"/>
      <c r="TJ202" s="23"/>
      <c r="TK202" s="23"/>
      <c r="TL202" s="23"/>
      <c r="TM202" s="23"/>
      <c r="TN202" s="23"/>
      <c r="TO202" s="23"/>
      <c r="TP202" s="23"/>
      <c r="TQ202" s="23"/>
      <c r="TR202" s="23"/>
      <c r="TS202" s="23"/>
    </row>
    <row r="203" spans="1:539" s="27" customFormat="1" ht="34.5" customHeight="1" x14ac:dyDescent="0.25">
      <c r="A203" s="112" t="s">
        <v>196</v>
      </c>
      <c r="B203" s="114"/>
      <c r="C203" s="114"/>
      <c r="D203" s="109" t="s">
        <v>33</v>
      </c>
      <c r="E203" s="97">
        <f>E204</f>
        <v>295278205.66000003</v>
      </c>
      <c r="F203" s="97">
        <f t="shared" ref="F203:L203" si="98">F204</f>
        <v>264078205.66000003</v>
      </c>
      <c r="G203" s="97">
        <f t="shared" si="98"/>
        <v>11274000</v>
      </c>
      <c r="H203" s="97">
        <f t="shared" si="98"/>
        <v>33968060</v>
      </c>
      <c r="I203" s="97">
        <f t="shared" si="98"/>
        <v>31200000</v>
      </c>
      <c r="J203" s="97">
        <f t="shared" si="98"/>
        <v>118493262.77000001</v>
      </c>
      <c r="K203" s="97">
        <f t="shared" si="98"/>
        <v>4821694.13</v>
      </c>
      <c r="L203" s="97">
        <f t="shared" si="98"/>
        <v>12674012.130000001</v>
      </c>
      <c r="M203" s="157">
        <f t="shared" si="68"/>
        <v>40.129362918995731</v>
      </c>
      <c r="N203" s="97">
        <f t="shared" ref="N203:AB203" si="99">N204</f>
        <v>168954128.72999996</v>
      </c>
      <c r="O203" s="97">
        <f t="shared" si="99"/>
        <v>161948962.15999997</v>
      </c>
      <c r="P203" s="97">
        <f t="shared" si="99"/>
        <v>1926086.57</v>
      </c>
      <c r="Q203" s="97">
        <f t="shared" si="99"/>
        <v>0</v>
      </c>
      <c r="R203" s="97">
        <f t="shared" si="99"/>
        <v>0</v>
      </c>
      <c r="S203" s="97">
        <f t="shared" si="99"/>
        <v>167028042.15999997</v>
      </c>
      <c r="T203" s="97">
        <f t="shared" si="99"/>
        <v>17621316.210000005</v>
      </c>
      <c r="U203" s="97">
        <f t="shared" si="99"/>
        <v>17411131.02</v>
      </c>
      <c r="V203" s="97">
        <f t="shared" si="99"/>
        <v>80213.279999999999</v>
      </c>
      <c r="W203" s="97">
        <f t="shared" si="99"/>
        <v>0</v>
      </c>
      <c r="X203" s="97">
        <f t="shared" si="99"/>
        <v>0</v>
      </c>
      <c r="Y203" s="97">
        <f t="shared" si="99"/>
        <v>17541102.930000003</v>
      </c>
      <c r="Z203" s="157">
        <f t="shared" si="70"/>
        <v>10.429645219360133</v>
      </c>
      <c r="AA203" s="97">
        <f t="shared" si="99"/>
        <v>136114578.98000002</v>
      </c>
      <c r="AB203" s="97">
        <f t="shared" si="99"/>
        <v>464232334.38999993</v>
      </c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  <c r="IU203" s="32"/>
      <c r="IV203" s="32"/>
      <c r="IW203" s="32"/>
      <c r="IX203" s="32"/>
      <c r="IY203" s="32"/>
      <c r="IZ203" s="32"/>
      <c r="JA203" s="32"/>
      <c r="JB203" s="32"/>
      <c r="JC203" s="32"/>
      <c r="JD203" s="32"/>
      <c r="JE203" s="32"/>
      <c r="JF203" s="32"/>
      <c r="JG203" s="32"/>
      <c r="JH203" s="32"/>
      <c r="JI203" s="32"/>
      <c r="JJ203" s="32"/>
      <c r="JK203" s="32"/>
      <c r="JL203" s="32"/>
      <c r="JM203" s="32"/>
      <c r="JN203" s="32"/>
      <c r="JO203" s="32"/>
      <c r="JP203" s="32"/>
      <c r="JQ203" s="32"/>
      <c r="JR203" s="32"/>
      <c r="JS203" s="32"/>
      <c r="JT203" s="32"/>
      <c r="JU203" s="32"/>
      <c r="JV203" s="32"/>
      <c r="JW203" s="32"/>
      <c r="JX203" s="32"/>
      <c r="JY203" s="32"/>
      <c r="JZ203" s="32"/>
      <c r="KA203" s="32"/>
      <c r="KB203" s="32"/>
      <c r="KC203" s="32"/>
      <c r="KD203" s="32"/>
      <c r="KE203" s="32"/>
      <c r="KF203" s="32"/>
      <c r="KG203" s="32"/>
      <c r="KH203" s="32"/>
      <c r="KI203" s="32"/>
      <c r="KJ203" s="32"/>
      <c r="KK203" s="32"/>
      <c r="KL203" s="32"/>
      <c r="KM203" s="32"/>
      <c r="KN203" s="32"/>
      <c r="KO203" s="32"/>
      <c r="KP203" s="32"/>
      <c r="KQ203" s="32"/>
      <c r="KR203" s="32"/>
      <c r="KS203" s="32"/>
      <c r="KT203" s="32"/>
      <c r="KU203" s="32"/>
      <c r="KV203" s="32"/>
      <c r="KW203" s="32"/>
      <c r="KX203" s="32"/>
      <c r="KY203" s="32"/>
      <c r="KZ203" s="32"/>
      <c r="LA203" s="32"/>
      <c r="LB203" s="32"/>
      <c r="LC203" s="32"/>
      <c r="LD203" s="32"/>
      <c r="LE203" s="32"/>
      <c r="LF203" s="32"/>
      <c r="LG203" s="32"/>
      <c r="LH203" s="32"/>
      <c r="LI203" s="32"/>
      <c r="LJ203" s="32"/>
      <c r="LK203" s="32"/>
      <c r="LL203" s="32"/>
      <c r="LM203" s="32"/>
      <c r="LN203" s="32"/>
      <c r="LO203" s="32"/>
      <c r="LP203" s="32"/>
      <c r="LQ203" s="32"/>
      <c r="LR203" s="32"/>
      <c r="LS203" s="32"/>
      <c r="LT203" s="32"/>
      <c r="LU203" s="32"/>
      <c r="LV203" s="32"/>
      <c r="LW203" s="32"/>
      <c r="LX203" s="32"/>
      <c r="LY203" s="32"/>
      <c r="LZ203" s="32"/>
      <c r="MA203" s="32"/>
      <c r="MB203" s="32"/>
      <c r="MC203" s="32"/>
      <c r="MD203" s="32"/>
      <c r="ME203" s="32"/>
      <c r="MF203" s="32"/>
      <c r="MG203" s="32"/>
      <c r="MH203" s="32"/>
      <c r="MI203" s="32"/>
      <c r="MJ203" s="32"/>
      <c r="MK203" s="32"/>
      <c r="ML203" s="32"/>
      <c r="MM203" s="32"/>
      <c r="MN203" s="32"/>
      <c r="MO203" s="32"/>
      <c r="MP203" s="32"/>
      <c r="MQ203" s="32"/>
      <c r="MR203" s="32"/>
      <c r="MS203" s="32"/>
      <c r="MT203" s="32"/>
      <c r="MU203" s="32"/>
      <c r="MV203" s="32"/>
      <c r="MW203" s="32"/>
      <c r="MX203" s="32"/>
      <c r="MY203" s="32"/>
      <c r="MZ203" s="32"/>
      <c r="NA203" s="32"/>
      <c r="NB203" s="32"/>
      <c r="NC203" s="32"/>
      <c r="ND203" s="32"/>
      <c r="NE203" s="32"/>
      <c r="NF203" s="32"/>
      <c r="NG203" s="32"/>
      <c r="NH203" s="32"/>
      <c r="NI203" s="32"/>
      <c r="NJ203" s="32"/>
      <c r="NK203" s="32"/>
      <c r="NL203" s="32"/>
      <c r="NM203" s="32"/>
      <c r="NN203" s="32"/>
      <c r="NO203" s="32"/>
      <c r="NP203" s="32"/>
      <c r="NQ203" s="32"/>
      <c r="NR203" s="32"/>
      <c r="NS203" s="32"/>
      <c r="NT203" s="32"/>
      <c r="NU203" s="32"/>
      <c r="NV203" s="32"/>
      <c r="NW203" s="32"/>
      <c r="NX203" s="32"/>
      <c r="NY203" s="32"/>
      <c r="NZ203" s="32"/>
      <c r="OA203" s="32"/>
      <c r="OB203" s="32"/>
      <c r="OC203" s="32"/>
      <c r="OD203" s="32"/>
      <c r="OE203" s="32"/>
      <c r="OF203" s="32"/>
      <c r="OG203" s="32"/>
      <c r="OH203" s="32"/>
      <c r="OI203" s="32"/>
      <c r="OJ203" s="32"/>
      <c r="OK203" s="32"/>
      <c r="OL203" s="32"/>
      <c r="OM203" s="32"/>
      <c r="ON203" s="32"/>
      <c r="OO203" s="32"/>
      <c r="OP203" s="32"/>
      <c r="OQ203" s="32"/>
      <c r="OR203" s="32"/>
      <c r="OS203" s="32"/>
      <c r="OT203" s="32"/>
      <c r="OU203" s="32"/>
      <c r="OV203" s="32"/>
      <c r="OW203" s="32"/>
      <c r="OX203" s="32"/>
      <c r="OY203" s="32"/>
      <c r="OZ203" s="32"/>
      <c r="PA203" s="32"/>
      <c r="PB203" s="32"/>
      <c r="PC203" s="32"/>
      <c r="PD203" s="32"/>
      <c r="PE203" s="32"/>
      <c r="PF203" s="32"/>
      <c r="PG203" s="32"/>
      <c r="PH203" s="32"/>
      <c r="PI203" s="32"/>
      <c r="PJ203" s="32"/>
      <c r="PK203" s="32"/>
      <c r="PL203" s="32"/>
      <c r="PM203" s="32"/>
      <c r="PN203" s="32"/>
      <c r="PO203" s="32"/>
      <c r="PP203" s="32"/>
      <c r="PQ203" s="32"/>
      <c r="PR203" s="32"/>
      <c r="PS203" s="32"/>
      <c r="PT203" s="32"/>
      <c r="PU203" s="32"/>
      <c r="PV203" s="32"/>
      <c r="PW203" s="32"/>
      <c r="PX203" s="32"/>
      <c r="PY203" s="32"/>
      <c r="PZ203" s="32"/>
      <c r="QA203" s="32"/>
      <c r="QB203" s="32"/>
      <c r="QC203" s="32"/>
      <c r="QD203" s="32"/>
      <c r="QE203" s="32"/>
      <c r="QF203" s="32"/>
      <c r="QG203" s="32"/>
      <c r="QH203" s="32"/>
      <c r="QI203" s="32"/>
      <c r="QJ203" s="32"/>
      <c r="QK203" s="32"/>
      <c r="QL203" s="32"/>
      <c r="QM203" s="32"/>
      <c r="QN203" s="32"/>
      <c r="QO203" s="32"/>
      <c r="QP203" s="32"/>
      <c r="QQ203" s="32"/>
      <c r="QR203" s="32"/>
      <c r="QS203" s="32"/>
      <c r="QT203" s="32"/>
      <c r="QU203" s="32"/>
      <c r="QV203" s="32"/>
      <c r="QW203" s="32"/>
      <c r="QX203" s="32"/>
      <c r="QY203" s="32"/>
      <c r="QZ203" s="32"/>
      <c r="RA203" s="32"/>
      <c r="RB203" s="32"/>
      <c r="RC203" s="32"/>
      <c r="RD203" s="32"/>
      <c r="RE203" s="32"/>
      <c r="RF203" s="32"/>
      <c r="RG203" s="32"/>
      <c r="RH203" s="32"/>
      <c r="RI203" s="32"/>
      <c r="RJ203" s="32"/>
      <c r="RK203" s="32"/>
      <c r="RL203" s="32"/>
      <c r="RM203" s="32"/>
      <c r="RN203" s="32"/>
      <c r="RO203" s="32"/>
      <c r="RP203" s="32"/>
      <c r="RQ203" s="32"/>
      <c r="RR203" s="32"/>
      <c r="RS203" s="32"/>
      <c r="RT203" s="32"/>
      <c r="RU203" s="32"/>
      <c r="RV203" s="32"/>
      <c r="RW203" s="32"/>
      <c r="RX203" s="32"/>
      <c r="RY203" s="32"/>
      <c r="RZ203" s="32"/>
      <c r="SA203" s="32"/>
      <c r="SB203" s="32"/>
      <c r="SC203" s="32"/>
      <c r="SD203" s="32"/>
      <c r="SE203" s="32"/>
      <c r="SF203" s="32"/>
      <c r="SG203" s="32"/>
      <c r="SH203" s="32"/>
      <c r="SI203" s="32"/>
      <c r="SJ203" s="32"/>
      <c r="SK203" s="32"/>
      <c r="SL203" s="32"/>
      <c r="SM203" s="32"/>
      <c r="SN203" s="32"/>
      <c r="SO203" s="32"/>
      <c r="SP203" s="32"/>
      <c r="SQ203" s="32"/>
      <c r="SR203" s="32"/>
      <c r="SS203" s="32"/>
      <c r="ST203" s="32"/>
      <c r="SU203" s="32"/>
      <c r="SV203" s="32"/>
      <c r="SW203" s="32"/>
      <c r="SX203" s="32"/>
      <c r="SY203" s="32"/>
      <c r="SZ203" s="32"/>
      <c r="TA203" s="32"/>
      <c r="TB203" s="32"/>
      <c r="TC203" s="32"/>
      <c r="TD203" s="32"/>
      <c r="TE203" s="32"/>
      <c r="TF203" s="32"/>
      <c r="TG203" s="32"/>
      <c r="TH203" s="32"/>
      <c r="TI203" s="32"/>
      <c r="TJ203" s="32"/>
      <c r="TK203" s="32"/>
      <c r="TL203" s="32"/>
      <c r="TM203" s="32"/>
      <c r="TN203" s="32"/>
      <c r="TO203" s="32"/>
      <c r="TP203" s="32"/>
      <c r="TQ203" s="32"/>
      <c r="TR203" s="32"/>
      <c r="TS203" s="32"/>
    </row>
    <row r="204" spans="1:539" s="34" customFormat="1" ht="36.75" customHeight="1" x14ac:dyDescent="0.25">
      <c r="A204" s="98" t="s">
        <v>197</v>
      </c>
      <c r="B204" s="111"/>
      <c r="C204" s="111"/>
      <c r="D204" s="79" t="s">
        <v>398</v>
      </c>
      <c r="E204" s="100">
        <f>E210+E211+E212+E213+E214+E215+E216+E217+E218+E219+E220+E221+E223+E222+E225+E230+E231+E232+E234+E237+E238+E224+E227+E236+E235</f>
        <v>295278205.66000003</v>
      </c>
      <c r="F204" s="100">
        <f t="shared" ref="F204:L204" si="100">F210+F211+F212+F213+F214+F215+F216+F217+F218+F219+F220+F221+F223+F222+F225+F230+F231+F232+F234+F237+F238+F224+F227+F236+F235</f>
        <v>264078205.66000003</v>
      </c>
      <c r="G204" s="100">
        <f t="shared" si="100"/>
        <v>11274000</v>
      </c>
      <c r="H204" s="100">
        <f t="shared" si="100"/>
        <v>33968060</v>
      </c>
      <c r="I204" s="100">
        <f t="shared" si="100"/>
        <v>31200000</v>
      </c>
      <c r="J204" s="100">
        <f t="shared" si="100"/>
        <v>118493262.77000001</v>
      </c>
      <c r="K204" s="100">
        <f t="shared" si="100"/>
        <v>4821694.13</v>
      </c>
      <c r="L204" s="100">
        <f t="shared" si="100"/>
        <v>12674012.130000001</v>
      </c>
      <c r="M204" s="157">
        <f t="shared" si="68"/>
        <v>40.129362918995731</v>
      </c>
      <c r="N204" s="100">
        <f t="shared" ref="N204:AB204" si="101">N210+N211+N212+N213+N214+N215+N216+N217+N218+N219+N220+N221+N223+N222+N225+N230+N231+N232+N234+N237+N238+N224+N227+N236+N235</f>
        <v>168954128.72999996</v>
      </c>
      <c r="O204" s="100">
        <f t="shared" si="101"/>
        <v>161948962.15999997</v>
      </c>
      <c r="P204" s="100">
        <f t="shared" si="101"/>
        <v>1926086.57</v>
      </c>
      <c r="Q204" s="100">
        <f t="shared" si="101"/>
        <v>0</v>
      </c>
      <c r="R204" s="100">
        <f t="shared" si="101"/>
        <v>0</v>
      </c>
      <c r="S204" s="100">
        <f t="shared" si="101"/>
        <v>167028042.15999997</v>
      </c>
      <c r="T204" s="100">
        <f t="shared" si="101"/>
        <v>17621316.210000005</v>
      </c>
      <c r="U204" s="100">
        <f t="shared" si="101"/>
        <v>17411131.02</v>
      </c>
      <c r="V204" s="100">
        <f t="shared" si="101"/>
        <v>80213.279999999999</v>
      </c>
      <c r="W204" s="100">
        <f t="shared" si="101"/>
        <v>0</v>
      </c>
      <c r="X204" s="100">
        <f t="shared" si="101"/>
        <v>0</v>
      </c>
      <c r="Y204" s="100">
        <f t="shared" si="101"/>
        <v>17541102.930000003</v>
      </c>
      <c r="Z204" s="157">
        <f t="shared" si="70"/>
        <v>10.429645219360133</v>
      </c>
      <c r="AA204" s="100">
        <f t="shared" si="101"/>
        <v>136114578.98000002</v>
      </c>
      <c r="AB204" s="100">
        <f t="shared" si="101"/>
        <v>464232334.38999993</v>
      </c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33"/>
      <c r="NA204" s="33"/>
      <c r="NB204" s="33"/>
      <c r="NC204" s="33"/>
      <c r="ND204" s="33"/>
      <c r="NE204" s="33"/>
      <c r="NF204" s="33"/>
      <c r="NG204" s="33"/>
      <c r="NH204" s="33"/>
      <c r="NI204" s="33"/>
      <c r="NJ204" s="33"/>
      <c r="NK204" s="33"/>
      <c r="NL204" s="33"/>
      <c r="NM204" s="33"/>
      <c r="NN204" s="33"/>
      <c r="NO204" s="33"/>
      <c r="NP204" s="33"/>
      <c r="NQ204" s="33"/>
      <c r="NR204" s="33"/>
      <c r="NS204" s="33"/>
      <c r="NT204" s="33"/>
      <c r="NU204" s="33"/>
      <c r="NV204" s="33"/>
      <c r="NW204" s="33"/>
      <c r="NX204" s="33"/>
      <c r="NY204" s="33"/>
      <c r="NZ204" s="33"/>
      <c r="OA204" s="33"/>
      <c r="OB204" s="33"/>
      <c r="OC204" s="33"/>
      <c r="OD204" s="33"/>
      <c r="OE204" s="33"/>
      <c r="OF204" s="33"/>
      <c r="OG204" s="33"/>
      <c r="OH204" s="33"/>
      <c r="OI204" s="33"/>
      <c r="OJ204" s="33"/>
      <c r="OK204" s="33"/>
      <c r="OL204" s="33"/>
      <c r="OM204" s="33"/>
      <c r="ON204" s="33"/>
      <c r="OO204" s="33"/>
      <c r="OP204" s="33"/>
      <c r="OQ204" s="33"/>
      <c r="OR204" s="33"/>
      <c r="OS204" s="33"/>
      <c r="OT204" s="33"/>
      <c r="OU204" s="33"/>
      <c r="OV204" s="33"/>
      <c r="OW204" s="33"/>
      <c r="OX204" s="33"/>
      <c r="OY204" s="33"/>
      <c r="OZ204" s="33"/>
      <c r="PA204" s="33"/>
      <c r="PB204" s="33"/>
      <c r="PC204" s="33"/>
      <c r="PD204" s="33"/>
      <c r="PE204" s="33"/>
      <c r="PF204" s="33"/>
      <c r="PG204" s="33"/>
      <c r="PH204" s="33"/>
      <c r="PI204" s="33"/>
      <c r="PJ204" s="33"/>
      <c r="PK204" s="33"/>
      <c r="PL204" s="33"/>
      <c r="PM204" s="33"/>
      <c r="PN204" s="33"/>
      <c r="PO204" s="33"/>
      <c r="PP204" s="33"/>
      <c r="PQ204" s="33"/>
      <c r="PR204" s="33"/>
      <c r="PS204" s="33"/>
      <c r="PT204" s="33"/>
      <c r="PU204" s="33"/>
      <c r="PV204" s="33"/>
      <c r="PW204" s="33"/>
      <c r="PX204" s="33"/>
      <c r="PY204" s="33"/>
      <c r="PZ204" s="33"/>
      <c r="QA204" s="33"/>
      <c r="QB204" s="33"/>
      <c r="QC204" s="33"/>
      <c r="QD204" s="33"/>
      <c r="QE204" s="33"/>
      <c r="QF204" s="33"/>
      <c r="QG204" s="33"/>
      <c r="QH204" s="33"/>
      <c r="QI204" s="33"/>
      <c r="QJ204" s="33"/>
      <c r="QK204" s="33"/>
      <c r="QL204" s="33"/>
      <c r="QM204" s="33"/>
      <c r="QN204" s="33"/>
      <c r="QO204" s="33"/>
      <c r="QP204" s="33"/>
      <c r="QQ204" s="33"/>
      <c r="QR204" s="33"/>
      <c r="QS204" s="33"/>
      <c r="QT204" s="33"/>
      <c r="QU204" s="33"/>
      <c r="QV204" s="33"/>
      <c r="QW204" s="33"/>
      <c r="QX204" s="33"/>
      <c r="QY204" s="33"/>
      <c r="QZ204" s="33"/>
      <c r="RA204" s="33"/>
      <c r="RB204" s="33"/>
      <c r="RC204" s="33"/>
      <c r="RD204" s="33"/>
      <c r="RE204" s="33"/>
      <c r="RF204" s="33"/>
      <c r="RG204" s="33"/>
      <c r="RH204" s="33"/>
      <c r="RI204" s="33"/>
      <c r="RJ204" s="33"/>
      <c r="RK204" s="33"/>
      <c r="RL204" s="33"/>
      <c r="RM204" s="33"/>
      <c r="RN204" s="33"/>
      <c r="RO204" s="33"/>
      <c r="RP204" s="33"/>
      <c r="RQ204" s="33"/>
      <c r="RR204" s="33"/>
      <c r="RS204" s="33"/>
      <c r="RT204" s="33"/>
      <c r="RU204" s="33"/>
      <c r="RV204" s="33"/>
      <c r="RW204" s="33"/>
      <c r="RX204" s="33"/>
      <c r="RY204" s="33"/>
      <c r="RZ204" s="33"/>
      <c r="SA204" s="33"/>
      <c r="SB204" s="33"/>
      <c r="SC204" s="33"/>
      <c r="SD204" s="33"/>
      <c r="SE204" s="33"/>
      <c r="SF204" s="33"/>
      <c r="SG204" s="33"/>
      <c r="SH204" s="33"/>
      <c r="SI204" s="33"/>
      <c r="SJ204" s="33"/>
      <c r="SK204" s="33"/>
      <c r="SL204" s="33"/>
      <c r="SM204" s="33"/>
      <c r="SN204" s="33"/>
      <c r="SO204" s="33"/>
      <c r="SP204" s="33"/>
      <c r="SQ204" s="33"/>
      <c r="SR204" s="33"/>
      <c r="SS204" s="33"/>
      <c r="ST204" s="33"/>
      <c r="SU204" s="33"/>
      <c r="SV204" s="33"/>
      <c r="SW204" s="33"/>
      <c r="SX204" s="33"/>
      <c r="SY204" s="33"/>
      <c r="SZ204" s="33"/>
      <c r="TA204" s="33"/>
      <c r="TB204" s="33"/>
      <c r="TC204" s="33"/>
      <c r="TD204" s="33"/>
      <c r="TE204" s="33"/>
      <c r="TF204" s="33"/>
      <c r="TG204" s="33"/>
      <c r="TH204" s="33"/>
      <c r="TI204" s="33"/>
      <c r="TJ204" s="33"/>
      <c r="TK204" s="33"/>
      <c r="TL204" s="33"/>
      <c r="TM204" s="33"/>
      <c r="TN204" s="33"/>
      <c r="TO204" s="33"/>
      <c r="TP204" s="33"/>
      <c r="TQ204" s="33"/>
      <c r="TR204" s="33"/>
      <c r="TS204" s="33"/>
    </row>
    <row r="205" spans="1:539" s="34" customFormat="1" ht="45" hidden="1" customHeight="1" x14ac:dyDescent="0.25">
      <c r="A205" s="98"/>
      <c r="B205" s="111"/>
      <c r="C205" s="111"/>
      <c r="D205" s="79" t="s">
        <v>390</v>
      </c>
      <c r="E205" s="100">
        <f>E226</f>
        <v>0</v>
      </c>
      <c r="F205" s="100">
        <f t="shared" ref="F205:L205" si="102">F226</f>
        <v>0</v>
      </c>
      <c r="G205" s="100">
        <f t="shared" si="102"/>
        <v>0</v>
      </c>
      <c r="H205" s="100">
        <f t="shared" si="102"/>
        <v>0</v>
      </c>
      <c r="I205" s="100">
        <f t="shared" si="102"/>
        <v>0</v>
      </c>
      <c r="J205" s="100">
        <f t="shared" si="102"/>
        <v>0</v>
      </c>
      <c r="K205" s="100">
        <f t="shared" si="102"/>
        <v>0</v>
      </c>
      <c r="L205" s="100">
        <f t="shared" si="102"/>
        <v>0</v>
      </c>
      <c r="M205" s="157" t="e">
        <f t="shared" si="68"/>
        <v>#DIV/0!</v>
      </c>
      <c r="N205" s="100">
        <f t="shared" ref="N205:AB205" si="103">N226</f>
        <v>5000000</v>
      </c>
      <c r="O205" s="100">
        <f t="shared" si="103"/>
        <v>5000000</v>
      </c>
      <c r="P205" s="100">
        <f t="shared" si="103"/>
        <v>0</v>
      </c>
      <c r="Q205" s="100">
        <f t="shared" si="103"/>
        <v>0</v>
      </c>
      <c r="R205" s="100">
        <f t="shared" si="103"/>
        <v>0</v>
      </c>
      <c r="S205" s="100">
        <f t="shared" si="103"/>
        <v>5000000</v>
      </c>
      <c r="T205" s="100">
        <f t="shared" si="103"/>
        <v>0</v>
      </c>
      <c r="U205" s="100">
        <f t="shared" si="103"/>
        <v>0</v>
      </c>
      <c r="V205" s="100">
        <f t="shared" si="103"/>
        <v>0</v>
      </c>
      <c r="W205" s="100">
        <f t="shared" si="103"/>
        <v>0</v>
      </c>
      <c r="X205" s="100">
        <f t="shared" si="103"/>
        <v>0</v>
      </c>
      <c r="Y205" s="100">
        <f t="shared" si="103"/>
        <v>0</v>
      </c>
      <c r="Z205" s="157">
        <f t="shared" si="70"/>
        <v>0</v>
      </c>
      <c r="AA205" s="100">
        <f t="shared" si="103"/>
        <v>0</v>
      </c>
      <c r="AB205" s="100">
        <f t="shared" si="103"/>
        <v>5000000</v>
      </c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  <c r="QA205" s="33"/>
      <c r="QB205" s="33"/>
      <c r="QC205" s="33"/>
      <c r="QD205" s="33"/>
      <c r="QE205" s="33"/>
      <c r="QF205" s="33"/>
      <c r="QG205" s="33"/>
      <c r="QH205" s="33"/>
      <c r="QI205" s="33"/>
      <c r="QJ205" s="33"/>
      <c r="QK205" s="33"/>
      <c r="QL205" s="33"/>
      <c r="QM205" s="33"/>
      <c r="QN205" s="33"/>
      <c r="QO205" s="33"/>
      <c r="QP205" s="33"/>
      <c r="QQ205" s="33"/>
      <c r="QR205" s="33"/>
      <c r="QS205" s="33"/>
      <c r="QT205" s="33"/>
      <c r="QU205" s="33"/>
      <c r="QV205" s="33"/>
      <c r="QW205" s="33"/>
      <c r="QX205" s="33"/>
      <c r="QY205" s="33"/>
      <c r="QZ205" s="33"/>
      <c r="RA205" s="33"/>
      <c r="RB205" s="33"/>
      <c r="RC205" s="33"/>
      <c r="RD205" s="33"/>
      <c r="RE205" s="33"/>
      <c r="RF205" s="33"/>
      <c r="RG205" s="33"/>
      <c r="RH205" s="33"/>
      <c r="RI205" s="33"/>
      <c r="RJ205" s="33"/>
      <c r="RK205" s="33"/>
      <c r="RL205" s="33"/>
      <c r="RM205" s="33"/>
      <c r="RN205" s="33"/>
      <c r="RO205" s="33"/>
      <c r="RP205" s="33"/>
      <c r="RQ205" s="33"/>
      <c r="RR205" s="33"/>
      <c r="RS205" s="33"/>
      <c r="RT205" s="33"/>
      <c r="RU205" s="33"/>
      <c r="RV205" s="33"/>
      <c r="RW205" s="33"/>
      <c r="RX205" s="33"/>
      <c r="RY205" s="33"/>
      <c r="RZ205" s="33"/>
      <c r="SA205" s="33"/>
      <c r="SB205" s="33"/>
      <c r="SC205" s="33"/>
      <c r="SD205" s="33"/>
      <c r="SE205" s="33"/>
      <c r="SF205" s="33"/>
      <c r="SG205" s="33"/>
      <c r="SH205" s="33"/>
      <c r="SI205" s="33"/>
      <c r="SJ205" s="33"/>
      <c r="SK205" s="33"/>
      <c r="SL205" s="33"/>
      <c r="SM205" s="33"/>
      <c r="SN205" s="33"/>
      <c r="SO205" s="33"/>
      <c r="SP205" s="33"/>
      <c r="SQ205" s="33"/>
      <c r="SR205" s="33"/>
      <c r="SS205" s="33"/>
      <c r="ST205" s="33"/>
      <c r="SU205" s="33"/>
      <c r="SV205" s="33"/>
      <c r="SW205" s="33"/>
      <c r="SX205" s="33"/>
      <c r="SY205" s="33"/>
      <c r="SZ205" s="33"/>
      <c r="TA205" s="33"/>
      <c r="TB205" s="33"/>
      <c r="TC205" s="33"/>
      <c r="TD205" s="33"/>
      <c r="TE205" s="33"/>
      <c r="TF205" s="33"/>
      <c r="TG205" s="33"/>
      <c r="TH205" s="33"/>
      <c r="TI205" s="33"/>
      <c r="TJ205" s="33"/>
      <c r="TK205" s="33"/>
      <c r="TL205" s="33"/>
      <c r="TM205" s="33"/>
      <c r="TN205" s="33"/>
      <c r="TO205" s="33"/>
      <c r="TP205" s="33"/>
      <c r="TQ205" s="33"/>
      <c r="TR205" s="33"/>
      <c r="TS205" s="33"/>
    </row>
    <row r="206" spans="1:539" s="34" customFormat="1" ht="96.75" hidden="1" customHeight="1" x14ac:dyDescent="0.25">
      <c r="A206" s="98"/>
      <c r="B206" s="111"/>
      <c r="C206" s="111"/>
      <c r="D206" s="79" t="s">
        <v>399</v>
      </c>
      <c r="E206" s="100">
        <f>E228</f>
        <v>0</v>
      </c>
      <c r="F206" s="100">
        <f t="shared" ref="F206:L206" si="104">F228</f>
        <v>0</v>
      </c>
      <c r="G206" s="100">
        <f t="shared" si="104"/>
        <v>0</v>
      </c>
      <c r="H206" s="100">
        <f t="shared" si="104"/>
        <v>0</v>
      </c>
      <c r="I206" s="100">
        <f t="shared" si="104"/>
        <v>0</v>
      </c>
      <c r="J206" s="100">
        <f t="shared" si="104"/>
        <v>0</v>
      </c>
      <c r="K206" s="100">
        <f t="shared" si="104"/>
        <v>0</v>
      </c>
      <c r="L206" s="100">
        <f t="shared" si="104"/>
        <v>0</v>
      </c>
      <c r="M206" s="157" t="e">
        <f t="shared" si="68"/>
        <v>#DIV/0!</v>
      </c>
      <c r="N206" s="100">
        <f t="shared" ref="N206:AB206" si="105">N228</f>
        <v>0</v>
      </c>
      <c r="O206" s="100">
        <f t="shared" si="105"/>
        <v>0</v>
      </c>
      <c r="P206" s="100">
        <f t="shared" si="105"/>
        <v>0</v>
      </c>
      <c r="Q206" s="100">
        <f t="shared" si="105"/>
        <v>0</v>
      </c>
      <c r="R206" s="100">
        <f t="shared" si="105"/>
        <v>0</v>
      </c>
      <c r="S206" s="100">
        <f t="shared" si="105"/>
        <v>0</v>
      </c>
      <c r="T206" s="100">
        <f t="shared" si="105"/>
        <v>0</v>
      </c>
      <c r="U206" s="100">
        <f t="shared" si="105"/>
        <v>0</v>
      </c>
      <c r="V206" s="100">
        <f t="shared" si="105"/>
        <v>0</v>
      </c>
      <c r="W206" s="100">
        <f t="shared" si="105"/>
        <v>0</v>
      </c>
      <c r="X206" s="100">
        <f t="shared" si="105"/>
        <v>0</v>
      </c>
      <c r="Y206" s="100">
        <f t="shared" si="105"/>
        <v>0</v>
      </c>
      <c r="Z206" s="157" t="e">
        <f t="shared" si="70"/>
        <v>#DIV/0!</v>
      </c>
      <c r="AA206" s="100">
        <f t="shared" si="105"/>
        <v>0</v>
      </c>
      <c r="AB206" s="100">
        <f t="shared" si="105"/>
        <v>0</v>
      </c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  <c r="TH206" s="33"/>
      <c r="TI206" s="33"/>
      <c r="TJ206" s="33"/>
      <c r="TK206" s="33"/>
      <c r="TL206" s="33"/>
      <c r="TM206" s="33"/>
      <c r="TN206" s="33"/>
      <c r="TO206" s="33"/>
      <c r="TP206" s="33"/>
      <c r="TQ206" s="33"/>
      <c r="TR206" s="33"/>
      <c r="TS206" s="33"/>
    </row>
    <row r="207" spans="1:539" s="34" customFormat="1" ht="78.75" x14ac:dyDescent="0.25">
      <c r="A207" s="98"/>
      <c r="B207" s="111"/>
      <c r="C207" s="111"/>
      <c r="D207" s="79" t="s">
        <v>550</v>
      </c>
      <c r="E207" s="100">
        <f>E229</f>
        <v>1527346</v>
      </c>
      <c r="F207" s="100">
        <f t="shared" ref="F207:L207" si="106">F229</f>
        <v>1527346</v>
      </c>
      <c r="G207" s="100">
        <f t="shared" si="106"/>
        <v>0</v>
      </c>
      <c r="H207" s="100">
        <f t="shared" si="106"/>
        <v>0</v>
      </c>
      <c r="I207" s="100">
        <f t="shared" si="106"/>
        <v>0</v>
      </c>
      <c r="J207" s="100">
        <f t="shared" si="106"/>
        <v>0</v>
      </c>
      <c r="K207" s="100">
        <f t="shared" si="106"/>
        <v>0</v>
      </c>
      <c r="L207" s="100">
        <f t="shared" si="106"/>
        <v>0</v>
      </c>
      <c r="M207" s="157">
        <f t="shared" si="68"/>
        <v>0</v>
      </c>
      <c r="N207" s="100">
        <f t="shared" ref="N207:AB207" si="107">N229</f>
        <v>0</v>
      </c>
      <c r="O207" s="100">
        <f t="shared" si="107"/>
        <v>0</v>
      </c>
      <c r="P207" s="100">
        <f t="shared" si="107"/>
        <v>0</v>
      </c>
      <c r="Q207" s="100">
        <f t="shared" si="107"/>
        <v>0</v>
      </c>
      <c r="R207" s="100">
        <f t="shared" si="107"/>
        <v>0</v>
      </c>
      <c r="S207" s="100">
        <f t="shared" si="107"/>
        <v>0</v>
      </c>
      <c r="T207" s="100">
        <f t="shared" si="107"/>
        <v>0</v>
      </c>
      <c r="U207" s="100">
        <f t="shared" si="107"/>
        <v>0</v>
      </c>
      <c r="V207" s="100">
        <f t="shared" si="107"/>
        <v>0</v>
      </c>
      <c r="W207" s="100">
        <f t="shared" si="107"/>
        <v>0</v>
      </c>
      <c r="X207" s="100">
        <f t="shared" si="107"/>
        <v>0</v>
      </c>
      <c r="Y207" s="100">
        <f t="shared" si="107"/>
        <v>0</v>
      </c>
      <c r="Z207" s="157"/>
      <c r="AA207" s="100">
        <f t="shared" si="107"/>
        <v>0</v>
      </c>
      <c r="AB207" s="100">
        <f t="shared" si="107"/>
        <v>1527346</v>
      </c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  <c r="TH207" s="33"/>
      <c r="TI207" s="33"/>
      <c r="TJ207" s="33"/>
      <c r="TK207" s="33"/>
      <c r="TL207" s="33"/>
      <c r="TM207" s="33"/>
      <c r="TN207" s="33"/>
      <c r="TO207" s="33"/>
      <c r="TP207" s="33"/>
      <c r="TQ207" s="33"/>
      <c r="TR207" s="33"/>
      <c r="TS207" s="33"/>
    </row>
    <row r="208" spans="1:539" s="34" customFormat="1" ht="51" customHeight="1" x14ac:dyDescent="0.25">
      <c r="A208" s="98"/>
      <c r="B208" s="111"/>
      <c r="C208" s="111"/>
      <c r="D208" s="79" t="s">
        <v>566</v>
      </c>
      <c r="E208" s="100">
        <f>E226</f>
        <v>0</v>
      </c>
      <c r="F208" s="100">
        <f t="shared" ref="F208:L208" si="108">F226</f>
        <v>0</v>
      </c>
      <c r="G208" s="100">
        <f t="shared" si="108"/>
        <v>0</v>
      </c>
      <c r="H208" s="100">
        <f t="shared" si="108"/>
        <v>0</v>
      </c>
      <c r="I208" s="100">
        <f t="shared" si="108"/>
        <v>0</v>
      </c>
      <c r="J208" s="100">
        <f t="shared" si="108"/>
        <v>0</v>
      </c>
      <c r="K208" s="100">
        <f t="shared" si="108"/>
        <v>0</v>
      </c>
      <c r="L208" s="100">
        <f t="shared" si="108"/>
        <v>0</v>
      </c>
      <c r="M208" s="157"/>
      <c r="N208" s="100">
        <f t="shared" ref="N208:AB208" si="109">N226</f>
        <v>5000000</v>
      </c>
      <c r="O208" s="100">
        <f t="shared" si="109"/>
        <v>5000000</v>
      </c>
      <c r="P208" s="100">
        <f t="shared" si="109"/>
        <v>0</v>
      </c>
      <c r="Q208" s="100">
        <f t="shared" si="109"/>
        <v>0</v>
      </c>
      <c r="R208" s="100">
        <f t="shared" si="109"/>
        <v>0</v>
      </c>
      <c r="S208" s="100">
        <f t="shared" si="109"/>
        <v>5000000</v>
      </c>
      <c r="T208" s="100">
        <f t="shared" si="109"/>
        <v>0</v>
      </c>
      <c r="U208" s="100">
        <f t="shared" si="109"/>
        <v>0</v>
      </c>
      <c r="V208" s="100">
        <f t="shared" si="109"/>
        <v>0</v>
      </c>
      <c r="W208" s="100">
        <f t="shared" si="109"/>
        <v>0</v>
      </c>
      <c r="X208" s="100">
        <f t="shared" si="109"/>
        <v>0</v>
      </c>
      <c r="Y208" s="100">
        <f t="shared" si="109"/>
        <v>0</v>
      </c>
      <c r="Z208" s="157">
        <f t="shared" si="70"/>
        <v>0</v>
      </c>
      <c r="AA208" s="100">
        <f t="shared" si="109"/>
        <v>0</v>
      </c>
      <c r="AB208" s="100">
        <f t="shared" si="109"/>
        <v>5000000</v>
      </c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  <c r="SQ208" s="33"/>
      <c r="SR208" s="33"/>
      <c r="SS208" s="33"/>
      <c r="ST208" s="33"/>
      <c r="SU208" s="33"/>
      <c r="SV208" s="33"/>
      <c r="SW208" s="33"/>
      <c r="SX208" s="33"/>
      <c r="SY208" s="33"/>
      <c r="SZ208" s="33"/>
      <c r="TA208" s="33"/>
      <c r="TB208" s="33"/>
      <c r="TC208" s="33"/>
      <c r="TD208" s="33"/>
      <c r="TE208" s="33"/>
      <c r="TF208" s="33"/>
      <c r="TG208" s="33"/>
      <c r="TH208" s="33"/>
      <c r="TI208" s="33"/>
      <c r="TJ208" s="33"/>
      <c r="TK208" s="33"/>
      <c r="TL208" s="33"/>
      <c r="TM208" s="33"/>
      <c r="TN208" s="33"/>
      <c r="TO208" s="33"/>
      <c r="TP208" s="33"/>
      <c r="TQ208" s="33"/>
      <c r="TR208" s="33"/>
      <c r="TS208" s="33"/>
    </row>
    <row r="209" spans="1:539" s="34" customFormat="1" ht="15.75" x14ac:dyDescent="0.25">
      <c r="A209" s="98"/>
      <c r="B209" s="111"/>
      <c r="C209" s="111"/>
      <c r="D209" s="85" t="s">
        <v>421</v>
      </c>
      <c r="E209" s="100">
        <f>E233</f>
        <v>0</v>
      </c>
      <c r="F209" s="100">
        <f t="shared" ref="F209:L209" si="110">F233</f>
        <v>0</v>
      </c>
      <c r="G209" s="100">
        <f t="shared" si="110"/>
        <v>0</v>
      </c>
      <c r="H209" s="100">
        <f t="shared" si="110"/>
        <v>0</v>
      </c>
      <c r="I209" s="100">
        <f t="shared" si="110"/>
        <v>0</v>
      </c>
      <c r="J209" s="100">
        <f t="shared" si="110"/>
        <v>0</v>
      </c>
      <c r="K209" s="100">
        <f t="shared" si="110"/>
        <v>0</v>
      </c>
      <c r="L209" s="100">
        <f t="shared" si="110"/>
        <v>0</v>
      </c>
      <c r="M209" s="157"/>
      <c r="N209" s="100">
        <f t="shared" ref="N209:AB209" si="111">N233</f>
        <v>26250000</v>
      </c>
      <c r="O209" s="100">
        <f t="shared" si="111"/>
        <v>26250000</v>
      </c>
      <c r="P209" s="100">
        <f t="shared" si="111"/>
        <v>0</v>
      </c>
      <c r="Q209" s="100">
        <f t="shared" si="111"/>
        <v>0</v>
      </c>
      <c r="R209" s="100">
        <f t="shared" si="111"/>
        <v>0</v>
      </c>
      <c r="S209" s="100">
        <f t="shared" si="111"/>
        <v>26250000</v>
      </c>
      <c r="T209" s="100">
        <f t="shared" si="111"/>
        <v>0</v>
      </c>
      <c r="U209" s="100">
        <f t="shared" si="111"/>
        <v>0</v>
      </c>
      <c r="V209" s="100">
        <f t="shared" si="111"/>
        <v>0</v>
      </c>
      <c r="W209" s="100">
        <f t="shared" si="111"/>
        <v>0</v>
      </c>
      <c r="X209" s="100">
        <f t="shared" si="111"/>
        <v>0</v>
      </c>
      <c r="Y209" s="100">
        <f t="shared" si="111"/>
        <v>0</v>
      </c>
      <c r="Z209" s="157">
        <f t="shared" si="70"/>
        <v>0</v>
      </c>
      <c r="AA209" s="100">
        <f t="shared" si="111"/>
        <v>0</v>
      </c>
      <c r="AB209" s="100">
        <f t="shared" si="111"/>
        <v>26250000</v>
      </c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  <c r="IW209" s="33"/>
      <c r="IX209" s="33"/>
      <c r="IY209" s="33"/>
      <c r="IZ209" s="33"/>
      <c r="JA209" s="33"/>
      <c r="JB209" s="33"/>
      <c r="JC209" s="33"/>
      <c r="JD209" s="33"/>
      <c r="JE209" s="33"/>
      <c r="JF209" s="33"/>
      <c r="JG209" s="33"/>
      <c r="JH209" s="33"/>
      <c r="JI209" s="33"/>
      <c r="JJ209" s="33"/>
      <c r="JK209" s="33"/>
      <c r="JL209" s="33"/>
      <c r="JM209" s="33"/>
      <c r="JN209" s="33"/>
      <c r="JO209" s="33"/>
      <c r="JP209" s="33"/>
      <c r="JQ209" s="33"/>
      <c r="JR209" s="33"/>
      <c r="JS209" s="33"/>
      <c r="JT209" s="33"/>
      <c r="JU209" s="33"/>
      <c r="JV209" s="33"/>
      <c r="JW209" s="33"/>
      <c r="JX209" s="33"/>
      <c r="JY209" s="33"/>
      <c r="JZ209" s="33"/>
      <c r="KA209" s="33"/>
      <c r="KB209" s="33"/>
      <c r="KC209" s="33"/>
      <c r="KD209" s="33"/>
      <c r="KE209" s="33"/>
      <c r="KF209" s="33"/>
      <c r="KG209" s="33"/>
      <c r="KH209" s="33"/>
      <c r="KI209" s="33"/>
      <c r="KJ209" s="33"/>
      <c r="KK209" s="33"/>
      <c r="KL209" s="33"/>
      <c r="KM209" s="33"/>
      <c r="KN209" s="33"/>
      <c r="KO209" s="33"/>
      <c r="KP209" s="33"/>
      <c r="KQ209" s="33"/>
      <c r="KR209" s="33"/>
      <c r="KS209" s="33"/>
      <c r="KT209" s="33"/>
      <c r="KU209" s="33"/>
      <c r="KV209" s="33"/>
      <c r="KW209" s="33"/>
      <c r="KX209" s="33"/>
      <c r="KY209" s="33"/>
      <c r="KZ209" s="33"/>
      <c r="LA209" s="33"/>
      <c r="LB209" s="33"/>
      <c r="LC209" s="33"/>
      <c r="LD209" s="33"/>
      <c r="LE209" s="33"/>
      <c r="LF209" s="33"/>
      <c r="LG209" s="33"/>
      <c r="LH209" s="33"/>
      <c r="LI209" s="33"/>
      <c r="LJ209" s="33"/>
      <c r="LK209" s="33"/>
      <c r="LL209" s="33"/>
      <c r="LM209" s="33"/>
      <c r="LN209" s="33"/>
      <c r="LO209" s="33"/>
      <c r="LP209" s="33"/>
      <c r="LQ209" s="33"/>
      <c r="LR209" s="33"/>
      <c r="LS209" s="33"/>
      <c r="LT209" s="33"/>
      <c r="LU209" s="33"/>
      <c r="LV209" s="33"/>
      <c r="LW209" s="33"/>
      <c r="LX209" s="33"/>
      <c r="LY209" s="33"/>
      <c r="LZ209" s="33"/>
      <c r="MA209" s="33"/>
      <c r="MB209" s="33"/>
      <c r="MC209" s="33"/>
      <c r="MD209" s="33"/>
      <c r="ME209" s="33"/>
      <c r="MF209" s="33"/>
      <c r="MG209" s="33"/>
      <c r="MH209" s="33"/>
      <c r="MI209" s="33"/>
      <c r="MJ209" s="33"/>
      <c r="MK209" s="33"/>
      <c r="ML209" s="33"/>
      <c r="MM209" s="33"/>
      <c r="MN209" s="33"/>
      <c r="MO209" s="33"/>
      <c r="MP209" s="33"/>
      <c r="MQ209" s="33"/>
      <c r="MR209" s="33"/>
      <c r="MS209" s="33"/>
      <c r="MT209" s="33"/>
      <c r="MU209" s="33"/>
      <c r="MV209" s="33"/>
      <c r="MW209" s="33"/>
      <c r="MX209" s="33"/>
      <c r="MY209" s="33"/>
      <c r="MZ209" s="33"/>
      <c r="NA209" s="33"/>
      <c r="NB209" s="33"/>
      <c r="NC209" s="33"/>
      <c r="ND209" s="33"/>
      <c r="NE209" s="33"/>
      <c r="NF209" s="33"/>
      <c r="NG209" s="33"/>
      <c r="NH209" s="33"/>
      <c r="NI209" s="33"/>
      <c r="NJ209" s="33"/>
      <c r="NK209" s="33"/>
      <c r="NL209" s="33"/>
      <c r="NM209" s="33"/>
      <c r="NN209" s="33"/>
      <c r="NO209" s="33"/>
      <c r="NP209" s="33"/>
      <c r="NQ209" s="33"/>
      <c r="NR209" s="33"/>
      <c r="NS209" s="33"/>
      <c r="NT209" s="33"/>
      <c r="NU209" s="33"/>
      <c r="NV209" s="33"/>
      <c r="NW209" s="33"/>
      <c r="NX209" s="33"/>
      <c r="NY209" s="33"/>
      <c r="NZ209" s="33"/>
      <c r="OA209" s="33"/>
      <c r="OB209" s="33"/>
      <c r="OC209" s="33"/>
      <c r="OD209" s="33"/>
      <c r="OE209" s="33"/>
      <c r="OF209" s="33"/>
      <c r="OG209" s="33"/>
      <c r="OH209" s="33"/>
      <c r="OI209" s="33"/>
      <c r="OJ209" s="33"/>
      <c r="OK209" s="33"/>
      <c r="OL209" s="33"/>
      <c r="OM209" s="33"/>
      <c r="ON209" s="33"/>
      <c r="OO209" s="33"/>
      <c r="OP209" s="33"/>
      <c r="OQ209" s="33"/>
      <c r="OR209" s="33"/>
      <c r="OS209" s="33"/>
      <c r="OT209" s="33"/>
      <c r="OU209" s="33"/>
      <c r="OV209" s="33"/>
      <c r="OW209" s="33"/>
      <c r="OX209" s="33"/>
      <c r="OY209" s="33"/>
      <c r="OZ209" s="33"/>
      <c r="PA209" s="33"/>
      <c r="PB209" s="33"/>
      <c r="PC209" s="33"/>
      <c r="PD209" s="33"/>
      <c r="PE209" s="33"/>
      <c r="PF209" s="33"/>
      <c r="PG209" s="33"/>
      <c r="PH209" s="33"/>
      <c r="PI209" s="33"/>
      <c r="PJ209" s="33"/>
      <c r="PK209" s="33"/>
      <c r="PL209" s="33"/>
      <c r="PM209" s="33"/>
      <c r="PN209" s="33"/>
      <c r="PO209" s="33"/>
      <c r="PP209" s="33"/>
      <c r="PQ209" s="33"/>
      <c r="PR209" s="33"/>
      <c r="PS209" s="33"/>
      <c r="PT209" s="33"/>
      <c r="PU209" s="33"/>
      <c r="PV209" s="33"/>
      <c r="PW209" s="33"/>
      <c r="PX209" s="33"/>
      <c r="PY209" s="33"/>
      <c r="PZ209" s="33"/>
      <c r="QA209" s="33"/>
      <c r="QB209" s="33"/>
      <c r="QC209" s="33"/>
      <c r="QD209" s="33"/>
      <c r="QE209" s="33"/>
      <c r="QF209" s="33"/>
      <c r="QG209" s="33"/>
      <c r="QH209" s="33"/>
      <c r="QI209" s="33"/>
      <c r="QJ209" s="33"/>
      <c r="QK209" s="33"/>
      <c r="QL209" s="33"/>
      <c r="QM209" s="33"/>
      <c r="QN209" s="33"/>
      <c r="QO209" s="33"/>
      <c r="QP209" s="33"/>
      <c r="QQ209" s="33"/>
      <c r="QR209" s="33"/>
      <c r="QS209" s="33"/>
      <c r="QT209" s="33"/>
      <c r="QU209" s="33"/>
      <c r="QV209" s="33"/>
      <c r="QW209" s="33"/>
      <c r="QX209" s="33"/>
      <c r="QY209" s="33"/>
      <c r="QZ209" s="33"/>
      <c r="RA209" s="33"/>
      <c r="RB209" s="33"/>
      <c r="RC209" s="33"/>
      <c r="RD209" s="33"/>
      <c r="RE209" s="33"/>
      <c r="RF209" s="33"/>
      <c r="RG209" s="33"/>
      <c r="RH209" s="33"/>
      <c r="RI209" s="33"/>
      <c r="RJ209" s="33"/>
      <c r="RK209" s="33"/>
      <c r="RL209" s="33"/>
      <c r="RM209" s="33"/>
      <c r="RN209" s="33"/>
      <c r="RO209" s="33"/>
      <c r="RP209" s="33"/>
      <c r="RQ209" s="33"/>
      <c r="RR209" s="33"/>
      <c r="RS209" s="33"/>
      <c r="RT209" s="33"/>
      <c r="RU209" s="33"/>
      <c r="RV209" s="33"/>
      <c r="RW209" s="33"/>
      <c r="RX209" s="33"/>
      <c r="RY209" s="33"/>
      <c r="RZ209" s="33"/>
      <c r="SA209" s="33"/>
      <c r="SB209" s="33"/>
      <c r="SC209" s="33"/>
      <c r="SD209" s="33"/>
      <c r="SE209" s="33"/>
      <c r="SF209" s="33"/>
      <c r="SG209" s="33"/>
      <c r="SH209" s="33"/>
      <c r="SI209" s="33"/>
      <c r="SJ209" s="33"/>
      <c r="SK209" s="33"/>
      <c r="SL209" s="33"/>
      <c r="SM209" s="33"/>
      <c r="SN209" s="33"/>
      <c r="SO209" s="33"/>
      <c r="SP209" s="33"/>
      <c r="SQ209" s="33"/>
      <c r="SR209" s="33"/>
      <c r="SS209" s="33"/>
      <c r="ST209" s="33"/>
      <c r="SU209" s="33"/>
      <c r="SV209" s="33"/>
      <c r="SW209" s="33"/>
      <c r="SX209" s="33"/>
      <c r="SY209" s="33"/>
      <c r="SZ209" s="33"/>
      <c r="TA209" s="33"/>
      <c r="TB209" s="33"/>
      <c r="TC209" s="33"/>
      <c r="TD209" s="33"/>
      <c r="TE209" s="33"/>
      <c r="TF209" s="33"/>
      <c r="TG209" s="33"/>
      <c r="TH209" s="33"/>
      <c r="TI209" s="33"/>
      <c r="TJ209" s="33"/>
      <c r="TK209" s="33"/>
      <c r="TL209" s="33"/>
      <c r="TM209" s="33"/>
      <c r="TN209" s="33"/>
      <c r="TO209" s="33"/>
      <c r="TP209" s="33"/>
      <c r="TQ209" s="33"/>
      <c r="TR209" s="33"/>
      <c r="TS209" s="33"/>
    </row>
    <row r="210" spans="1:539" s="22" customFormat="1" ht="47.25" x14ac:dyDescent="0.25">
      <c r="A210" s="60" t="s">
        <v>198</v>
      </c>
      <c r="B210" s="60" t="str">
        <f>'дод 5'!A21</f>
        <v>0160</v>
      </c>
      <c r="C210" s="60" t="str">
        <f>'дод 5'!B21</f>
        <v>0111</v>
      </c>
      <c r="D210" s="96" t="s">
        <v>502</v>
      </c>
      <c r="E210" s="101">
        <f t="shared" ref="E210:E238" si="112">F210+I210</f>
        <v>14436900</v>
      </c>
      <c r="F210" s="101">
        <v>14436900</v>
      </c>
      <c r="G210" s="101">
        <v>11274000</v>
      </c>
      <c r="H210" s="101">
        <v>203100</v>
      </c>
      <c r="I210" s="101"/>
      <c r="J210" s="101">
        <v>6193892.8899999997</v>
      </c>
      <c r="K210" s="101">
        <v>4821694.13</v>
      </c>
      <c r="L210" s="101">
        <v>108785.14</v>
      </c>
      <c r="M210" s="157">
        <f t="shared" si="68"/>
        <v>42.903205605081425</v>
      </c>
      <c r="N210" s="101">
        <f>P210+S210</f>
        <v>0</v>
      </c>
      <c r="O210" s="101"/>
      <c r="P210" s="101"/>
      <c r="Q210" s="101"/>
      <c r="R210" s="101"/>
      <c r="S210" s="101"/>
      <c r="T210" s="97">
        <f t="shared" si="80"/>
        <v>280</v>
      </c>
      <c r="U210" s="101"/>
      <c r="V210" s="101">
        <v>280</v>
      </c>
      <c r="W210" s="101"/>
      <c r="X210" s="101"/>
      <c r="Y210" s="101"/>
      <c r="Z210" s="157"/>
      <c r="AA210" s="97">
        <f t="shared" si="81"/>
        <v>6194172.8899999997</v>
      </c>
      <c r="AB210" s="101">
        <f t="shared" ref="AB210:AB238" si="113">E210+N210</f>
        <v>14436900</v>
      </c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  <c r="TI210" s="23"/>
      <c r="TJ210" s="23"/>
      <c r="TK210" s="23"/>
      <c r="TL210" s="23"/>
      <c r="TM210" s="23"/>
      <c r="TN210" s="23"/>
      <c r="TO210" s="23"/>
      <c r="TP210" s="23"/>
      <c r="TQ210" s="23"/>
      <c r="TR210" s="23"/>
      <c r="TS210" s="23"/>
    </row>
    <row r="211" spans="1:539" s="22" customFormat="1" ht="15.75" x14ac:dyDescent="0.25">
      <c r="A211" s="60" t="s">
        <v>553</v>
      </c>
      <c r="B211" s="60" t="s">
        <v>46</v>
      </c>
      <c r="C211" s="60" t="s">
        <v>95</v>
      </c>
      <c r="D211" s="96" t="s">
        <v>244</v>
      </c>
      <c r="E211" s="101">
        <f t="shared" si="112"/>
        <v>1000000</v>
      </c>
      <c r="F211" s="101">
        <v>1000000</v>
      </c>
      <c r="G211" s="101"/>
      <c r="H211" s="101"/>
      <c r="I211" s="101"/>
      <c r="J211" s="101"/>
      <c r="K211" s="101"/>
      <c r="L211" s="101"/>
      <c r="M211" s="157">
        <f t="shared" ref="M211:M274" si="114">J211/E211*100</f>
        <v>0</v>
      </c>
      <c r="N211" s="101">
        <f>P211+S211</f>
        <v>0</v>
      </c>
      <c r="O211" s="101"/>
      <c r="P211" s="101"/>
      <c r="Q211" s="101"/>
      <c r="R211" s="101"/>
      <c r="S211" s="101"/>
      <c r="T211" s="97">
        <f t="shared" ref="T211:T274" si="115">V211+Y211</f>
        <v>0</v>
      </c>
      <c r="U211" s="101"/>
      <c r="V211" s="101"/>
      <c r="W211" s="101"/>
      <c r="X211" s="101"/>
      <c r="Y211" s="101"/>
      <c r="Z211" s="157"/>
      <c r="AA211" s="97">
        <f t="shared" ref="AA211:AA238" si="116">J211+T211</f>
        <v>0</v>
      </c>
      <c r="AB211" s="101">
        <f t="shared" si="113"/>
        <v>1000000</v>
      </c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  <c r="TI211" s="23"/>
      <c r="TJ211" s="23"/>
      <c r="TK211" s="23"/>
      <c r="TL211" s="23"/>
      <c r="TM211" s="23"/>
      <c r="TN211" s="23"/>
      <c r="TO211" s="23"/>
      <c r="TP211" s="23"/>
      <c r="TQ211" s="23"/>
      <c r="TR211" s="23"/>
      <c r="TS211" s="23"/>
    </row>
    <row r="212" spans="1:539" s="22" customFormat="1" ht="19.5" customHeight="1" x14ac:dyDescent="0.25">
      <c r="A212" s="105" t="s">
        <v>304</v>
      </c>
      <c r="B212" s="42" t="str">
        <f>'дод 5'!A118</f>
        <v>3210</v>
      </c>
      <c r="C212" s="42" t="str">
        <f>'дод 5'!B118</f>
        <v>1050</v>
      </c>
      <c r="D212" s="36" t="str">
        <f>'дод 5'!C118</f>
        <v>Організація та проведення громадських робіт</v>
      </c>
      <c r="E212" s="101">
        <f t="shared" si="112"/>
        <v>200000</v>
      </c>
      <c r="F212" s="101">
        <v>200000</v>
      </c>
      <c r="G212" s="101"/>
      <c r="H212" s="101"/>
      <c r="I212" s="101"/>
      <c r="J212" s="101"/>
      <c r="K212" s="101"/>
      <c r="L212" s="101"/>
      <c r="M212" s="157">
        <f t="shared" si="114"/>
        <v>0</v>
      </c>
      <c r="N212" s="101">
        <f t="shared" ref="N212:N238" si="117">P212+S212</f>
        <v>0</v>
      </c>
      <c r="O212" s="101"/>
      <c r="P212" s="101"/>
      <c r="Q212" s="101"/>
      <c r="R212" s="101"/>
      <c r="S212" s="101"/>
      <c r="T212" s="97">
        <f t="shared" si="115"/>
        <v>0</v>
      </c>
      <c r="U212" s="101"/>
      <c r="V212" s="101"/>
      <c r="W212" s="101"/>
      <c r="X212" s="101"/>
      <c r="Y212" s="101"/>
      <c r="Z212" s="157"/>
      <c r="AA212" s="97">
        <f t="shared" si="116"/>
        <v>0</v>
      </c>
      <c r="AB212" s="101">
        <f t="shared" si="113"/>
        <v>200000</v>
      </c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  <c r="TH212" s="23"/>
      <c r="TI212" s="23"/>
      <c r="TJ212" s="23"/>
      <c r="TK212" s="23"/>
      <c r="TL212" s="23"/>
      <c r="TM212" s="23"/>
      <c r="TN212" s="23"/>
      <c r="TO212" s="23"/>
      <c r="TP212" s="23"/>
      <c r="TQ212" s="23"/>
      <c r="TR212" s="23"/>
      <c r="TS212" s="23"/>
    </row>
    <row r="213" spans="1:539" s="22" customFormat="1" ht="33.75" customHeight="1" x14ac:dyDescent="0.25">
      <c r="A213" s="60" t="s">
        <v>199</v>
      </c>
      <c r="B213" s="95" t="str">
        <f>'дод 5'!A140</f>
        <v>6011</v>
      </c>
      <c r="C213" s="95" t="str">
        <f>'дод 5'!B140</f>
        <v>0610</v>
      </c>
      <c r="D213" s="61" t="str">
        <f>'дод 5'!C140</f>
        <v>Експлуатація та технічне обслуговування житлового фонду</v>
      </c>
      <c r="E213" s="101">
        <f t="shared" si="112"/>
        <v>0</v>
      </c>
      <c r="F213" s="101"/>
      <c r="G213" s="101"/>
      <c r="H213" s="101"/>
      <c r="I213" s="101"/>
      <c r="J213" s="101"/>
      <c r="K213" s="101"/>
      <c r="L213" s="101"/>
      <c r="M213" s="157"/>
      <c r="N213" s="101">
        <f t="shared" si="117"/>
        <v>8263136</v>
      </c>
      <c r="O213" s="101">
        <f>7054092-807126.65+807126.65+172300+40000+154400+169950+593700+23900-19300+37614</f>
        <v>8226656</v>
      </c>
      <c r="P213" s="101"/>
      <c r="Q213" s="101"/>
      <c r="R213" s="101"/>
      <c r="S213" s="101">
        <f>7090572-807126.65+807126.65+172300+40000+154400+169950+593700+23900-19300+37614</f>
        <v>8263136</v>
      </c>
      <c r="T213" s="97">
        <f t="shared" si="115"/>
        <v>1339048.79</v>
      </c>
      <c r="U213" s="101">
        <v>1339048.79</v>
      </c>
      <c r="V213" s="101"/>
      <c r="W213" s="101"/>
      <c r="X213" s="101"/>
      <c r="Y213" s="101">
        <v>1339048.79</v>
      </c>
      <c r="Z213" s="157">
        <f t="shared" ref="Z213:Z272" si="118">T213/N213*100</f>
        <v>16.205091989288327</v>
      </c>
      <c r="AA213" s="97">
        <f t="shared" si="116"/>
        <v>1339048.79</v>
      </c>
      <c r="AB213" s="101">
        <f t="shared" si="113"/>
        <v>8263136</v>
      </c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  <c r="TI213" s="23"/>
      <c r="TJ213" s="23"/>
      <c r="TK213" s="23"/>
      <c r="TL213" s="23"/>
      <c r="TM213" s="23"/>
      <c r="TN213" s="23"/>
      <c r="TO213" s="23"/>
      <c r="TP213" s="23"/>
      <c r="TQ213" s="23"/>
      <c r="TR213" s="23"/>
      <c r="TS213" s="23"/>
    </row>
    <row r="214" spans="1:539" s="22" customFormat="1" ht="31.5" x14ac:dyDescent="0.25">
      <c r="A214" s="60" t="s">
        <v>200</v>
      </c>
      <c r="B214" s="95" t="str">
        <f>'дод 5'!A141</f>
        <v>6013</v>
      </c>
      <c r="C214" s="95" t="str">
        <f>'дод 5'!B141</f>
        <v>0620</v>
      </c>
      <c r="D214" s="61" t="str">
        <f>'дод 5'!C141</f>
        <v>Забезпечення діяльності водопровідно-каналізаційного господарства</v>
      </c>
      <c r="E214" s="101">
        <f t="shared" si="112"/>
        <v>29304040</v>
      </c>
      <c r="F214" s="101">
        <f>3610000-3000000+164040+30000</f>
        <v>804040</v>
      </c>
      <c r="G214" s="101"/>
      <c r="H214" s="101"/>
      <c r="I214" s="101">
        <f>25250000-100000+3350000</f>
        <v>28500000</v>
      </c>
      <c r="J214" s="101">
        <v>20524815.25</v>
      </c>
      <c r="K214" s="101"/>
      <c r="L214" s="101"/>
      <c r="M214" s="157">
        <f t="shared" si="114"/>
        <v>70.040906475694129</v>
      </c>
      <c r="N214" s="101">
        <f t="shared" si="117"/>
        <v>200000</v>
      </c>
      <c r="O214" s="101">
        <f>230000-30000</f>
        <v>200000</v>
      </c>
      <c r="P214" s="101"/>
      <c r="Q214" s="101"/>
      <c r="R214" s="101"/>
      <c r="S214" s="101">
        <f>230000-30000</f>
        <v>200000</v>
      </c>
      <c r="T214" s="97">
        <f t="shared" si="115"/>
        <v>56724.01</v>
      </c>
      <c r="U214" s="101">
        <v>56724.01</v>
      </c>
      <c r="V214" s="101"/>
      <c r="W214" s="101"/>
      <c r="X214" s="101"/>
      <c r="Y214" s="101">
        <v>56724.01</v>
      </c>
      <c r="Z214" s="157">
        <f t="shared" si="118"/>
        <v>28.362005</v>
      </c>
      <c r="AA214" s="97">
        <f t="shared" si="116"/>
        <v>20581539.260000002</v>
      </c>
      <c r="AB214" s="101">
        <f t="shared" si="113"/>
        <v>29504040</v>
      </c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  <c r="TI214" s="23"/>
      <c r="TJ214" s="23"/>
      <c r="TK214" s="23"/>
      <c r="TL214" s="23"/>
      <c r="TM214" s="23"/>
      <c r="TN214" s="23"/>
      <c r="TO214" s="23"/>
      <c r="TP214" s="23"/>
      <c r="TQ214" s="23"/>
      <c r="TR214" s="23"/>
      <c r="TS214" s="23"/>
    </row>
    <row r="215" spans="1:539" s="22" customFormat="1" ht="30" customHeight="1" x14ac:dyDescent="0.25">
      <c r="A215" s="60" t="s">
        <v>261</v>
      </c>
      <c r="B215" s="95" t="str">
        <f>'дод 5'!A142</f>
        <v>6015</v>
      </c>
      <c r="C215" s="95" t="str">
        <f>'дод 5'!B142</f>
        <v>0620</v>
      </c>
      <c r="D215" s="61" t="str">
        <f>'дод 5'!C142</f>
        <v>Забезпечення надійної та безперебійної експлуатації ліфтів</v>
      </c>
      <c r="E215" s="101">
        <f t="shared" si="112"/>
        <v>123980</v>
      </c>
      <c r="F215" s="101">
        <f>99980+8000+16000</f>
        <v>123980</v>
      </c>
      <c r="G215" s="101"/>
      <c r="H215" s="101"/>
      <c r="I215" s="101"/>
      <c r="J215" s="101">
        <v>3971</v>
      </c>
      <c r="K215" s="101"/>
      <c r="L215" s="101"/>
      <c r="M215" s="157">
        <f t="shared" si="114"/>
        <v>3.2029359574124858</v>
      </c>
      <c r="N215" s="101">
        <f t="shared" si="117"/>
        <v>13661600</v>
      </c>
      <c r="O215" s="101">
        <f>6600000-96212+96212+4439600+1450000+700000+590000+232000-200000-200000</f>
        <v>13611600</v>
      </c>
      <c r="P215" s="101"/>
      <c r="Q215" s="101"/>
      <c r="R215" s="101"/>
      <c r="S215" s="101">
        <f>6650000-96212+96212+4439600+1450000+700000+590000+232000-200000-200000</f>
        <v>13661600</v>
      </c>
      <c r="T215" s="97">
        <f t="shared" si="115"/>
        <v>2498562.2799999998</v>
      </c>
      <c r="U215" s="101">
        <v>2498562.2799999998</v>
      </c>
      <c r="V215" s="101"/>
      <c r="W215" s="101"/>
      <c r="X215" s="101"/>
      <c r="Y215" s="101">
        <v>2498562.2799999998</v>
      </c>
      <c r="Z215" s="157">
        <f t="shared" si="118"/>
        <v>18.288943315570648</v>
      </c>
      <c r="AA215" s="97">
        <f t="shared" si="116"/>
        <v>2502533.2799999998</v>
      </c>
      <c r="AB215" s="101">
        <f t="shared" si="113"/>
        <v>13785580</v>
      </c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  <c r="TH215" s="23"/>
      <c r="TI215" s="23"/>
      <c r="TJ215" s="23"/>
      <c r="TK215" s="23"/>
      <c r="TL215" s="23"/>
      <c r="TM215" s="23"/>
      <c r="TN215" s="23"/>
      <c r="TO215" s="23"/>
      <c r="TP215" s="23"/>
      <c r="TQ215" s="23"/>
      <c r="TR215" s="23"/>
      <c r="TS215" s="23"/>
    </row>
    <row r="216" spans="1:539" s="22" customFormat="1" ht="32.25" customHeight="1" x14ac:dyDescent="0.25">
      <c r="A216" s="60" t="s">
        <v>264</v>
      </c>
      <c r="B216" s="95" t="str">
        <f>'дод 5'!A143</f>
        <v>6017</v>
      </c>
      <c r="C216" s="95" t="str">
        <f>'дод 5'!B143</f>
        <v>0620</v>
      </c>
      <c r="D216" s="61" t="str">
        <f>'дод 5'!C143</f>
        <v>Інша діяльність, пов’язана з експлуатацією об’єктів житлово-комунального господарства</v>
      </c>
      <c r="E216" s="101">
        <f t="shared" si="112"/>
        <v>100000</v>
      </c>
      <c r="F216" s="101">
        <v>100000</v>
      </c>
      <c r="G216" s="101"/>
      <c r="H216" s="101"/>
      <c r="I216" s="101"/>
      <c r="J216" s="101"/>
      <c r="K216" s="101"/>
      <c r="L216" s="101"/>
      <c r="M216" s="157">
        <f t="shared" si="114"/>
        <v>0</v>
      </c>
      <c r="N216" s="101">
        <f t="shared" si="117"/>
        <v>0</v>
      </c>
      <c r="O216" s="101"/>
      <c r="P216" s="101"/>
      <c r="Q216" s="101"/>
      <c r="R216" s="101"/>
      <c r="S216" s="101"/>
      <c r="T216" s="97">
        <f t="shared" si="115"/>
        <v>0</v>
      </c>
      <c r="U216" s="101"/>
      <c r="V216" s="101"/>
      <c r="W216" s="101"/>
      <c r="X216" s="101"/>
      <c r="Y216" s="101"/>
      <c r="Z216" s="157"/>
      <c r="AA216" s="97">
        <f t="shared" si="116"/>
        <v>0</v>
      </c>
      <c r="AB216" s="101">
        <f t="shared" si="113"/>
        <v>100000</v>
      </c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  <c r="TH216" s="23"/>
      <c r="TI216" s="23"/>
      <c r="TJ216" s="23"/>
      <c r="TK216" s="23"/>
      <c r="TL216" s="23"/>
      <c r="TM216" s="23"/>
      <c r="TN216" s="23"/>
      <c r="TO216" s="23"/>
      <c r="TP216" s="23"/>
      <c r="TQ216" s="23"/>
      <c r="TR216" s="23"/>
      <c r="TS216" s="23"/>
    </row>
    <row r="217" spans="1:539" s="22" customFormat="1" ht="47.25" x14ac:dyDescent="0.25">
      <c r="A217" s="60" t="s">
        <v>201</v>
      </c>
      <c r="B217" s="95" t="str">
        <f>'дод 5'!A144</f>
        <v>6020</v>
      </c>
      <c r="C217" s="95" t="str">
        <f>'дод 5'!B144</f>
        <v>0620</v>
      </c>
      <c r="D217" s="61" t="str">
        <f>'дод 5'!C144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7" s="101">
        <f t="shared" si="112"/>
        <v>300000</v>
      </c>
      <c r="F217" s="101"/>
      <c r="G217" s="101"/>
      <c r="H217" s="101"/>
      <c r="I217" s="101">
        <v>300000</v>
      </c>
      <c r="J217" s="101">
        <v>131441.93</v>
      </c>
      <c r="K217" s="101"/>
      <c r="L217" s="101"/>
      <c r="M217" s="157">
        <f t="shared" si="114"/>
        <v>43.813976666666662</v>
      </c>
      <c r="N217" s="101">
        <f t="shared" si="117"/>
        <v>0</v>
      </c>
      <c r="O217" s="101"/>
      <c r="P217" s="101"/>
      <c r="Q217" s="101"/>
      <c r="R217" s="101"/>
      <c r="S217" s="101"/>
      <c r="T217" s="97">
        <f t="shared" si="115"/>
        <v>0</v>
      </c>
      <c r="U217" s="101"/>
      <c r="V217" s="101"/>
      <c r="W217" s="101"/>
      <c r="X217" s="101"/>
      <c r="Y217" s="101"/>
      <c r="Z217" s="157"/>
      <c r="AA217" s="97">
        <f t="shared" si="116"/>
        <v>131441.93</v>
      </c>
      <c r="AB217" s="101">
        <f t="shared" si="113"/>
        <v>300000</v>
      </c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  <c r="TI217" s="23"/>
      <c r="TJ217" s="23"/>
      <c r="TK217" s="23"/>
      <c r="TL217" s="23"/>
      <c r="TM217" s="23"/>
      <c r="TN217" s="23"/>
      <c r="TO217" s="23"/>
      <c r="TP217" s="23"/>
      <c r="TQ217" s="23"/>
      <c r="TR217" s="23"/>
      <c r="TS217" s="23"/>
    </row>
    <row r="218" spans="1:539" s="22" customFormat="1" ht="21.75" customHeight="1" x14ac:dyDescent="0.25">
      <c r="A218" s="60" t="s">
        <v>202</v>
      </c>
      <c r="B218" s="95" t="str">
        <f>'дод 5'!A145</f>
        <v>6030</v>
      </c>
      <c r="C218" s="95" t="str">
        <f>'дод 5'!B145</f>
        <v>0620</v>
      </c>
      <c r="D218" s="61" t="str">
        <f>'дод 5'!C145</f>
        <v>Організація благоустрою населених пунктів</v>
      </c>
      <c r="E218" s="101">
        <f t="shared" si="112"/>
        <v>220989642.33000001</v>
      </c>
      <c r="F218" s="101">
        <f>220864874.13-7011318-49900-211983.47+990000+100000+72800+872900-100000-18473.69+60000-45080.64-164040+1592924+340394+200000-50500+299310+199600+1500000+98000+310136+40000+1000000</f>
        <v>220889642.33000001</v>
      </c>
      <c r="G218" s="101"/>
      <c r="H218" s="101">
        <f>34504500-600000-164040</f>
        <v>33740460</v>
      </c>
      <c r="I218" s="101">
        <v>100000</v>
      </c>
      <c r="J218" s="101">
        <v>89178016.299999997</v>
      </c>
      <c r="K218" s="101"/>
      <c r="L218" s="101">
        <v>12554125.15</v>
      </c>
      <c r="M218" s="157">
        <f t="shared" si="114"/>
        <v>40.353934854029042</v>
      </c>
      <c r="N218" s="101">
        <f t="shared" si="117"/>
        <v>33960884.579999991</v>
      </c>
      <c r="O218" s="101">
        <f>28422020-300000+7011318-1359437.09+1978809.98+72800-72800+129900+18473.69-60000+170000+50000-1500000+49900+49900-2800000-1150000+250000-2000000+5000000</f>
        <v>33960884.579999991</v>
      </c>
      <c r="P218" s="115"/>
      <c r="Q218" s="101"/>
      <c r="R218" s="101"/>
      <c r="S218" s="101">
        <f>28422020-300000+7011318-1359437.09+1978809.98+72800-72800+129900+18473.69-60000+170000+50000-1500000+49900+49900-2800000-1150000+250000-2000000+5000000</f>
        <v>33960884.579999991</v>
      </c>
      <c r="T218" s="97">
        <f t="shared" si="115"/>
        <v>4618254.16</v>
      </c>
      <c r="U218" s="101">
        <v>4618254.16</v>
      </c>
      <c r="V218" s="101"/>
      <c r="W218" s="101"/>
      <c r="X218" s="101"/>
      <c r="Y218" s="101">
        <v>4618254.16</v>
      </c>
      <c r="Z218" s="157">
        <f t="shared" si="118"/>
        <v>13.598745194993391</v>
      </c>
      <c r="AA218" s="97">
        <f t="shared" si="116"/>
        <v>93796270.459999993</v>
      </c>
      <c r="AB218" s="101">
        <f t="shared" si="113"/>
        <v>254950526.91</v>
      </c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  <c r="TH218" s="23"/>
      <c r="TI218" s="23"/>
      <c r="TJ218" s="23"/>
      <c r="TK218" s="23"/>
      <c r="TL218" s="23"/>
      <c r="TM218" s="23"/>
      <c r="TN218" s="23"/>
      <c r="TO218" s="23"/>
      <c r="TP218" s="23"/>
      <c r="TQ218" s="23"/>
      <c r="TR218" s="23"/>
      <c r="TS218" s="23"/>
    </row>
    <row r="219" spans="1:539" s="22" customFormat="1" ht="31.5" customHeight="1" x14ac:dyDescent="0.25">
      <c r="A219" s="60" t="s">
        <v>254</v>
      </c>
      <c r="B219" s="95" t="str">
        <f>'дод 5'!A149</f>
        <v>6090</v>
      </c>
      <c r="C219" s="95" t="str">
        <f>'дод 5'!B149</f>
        <v>0640</v>
      </c>
      <c r="D219" s="61" t="str">
        <f>'дод 5'!C149</f>
        <v>Інша діяльність у сфері житлово-комунального господарства</v>
      </c>
      <c r="E219" s="101">
        <f t="shared" si="112"/>
        <v>23918803.460000001</v>
      </c>
      <c r="F219" s="101">
        <f>47773888-76000+38050-9241451.18+49000-200000-6163260-25000-20000+45080.64-300000-4102174-1899640+200000+19300+50500-101200-418760+20000-263600-25000-184814-1453016-25000-78100</f>
        <v>23618803.460000001</v>
      </c>
      <c r="G219" s="101"/>
      <c r="H219" s="101">
        <v>24500</v>
      </c>
      <c r="I219" s="101">
        <v>300000</v>
      </c>
      <c r="J219" s="101">
        <v>994180.2</v>
      </c>
      <c r="K219" s="101"/>
      <c r="L219" s="101">
        <v>11101.84</v>
      </c>
      <c r="M219" s="157">
        <f t="shared" si="114"/>
        <v>4.1564796569468525</v>
      </c>
      <c r="N219" s="101">
        <f t="shared" si="117"/>
        <v>1785000</v>
      </c>
      <c r="O219" s="101"/>
      <c r="P219" s="101"/>
      <c r="Q219" s="101"/>
      <c r="R219" s="101"/>
      <c r="S219" s="101">
        <v>1785000</v>
      </c>
      <c r="T219" s="97">
        <f t="shared" si="115"/>
        <v>36408.9</v>
      </c>
      <c r="U219" s="101"/>
      <c r="V219" s="101"/>
      <c r="W219" s="101"/>
      <c r="X219" s="101"/>
      <c r="Y219" s="101">
        <v>36408.9</v>
      </c>
      <c r="Z219" s="157">
        <f t="shared" si="118"/>
        <v>2.0397142857142856</v>
      </c>
      <c r="AA219" s="97">
        <f t="shared" si="116"/>
        <v>1030589.1</v>
      </c>
      <c r="AB219" s="101">
        <f t="shared" si="113"/>
        <v>25703803.460000001</v>
      </c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  <c r="TH219" s="23"/>
      <c r="TI219" s="23"/>
      <c r="TJ219" s="23"/>
      <c r="TK219" s="23"/>
      <c r="TL219" s="23"/>
      <c r="TM219" s="23"/>
      <c r="TN219" s="23"/>
      <c r="TO219" s="23"/>
      <c r="TP219" s="23"/>
      <c r="TQ219" s="23"/>
      <c r="TR219" s="23"/>
      <c r="TS219" s="23"/>
    </row>
    <row r="220" spans="1:539" s="22" customFormat="1" ht="34.5" x14ac:dyDescent="0.25">
      <c r="A220" s="60" t="s">
        <v>273</v>
      </c>
      <c r="B220" s="95" t="str">
        <f>'дод 5'!A158</f>
        <v>7310</v>
      </c>
      <c r="C220" s="95" t="str">
        <f>'дод 5'!B158</f>
        <v>0443</v>
      </c>
      <c r="D220" s="6" t="s">
        <v>562</v>
      </c>
      <c r="E220" s="101">
        <f t="shared" si="112"/>
        <v>0</v>
      </c>
      <c r="F220" s="101"/>
      <c r="G220" s="101"/>
      <c r="H220" s="101"/>
      <c r="I220" s="101"/>
      <c r="J220" s="101"/>
      <c r="K220" s="101"/>
      <c r="L220" s="101"/>
      <c r="M220" s="157"/>
      <c r="N220" s="101">
        <f t="shared" si="117"/>
        <v>20078713</v>
      </c>
      <c r="O220" s="101">
        <f>19836513+300000-38050+50000+200000-169950-49900-49900</f>
        <v>20078713</v>
      </c>
      <c r="P220" s="101"/>
      <c r="Q220" s="101"/>
      <c r="R220" s="101"/>
      <c r="S220" s="101">
        <f>19836513+300000-38050+50000+200000-169950-49900-49900</f>
        <v>20078713</v>
      </c>
      <c r="T220" s="97">
        <f t="shared" si="115"/>
        <v>6466183.0499999998</v>
      </c>
      <c r="U220" s="101">
        <v>6466183.0499999998</v>
      </c>
      <c r="V220" s="101"/>
      <c r="W220" s="101"/>
      <c r="X220" s="101"/>
      <c r="Y220" s="101">
        <v>6466183.0499999998</v>
      </c>
      <c r="Z220" s="157">
        <f t="shared" si="118"/>
        <v>32.204170904778607</v>
      </c>
      <c r="AA220" s="97">
        <f t="shared" si="116"/>
        <v>6466183.0499999998</v>
      </c>
      <c r="AB220" s="101">
        <f t="shared" si="113"/>
        <v>20078713</v>
      </c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  <c r="TI220" s="23"/>
      <c r="TJ220" s="23"/>
      <c r="TK220" s="23"/>
      <c r="TL220" s="23"/>
      <c r="TM220" s="23"/>
      <c r="TN220" s="23"/>
      <c r="TO220" s="23"/>
      <c r="TP220" s="23"/>
      <c r="TQ220" s="23"/>
      <c r="TR220" s="23"/>
      <c r="TS220" s="23"/>
    </row>
    <row r="221" spans="1:539" s="22" customFormat="1" ht="21" customHeight="1" x14ac:dyDescent="0.25">
      <c r="A221" s="60" t="s">
        <v>275</v>
      </c>
      <c r="B221" s="95" t="str">
        <f>'дод 5'!A164</f>
        <v>7330</v>
      </c>
      <c r="C221" s="95" t="str">
        <f>'дод 5'!B164</f>
        <v>0443</v>
      </c>
      <c r="D221" s="6" t="s">
        <v>557</v>
      </c>
      <c r="E221" s="101">
        <f t="shared" si="112"/>
        <v>0</v>
      </c>
      <c r="F221" s="101"/>
      <c r="G221" s="101"/>
      <c r="H221" s="101"/>
      <c r="I221" s="101"/>
      <c r="J221" s="101"/>
      <c r="K221" s="101"/>
      <c r="L221" s="101"/>
      <c r="M221" s="157"/>
      <c r="N221" s="101">
        <f t="shared" si="117"/>
        <v>21031108.579999998</v>
      </c>
      <c r="O221" s="101">
        <f>22088598+49900-407389.42-200000+3500000-4000000</f>
        <v>21031108.579999998</v>
      </c>
      <c r="P221" s="101"/>
      <c r="Q221" s="101"/>
      <c r="R221" s="101"/>
      <c r="S221" s="101">
        <f>22088598+49900-407389.42-200000+3500000-4000000</f>
        <v>21031108.579999998</v>
      </c>
      <c r="T221" s="97">
        <f t="shared" si="115"/>
        <v>1658691.54</v>
      </c>
      <c r="U221" s="101">
        <v>1658691.54</v>
      </c>
      <c r="V221" s="101"/>
      <c r="W221" s="101"/>
      <c r="X221" s="101"/>
      <c r="Y221" s="101">
        <v>1658691.54</v>
      </c>
      <c r="Z221" s="157">
        <f t="shared" si="118"/>
        <v>7.8868478743786703</v>
      </c>
      <c r="AA221" s="97">
        <f t="shared" si="116"/>
        <v>1658691.54</v>
      </c>
      <c r="AB221" s="101">
        <f t="shared" si="113"/>
        <v>21031108.579999998</v>
      </c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  <c r="TH221" s="23"/>
      <c r="TI221" s="23"/>
      <c r="TJ221" s="23"/>
      <c r="TK221" s="23"/>
      <c r="TL221" s="23"/>
      <c r="TM221" s="23"/>
      <c r="TN221" s="23"/>
      <c r="TO221" s="23"/>
      <c r="TP221" s="23"/>
      <c r="TQ221" s="23"/>
      <c r="TR221" s="23"/>
      <c r="TS221" s="23"/>
    </row>
    <row r="222" spans="1:539" s="22" customFormat="1" ht="33" customHeight="1" x14ac:dyDescent="0.25">
      <c r="A222" s="60" t="s">
        <v>203</v>
      </c>
      <c r="B222" s="95">
        <v>7340</v>
      </c>
      <c r="C222" s="95" t="str">
        <f>'дод 5'!B163</f>
        <v>0443</v>
      </c>
      <c r="D222" s="61" t="str">
        <f>'дод 5'!C165</f>
        <v>Проектування, реставрація та охорона пам'яток архітектури</v>
      </c>
      <c r="E222" s="101">
        <f t="shared" ref="E222" si="119">F222+I222</f>
        <v>0</v>
      </c>
      <c r="F222" s="101"/>
      <c r="G222" s="101"/>
      <c r="H222" s="101"/>
      <c r="I222" s="101"/>
      <c r="J222" s="101"/>
      <c r="K222" s="101"/>
      <c r="L222" s="101"/>
      <c r="M222" s="157"/>
      <c r="N222" s="101">
        <f t="shared" ref="N222" si="120">P222+S222</f>
        <v>3250000</v>
      </c>
      <c r="O222" s="101">
        <f>3250000</f>
        <v>3250000</v>
      </c>
      <c r="P222" s="101"/>
      <c r="Q222" s="101"/>
      <c r="R222" s="101"/>
      <c r="S222" s="101">
        <f>3250000</f>
        <v>3250000</v>
      </c>
      <c r="T222" s="97">
        <f t="shared" si="115"/>
        <v>773667.19</v>
      </c>
      <c r="U222" s="101">
        <v>773667.19</v>
      </c>
      <c r="V222" s="101"/>
      <c r="W222" s="101"/>
      <c r="X222" s="101"/>
      <c r="Y222" s="101">
        <v>773667.19</v>
      </c>
      <c r="Z222" s="157">
        <f t="shared" si="118"/>
        <v>23.805144307692306</v>
      </c>
      <c r="AA222" s="97">
        <f t="shared" si="116"/>
        <v>773667.19</v>
      </c>
      <c r="AB222" s="101">
        <f t="shared" ref="AB222" si="121">E222+N222</f>
        <v>3250000</v>
      </c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  <c r="TI222" s="23"/>
      <c r="TJ222" s="23"/>
      <c r="TK222" s="23"/>
      <c r="TL222" s="23"/>
      <c r="TM222" s="23"/>
      <c r="TN222" s="23"/>
      <c r="TO222" s="23"/>
      <c r="TP222" s="23"/>
      <c r="TQ222" s="23"/>
      <c r="TR222" s="23"/>
      <c r="TS222" s="23"/>
    </row>
    <row r="223" spans="1:539" s="22" customFormat="1" ht="49.5" hidden="1" customHeight="1" x14ac:dyDescent="0.25">
      <c r="A223" s="60" t="s">
        <v>372</v>
      </c>
      <c r="B223" s="95">
        <f>'дод 5'!A167</f>
        <v>7361</v>
      </c>
      <c r="C223" s="95" t="str">
        <f>'дод 5'!B167</f>
        <v>0490</v>
      </c>
      <c r="D223" s="61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223" s="101">
        <f t="shared" si="112"/>
        <v>0</v>
      </c>
      <c r="F223" s="101"/>
      <c r="G223" s="101"/>
      <c r="H223" s="101"/>
      <c r="I223" s="101"/>
      <c r="J223" s="101"/>
      <c r="K223" s="101"/>
      <c r="L223" s="101"/>
      <c r="M223" s="157"/>
      <c r="N223" s="101">
        <f t="shared" si="117"/>
        <v>0</v>
      </c>
      <c r="O223" s="101"/>
      <c r="P223" s="101"/>
      <c r="Q223" s="101"/>
      <c r="R223" s="101"/>
      <c r="S223" s="101"/>
      <c r="T223" s="97">
        <f t="shared" si="115"/>
        <v>0</v>
      </c>
      <c r="U223" s="101"/>
      <c r="V223" s="101"/>
      <c r="W223" s="101"/>
      <c r="X223" s="101"/>
      <c r="Y223" s="101"/>
      <c r="Z223" s="157" t="e">
        <f t="shared" si="118"/>
        <v>#DIV/0!</v>
      </c>
      <c r="AA223" s="97">
        <f t="shared" si="116"/>
        <v>0</v>
      </c>
      <c r="AB223" s="101">
        <f t="shared" si="113"/>
        <v>0</v>
      </c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  <c r="TH223" s="23"/>
      <c r="TI223" s="23"/>
      <c r="TJ223" s="23"/>
      <c r="TK223" s="23"/>
      <c r="TL223" s="23"/>
      <c r="TM223" s="23"/>
      <c r="TN223" s="23"/>
      <c r="TO223" s="23"/>
      <c r="TP223" s="23"/>
      <c r="TQ223" s="23"/>
      <c r="TR223" s="23"/>
      <c r="TS223" s="23"/>
    </row>
    <row r="224" spans="1:539" s="22" customFormat="1" ht="30" hidden="1" customHeight="1" x14ac:dyDescent="0.25">
      <c r="A224" s="60">
        <v>1217362</v>
      </c>
      <c r="B224" s="95">
        <f>'дод 5'!A168</f>
        <v>7362</v>
      </c>
      <c r="C224" s="95" t="str">
        <f>'дод 5'!B168</f>
        <v>0490</v>
      </c>
      <c r="D224" s="61" t="str">
        <f>'дод 5'!C168</f>
        <v>Виконання інвестиційних проектів в рамках підтримки розвитку об'єднаних територіальних громад</v>
      </c>
      <c r="E224" s="101">
        <f t="shared" si="112"/>
        <v>0</v>
      </c>
      <c r="F224" s="101"/>
      <c r="G224" s="101"/>
      <c r="H224" s="101"/>
      <c r="I224" s="101"/>
      <c r="J224" s="101"/>
      <c r="K224" s="101"/>
      <c r="L224" s="101"/>
      <c r="M224" s="157"/>
      <c r="N224" s="101">
        <f t="shared" si="117"/>
        <v>0</v>
      </c>
      <c r="O224" s="101"/>
      <c r="P224" s="101"/>
      <c r="Q224" s="101"/>
      <c r="R224" s="101"/>
      <c r="S224" s="101"/>
      <c r="T224" s="97">
        <f t="shared" si="115"/>
        <v>0</v>
      </c>
      <c r="U224" s="101"/>
      <c r="V224" s="101"/>
      <c r="W224" s="101"/>
      <c r="X224" s="101"/>
      <c r="Y224" s="101"/>
      <c r="Z224" s="157" t="e">
        <f t="shared" si="118"/>
        <v>#DIV/0!</v>
      </c>
      <c r="AA224" s="97">
        <f t="shared" si="116"/>
        <v>0</v>
      </c>
      <c r="AB224" s="101">
        <f t="shared" si="113"/>
        <v>0</v>
      </c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  <c r="TH224" s="23"/>
      <c r="TI224" s="23"/>
      <c r="TJ224" s="23"/>
      <c r="TK224" s="23"/>
      <c r="TL224" s="23"/>
      <c r="TM224" s="23"/>
      <c r="TN224" s="23"/>
      <c r="TO224" s="23"/>
      <c r="TP224" s="23"/>
      <c r="TQ224" s="23"/>
      <c r="TR224" s="23"/>
      <c r="TS224" s="23"/>
    </row>
    <row r="225" spans="1:539" s="22" customFormat="1" ht="47.25" x14ac:dyDescent="0.25">
      <c r="A225" s="60" t="s">
        <v>370</v>
      </c>
      <c r="B225" s="95">
        <v>7363</v>
      </c>
      <c r="C225" s="37" t="s">
        <v>84</v>
      </c>
      <c r="D225" s="36" t="s">
        <v>400</v>
      </c>
      <c r="E225" s="101">
        <f t="shared" si="112"/>
        <v>0</v>
      </c>
      <c r="F225" s="101"/>
      <c r="G225" s="101"/>
      <c r="H225" s="101"/>
      <c r="I225" s="101"/>
      <c r="J225" s="101"/>
      <c r="K225" s="101"/>
      <c r="L225" s="101"/>
      <c r="M225" s="157"/>
      <c r="N225" s="101">
        <f t="shared" si="117"/>
        <v>7800000</v>
      </c>
      <c r="O225" s="101">
        <f>2800000+5000000</f>
        <v>7800000</v>
      </c>
      <c r="P225" s="101"/>
      <c r="Q225" s="101"/>
      <c r="R225" s="101"/>
      <c r="S225" s="101">
        <f>2800000+5000000</f>
        <v>7800000</v>
      </c>
      <c r="T225" s="97">
        <f t="shared" si="115"/>
        <v>0</v>
      </c>
      <c r="U225" s="101"/>
      <c r="V225" s="101"/>
      <c r="W225" s="101"/>
      <c r="X225" s="101"/>
      <c r="Y225" s="101"/>
      <c r="Z225" s="157">
        <f t="shared" si="118"/>
        <v>0</v>
      </c>
      <c r="AA225" s="97">
        <f t="shared" si="116"/>
        <v>0</v>
      </c>
      <c r="AB225" s="101">
        <f t="shared" si="113"/>
        <v>7800000</v>
      </c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  <c r="TI225" s="23"/>
      <c r="TJ225" s="23"/>
      <c r="TK225" s="23"/>
      <c r="TL225" s="23"/>
      <c r="TM225" s="23"/>
      <c r="TN225" s="23"/>
      <c r="TO225" s="23"/>
      <c r="TP225" s="23"/>
      <c r="TQ225" s="23"/>
      <c r="TR225" s="23"/>
      <c r="TS225" s="23"/>
    </row>
    <row r="226" spans="1:539" s="24" customFormat="1" ht="50.25" customHeight="1" x14ac:dyDescent="0.25">
      <c r="A226" s="86"/>
      <c r="B226" s="113"/>
      <c r="C226" s="113"/>
      <c r="D226" s="89" t="s">
        <v>566</v>
      </c>
      <c r="E226" s="103">
        <f t="shared" si="112"/>
        <v>0</v>
      </c>
      <c r="F226" s="103"/>
      <c r="G226" s="103"/>
      <c r="H226" s="103"/>
      <c r="I226" s="103"/>
      <c r="J226" s="103"/>
      <c r="K226" s="103"/>
      <c r="L226" s="103"/>
      <c r="M226" s="157"/>
      <c r="N226" s="103">
        <f t="shared" si="117"/>
        <v>5000000</v>
      </c>
      <c r="O226" s="103">
        <v>5000000</v>
      </c>
      <c r="P226" s="103"/>
      <c r="Q226" s="103"/>
      <c r="R226" s="103"/>
      <c r="S226" s="103">
        <v>5000000</v>
      </c>
      <c r="T226" s="97">
        <f t="shared" si="115"/>
        <v>0</v>
      </c>
      <c r="U226" s="103"/>
      <c r="V226" s="103"/>
      <c r="W226" s="103"/>
      <c r="X226" s="103"/>
      <c r="Y226" s="103"/>
      <c r="Z226" s="157">
        <f t="shared" si="118"/>
        <v>0</v>
      </c>
      <c r="AA226" s="97">
        <f t="shared" si="116"/>
        <v>0</v>
      </c>
      <c r="AB226" s="103">
        <f t="shared" si="113"/>
        <v>5000000</v>
      </c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/>
      <c r="MA226" s="30"/>
      <c r="MB226" s="30"/>
      <c r="MC226" s="30"/>
      <c r="MD226" s="30"/>
      <c r="ME226" s="30"/>
      <c r="MF226" s="30"/>
      <c r="MG226" s="30"/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30"/>
      <c r="MW226" s="30"/>
      <c r="MX226" s="30"/>
      <c r="MY226" s="30"/>
      <c r="MZ226" s="30"/>
      <c r="NA226" s="30"/>
      <c r="NB226" s="30"/>
      <c r="NC226" s="30"/>
      <c r="ND226" s="30"/>
      <c r="NE226" s="30"/>
      <c r="NF226" s="30"/>
      <c r="NG226" s="30"/>
      <c r="NH226" s="30"/>
      <c r="NI226" s="30"/>
      <c r="NJ226" s="30"/>
      <c r="NK226" s="30"/>
      <c r="NL226" s="30"/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30"/>
      <c r="NY226" s="30"/>
      <c r="NZ226" s="30"/>
      <c r="OA226" s="30"/>
      <c r="OB226" s="30"/>
      <c r="OC226" s="30"/>
      <c r="OD226" s="30"/>
      <c r="OE226" s="30"/>
      <c r="OF226" s="30"/>
      <c r="OG226" s="30"/>
      <c r="OH226" s="30"/>
      <c r="OI226" s="30"/>
      <c r="OJ226" s="30"/>
      <c r="OK226" s="30"/>
      <c r="OL226" s="30"/>
      <c r="OM226" s="30"/>
      <c r="ON226" s="30"/>
      <c r="OO226" s="30"/>
      <c r="OP226" s="30"/>
      <c r="OQ226" s="30"/>
      <c r="OR226" s="30"/>
      <c r="OS226" s="30"/>
      <c r="OT226" s="30"/>
      <c r="OU226" s="30"/>
      <c r="OV226" s="30"/>
      <c r="OW226" s="30"/>
      <c r="OX226" s="30"/>
      <c r="OY226" s="30"/>
      <c r="OZ226" s="30"/>
      <c r="PA226" s="30"/>
      <c r="PB226" s="30"/>
      <c r="PC226" s="30"/>
      <c r="PD226" s="30"/>
      <c r="PE226" s="30"/>
      <c r="PF226" s="30"/>
      <c r="PG226" s="30"/>
      <c r="PH226" s="30"/>
      <c r="PI226" s="30"/>
      <c r="PJ226" s="30"/>
      <c r="PK226" s="30"/>
      <c r="PL226" s="30"/>
      <c r="PM226" s="30"/>
      <c r="PN226" s="30"/>
      <c r="PO226" s="30"/>
      <c r="PP226" s="30"/>
      <c r="PQ226" s="30"/>
      <c r="PR226" s="30"/>
      <c r="PS226" s="30"/>
      <c r="PT226" s="30"/>
      <c r="PU226" s="30"/>
      <c r="PV226" s="30"/>
      <c r="PW226" s="30"/>
      <c r="PX226" s="30"/>
      <c r="PY226" s="30"/>
      <c r="PZ226" s="30"/>
      <c r="QA226" s="30"/>
      <c r="QB226" s="30"/>
      <c r="QC226" s="30"/>
      <c r="QD226" s="30"/>
      <c r="QE226" s="30"/>
      <c r="QF226" s="30"/>
      <c r="QG226" s="30"/>
      <c r="QH226" s="30"/>
      <c r="QI226" s="30"/>
      <c r="QJ226" s="30"/>
      <c r="QK226" s="30"/>
      <c r="QL226" s="30"/>
      <c r="QM226" s="30"/>
      <c r="QN226" s="30"/>
      <c r="QO226" s="30"/>
      <c r="QP226" s="30"/>
      <c r="QQ226" s="30"/>
      <c r="QR226" s="30"/>
      <c r="QS226" s="30"/>
      <c r="QT226" s="30"/>
      <c r="QU226" s="30"/>
      <c r="QV226" s="30"/>
      <c r="QW226" s="30"/>
      <c r="QX226" s="30"/>
      <c r="QY226" s="30"/>
      <c r="QZ226" s="30"/>
      <c r="RA226" s="30"/>
      <c r="RB226" s="30"/>
      <c r="RC226" s="30"/>
      <c r="RD226" s="30"/>
      <c r="RE226" s="30"/>
      <c r="RF226" s="30"/>
      <c r="RG226" s="30"/>
      <c r="RH226" s="30"/>
      <c r="RI226" s="30"/>
      <c r="RJ226" s="30"/>
      <c r="RK226" s="30"/>
      <c r="RL226" s="30"/>
      <c r="RM226" s="30"/>
      <c r="RN226" s="30"/>
      <c r="RO226" s="30"/>
      <c r="RP226" s="30"/>
      <c r="RQ226" s="30"/>
      <c r="RR226" s="30"/>
      <c r="RS226" s="30"/>
      <c r="RT226" s="30"/>
      <c r="RU226" s="30"/>
      <c r="RV226" s="30"/>
      <c r="RW226" s="30"/>
      <c r="RX226" s="30"/>
      <c r="RY226" s="30"/>
      <c r="RZ226" s="30"/>
      <c r="SA226" s="30"/>
      <c r="SB226" s="30"/>
      <c r="SC226" s="30"/>
      <c r="SD226" s="30"/>
      <c r="SE226" s="30"/>
      <c r="SF226" s="30"/>
      <c r="SG226" s="30"/>
      <c r="SH226" s="30"/>
      <c r="SI226" s="30"/>
      <c r="SJ226" s="30"/>
      <c r="SK226" s="30"/>
      <c r="SL226" s="30"/>
      <c r="SM226" s="30"/>
      <c r="SN226" s="30"/>
      <c r="SO226" s="30"/>
      <c r="SP226" s="30"/>
      <c r="SQ226" s="30"/>
      <c r="SR226" s="30"/>
      <c r="SS226" s="30"/>
      <c r="ST226" s="30"/>
      <c r="SU226" s="30"/>
      <c r="SV226" s="30"/>
      <c r="SW226" s="30"/>
      <c r="SX226" s="30"/>
      <c r="SY226" s="30"/>
      <c r="SZ226" s="30"/>
      <c r="TA226" s="30"/>
      <c r="TB226" s="30"/>
      <c r="TC226" s="30"/>
      <c r="TD226" s="30"/>
      <c r="TE226" s="30"/>
      <c r="TF226" s="30"/>
      <c r="TG226" s="30"/>
      <c r="TH226" s="30"/>
      <c r="TI226" s="30"/>
      <c r="TJ226" s="30"/>
      <c r="TK226" s="30"/>
      <c r="TL226" s="30"/>
      <c r="TM226" s="30"/>
      <c r="TN226" s="30"/>
      <c r="TO226" s="30"/>
      <c r="TP226" s="30"/>
      <c r="TQ226" s="30"/>
      <c r="TR226" s="30"/>
      <c r="TS226" s="30"/>
    </row>
    <row r="227" spans="1:539" s="22" customFormat="1" ht="47.25" x14ac:dyDescent="0.25">
      <c r="A227" s="60" t="s">
        <v>376</v>
      </c>
      <c r="B227" s="95">
        <f>'дод 5'!A178</f>
        <v>7462</v>
      </c>
      <c r="C227" s="60" t="s">
        <v>402</v>
      </c>
      <c r="D227" s="120" t="s">
        <v>401</v>
      </c>
      <c r="E227" s="101">
        <f t="shared" ref="E227:E230" si="122">F227+I227</f>
        <v>1527346</v>
      </c>
      <c r="F227" s="101">
        <v>1527346</v>
      </c>
      <c r="G227" s="101"/>
      <c r="H227" s="101"/>
      <c r="I227" s="101"/>
      <c r="J227" s="101"/>
      <c r="K227" s="101"/>
      <c r="L227" s="101"/>
      <c r="M227" s="157">
        <f t="shared" si="114"/>
        <v>0</v>
      </c>
      <c r="N227" s="101">
        <f t="shared" ref="N227:N230" si="123">P227+S227</f>
        <v>0</v>
      </c>
      <c r="O227" s="101"/>
      <c r="P227" s="101"/>
      <c r="Q227" s="101"/>
      <c r="R227" s="101"/>
      <c r="S227" s="101"/>
      <c r="T227" s="97">
        <f t="shared" si="115"/>
        <v>0</v>
      </c>
      <c r="U227" s="101"/>
      <c r="V227" s="101"/>
      <c r="W227" s="101"/>
      <c r="X227" s="101"/>
      <c r="Y227" s="101"/>
      <c r="Z227" s="157"/>
      <c r="AA227" s="97">
        <f t="shared" si="116"/>
        <v>0</v>
      </c>
      <c r="AB227" s="101">
        <f t="shared" ref="AB227:AB230" si="124">E227+N227</f>
        <v>1527346</v>
      </c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  <c r="TI227" s="23"/>
      <c r="TJ227" s="23"/>
      <c r="TK227" s="23"/>
      <c r="TL227" s="23"/>
      <c r="TM227" s="23"/>
      <c r="TN227" s="23"/>
      <c r="TO227" s="23"/>
      <c r="TP227" s="23"/>
      <c r="TQ227" s="23"/>
      <c r="TR227" s="23"/>
      <c r="TS227" s="23"/>
    </row>
    <row r="228" spans="1:539" s="24" customFormat="1" ht="110.25" hidden="1" customHeight="1" x14ac:dyDescent="0.25">
      <c r="A228" s="86"/>
      <c r="B228" s="113"/>
      <c r="C228" s="113"/>
      <c r="D228" s="89" t="s">
        <v>399</v>
      </c>
      <c r="E228" s="103">
        <f t="shared" si="122"/>
        <v>0</v>
      </c>
      <c r="F228" s="103"/>
      <c r="G228" s="103"/>
      <c r="H228" s="103"/>
      <c r="I228" s="103"/>
      <c r="J228" s="103"/>
      <c r="K228" s="103"/>
      <c r="L228" s="103"/>
      <c r="M228" s="157" t="e">
        <f t="shared" si="114"/>
        <v>#DIV/0!</v>
      </c>
      <c r="N228" s="103">
        <f t="shared" si="123"/>
        <v>0</v>
      </c>
      <c r="O228" s="103"/>
      <c r="P228" s="103"/>
      <c r="Q228" s="103"/>
      <c r="R228" s="103"/>
      <c r="S228" s="103"/>
      <c r="T228" s="97">
        <f t="shared" si="115"/>
        <v>0</v>
      </c>
      <c r="U228" s="103"/>
      <c r="V228" s="103"/>
      <c r="W228" s="103"/>
      <c r="X228" s="103"/>
      <c r="Y228" s="103"/>
      <c r="Z228" s="157"/>
      <c r="AA228" s="97">
        <f t="shared" si="116"/>
        <v>0</v>
      </c>
      <c r="AB228" s="103">
        <f t="shared" si="124"/>
        <v>0</v>
      </c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  <c r="SO228" s="30"/>
      <c r="SP228" s="30"/>
      <c r="SQ228" s="30"/>
      <c r="SR228" s="30"/>
      <c r="SS228" s="30"/>
      <c r="ST228" s="30"/>
      <c r="SU228" s="30"/>
      <c r="SV228" s="30"/>
      <c r="SW228" s="30"/>
      <c r="SX228" s="30"/>
      <c r="SY228" s="30"/>
      <c r="SZ228" s="30"/>
      <c r="TA228" s="30"/>
      <c r="TB228" s="30"/>
      <c r="TC228" s="30"/>
      <c r="TD228" s="30"/>
      <c r="TE228" s="30"/>
      <c r="TF228" s="30"/>
      <c r="TG228" s="30"/>
      <c r="TH228" s="30"/>
      <c r="TI228" s="30"/>
      <c r="TJ228" s="30"/>
      <c r="TK228" s="30"/>
      <c r="TL228" s="30"/>
      <c r="TM228" s="30"/>
      <c r="TN228" s="30"/>
      <c r="TO228" s="30"/>
      <c r="TP228" s="30"/>
      <c r="TQ228" s="30"/>
      <c r="TR228" s="30"/>
      <c r="TS228" s="30"/>
    </row>
    <row r="229" spans="1:539" s="24" customFormat="1" ht="78.75" x14ac:dyDescent="0.25">
      <c r="A229" s="86"/>
      <c r="B229" s="113"/>
      <c r="C229" s="113"/>
      <c r="D229" s="89" t="s">
        <v>550</v>
      </c>
      <c r="E229" s="103">
        <f t="shared" si="122"/>
        <v>1527346</v>
      </c>
      <c r="F229" s="103">
        <v>1527346</v>
      </c>
      <c r="G229" s="103"/>
      <c r="H229" s="103"/>
      <c r="I229" s="103"/>
      <c r="J229" s="103"/>
      <c r="K229" s="103"/>
      <c r="L229" s="103"/>
      <c r="M229" s="157">
        <f t="shared" si="114"/>
        <v>0</v>
      </c>
      <c r="N229" s="103">
        <f t="shared" si="123"/>
        <v>0</v>
      </c>
      <c r="O229" s="103"/>
      <c r="P229" s="103"/>
      <c r="Q229" s="103"/>
      <c r="R229" s="103"/>
      <c r="S229" s="103"/>
      <c r="T229" s="97">
        <f t="shared" si="115"/>
        <v>0</v>
      </c>
      <c r="U229" s="103"/>
      <c r="V229" s="103"/>
      <c r="W229" s="103"/>
      <c r="X229" s="103"/>
      <c r="Y229" s="103"/>
      <c r="Z229" s="157"/>
      <c r="AA229" s="97">
        <f t="shared" si="116"/>
        <v>0</v>
      </c>
      <c r="AB229" s="103">
        <f t="shared" si="124"/>
        <v>1527346</v>
      </c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  <c r="LU229" s="30"/>
      <c r="LV229" s="30"/>
      <c r="LW229" s="30"/>
      <c r="LX229" s="30"/>
      <c r="LY229" s="30"/>
      <c r="LZ229" s="30"/>
      <c r="MA229" s="30"/>
      <c r="MB229" s="30"/>
      <c r="MC229" s="30"/>
      <c r="MD229" s="30"/>
      <c r="ME229" s="30"/>
      <c r="MF229" s="30"/>
      <c r="MG229" s="30"/>
      <c r="MH229" s="30"/>
      <c r="MI229" s="30"/>
      <c r="MJ229" s="30"/>
      <c r="MK229" s="30"/>
      <c r="ML229" s="30"/>
      <c r="MM229" s="30"/>
      <c r="MN229" s="30"/>
      <c r="MO229" s="30"/>
      <c r="MP229" s="30"/>
      <c r="MQ229" s="30"/>
      <c r="MR229" s="30"/>
      <c r="MS229" s="30"/>
      <c r="MT229" s="30"/>
      <c r="MU229" s="30"/>
      <c r="MV229" s="30"/>
      <c r="MW229" s="30"/>
      <c r="MX229" s="30"/>
      <c r="MY229" s="30"/>
      <c r="MZ229" s="30"/>
      <c r="NA229" s="30"/>
      <c r="NB229" s="30"/>
      <c r="NC229" s="30"/>
      <c r="ND229" s="30"/>
      <c r="NE229" s="30"/>
      <c r="NF229" s="30"/>
      <c r="NG229" s="30"/>
      <c r="NH229" s="30"/>
      <c r="NI229" s="30"/>
      <c r="NJ229" s="30"/>
      <c r="NK229" s="30"/>
      <c r="NL229" s="30"/>
      <c r="NM229" s="30"/>
      <c r="NN229" s="30"/>
      <c r="NO229" s="30"/>
      <c r="NP229" s="30"/>
      <c r="NQ229" s="30"/>
      <c r="NR229" s="30"/>
      <c r="NS229" s="30"/>
      <c r="NT229" s="30"/>
      <c r="NU229" s="30"/>
      <c r="NV229" s="30"/>
      <c r="NW229" s="30"/>
      <c r="NX229" s="30"/>
      <c r="NY229" s="30"/>
      <c r="NZ229" s="30"/>
      <c r="OA229" s="30"/>
      <c r="OB229" s="30"/>
      <c r="OC229" s="30"/>
      <c r="OD229" s="30"/>
      <c r="OE229" s="30"/>
      <c r="OF229" s="30"/>
      <c r="OG229" s="30"/>
      <c r="OH229" s="30"/>
      <c r="OI229" s="30"/>
      <c r="OJ229" s="30"/>
      <c r="OK229" s="30"/>
      <c r="OL229" s="30"/>
      <c r="OM229" s="30"/>
      <c r="ON229" s="30"/>
      <c r="OO229" s="30"/>
      <c r="OP229" s="30"/>
      <c r="OQ229" s="30"/>
      <c r="OR229" s="30"/>
      <c r="OS229" s="30"/>
      <c r="OT229" s="30"/>
      <c r="OU229" s="30"/>
      <c r="OV229" s="30"/>
      <c r="OW229" s="30"/>
      <c r="OX229" s="30"/>
      <c r="OY229" s="30"/>
      <c r="OZ229" s="30"/>
      <c r="PA229" s="30"/>
      <c r="PB229" s="30"/>
      <c r="PC229" s="30"/>
      <c r="PD229" s="30"/>
      <c r="PE229" s="30"/>
      <c r="PF229" s="30"/>
      <c r="PG229" s="30"/>
      <c r="PH229" s="30"/>
      <c r="PI229" s="30"/>
      <c r="PJ229" s="30"/>
      <c r="PK229" s="30"/>
      <c r="PL229" s="30"/>
      <c r="PM229" s="30"/>
      <c r="PN229" s="30"/>
      <c r="PO229" s="30"/>
      <c r="PP229" s="30"/>
      <c r="PQ229" s="30"/>
      <c r="PR229" s="30"/>
      <c r="PS229" s="30"/>
      <c r="PT229" s="30"/>
      <c r="PU229" s="30"/>
      <c r="PV229" s="30"/>
      <c r="PW229" s="30"/>
      <c r="PX229" s="30"/>
      <c r="PY229" s="30"/>
      <c r="PZ229" s="30"/>
      <c r="QA229" s="30"/>
      <c r="QB229" s="30"/>
      <c r="QC229" s="30"/>
      <c r="QD229" s="30"/>
      <c r="QE229" s="30"/>
      <c r="QF229" s="30"/>
      <c r="QG229" s="30"/>
      <c r="QH229" s="30"/>
      <c r="QI229" s="30"/>
      <c r="QJ229" s="30"/>
      <c r="QK229" s="30"/>
      <c r="QL229" s="30"/>
      <c r="QM229" s="30"/>
      <c r="QN229" s="30"/>
      <c r="QO229" s="30"/>
      <c r="QP229" s="30"/>
      <c r="QQ229" s="30"/>
      <c r="QR229" s="30"/>
      <c r="QS229" s="30"/>
      <c r="QT229" s="30"/>
      <c r="QU229" s="30"/>
      <c r="QV229" s="30"/>
      <c r="QW229" s="30"/>
      <c r="QX229" s="30"/>
      <c r="QY229" s="30"/>
      <c r="QZ229" s="30"/>
      <c r="RA229" s="30"/>
      <c r="RB229" s="30"/>
      <c r="RC229" s="30"/>
      <c r="RD229" s="30"/>
      <c r="RE229" s="30"/>
      <c r="RF229" s="30"/>
      <c r="RG229" s="30"/>
      <c r="RH229" s="30"/>
      <c r="RI229" s="30"/>
      <c r="RJ229" s="30"/>
      <c r="RK229" s="30"/>
      <c r="RL229" s="30"/>
      <c r="RM229" s="30"/>
      <c r="RN229" s="30"/>
      <c r="RO229" s="30"/>
      <c r="RP229" s="30"/>
      <c r="RQ229" s="30"/>
      <c r="RR229" s="30"/>
      <c r="RS229" s="30"/>
      <c r="RT229" s="30"/>
      <c r="RU229" s="30"/>
      <c r="RV229" s="30"/>
      <c r="RW229" s="30"/>
      <c r="RX229" s="30"/>
      <c r="RY229" s="30"/>
      <c r="RZ229" s="30"/>
      <c r="SA229" s="30"/>
      <c r="SB229" s="30"/>
      <c r="SC229" s="30"/>
      <c r="SD229" s="30"/>
      <c r="SE229" s="30"/>
      <c r="SF229" s="30"/>
      <c r="SG229" s="30"/>
      <c r="SH229" s="30"/>
      <c r="SI229" s="30"/>
      <c r="SJ229" s="30"/>
      <c r="SK229" s="30"/>
      <c r="SL229" s="30"/>
      <c r="SM229" s="30"/>
      <c r="SN229" s="30"/>
      <c r="SO229" s="30"/>
      <c r="SP229" s="30"/>
      <c r="SQ229" s="30"/>
      <c r="SR229" s="30"/>
      <c r="SS229" s="30"/>
      <c r="ST229" s="30"/>
      <c r="SU229" s="30"/>
      <c r="SV229" s="30"/>
      <c r="SW229" s="30"/>
      <c r="SX229" s="30"/>
      <c r="SY229" s="30"/>
      <c r="SZ229" s="30"/>
      <c r="TA229" s="30"/>
      <c r="TB229" s="30"/>
      <c r="TC229" s="30"/>
      <c r="TD229" s="30"/>
      <c r="TE229" s="30"/>
      <c r="TF229" s="30"/>
      <c r="TG229" s="30"/>
      <c r="TH229" s="30"/>
      <c r="TI229" s="30"/>
      <c r="TJ229" s="30"/>
      <c r="TK229" s="30"/>
      <c r="TL229" s="30"/>
      <c r="TM229" s="30"/>
      <c r="TN229" s="30"/>
      <c r="TO229" s="30"/>
      <c r="TP229" s="30"/>
      <c r="TQ229" s="30"/>
      <c r="TR229" s="30"/>
      <c r="TS229" s="30"/>
    </row>
    <row r="230" spans="1:539" s="24" customFormat="1" ht="31.5" hidden="1" customHeight="1" x14ac:dyDescent="0.25">
      <c r="A230" s="60" t="s">
        <v>431</v>
      </c>
      <c r="B230" s="95">
        <v>7530</v>
      </c>
      <c r="C230" s="60" t="s">
        <v>238</v>
      </c>
      <c r="D230" s="96" t="s">
        <v>236</v>
      </c>
      <c r="E230" s="101">
        <f t="shared" si="122"/>
        <v>0</v>
      </c>
      <c r="F230" s="101"/>
      <c r="G230" s="103"/>
      <c r="H230" s="103"/>
      <c r="I230" s="103"/>
      <c r="J230" s="103"/>
      <c r="K230" s="103"/>
      <c r="L230" s="103"/>
      <c r="M230" s="157" t="e">
        <f t="shared" si="114"/>
        <v>#DIV/0!</v>
      </c>
      <c r="N230" s="101">
        <f t="shared" si="123"/>
        <v>0</v>
      </c>
      <c r="O230" s="101"/>
      <c r="P230" s="101"/>
      <c r="Q230" s="101"/>
      <c r="R230" s="101"/>
      <c r="S230" s="101"/>
      <c r="T230" s="97">
        <f t="shared" si="115"/>
        <v>0</v>
      </c>
      <c r="U230" s="101"/>
      <c r="V230" s="101"/>
      <c r="W230" s="101"/>
      <c r="X230" s="101"/>
      <c r="Y230" s="101"/>
      <c r="Z230" s="157"/>
      <c r="AA230" s="97">
        <f t="shared" si="116"/>
        <v>0</v>
      </c>
      <c r="AB230" s="101">
        <f t="shared" si="124"/>
        <v>0</v>
      </c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  <c r="LU230" s="30"/>
      <c r="LV230" s="30"/>
      <c r="LW230" s="30"/>
      <c r="LX230" s="30"/>
      <c r="LY230" s="30"/>
      <c r="LZ230" s="30"/>
      <c r="MA230" s="30"/>
      <c r="MB230" s="30"/>
      <c r="MC230" s="30"/>
      <c r="MD230" s="30"/>
      <c r="ME230" s="30"/>
      <c r="MF230" s="30"/>
      <c r="MG230" s="30"/>
      <c r="MH230" s="30"/>
      <c r="MI230" s="30"/>
      <c r="MJ230" s="30"/>
      <c r="MK230" s="30"/>
      <c r="ML230" s="30"/>
      <c r="MM230" s="30"/>
      <c r="MN230" s="30"/>
      <c r="MO230" s="30"/>
      <c r="MP230" s="30"/>
      <c r="MQ230" s="30"/>
      <c r="MR230" s="30"/>
      <c r="MS230" s="30"/>
      <c r="MT230" s="30"/>
      <c r="MU230" s="30"/>
      <c r="MV230" s="30"/>
      <c r="MW230" s="30"/>
      <c r="MX230" s="30"/>
      <c r="MY230" s="30"/>
      <c r="MZ230" s="30"/>
      <c r="NA230" s="30"/>
      <c r="NB230" s="30"/>
      <c r="NC230" s="30"/>
      <c r="ND230" s="30"/>
      <c r="NE230" s="30"/>
      <c r="NF230" s="30"/>
      <c r="NG230" s="30"/>
      <c r="NH230" s="30"/>
      <c r="NI230" s="30"/>
      <c r="NJ230" s="30"/>
      <c r="NK230" s="30"/>
      <c r="NL230" s="30"/>
      <c r="NM230" s="30"/>
      <c r="NN230" s="30"/>
      <c r="NO230" s="30"/>
      <c r="NP230" s="30"/>
      <c r="NQ230" s="30"/>
      <c r="NR230" s="30"/>
      <c r="NS230" s="30"/>
      <c r="NT230" s="30"/>
      <c r="NU230" s="30"/>
      <c r="NV230" s="30"/>
      <c r="NW230" s="30"/>
      <c r="NX230" s="30"/>
      <c r="NY230" s="30"/>
      <c r="NZ230" s="30"/>
      <c r="OA230" s="30"/>
      <c r="OB230" s="30"/>
      <c r="OC230" s="30"/>
      <c r="OD230" s="30"/>
      <c r="OE230" s="30"/>
      <c r="OF230" s="30"/>
      <c r="OG230" s="30"/>
      <c r="OH230" s="30"/>
      <c r="OI230" s="30"/>
      <c r="OJ230" s="30"/>
      <c r="OK230" s="30"/>
      <c r="OL230" s="30"/>
      <c r="OM230" s="30"/>
      <c r="ON230" s="30"/>
      <c r="OO230" s="30"/>
      <c r="OP230" s="30"/>
      <c r="OQ230" s="30"/>
      <c r="OR230" s="30"/>
      <c r="OS230" s="30"/>
      <c r="OT230" s="30"/>
      <c r="OU230" s="30"/>
      <c r="OV230" s="30"/>
      <c r="OW230" s="30"/>
      <c r="OX230" s="30"/>
      <c r="OY230" s="30"/>
      <c r="OZ230" s="30"/>
      <c r="PA230" s="30"/>
      <c r="PB230" s="30"/>
      <c r="PC230" s="30"/>
      <c r="PD230" s="30"/>
      <c r="PE230" s="30"/>
      <c r="PF230" s="30"/>
      <c r="PG230" s="30"/>
      <c r="PH230" s="30"/>
      <c r="PI230" s="30"/>
      <c r="PJ230" s="30"/>
      <c r="PK230" s="30"/>
      <c r="PL230" s="30"/>
      <c r="PM230" s="30"/>
      <c r="PN230" s="30"/>
      <c r="PO230" s="30"/>
      <c r="PP230" s="30"/>
      <c r="PQ230" s="30"/>
      <c r="PR230" s="30"/>
      <c r="PS230" s="30"/>
      <c r="PT230" s="30"/>
      <c r="PU230" s="30"/>
      <c r="PV230" s="30"/>
      <c r="PW230" s="30"/>
      <c r="PX230" s="30"/>
      <c r="PY230" s="30"/>
      <c r="PZ230" s="30"/>
      <c r="QA230" s="30"/>
      <c r="QB230" s="30"/>
      <c r="QC230" s="30"/>
      <c r="QD230" s="30"/>
      <c r="QE230" s="30"/>
      <c r="QF230" s="30"/>
      <c r="QG230" s="30"/>
      <c r="QH230" s="30"/>
      <c r="QI230" s="30"/>
      <c r="QJ230" s="30"/>
      <c r="QK230" s="30"/>
      <c r="QL230" s="30"/>
      <c r="QM230" s="30"/>
      <c r="QN230" s="30"/>
      <c r="QO230" s="30"/>
      <c r="QP230" s="30"/>
      <c r="QQ230" s="30"/>
      <c r="QR230" s="30"/>
      <c r="QS230" s="30"/>
      <c r="QT230" s="30"/>
      <c r="QU230" s="30"/>
      <c r="QV230" s="30"/>
      <c r="QW230" s="30"/>
      <c r="QX230" s="30"/>
      <c r="QY230" s="30"/>
      <c r="QZ230" s="30"/>
      <c r="RA230" s="30"/>
      <c r="RB230" s="30"/>
      <c r="RC230" s="30"/>
      <c r="RD230" s="30"/>
      <c r="RE230" s="30"/>
      <c r="RF230" s="30"/>
      <c r="RG230" s="30"/>
      <c r="RH230" s="30"/>
      <c r="RI230" s="30"/>
      <c r="RJ230" s="30"/>
      <c r="RK230" s="30"/>
      <c r="RL230" s="30"/>
      <c r="RM230" s="30"/>
      <c r="RN230" s="30"/>
      <c r="RO230" s="30"/>
      <c r="RP230" s="30"/>
      <c r="RQ230" s="30"/>
      <c r="RR230" s="30"/>
      <c r="RS230" s="30"/>
      <c r="RT230" s="30"/>
      <c r="RU230" s="30"/>
      <c r="RV230" s="30"/>
      <c r="RW230" s="30"/>
      <c r="RX230" s="30"/>
      <c r="RY230" s="30"/>
      <c r="RZ230" s="30"/>
      <c r="SA230" s="30"/>
      <c r="SB230" s="30"/>
      <c r="SC230" s="30"/>
      <c r="SD230" s="30"/>
      <c r="SE230" s="30"/>
      <c r="SF230" s="30"/>
      <c r="SG230" s="30"/>
      <c r="SH230" s="30"/>
      <c r="SI230" s="30"/>
      <c r="SJ230" s="30"/>
      <c r="SK230" s="30"/>
      <c r="SL230" s="30"/>
      <c r="SM230" s="30"/>
      <c r="SN230" s="30"/>
      <c r="SO230" s="30"/>
      <c r="SP230" s="30"/>
      <c r="SQ230" s="30"/>
      <c r="SR230" s="30"/>
      <c r="SS230" s="30"/>
      <c r="ST230" s="30"/>
      <c r="SU230" s="30"/>
      <c r="SV230" s="30"/>
      <c r="SW230" s="30"/>
      <c r="SX230" s="30"/>
      <c r="SY230" s="30"/>
      <c r="SZ230" s="30"/>
      <c r="TA230" s="30"/>
      <c r="TB230" s="30"/>
      <c r="TC230" s="30"/>
      <c r="TD230" s="30"/>
      <c r="TE230" s="30"/>
      <c r="TF230" s="30"/>
      <c r="TG230" s="30"/>
      <c r="TH230" s="30"/>
      <c r="TI230" s="30"/>
      <c r="TJ230" s="30"/>
      <c r="TK230" s="30"/>
      <c r="TL230" s="30"/>
      <c r="TM230" s="30"/>
      <c r="TN230" s="30"/>
      <c r="TO230" s="30"/>
      <c r="TP230" s="30"/>
      <c r="TQ230" s="30"/>
      <c r="TR230" s="30"/>
      <c r="TS230" s="30"/>
    </row>
    <row r="231" spans="1:539" s="22" customFormat="1" ht="20.25" customHeight="1" x14ac:dyDescent="0.25">
      <c r="A231" s="60" t="s">
        <v>204</v>
      </c>
      <c r="B231" s="95" t="str">
        <f>'дод 5'!A189</f>
        <v>7640</v>
      </c>
      <c r="C231" s="95" t="str">
        <f>'дод 5'!B189</f>
        <v>0470</v>
      </c>
      <c r="D231" s="61" t="s">
        <v>424</v>
      </c>
      <c r="E231" s="101">
        <f t="shared" si="112"/>
        <v>2700000</v>
      </c>
      <c r="F231" s="101">
        <v>700000</v>
      </c>
      <c r="G231" s="101"/>
      <c r="H231" s="101"/>
      <c r="I231" s="101">
        <f>1500000+500000</f>
        <v>2000000</v>
      </c>
      <c r="J231" s="101">
        <v>789451.33</v>
      </c>
      <c r="K231" s="101"/>
      <c r="L231" s="101"/>
      <c r="M231" s="157">
        <f t="shared" si="114"/>
        <v>29.238938148148147</v>
      </c>
      <c r="N231" s="101">
        <f t="shared" si="117"/>
        <v>0</v>
      </c>
      <c r="O231" s="101"/>
      <c r="P231" s="101"/>
      <c r="Q231" s="101"/>
      <c r="R231" s="101"/>
      <c r="S231" s="101"/>
      <c r="T231" s="97">
        <f t="shared" si="115"/>
        <v>0</v>
      </c>
      <c r="U231" s="101"/>
      <c r="V231" s="101"/>
      <c r="W231" s="101"/>
      <c r="X231" s="101"/>
      <c r="Y231" s="101"/>
      <c r="Z231" s="157"/>
      <c r="AA231" s="97">
        <f t="shared" si="116"/>
        <v>789451.33</v>
      </c>
      <c r="AB231" s="101">
        <f t="shared" si="113"/>
        <v>2700000</v>
      </c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  <c r="TJ231" s="23"/>
      <c r="TK231" s="23"/>
      <c r="TL231" s="23"/>
      <c r="TM231" s="23"/>
      <c r="TN231" s="23"/>
      <c r="TO231" s="23"/>
      <c r="TP231" s="23"/>
      <c r="TQ231" s="23"/>
      <c r="TR231" s="23"/>
      <c r="TS231" s="23"/>
    </row>
    <row r="232" spans="1:539" s="22" customFormat="1" ht="30" customHeight="1" x14ac:dyDescent="0.25">
      <c r="A232" s="60" t="s">
        <v>333</v>
      </c>
      <c r="B232" s="95" t="str">
        <f>'дод 5'!A193</f>
        <v>7670</v>
      </c>
      <c r="C232" s="95" t="str">
        <f>'дод 5'!B193</f>
        <v>0490</v>
      </c>
      <c r="D232" s="61" t="str">
        <f>'дод 5'!C193</f>
        <v>Внески до статутного капіталу суб’єктів господарювання, у т. ч. за рахунок:</v>
      </c>
      <c r="E232" s="101">
        <f t="shared" si="112"/>
        <v>0</v>
      </c>
      <c r="F232" s="101"/>
      <c r="G232" s="101"/>
      <c r="H232" s="101"/>
      <c r="I232" s="101"/>
      <c r="J232" s="101"/>
      <c r="K232" s="101"/>
      <c r="L232" s="101"/>
      <c r="M232" s="157"/>
      <c r="N232" s="101">
        <f t="shared" si="117"/>
        <v>46790000</v>
      </c>
      <c r="O232" s="101">
        <v>46790000</v>
      </c>
      <c r="P232" s="101"/>
      <c r="Q232" s="101"/>
      <c r="R232" s="101"/>
      <c r="S232" s="101">
        <v>46790000</v>
      </c>
      <c r="T232" s="97">
        <f t="shared" si="115"/>
        <v>0</v>
      </c>
      <c r="U232" s="101"/>
      <c r="V232" s="101"/>
      <c r="W232" s="101"/>
      <c r="X232" s="101"/>
      <c r="Y232" s="101"/>
      <c r="Z232" s="157">
        <f t="shared" si="118"/>
        <v>0</v>
      </c>
      <c r="AA232" s="97">
        <f t="shared" si="116"/>
        <v>0</v>
      </c>
      <c r="AB232" s="101">
        <f t="shared" si="113"/>
        <v>46790000</v>
      </c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  <c r="TI232" s="23"/>
      <c r="TJ232" s="23"/>
      <c r="TK232" s="23"/>
      <c r="TL232" s="23"/>
      <c r="TM232" s="23"/>
      <c r="TN232" s="23"/>
      <c r="TO232" s="23"/>
      <c r="TP232" s="23"/>
      <c r="TQ232" s="23"/>
      <c r="TR232" s="23"/>
      <c r="TS232" s="23"/>
    </row>
    <row r="233" spans="1:539" s="24" customFormat="1" ht="18.75" customHeight="1" x14ac:dyDescent="0.25">
      <c r="A233" s="86"/>
      <c r="B233" s="113"/>
      <c r="C233" s="113"/>
      <c r="D233" s="87" t="s">
        <v>421</v>
      </c>
      <c r="E233" s="103">
        <f t="shared" si="112"/>
        <v>0</v>
      </c>
      <c r="F233" s="103"/>
      <c r="G233" s="103"/>
      <c r="H233" s="103"/>
      <c r="I233" s="103"/>
      <c r="J233" s="103"/>
      <c r="K233" s="103"/>
      <c r="L233" s="103"/>
      <c r="M233" s="157"/>
      <c r="N233" s="103">
        <f t="shared" si="117"/>
        <v>26250000</v>
      </c>
      <c r="O233" s="103">
        <v>26250000</v>
      </c>
      <c r="P233" s="103"/>
      <c r="Q233" s="103"/>
      <c r="R233" s="103"/>
      <c r="S233" s="103">
        <v>26250000</v>
      </c>
      <c r="T233" s="97">
        <f t="shared" si="115"/>
        <v>0</v>
      </c>
      <c r="U233" s="103"/>
      <c r="V233" s="103"/>
      <c r="W233" s="103"/>
      <c r="X233" s="103"/>
      <c r="Y233" s="103"/>
      <c r="Z233" s="157">
        <f t="shared" si="118"/>
        <v>0</v>
      </c>
      <c r="AA233" s="97">
        <f t="shared" si="116"/>
        <v>0</v>
      </c>
      <c r="AB233" s="103">
        <f t="shared" si="113"/>
        <v>26250000</v>
      </c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30"/>
      <c r="JA233" s="30"/>
      <c r="JB233" s="30"/>
      <c r="JC233" s="30"/>
      <c r="JD233" s="30"/>
      <c r="JE233" s="30"/>
      <c r="JF233" s="30"/>
      <c r="JG233" s="30"/>
      <c r="JH233" s="30"/>
      <c r="JI233" s="30"/>
      <c r="JJ233" s="30"/>
      <c r="JK233" s="30"/>
      <c r="JL233" s="30"/>
      <c r="JM233" s="30"/>
      <c r="JN233" s="30"/>
      <c r="JO233" s="30"/>
      <c r="JP233" s="30"/>
      <c r="JQ233" s="30"/>
      <c r="JR233" s="30"/>
      <c r="JS233" s="30"/>
      <c r="JT233" s="30"/>
      <c r="JU233" s="30"/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30"/>
      <c r="KG233" s="30"/>
      <c r="KH233" s="30"/>
      <c r="KI233" s="30"/>
      <c r="KJ233" s="30"/>
      <c r="KK233" s="30"/>
      <c r="KL233" s="30"/>
      <c r="KM233" s="30"/>
      <c r="KN233" s="30"/>
      <c r="KO233" s="30"/>
      <c r="KP233" s="30"/>
      <c r="KQ233" s="30"/>
      <c r="KR233" s="30"/>
      <c r="KS233" s="30"/>
      <c r="KT233" s="30"/>
      <c r="KU233" s="30"/>
      <c r="KV233" s="30"/>
      <c r="KW233" s="30"/>
      <c r="KX233" s="30"/>
      <c r="KY233" s="30"/>
      <c r="KZ233" s="30"/>
      <c r="LA233" s="30"/>
      <c r="LB233" s="30"/>
      <c r="LC233" s="30"/>
      <c r="LD233" s="30"/>
      <c r="LE233" s="30"/>
      <c r="LF233" s="30"/>
      <c r="LG233" s="30"/>
      <c r="LH233" s="30"/>
      <c r="LI233" s="30"/>
      <c r="LJ233" s="30"/>
      <c r="LK233" s="30"/>
      <c r="LL233" s="30"/>
      <c r="LM233" s="30"/>
      <c r="LN233" s="30"/>
      <c r="LO233" s="30"/>
      <c r="LP233" s="30"/>
      <c r="LQ233" s="30"/>
      <c r="LR233" s="30"/>
      <c r="LS233" s="30"/>
      <c r="LT233" s="30"/>
      <c r="LU233" s="30"/>
      <c r="LV233" s="30"/>
      <c r="LW233" s="30"/>
      <c r="LX233" s="30"/>
      <c r="LY233" s="30"/>
      <c r="LZ233" s="30"/>
      <c r="MA233" s="30"/>
      <c r="MB233" s="30"/>
      <c r="MC233" s="30"/>
      <c r="MD233" s="30"/>
      <c r="ME233" s="30"/>
      <c r="MF233" s="30"/>
      <c r="MG233" s="30"/>
      <c r="MH233" s="30"/>
      <c r="MI233" s="30"/>
      <c r="MJ233" s="30"/>
      <c r="MK233" s="30"/>
      <c r="ML233" s="30"/>
      <c r="MM233" s="30"/>
      <c r="MN233" s="30"/>
      <c r="MO233" s="30"/>
      <c r="MP233" s="30"/>
      <c r="MQ233" s="30"/>
      <c r="MR233" s="30"/>
      <c r="MS233" s="30"/>
      <c r="MT233" s="30"/>
      <c r="MU233" s="30"/>
      <c r="MV233" s="30"/>
      <c r="MW233" s="30"/>
      <c r="MX233" s="30"/>
      <c r="MY233" s="30"/>
      <c r="MZ233" s="30"/>
      <c r="NA233" s="30"/>
      <c r="NB233" s="30"/>
      <c r="NC233" s="30"/>
      <c r="ND233" s="30"/>
      <c r="NE233" s="30"/>
      <c r="NF233" s="30"/>
      <c r="NG233" s="30"/>
      <c r="NH233" s="30"/>
      <c r="NI233" s="30"/>
      <c r="NJ233" s="30"/>
      <c r="NK233" s="30"/>
      <c r="NL233" s="30"/>
      <c r="NM233" s="30"/>
      <c r="NN233" s="30"/>
      <c r="NO233" s="30"/>
      <c r="NP233" s="30"/>
      <c r="NQ233" s="30"/>
      <c r="NR233" s="30"/>
      <c r="NS233" s="30"/>
      <c r="NT233" s="30"/>
      <c r="NU233" s="30"/>
      <c r="NV233" s="30"/>
      <c r="NW233" s="30"/>
      <c r="NX233" s="30"/>
      <c r="NY233" s="30"/>
      <c r="NZ233" s="30"/>
      <c r="OA233" s="30"/>
      <c r="OB233" s="30"/>
      <c r="OC233" s="30"/>
      <c r="OD233" s="30"/>
      <c r="OE233" s="30"/>
      <c r="OF233" s="30"/>
      <c r="OG233" s="30"/>
      <c r="OH233" s="30"/>
      <c r="OI233" s="30"/>
      <c r="OJ233" s="30"/>
      <c r="OK233" s="30"/>
      <c r="OL233" s="30"/>
      <c r="OM233" s="30"/>
      <c r="ON233" s="30"/>
      <c r="OO233" s="30"/>
      <c r="OP233" s="30"/>
      <c r="OQ233" s="30"/>
      <c r="OR233" s="30"/>
      <c r="OS233" s="30"/>
      <c r="OT233" s="30"/>
      <c r="OU233" s="30"/>
      <c r="OV233" s="30"/>
      <c r="OW233" s="30"/>
      <c r="OX233" s="30"/>
      <c r="OY233" s="30"/>
      <c r="OZ233" s="30"/>
      <c r="PA233" s="30"/>
      <c r="PB233" s="30"/>
      <c r="PC233" s="30"/>
      <c r="PD233" s="30"/>
      <c r="PE233" s="30"/>
      <c r="PF233" s="30"/>
      <c r="PG233" s="30"/>
      <c r="PH233" s="30"/>
      <c r="PI233" s="30"/>
      <c r="PJ233" s="30"/>
      <c r="PK233" s="30"/>
      <c r="PL233" s="30"/>
      <c r="PM233" s="30"/>
      <c r="PN233" s="30"/>
      <c r="PO233" s="30"/>
      <c r="PP233" s="30"/>
      <c r="PQ233" s="30"/>
      <c r="PR233" s="30"/>
      <c r="PS233" s="30"/>
      <c r="PT233" s="30"/>
      <c r="PU233" s="30"/>
      <c r="PV233" s="30"/>
      <c r="PW233" s="30"/>
      <c r="PX233" s="30"/>
      <c r="PY233" s="30"/>
      <c r="PZ233" s="30"/>
      <c r="QA233" s="30"/>
      <c r="QB233" s="30"/>
      <c r="QC233" s="30"/>
      <c r="QD233" s="30"/>
      <c r="QE233" s="30"/>
      <c r="QF233" s="30"/>
      <c r="QG233" s="30"/>
      <c r="QH233" s="30"/>
      <c r="QI233" s="30"/>
      <c r="QJ233" s="30"/>
      <c r="QK233" s="30"/>
      <c r="QL233" s="30"/>
      <c r="QM233" s="30"/>
      <c r="QN233" s="30"/>
      <c r="QO233" s="30"/>
      <c r="QP233" s="30"/>
      <c r="QQ233" s="30"/>
      <c r="QR233" s="30"/>
      <c r="QS233" s="30"/>
      <c r="QT233" s="30"/>
      <c r="QU233" s="30"/>
      <c r="QV233" s="30"/>
      <c r="QW233" s="30"/>
      <c r="QX233" s="30"/>
      <c r="QY233" s="30"/>
      <c r="QZ233" s="30"/>
      <c r="RA233" s="30"/>
      <c r="RB233" s="30"/>
      <c r="RC233" s="30"/>
      <c r="RD233" s="30"/>
      <c r="RE233" s="30"/>
      <c r="RF233" s="30"/>
      <c r="RG233" s="30"/>
      <c r="RH233" s="30"/>
      <c r="RI233" s="30"/>
      <c r="RJ233" s="30"/>
      <c r="RK233" s="30"/>
      <c r="RL233" s="30"/>
      <c r="RM233" s="30"/>
      <c r="RN233" s="30"/>
      <c r="RO233" s="30"/>
      <c r="RP233" s="30"/>
      <c r="RQ233" s="30"/>
      <c r="RR233" s="30"/>
      <c r="RS233" s="30"/>
      <c r="RT233" s="30"/>
      <c r="RU233" s="30"/>
      <c r="RV233" s="30"/>
      <c r="RW233" s="30"/>
      <c r="RX233" s="30"/>
      <c r="RY233" s="30"/>
      <c r="RZ233" s="30"/>
      <c r="SA233" s="30"/>
      <c r="SB233" s="30"/>
      <c r="SC233" s="30"/>
      <c r="SD233" s="30"/>
      <c r="SE233" s="30"/>
      <c r="SF233" s="30"/>
      <c r="SG233" s="30"/>
      <c r="SH233" s="30"/>
      <c r="SI233" s="30"/>
      <c r="SJ233" s="30"/>
      <c r="SK233" s="30"/>
      <c r="SL233" s="30"/>
      <c r="SM233" s="30"/>
      <c r="SN233" s="30"/>
      <c r="SO233" s="30"/>
      <c r="SP233" s="30"/>
      <c r="SQ233" s="30"/>
      <c r="SR233" s="30"/>
      <c r="SS233" s="30"/>
      <c r="ST233" s="30"/>
      <c r="SU233" s="30"/>
      <c r="SV233" s="30"/>
      <c r="SW233" s="30"/>
      <c r="SX233" s="30"/>
      <c r="SY233" s="30"/>
      <c r="SZ233" s="30"/>
      <c r="TA233" s="30"/>
      <c r="TB233" s="30"/>
      <c r="TC233" s="30"/>
      <c r="TD233" s="30"/>
      <c r="TE233" s="30"/>
      <c r="TF233" s="30"/>
      <c r="TG233" s="30"/>
      <c r="TH233" s="30"/>
      <c r="TI233" s="30"/>
      <c r="TJ233" s="30"/>
      <c r="TK233" s="30"/>
      <c r="TL233" s="30"/>
      <c r="TM233" s="30"/>
      <c r="TN233" s="30"/>
      <c r="TO233" s="30"/>
      <c r="TP233" s="30"/>
      <c r="TQ233" s="30"/>
      <c r="TR233" s="30"/>
      <c r="TS233" s="30"/>
    </row>
    <row r="234" spans="1:539" s="22" customFormat="1" ht="126" x14ac:dyDescent="0.25">
      <c r="A234" s="105" t="s">
        <v>302</v>
      </c>
      <c r="B234" s="42">
        <v>7691</v>
      </c>
      <c r="C234" s="42" t="s">
        <v>84</v>
      </c>
      <c r="D234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34" s="101">
        <f t="shared" si="112"/>
        <v>0</v>
      </c>
      <c r="F234" s="101"/>
      <c r="G234" s="101"/>
      <c r="H234" s="101"/>
      <c r="I234" s="101"/>
      <c r="J234" s="101"/>
      <c r="K234" s="101"/>
      <c r="L234" s="101"/>
      <c r="M234" s="157"/>
      <c r="N234" s="101">
        <f t="shared" si="117"/>
        <v>2205686.5699999998</v>
      </c>
      <c r="O234" s="101"/>
      <c r="P234" s="101">
        <f>169598+128488.57</f>
        <v>298086.57</v>
      </c>
      <c r="Q234" s="101"/>
      <c r="R234" s="101"/>
      <c r="S234" s="101">
        <f>1900000+7600</f>
        <v>1907600</v>
      </c>
      <c r="T234" s="97">
        <f t="shared" si="115"/>
        <v>93563.01</v>
      </c>
      <c r="U234" s="101"/>
      <c r="V234" s="101"/>
      <c r="W234" s="101"/>
      <c r="X234" s="101"/>
      <c r="Y234" s="101">
        <v>93563.01</v>
      </c>
      <c r="Z234" s="157">
        <f t="shared" si="118"/>
        <v>4.2418996095170494</v>
      </c>
      <c r="AA234" s="97">
        <f t="shared" si="116"/>
        <v>93563.01</v>
      </c>
      <c r="AB234" s="101">
        <f t="shared" si="113"/>
        <v>2205686.5699999998</v>
      </c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  <c r="TI234" s="23"/>
      <c r="TJ234" s="23"/>
      <c r="TK234" s="23"/>
      <c r="TL234" s="23"/>
      <c r="TM234" s="23"/>
      <c r="TN234" s="23"/>
      <c r="TO234" s="23"/>
      <c r="TP234" s="23"/>
      <c r="TQ234" s="23"/>
      <c r="TR234" s="23"/>
      <c r="TS234" s="23"/>
    </row>
    <row r="235" spans="1:539" s="22" customFormat="1" ht="31.5" x14ac:dyDescent="0.25">
      <c r="A235" s="105" t="s">
        <v>382</v>
      </c>
      <c r="B235" s="42" t="str">
        <f>'дод 5'!A204</f>
        <v>8110</v>
      </c>
      <c r="C235" s="42" t="str">
        <f>'дод 5'!B204</f>
        <v>0320</v>
      </c>
      <c r="D235" s="106" t="str">
        <f>'дод 5'!C204</f>
        <v>Заходи із запобігання та ліквідації надзвичайних ситуацій та наслідків стихійного лиха</v>
      </c>
      <c r="E235" s="101">
        <f t="shared" ref="E235" si="125">F235+I235</f>
        <v>677493.87</v>
      </c>
      <c r="F235" s="101">
        <v>677493.87</v>
      </c>
      <c r="G235" s="101"/>
      <c r="H235" s="101"/>
      <c r="I235" s="101"/>
      <c r="J235" s="101">
        <v>677493.87</v>
      </c>
      <c r="K235" s="101"/>
      <c r="L235" s="101"/>
      <c r="M235" s="157"/>
      <c r="N235" s="101">
        <f t="shared" ref="N235" si="126">P235+S235</f>
        <v>0</v>
      </c>
      <c r="O235" s="101"/>
      <c r="P235" s="101"/>
      <c r="Q235" s="101"/>
      <c r="R235" s="101"/>
      <c r="S235" s="101"/>
      <c r="T235" s="97">
        <f t="shared" si="115"/>
        <v>0</v>
      </c>
      <c r="U235" s="101"/>
      <c r="V235" s="101"/>
      <c r="W235" s="101"/>
      <c r="X235" s="101"/>
      <c r="Y235" s="101"/>
      <c r="Z235" s="157"/>
      <c r="AA235" s="97">
        <f t="shared" si="116"/>
        <v>677493.87</v>
      </c>
      <c r="AB235" s="101">
        <f t="shared" ref="AB235" si="127">E235+N235</f>
        <v>677493.87</v>
      </c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  <c r="TI235" s="23"/>
      <c r="TJ235" s="23"/>
      <c r="TK235" s="23"/>
      <c r="TL235" s="23"/>
      <c r="TM235" s="23"/>
      <c r="TN235" s="23"/>
      <c r="TO235" s="23"/>
      <c r="TP235" s="23"/>
      <c r="TQ235" s="23"/>
      <c r="TR235" s="23"/>
      <c r="TS235" s="23"/>
    </row>
    <row r="236" spans="1:539" s="22" customFormat="1" ht="15.75" hidden="1" customHeight="1" x14ac:dyDescent="0.25">
      <c r="A236" s="105" t="s">
        <v>381</v>
      </c>
      <c r="B236" s="42" t="str">
        <f>'дод 5'!A208</f>
        <v>8230</v>
      </c>
      <c r="C236" s="42" t="str">
        <f>'дод 5'!B208</f>
        <v>0380</v>
      </c>
      <c r="D236" s="106" t="str">
        <f>'дод 5'!C208</f>
        <v>Інші заходи громадського порядку та безпеки</v>
      </c>
      <c r="E236" s="101">
        <f t="shared" ref="E236" si="128">F236+I236</f>
        <v>0</v>
      </c>
      <c r="F236" s="101"/>
      <c r="G236" s="101"/>
      <c r="H236" s="101"/>
      <c r="I236" s="101"/>
      <c r="J236" s="101"/>
      <c r="K236" s="101"/>
      <c r="L236" s="101"/>
      <c r="M236" s="157"/>
      <c r="N236" s="101">
        <f t="shared" ref="N236" si="129">P236+S236</f>
        <v>0</v>
      </c>
      <c r="O236" s="101"/>
      <c r="P236" s="101"/>
      <c r="Q236" s="101"/>
      <c r="R236" s="101"/>
      <c r="S236" s="101"/>
      <c r="T236" s="97">
        <f t="shared" si="115"/>
        <v>0</v>
      </c>
      <c r="U236" s="101"/>
      <c r="V236" s="101"/>
      <c r="W236" s="101"/>
      <c r="X236" s="101"/>
      <c r="Y236" s="101"/>
      <c r="Z236" s="157" t="e">
        <f t="shared" si="118"/>
        <v>#DIV/0!</v>
      </c>
      <c r="AA236" s="97">
        <f t="shared" si="116"/>
        <v>0</v>
      </c>
      <c r="AB236" s="101">
        <f t="shared" ref="AB236" si="130">E236+N236</f>
        <v>0</v>
      </c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  <c r="TI236" s="23"/>
      <c r="TJ236" s="23"/>
      <c r="TK236" s="23"/>
      <c r="TL236" s="23"/>
      <c r="TM236" s="23"/>
      <c r="TN236" s="23"/>
      <c r="TO236" s="23"/>
      <c r="TP236" s="23"/>
      <c r="TQ236" s="23"/>
      <c r="TR236" s="23"/>
      <c r="TS236" s="23"/>
    </row>
    <row r="237" spans="1:539" s="22" customFormat="1" ht="31.5" x14ac:dyDescent="0.25">
      <c r="A237" s="60" t="s">
        <v>205</v>
      </c>
      <c r="B237" s="95" t="str">
        <f>'дод 5'!A211</f>
        <v>8340</v>
      </c>
      <c r="C237" s="95" t="str">
        <f>'дод 5'!B211</f>
        <v>0540</v>
      </c>
      <c r="D237" s="61" t="str">
        <f>'дод 5'!C211</f>
        <v>Природоохоронні заходи за рахунок цільових фондів</v>
      </c>
      <c r="E237" s="101">
        <f t="shared" si="112"/>
        <v>0</v>
      </c>
      <c r="F237" s="101"/>
      <c r="G237" s="101"/>
      <c r="H237" s="101"/>
      <c r="I237" s="101"/>
      <c r="J237" s="101"/>
      <c r="K237" s="101"/>
      <c r="L237" s="101"/>
      <c r="M237" s="157"/>
      <c r="N237" s="101">
        <f t="shared" si="117"/>
        <v>2928000</v>
      </c>
      <c r="O237" s="101"/>
      <c r="P237" s="101">
        <f>1442000+186000</f>
        <v>1628000</v>
      </c>
      <c r="Q237" s="101"/>
      <c r="R237" s="101"/>
      <c r="S237" s="101">
        <v>1300000</v>
      </c>
      <c r="T237" s="97">
        <f t="shared" si="115"/>
        <v>79933.279999999999</v>
      </c>
      <c r="U237" s="101"/>
      <c r="V237" s="101">
        <v>79933.279999999999</v>
      </c>
      <c r="W237" s="101"/>
      <c r="X237" s="101"/>
      <c r="Y237" s="101"/>
      <c r="Z237" s="157">
        <f t="shared" si="118"/>
        <v>2.7299617486338796</v>
      </c>
      <c r="AA237" s="97">
        <f t="shared" si="116"/>
        <v>79933.279999999999</v>
      </c>
      <c r="AB237" s="101">
        <f t="shared" si="113"/>
        <v>2928000</v>
      </c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  <c r="TH237" s="23"/>
      <c r="TI237" s="23"/>
      <c r="TJ237" s="23"/>
      <c r="TK237" s="23"/>
      <c r="TL237" s="23"/>
      <c r="TM237" s="23"/>
      <c r="TN237" s="23"/>
      <c r="TO237" s="23"/>
      <c r="TP237" s="23"/>
      <c r="TQ237" s="23"/>
      <c r="TR237" s="23"/>
      <c r="TS237" s="23"/>
    </row>
    <row r="238" spans="1:539" s="22" customFormat="1" ht="20.25" customHeight="1" x14ac:dyDescent="0.25">
      <c r="A238" s="60" t="s">
        <v>206</v>
      </c>
      <c r="B238" s="95" t="str">
        <f>'дод 5'!A226</f>
        <v>9770</v>
      </c>
      <c r="C238" s="95" t="str">
        <f>'дод 5'!B226</f>
        <v>0180</v>
      </c>
      <c r="D238" s="61" t="str">
        <f>'дод 5'!C226</f>
        <v>Інші субвенції з місцевого бюджету</v>
      </c>
      <c r="E238" s="101">
        <f t="shared" si="112"/>
        <v>0</v>
      </c>
      <c r="F238" s="101"/>
      <c r="G238" s="101"/>
      <c r="H238" s="101"/>
      <c r="I238" s="101"/>
      <c r="J238" s="101"/>
      <c r="K238" s="101"/>
      <c r="L238" s="101"/>
      <c r="M238" s="157"/>
      <c r="N238" s="101">
        <f t="shared" si="117"/>
        <v>7000000</v>
      </c>
      <c r="O238" s="101">
        <v>7000000</v>
      </c>
      <c r="P238" s="101"/>
      <c r="Q238" s="101"/>
      <c r="R238" s="101"/>
      <c r="S238" s="101">
        <v>7000000</v>
      </c>
      <c r="T238" s="97">
        <f t="shared" si="115"/>
        <v>0</v>
      </c>
      <c r="U238" s="101"/>
      <c r="V238" s="101"/>
      <c r="W238" s="101"/>
      <c r="X238" s="101"/>
      <c r="Y238" s="101"/>
      <c r="Z238" s="157">
        <f t="shared" si="118"/>
        <v>0</v>
      </c>
      <c r="AA238" s="97">
        <f t="shared" si="116"/>
        <v>0</v>
      </c>
      <c r="AB238" s="101">
        <f t="shared" si="113"/>
        <v>7000000</v>
      </c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  <c r="TH238" s="23"/>
      <c r="TI238" s="23"/>
      <c r="TJ238" s="23"/>
      <c r="TK238" s="23"/>
      <c r="TL238" s="23"/>
      <c r="TM238" s="23"/>
      <c r="TN238" s="23"/>
      <c r="TO238" s="23"/>
      <c r="TP238" s="23"/>
      <c r="TQ238" s="23"/>
      <c r="TR238" s="23"/>
      <c r="TS238" s="23"/>
    </row>
    <row r="239" spans="1:539" s="27" customFormat="1" ht="33.75" customHeight="1" x14ac:dyDescent="0.25">
      <c r="A239" s="112" t="s">
        <v>28</v>
      </c>
      <c r="B239" s="114"/>
      <c r="C239" s="114"/>
      <c r="D239" s="109" t="s">
        <v>35</v>
      </c>
      <c r="E239" s="97">
        <f>E240</f>
        <v>6386200</v>
      </c>
      <c r="F239" s="97">
        <f t="shared" ref="F239:AA240" si="131">F240</f>
        <v>6386200</v>
      </c>
      <c r="G239" s="97">
        <f t="shared" si="131"/>
        <v>5019800</v>
      </c>
      <c r="H239" s="97">
        <f t="shared" si="131"/>
        <v>75700</v>
      </c>
      <c r="I239" s="97">
        <f t="shared" si="131"/>
        <v>0</v>
      </c>
      <c r="J239" s="97">
        <f t="shared" si="131"/>
        <v>3272552.07</v>
      </c>
      <c r="K239" s="97">
        <f t="shared" si="131"/>
        <v>2578368.35</v>
      </c>
      <c r="L239" s="97">
        <f t="shared" si="131"/>
        <v>53657.96</v>
      </c>
      <c r="M239" s="157">
        <f t="shared" si="114"/>
        <v>51.244121230152516</v>
      </c>
      <c r="N239" s="97">
        <f t="shared" si="131"/>
        <v>0</v>
      </c>
      <c r="O239" s="97">
        <f t="shared" si="131"/>
        <v>0</v>
      </c>
      <c r="P239" s="97">
        <f t="shared" si="131"/>
        <v>0</v>
      </c>
      <c r="Q239" s="97">
        <f t="shared" si="131"/>
        <v>0</v>
      </c>
      <c r="R239" s="97">
        <f t="shared" si="131"/>
        <v>0</v>
      </c>
      <c r="S239" s="97">
        <f t="shared" si="131"/>
        <v>0</v>
      </c>
      <c r="T239" s="97">
        <f t="shared" si="131"/>
        <v>0</v>
      </c>
      <c r="U239" s="97">
        <f t="shared" si="131"/>
        <v>0</v>
      </c>
      <c r="V239" s="97">
        <f t="shared" si="131"/>
        <v>0</v>
      </c>
      <c r="W239" s="97">
        <f t="shared" si="131"/>
        <v>0</v>
      </c>
      <c r="X239" s="97">
        <f t="shared" si="131"/>
        <v>0</v>
      </c>
      <c r="Y239" s="97">
        <f t="shared" si="131"/>
        <v>0</v>
      </c>
      <c r="Z239" s="157"/>
      <c r="AA239" s="97">
        <f t="shared" si="131"/>
        <v>3272552.07</v>
      </c>
      <c r="AB239" s="97">
        <f t="shared" ref="AB239" si="132">AB240</f>
        <v>6386200</v>
      </c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  <c r="IU239" s="32"/>
      <c r="IV239" s="32"/>
      <c r="IW239" s="32"/>
      <c r="IX239" s="32"/>
      <c r="IY239" s="32"/>
      <c r="IZ239" s="32"/>
      <c r="JA239" s="32"/>
      <c r="JB239" s="32"/>
      <c r="JC239" s="32"/>
      <c r="JD239" s="32"/>
      <c r="JE239" s="32"/>
      <c r="JF239" s="32"/>
      <c r="JG239" s="32"/>
      <c r="JH239" s="32"/>
      <c r="JI239" s="32"/>
      <c r="JJ239" s="32"/>
      <c r="JK239" s="32"/>
      <c r="JL239" s="32"/>
      <c r="JM239" s="32"/>
      <c r="JN239" s="32"/>
      <c r="JO239" s="32"/>
      <c r="JP239" s="32"/>
      <c r="JQ239" s="32"/>
      <c r="JR239" s="32"/>
      <c r="JS239" s="32"/>
      <c r="JT239" s="32"/>
      <c r="JU239" s="32"/>
      <c r="JV239" s="32"/>
      <c r="JW239" s="32"/>
      <c r="JX239" s="32"/>
      <c r="JY239" s="32"/>
      <c r="JZ239" s="32"/>
      <c r="KA239" s="32"/>
      <c r="KB239" s="32"/>
      <c r="KC239" s="32"/>
      <c r="KD239" s="32"/>
      <c r="KE239" s="32"/>
      <c r="KF239" s="32"/>
      <c r="KG239" s="32"/>
      <c r="KH239" s="32"/>
      <c r="KI239" s="32"/>
      <c r="KJ239" s="32"/>
      <c r="KK239" s="32"/>
      <c r="KL239" s="32"/>
      <c r="KM239" s="32"/>
      <c r="KN239" s="32"/>
      <c r="KO239" s="32"/>
      <c r="KP239" s="32"/>
      <c r="KQ239" s="32"/>
      <c r="KR239" s="32"/>
      <c r="KS239" s="32"/>
      <c r="KT239" s="32"/>
      <c r="KU239" s="32"/>
      <c r="KV239" s="32"/>
      <c r="KW239" s="32"/>
      <c r="KX239" s="32"/>
      <c r="KY239" s="32"/>
      <c r="KZ239" s="32"/>
      <c r="LA239" s="32"/>
      <c r="LB239" s="32"/>
      <c r="LC239" s="32"/>
      <c r="LD239" s="32"/>
      <c r="LE239" s="32"/>
      <c r="LF239" s="32"/>
      <c r="LG239" s="32"/>
      <c r="LH239" s="32"/>
      <c r="LI239" s="32"/>
      <c r="LJ239" s="32"/>
      <c r="LK239" s="32"/>
      <c r="LL239" s="32"/>
      <c r="LM239" s="32"/>
      <c r="LN239" s="32"/>
      <c r="LO239" s="32"/>
      <c r="LP239" s="32"/>
      <c r="LQ239" s="32"/>
      <c r="LR239" s="32"/>
      <c r="LS239" s="32"/>
      <c r="LT239" s="32"/>
      <c r="LU239" s="32"/>
      <c r="LV239" s="32"/>
      <c r="LW239" s="32"/>
      <c r="LX239" s="32"/>
      <c r="LY239" s="32"/>
      <c r="LZ239" s="32"/>
      <c r="MA239" s="32"/>
      <c r="MB239" s="32"/>
      <c r="MC239" s="32"/>
      <c r="MD239" s="32"/>
      <c r="ME239" s="32"/>
      <c r="MF239" s="32"/>
      <c r="MG239" s="32"/>
      <c r="MH239" s="32"/>
      <c r="MI239" s="32"/>
      <c r="MJ239" s="32"/>
      <c r="MK239" s="32"/>
      <c r="ML239" s="32"/>
      <c r="MM239" s="32"/>
      <c r="MN239" s="32"/>
      <c r="MO239" s="32"/>
      <c r="MP239" s="32"/>
      <c r="MQ239" s="32"/>
      <c r="MR239" s="32"/>
      <c r="MS239" s="32"/>
      <c r="MT239" s="32"/>
      <c r="MU239" s="32"/>
      <c r="MV239" s="32"/>
      <c r="MW239" s="32"/>
      <c r="MX239" s="32"/>
      <c r="MY239" s="32"/>
      <c r="MZ239" s="32"/>
      <c r="NA239" s="32"/>
      <c r="NB239" s="32"/>
      <c r="NC239" s="32"/>
      <c r="ND239" s="32"/>
      <c r="NE239" s="32"/>
      <c r="NF239" s="32"/>
      <c r="NG239" s="32"/>
      <c r="NH239" s="32"/>
      <c r="NI239" s="32"/>
      <c r="NJ239" s="32"/>
      <c r="NK239" s="32"/>
      <c r="NL239" s="32"/>
      <c r="NM239" s="32"/>
      <c r="NN239" s="32"/>
      <c r="NO239" s="32"/>
      <c r="NP239" s="32"/>
      <c r="NQ239" s="32"/>
      <c r="NR239" s="32"/>
      <c r="NS239" s="32"/>
      <c r="NT239" s="32"/>
      <c r="NU239" s="32"/>
      <c r="NV239" s="32"/>
      <c r="NW239" s="32"/>
      <c r="NX239" s="32"/>
      <c r="NY239" s="32"/>
      <c r="NZ239" s="32"/>
      <c r="OA239" s="32"/>
      <c r="OB239" s="32"/>
      <c r="OC239" s="32"/>
      <c r="OD239" s="32"/>
      <c r="OE239" s="32"/>
      <c r="OF239" s="32"/>
      <c r="OG239" s="32"/>
      <c r="OH239" s="32"/>
      <c r="OI239" s="32"/>
      <c r="OJ239" s="32"/>
      <c r="OK239" s="32"/>
      <c r="OL239" s="32"/>
      <c r="OM239" s="32"/>
      <c r="ON239" s="32"/>
      <c r="OO239" s="32"/>
      <c r="OP239" s="32"/>
      <c r="OQ239" s="32"/>
      <c r="OR239" s="32"/>
      <c r="OS239" s="32"/>
      <c r="OT239" s="32"/>
      <c r="OU239" s="32"/>
      <c r="OV239" s="32"/>
      <c r="OW239" s="32"/>
      <c r="OX239" s="32"/>
      <c r="OY239" s="32"/>
      <c r="OZ239" s="32"/>
      <c r="PA239" s="32"/>
      <c r="PB239" s="32"/>
      <c r="PC239" s="32"/>
      <c r="PD239" s="32"/>
      <c r="PE239" s="32"/>
      <c r="PF239" s="32"/>
      <c r="PG239" s="32"/>
      <c r="PH239" s="32"/>
      <c r="PI239" s="32"/>
      <c r="PJ239" s="32"/>
      <c r="PK239" s="32"/>
      <c r="PL239" s="32"/>
      <c r="PM239" s="32"/>
      <c r="PN239" s="32"/>
      <c r="PO239" s="32"/>
      <c r="PP239" s="32"/>
      <c r="PQ239" s="32"/>
      <c r="PR239" s="32"/>
      <c r="PS239" s="32"/>
      <c r="PT239" s="32"/>
      <c r="PU239" s="32"/>
      <c r="PV239" s="32"/>
      <c r="PW239" s="32"/>
      <c r="PX239" s="32"/>
      <c r="PY239" s="32"/>
      <c r="PZ239" s="32"/>
      <c r="QA239" s="32"/>
      <c r="QB239" s="32"/>
      <c r="QC239" s="32"/>
      <c r="QD239" s="32"/>
      <c r="QE239" s="32"/>
      <c r="QF239" s="32"/>
      <c r="QG239" s="32"/>
      <c r="QH239" s="32"/>
      <c r="QI239" s="32"/>
      <c r="QJ239" s="32"/>
      <c r="QK239" s="32"/>
      <c r="QL239" s="32"/>
      <c r="QM239" s="32"/>
      <c r="QN239" s="32"/>
      <c r="QO239" s="32"/>
      <c r="QP239" s="32"/>
      <c r="QQ239" s="32"/>
      <c r="QR239" s="32"/>
      <c r="QS239" s="32"/>
      <c r="QT239" s="32"/>
      <c r="QU239" s="32"/>
      <c r="QV239" s="32"/>
      <c r="QW239" s="32"/>
      <c r="QX239" s="32"/>
      <c r="QY239" s="32"/>
      <c r="QZ239" s="32"/>
      <c r="RA239" s="32"/>
      <c r="RB239" s="32"/>
      <c r="RC239" s="32"/>
      <c r="RD239" s="32"/>
      <c r="RE239" s="32"/>
      <c r="RF239" s="32"/>
      <c r="RG239" s="32"/>
      <c r="RH239" s="32"/>
      <c r="RI239" s="32"/>
      <c r="RJ239" s="32"/>
      <c r="RK239" s="32"/>
      <c r="RL239" s="32"/>
      <c r="RM239" s="32"/>
      <c r="RN239" s="32"/>
      <c r="RO239" s="32"/>
      <c r="RP239" s="32"/>
      <c r="RQ239" s="32"/>
      <c r="RR239" s="32"/>
      <c r="RS239" s="32"/>
      <c r="RT239" s="32"/>
      <c r="RU239" s="32"/>
      <c r="RV239" s="32"/>
      <c r="RW239" s="32"/>
      <c r="RX239" s="32"/>
      <c r="RY239" s="32"/>
      <c r="RZ239" s="32"/>
      <c r="SA239" s="32"/>
      <c r="SB239" s="32"/>
      <c r="SC239" s="32"/>
      <c r="SD239" s="32"/>
      <c r="SE239" s="32"/>
      <c r="SF239" s="32"/>
      <c r="SG239" s="32"/>
      <c r="SH239" s="32"/>
      <c r="SI239" s="32"/>
      <c r="SJ239" s="32"/>
      <c r="SK239" s="32"/>
      <c r="SL239" s="32"/>
      <c r="SM239" s="32"/>
      <c r="SN239" s="32"/>
      <c r="SO239" s="32"/>
      <c r="SP239" s="32"/>
      <c r="SQ239" s="32"/>
      <c r="SR239" s="32"/>
      <c r="SS239" s="32"/>
      <c r="ST239" s="32"/>
      <c r="SU239" s="32"/>
      <c r="SV239" s="32"/>
      <c r="SW239" s="32"/>
      <c r="SX239" s="32"/>
      <c r="SY239" s="32"/>
      <c r="SZ239" s="32"/>
      <c r="TA239" s="32"/>
      <c r="TB239" s="32"/>
      <c r="TC239" s="32"/>
      <c r="TD239" s="32"/>
      <c r="TE239" s="32"/>
      <c r="TF239" s="32"/>
      <c r="TG239" s="32"/>
      <c r="TH239" s="32"/>
      <c r="TI239" s="32"/>
      <c r="TJ239" s="32"/>
      <c r="TK239" s="32"/>
      <c r="TL239" s="32"/>
      <c r="TM239" s="32"/>
      <c r="TN239" s="32"/>
      <c r="TO239" s="32"/>
      <c r="TP239" s="32"/>
      <c r="TQ239" s="32"/>
      <c r="TR239" s="32"/>
      <c r="TS239" s="32"/>
    </row>
    <row r="240" spans="1:539" s="34" customFormat="1" ht="36.75" customHeight="1" x14ac:dyDescent="0.25">
      <c r="A240" s="98" t="s">
        <v>120</v>
      </c>
      <c r="B240" s="111"/>
      <c r="C240" s="111"/>
      <c r="D240" s="79" t="s">
        <v>35</v>
      </c>
      <c r="E240" s="100">
        <f>E241</f>
        <v>6386200</v>
      </c>
      <c r="F240" s="100">
        <f t="shared" si="131"/>
        <v>6386200</v>
      </c>
      <c r="G240" s="100">
        <f t="shared" si="131"/>
        <v>5019800</v>
      </c>
      <c r="H240" s="100">
        <f t="shared" si="131"/>
        <v>75700</v>
      </c>
      <c r="I240" s="100">
        <f t="shared" si="131"/>
        <v>0</v>
      </c>
      <c r="J240" s="100">
        <f t="shared" si="131"/>
        <v>3272552.07</v>
      </c>
      <c r="K240" s="100">
        <f t="shared" si="131"/>
        <v>2578368.35</v>
      </c>
      <c r="L240" s="100">
        <f t="shared" si="131"/>
        <v>53657.96</v>
      </c>
      <c r="M240" s="157">
        <f t="shared" si="114"/>
        <v>51.244121230152516</v>
      </c>
      <c r="N240" s="100">
        <f t="shared" si="131"/>
        <v>0</v>
      </c>
      <c r="O240" s="100">
        <f t="shared" si="131"/>
        <v>0</v>
      </c>
      <c r="P240" s="100">
        <f t="shared" si="131"/>
        <v>0</v>
      </c>
      <c r="Q240" s="100">
        <f t="shared" si="131"/>
        <v>0</v>
      </c>
      <c r="R240" s="100">
        <f t="shared" si="131"/>
        <v>0</v>
      </c>
      <c r="S240" s="100">
        <f t="shared" si="131"/>
        <v>0</v>
      </c>
      <c r="T240" s="100">
        <f t="shared" si="131"/>
        <v>0</v>
      </c>
      <c r="U240" s="100">
        <f t="shared" si="131"/>
        <v>0</v>
      </c>
      <c r="V240" s="100">
        <f t="shared" si="131"/>
        <v>0</v>
      </c>
      <c r="W240" s="100">
        <f t="shared" si="131"/>
        <v>0</v>
      </c>
      <c r="X240" s="100">
        <f t="shared" si="131"/>
        <v>0</v>
      </c>
      <c r="Y240" s="100">
        <f t="shared" si="131"/>
        <v>0</v>
      </c>
      <c r="Z240" s="157"/>
      <c r="AA240" s="100">
        <f t="shared" si="131"/>
        <v>3272552.07</v>
      </c>
      <c r="AB240" s="100">
        <f t="shared" ref="AB240" si="133">AB241</f>
        <v>6386200</v>
      </c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  <c r="QA240" s="33"/>
      <c r="QB240" s="33"/>
      <c r="QC240" s="33"/>
      <c r="QD240" s="33"/>
      <c r="QE240" s="33"/>
      <c r="QF240" s="33"/>
      <c r="QG240" s="33"/>
      <c r="QH240" s="33"/>
      <c r="QI240" s="33"/>
      <c r="QJ240" s="33"/>
      <c r="QK240" s="33"/>
      <c r="QL240" s="33"/>
      <c r="QM240" s="33"/>
      <c r="QN240" s="33"/>
      <c r="QO240" s="33"/>
      <c r="QP240" s="33"/>
      <c r="QQ240" s="33"/>
      <c r="QR240" s="33"/>
      <c r="QS240" s="33"/>
      <c r="QT240" s="33"/>
      <c r="QU240" s="33"/>
      <c r="QV240" s="33"/>
      <c r="QW240" s="33"/>
      <c r="QX240" s="33"/>
      <c r="QY240" s="33"/>
      <c r="QZ240" s="33"/>
      <c r="RA240" s="33"/>
      <c r="RB240" s="33"/>
      <c r="RC240" s="33"/>
      <c r="RD240" s="33"/>
      <c r="RE240" s="33"/>
      <c r="RF240" s="33"/>
      <c r="RG240" s="33"/>
      <c r="RH240" s="33"/>
      <c r="RI240" s="33"/>
      <c r="RJ240" s="33"/>
      <c r="RK240" s="33"/>
      <c r="RL240" s="33"/>
      <c r="RM240" s="33"/>
      <c r="RN240" s="33"/>
      <c r="RO240" s="33"/>
      <c r="RP240" s="33"/>
      <c r="RQ240" s="33"/>
      <c r="RR240" s="33"/>
      <c r="RS240" s="33"/>
      <c r="RT240" s="33"/>
      <c r="RU240" s="33"/>
      <c r="RV240" s="33"/>
      <c r="RW240" s="33"/>
      <c r="RX240" s="33"/>
      <c r="RY240" s="33"/>
      <c r="RZ240" s="33"/>
      <c r="SA240" s="33"/>
      <c r="SB240" s="33"/>
      <c r="SC240" s="33"/>
      <c r="SD240" s="33"/>
      <c r="SE240" s="33"/>
      <c r="SF240" s="33"/>
      <c r="SG240" s="33"/>
      <c r="SH240" s="33"/>
      <c r="SI240" s="33"/>
      <c r="SJ240" s="33"/>
      <c r="SK240" s="33"/>
      <c r="SL240" s="33"/>
      <c r="SM240" s="33"/>
      <c r="SN240" s="33"/>
      <c r="SO240" s="33"/>
      <c r="SP240" s="33"/>
      <c r="SQ240" s="33"/>
      <c r="SR240" s="33"/>
      <c r="SS240" s="33"/>
      <c r="ST240" s="33"/>
      <c r="SU240" s="33"/>
      <c r="SV240" s="33"/>
      <c r="SW240" s="33"/>
      <c r="SX240" s="33"/>
      <c r="SY240" s="33"/>
      <c r="SZ240" s="33"/>
      <c r="TA240" s="33"/>
      <c r="TB240" s="33"/>
      <c r="TC240" s="33"/>
      <c r="TD240" s="33"/>
      <c r="TE240" s="33"/>
      <c r="TF240" s="33"/>
      <c r="TG240" s="33"/>
      <c r="TH240" s="33"/>
      <c r="TI240" s="33"/>
      <c r="TJ240" s="33"/>
      <c r="TK240" s="33"/>
      <c r="TL240" s="33"/>
      <c r="TM240" s="33"/>
      <c r="TN240" s="33"/>
      <c r="TO240" s="33"/>
      <c r="TP240" s="33"/>
      <c r="TQ240" s="33"/>
      <c r="TR240" s="33"/>
      <c r="TS240" s="33"/>
    </row>
    <row r="241" spans="1:539" s="22" customFormat="1" ht="39.75" customHeight="1" x14ac:dyDescent="0.25">
      <c r="A241" s="60" t="s">
        <v>0</v>
      </c>
      <c r="B241" s="95" t="str">
        <f>'дод 5'!A21</f>
        <v>0160</v>
      </c>
      <c r="C241" s="95" t="str">
        <f>'дод 5'!B21</f>
        <v>0111</v>
      </c>
      <c r="D241" s="36" t="s">
        <v>502</v>
      </c>
      <c r="E241" s="101">
        <f>F241+I241</f>
        <v>6386200</v>
      </c>
      <c r="F241" s="101">
        <f>6378200+8000</f>
        <v>6386200</v>
      </c>
      <c r="G241" s="101">
        <v>5019800</v>
      </c>
      <c r="H241" s="101">
        <v>75700</v>
      </c>
      <c r="I241" s="101"/>
      <c r="J241" s="101">
        <v>3272552.07</v>
      </c>
      <c r="K241" s="101">
        <v>2578368.35</v>
      </c>
      <c r="L241" s="101">
        <v>53657.96</v>
      </c>
      <c r="M241" s="157">
        <f t="shared" si="114"/>
        <v>51.244121230152516</v>
      </c>
      <c r="N241" s="101">
        <f>P241+S241</f>
        <v>0</v>
      </c>
      <c r="O241" s="101">
        <f>8000-8000</f>
        <v>0</v>
      </c>
      <c r="P241" s="101"/>
      <c r="Q241" s="101"/>
      <c r="R241" s="101"/>
      <c r="S241" s="101">
        <f>8000-8000</f>
        <v>0</v>
      </c>
      <c r="T241" s="97">
        <f t="shared" si="115"/>
        <v>0</v>
      </c>
      <c r="U241" s="101"/>
      <c r="V241" s="101"/>
      <c r="W241" s="101"/>
      <c r="X241" s="101"/>
      <c r="Y241" s="101"/>
      <c r="Z241" s="157"/>
      <c r="AA241" s="97">
        <f>J241+T241</f>
        <v>3272552.07</v>
      </c>
      <c r="AB241" s="101">
        <f>E241+N241</f>
        <v>6386200</v>
      </c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  <c r="TI241" s="23"/>
      <c r="TJ241" s="23"/>
      <c r="TK241" s="23"/>
      <c r="TL241" s="23"/>
      <c r="TM241" s="23"/>
      <c r="TN241" s="23"/>
      <c r="TO241" s="23"/>
      <c r="TP241" s="23"/>
      <c r="TQ241" s="23"/>
      <c r="TR241" s="23"/>
      <c r="TS241" s="23"/>
    </row>
    <row r="242" spans="1:539" s="27" customFormat="1" ht="34.5" customHeight="1" x14ac:dyDescent="0.25">
      <c r="A242" s="112" t="s">
        <v>29</v>
      </c>
      <c r="B242" s="114"/>
      <c r="C242" s="114"/>
      <c r="D242" s="109" t="s">
        <v>34</v>
      </c>
      <c r="E242" s="97">
        <f>E243</f>
        <v>5477027</v>
      </c>
      <c r="F242" s="97">
        <f t="shared" ref="F242:AB242" si="134">F243</f>
        <v>5477027</v>
      </c>
      <c r="G242" s="97">
        <f t="shared" si="134"/>
        <v>2958200</v>
      </c>
      <c r="H242" s="97">
        <f t="shared" si="134"/>
        <v>0</v>
      </c>
      <c r="I242" s="97">
        <f t="shared" si="134"/>
        <v>0</v>
      </c>
      <c r="J242" s="97">
        <f t="shared" si="134"/>
        <v>1596446.93</v>
      </c>
      <c r="K242" s="97">
        <f t="shared" si="134"/>
        <v>1181469.21</v>
      </c>
      <c r="L242" s="97">
        <f t="shared" si="134"/>
        <v>0</v>
      </c>
      <c r="M242" s="157">
        <f t="shared" si="114"/>
        <v>29.148056600779949</v>
      </c>
      <c r="N242" s="97">
        <f t="shared" si="134"/>
        <v>249032017.65000001</v>
      </c>
      <c r="O242" s="97">
        <f t="shared" si="134"/>
        <v>235586735</v>
      </c>
      <c r="P242" s="97">
        <f t="shared" si="134"/>
        <v>1900000</v>
      </c>
      <c r="Q242" s="97">
        <f t="shared" si="134"/>
        <v>1332000</v>
      </c>
      <c r="R242" s="97">
        <f t="shared" si="134"/>
        <v>71500</v>
      </c>
      <c r="S242" s="97">
        <f t="shared" si="134"/>
        <v>247132017.65000001</v>
      </c>
      <c r="T242" s="97">
        <f t="shared" si="134"/>
        <v>51225890.609999999</v>
      </c>
      <c r="U242" s="97">
        <f t="shared" si="134"/>
        <v>40559220</v>
      </c>
      <c r="V242" s="97">
        <f t="shared" si="134"/>
        <v>1248683.6100000001</v>
      </c>
      <c r="W242" s="97">
        <f t="shared" si="134"/>
        <v>945860.4</v>
      </c>
      <c r="X242" s="97">
        <f t="shared" si="134"/>
        <v>54607.199999999997</v>
      </c>
      <c r="Y242" s="97">
        <f t="shared" si="134"/>
        <v>49977207</v>
      </c>
      <c r="Z242" s="157">
        <f t="shared" si="118"/>
        <v>20.570001838878007</v>
      </c>
      <c r="AA242" s="97">
        <f t="shared" si="134"/>
        <v>52822337.539999999</v>
      </c>
      <c r="AB242" s="97">
        <f t="shared" si="134"/>
        <v>254509044.65000001</v>
      </c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  <c r="IT242" s="32"/>
      <c r="IU242" s="32"/>
      <c r="IV242" s="32"/>
      <c r="IW242" s="32"/>
      <c r="IX242" s="32"/>
      <c r="IY242" s="32"/>
      <c r="IZ242" s="32"/>
      <c r="JA242" s="32"/>
      <c r="JB242" s="32"/>
      <c r="JC242" s="32"/>
      <c r="JD242" s="32"/>
      <c r="JE242" s="32"/>
      <c r="JF242" s="32"/>
      <c r="JG242" s="32"/>
      <c r="JH242" s="32"/>
      <c r="JI242" s="32"/>
      <c r="JJ242" s="32"/>
      <c r="JK242" s="32"/>
      <c r="JL242" s="32"/>
      <c r="JM242" s="32"/>
      <c r="JN242" s="32"/>
      <c r="JO242" s="32"/>
      <c r="JP242" s="32"/>
      <c r="JQ242" s="32"/>
      <c r="JR242" s="32"/>
      <c r="JS242" s="32"/>
      <c r="JT242" s="32"/>
      <c r="JU242" s="32"/>
      <c r="JV242" s="32"/>
      <c r="JW242" s="32"/>
      <c r="JX242" s="32"/>
      <c r="JY242" s="32"/>
      <c r="JZ242" s="32"/>
      <c r="KA242" s="32"/>
      <c r="KB242" s="32"/>
      <c r="KC242" s="32"/>
      <c r="KD242" s="32"/>
      <c r="KE242" s="32"/>
      <c r="KF242" s="32"/>
      <c r="KG242" s="32"/>
      <c r="KH242" s="32"/>
      <c r="KI242" s="32"/>
      <c r="KJ242" s="32"/>
      <c r="KK242" s="32"/>
      <c r="KL242" s="32"/>
      <c r="KM242" s="32"/>
      <c r="KN242" s="32"/>
      <c r="KO242" s="32"/>
      <c r="KP242" s="32"/>
      <c r="KQ242" s="32"/>
      <c r="KR242" s="32"/>
      <c r="KS242" s="32"/>
      <c r="KT242" s="32"/>
      <c r="KU242" s="32"/>
      <c r="KV242" s="32"/>
      <c r="KW242" s="32"/>
      <c r="KX242" s="32"/>
      <c r="KY242" s="32"/>
      <c r="KZ242" s="32"/>
      <c r="LA242" s="32"/>
      <c r="LB242" s="32"/>
      <c r="LC242" s="32"/>
      <c r="LD242" s="32"/>
      <c r="LE242" s="32"/>
      <c r="LF242" s="32"/>
      <c r="LG242" s="32"/>
      <c r="LH242" s="32"/>
      <c r="LI242" s="32"/>
      <c r="LJ242" s="32"/>
      <c r="LK242" s="32"/>
      <c r="LL242" s="32"/>
      <c r="LM242" s="32"/>
      <c r="LN242" s="32"/>
      <c r="LO242" s="32"/>
      <c r="LP242" s="32"/>
      <c r="LQ242" s="32"/>
      <c r="LR242" s="32"/>
      <c r="LS242" s="32"/>
      <c r="LT242" s="32"/>
      <c r="LU242" s="32"/>
      <c r="LV242" s="32"/>
      <c r="LW242" s="32"/>
      <c r="LX242" s="32"/>
      <c r="LY242" s="32"/>
      <c r="LZ242" s="32"/>
      <c r="MA242" s="32"/>
      <c r="MB242" s="32"/>
      <c r="MC242" s="32"/>
      <c r="MD242" s="32"/>
      <c r="ME242" s="32"/>
      <c r="MF242" s="32"/>
      <c r="MG242" s="32"/>
      <c r="MH242" s="32"/>
      <c r="MI242" s="32"/>
      <c r="MJ242" s="32"/>
      <c r="MK242" s="32"/>
      <c r="ML242" s="32"/>
      <c r="MM242" s="32"/>
      <c r="MN242" s="32"/>
      <c r="MO242" s="32"/>
      <c r="MP242" s="32"/>
      <c r="MQ242" s="32"/>
      <c r="MR242" s="32"/>
      <c r="MS242" s="32"/>
      <c r="MT242" s="32"/>
      <c r="MU242" s="32"/>
      <c r="MV242" s="32"/>
      <c r="MW242" s="32"/>
      <c r="MX242" s="32"/>
      <c r="MY242" s="32"/>
      <c r="MZ242" s="32"/>
      <c r="NA242" s="32"/>
      <c r="NB242" s="32"/>
      <c r="NC242" s="32"/>
      <c r="ND242" s="32"/>
      <c r="NE242" s="32"/>
      <c r="NF242" s="32"/>
      <c r="NG242" s="32"/>
      <c r="NH242" s="32"/>
      <c r="NI242" s="32"/>
      <c r="NJ242" s="32"/>
      <c r="NK242" s="32"/>
      <c r="NL242" s="32"/>
      <c r="NM242" s="32"/>
      <c r="NN242" s="32"/>
      <c r="NO242" s="32"/>
      <c r="NP242" s="32"/>
      <c r="NQ242" s="32"/>
      <c r="NR242" s="32"/>
      <c r="NS242" s="32"/>
      <c r="NT242" s="32"/>
      <c r="NU242" s="32"/>
      <c r="NV242" s="32"/>
      <c r="NW242" s="32"/>
      <c r="NX242" s="32"/>
      <c r="NY242" s="32"/>
      <c r="NZ242" s="32"/>
      <c r="OA242" s="32"/>
      <c r="OB242" s="32"/>
      <c r="OC242" s="32"/>
      <c r="OD242" s="32"/>
      <c r="OE242" s="32"/>
      <c r="OF242" s="32"/>
      <c r="OG242" s="32"/>
      <c r="OH242" s="32"/>
      <c r="OI242" s="32"/>
      <c r="OJ242" s="32"/>
      <c r="OK242" s="32"/>
      <c r="OL242" s="32"/>
      <c r="OM242" s="32"/>
      <c r="ON242" s="32"/>
      <c r="OO242" s="32"/>
      <c r="OP242" s="32"/>
      <c r="OQ242" s="32"/>
      <c r="OR242" s="32"/>
      <c r="OS242" s="32"/>
      <c r="OT242" s="32"/>
      <c r="OU242" s="32"/>
      <c r="OV242" s="32"/>
      <c r="OW242" s="32"/>
      <c r="OX242" s="32"/>
      <c r="OY242" s="32"/>
      <c r="OZ242" s="32"/>
      <c r="PA242" s="32"/>
      <c r="PB242" s="32"/>
      <c r="PC242" s="32"/>
      <c r="PD242" s="32"/>
      <c r="PE242" s="32"/>
      <c r="PF242" s="32"/>
      <c r="PG242" s="32"/>
      <c r="PH242" s="32"/>
      <c r="PI242" s="32"/>
      <c r="PJ242" s="32"/>
      <c r="PK242" s="32"/>
      <c r="PL242" s="32"/>
      <c r="PM242" s="32"/>
      <c r="PN242" s="32"/>
      <c r="PO242" s="32"/>
      <c r="PP242" s="32"/>
      <c r="PQ242" s="32"/>
      <c r="PR242" s="32"/>
      <c r="PS242" s="32"/>
      <c r="PT242" s="32"/>
      <c r="PU242" s="32"/>
      <c r="PV242" s="32"/>
      <c r="PW242" s="32"/>
      <c r="PX242" s="32"/>
      <c r="PY242" s="32"/>
      <c r="PZ242" s="32"/>
      <c r="QA242" s="32"/>
      <c r="QB242" s="32"/>
      <c r="QC242" s="32"/>
      <c r="QD242" s="32"/>
      <c r="QE242" s="32"/>
      <c r="QF242" s="32"/>
      <c r="QG242" s="32"/>
      <c r="QH242" s="32"/>
      <c r="QI242" s="32"/>
      <c r="QJ242" s="32"/>
      <c r="QK242" s="32"/>
      <c r="QL242" s="32"/>
      <c r="QM242" s="32"/>
      <c r="QN242" s="32"/>
      <c r="QO242" s="32"/>
      <c r="QP242" s="32"/>
      <c r="QQ242" s="32"/>
      <c r="QR242" s="32"/>
      <c r="QS242" s="32"/>
      <c r="QT242" s="32"/>
      <c r="QU242" s="32"/>
      <c r="QV242" s="32"/>
      <c r="QW242" s="32"/>
      <c r="QX242" s="32"/>
      <c r="QY242" s="32"/>
      <c r="QZ242" s="32"/>
      <c r="RA242" s="32"/>
      <c r="RB242" s="32"/>
      <c r="RC242" s="32"/>
      <c r="RD242" s="32"/>
      <c r="RE242" s="32"/>
      <c r="RF242" s="32"/>
      <c r="RG242" s="32"/>
      <c r="RH242" s="32"/>
      <c r="RI242" s="32"/>
      <c r="RJ242" s="32"/>
      <c r="RK242" s="32"/>
      <c r="RL242" s="32"/>
      <c r="RM242" s="32"/>
      <c r="RN242" s="32"/>
      <c r="RO242" s="32"/>
      <c r="RP242" s="32"/>
      <c r="RQ242" s="32"/>
      <c r="RR242" s="32"/>
      <c r="RS242" s="32"/>
      <c r="RT242" s="32"/>
      <c r="RU242" s="32"/>
      <c r="RV242" s="32"/>
      <c r="RW242" s="32"/>
      <c r="RX242" s="32"/>
      <c r="RY242" s="32"/>
      <c r="RZ242" s="32"/>
      <c r="SA242" s="32"/>
      <c r="SB242" s="32"/>
      <c r="SC242" s="32"/>
      <c r="SD242" s="32"/>
      <c r="SE242" s="32"/>
      <c r="SF242" s="32"/>
      <c r="SG242" s="32"/>
      <c r="SH242" s="32"/>
      <c r="SI242" s="32"/>
      <c r="SJ242" s="32"/>
      <c r="SK242" s="32"/>
      <c r="SL242" s="32"/>
      <c r="SM242" s="32"/>
      <c r="SN242" s="32"/>
      <c r="SO242" s="32"/>
      <c r="SP242" s="32"/>
      <c r="SQ242" s="32"/>
      <c r="SR242" s="32"/>
      <c r="SS242" s="32"/>
      <c r="ST242" s="32"/>
      <c r="SU242" s="32"/>
      <c r="SV242" s="32"/>
      <c r="SW242" s="32"/>
      <c r="SX242" s="32"/>
      <c r="SY242" s="32"/>
      <c r="SZ242" s="32"/>
      <c r="TA242" s="32"/>
      <c r="TB242" s="32"/>
      <c r="TC242" s="32"/>
      <c r="TD242" s="32"/>
      <c r="TE242" s="32"/>
      <c r="TF242" s="32"/>
      <c r="TG242" s="32"/>
      <c r="TH242" s="32"/>
      <c r="TI242" s="32"/>
      <c r="TJ242" s="32"/>
      <c r="TK242" s="32"/>
      <c r="TL242" s="32"/>
      <c r="TM242" s="32"/>
      <c r="TN242" s="32"/>
      <c r="TO242" s="32"/>
      <c r="TP242" s="32"/>
      <c r="TQ242" s="32"/>
      <c r="TR242" s="32"/>
      <c r="TS242" s="32"/>
    </row>
    <row r="243" spans="1:539" s="34" customFormat="1" ht="47.25" x14ac:dyDescent="0.25">
      <c r="A243" s="98" t="s">
        <v>30</v>
      </c>
      <c r="B243" s="111"/>
      <c r="C243" s="111"/>
      <c r="D243" s="79" t="s">
        <v>422</v>
      </c>
      <c r="E243" s="100">
        <f>SUM(E245+E246+E247+E248+E249+E250+E252+E253+E254+E255+E256+E257+E251+E259+E260)</f>
        <v>5477027</v>
      </c>
      <c r="F243" s="100">
        <f t="shared" ref="F243:AB243" si="135">SUM(F245+F246+F247+F248+F249+F250+F252+F253+F254+F255+F256+F257+F251+F259+F260)</f>
        <v>5477027</v>
      </c>
      <c r="G243" s="100">
        <f t="shared" si="135"/>
        <v>2958200</v>
      </c>
      <c r="H243" s="100">
        <f t="shared" si="135"/>
        <v>0</v>
      </c>
      <c r="I243" s="100">
        <f t="shared" si="135"/>
        <v>0</v>
      </c>
      <c r="J243" s="100">
        <f t="shared" si="135"/>
        <v>1596446.93</v>
      </c>
      <c r="K243" s="100">
        <f t="shared" si="135"/>
        <v>1181469.21</v>
      </c>
      <c r="L243" s="100">
        <f t="shared" si="135"/>
        <v>0</v>
      </c>
      <c r="M243" s="157">
        <f t="shared" si="114"/>
        <v>29.148056600779949</v>
      </c>
      <c r="N243" s="100">
        <f t="shared" si="135"/>
        <v>249032017.65000001</v>
      </c>
      <c r="O243" s="100">
        <f t="shared" si="135"/>
        <v>235586735</v>
      </c>
      <c r="P243" s="100">
        <f t="shared" si="135"/>
        <v>1900000</v>
      </c>
      <c r="Q243" s="100">
        <f t="shared" si="135"/>
        <v>1332000</v>
      </c>
      <c r="R243" s="100">
        <f t="shared" si="135"/>
        <v>71500</v>
      </c>
      <c r="S243" s="100">
        <f t="shared" si="135"/>
        <v>247132017.65000001</v>
      </c>
      <c r="T243" s="100">
        <f t="shared" si="135"/>
        <v>51225890.609999999</v>
      </c>
      <c r="U243" s="100">
        <f t="shared" si="135"/>
        <v>40559220</v>
      </c>
      <c r="V243" s="100">
        <f t="shared" si="135"/>
        <v>1248683.6100000001</v>
      </c>
      <c r="W243" s="100">
        <f t="shared" si="135"/>
        <v>945860.4</v>
      </c>
      <c r="X243" s="100">
        <f t="shared" si="135"/>
        <v>54607.199999999997</v>
      </c>
      <c r="Y243" s="100">
        <f t="shared" si="135"/>
        <v>49977207</v>
      </c>
      <c r="Z243" s="157">
        <f t="shared" si="118"/>
        <v>20.570001838878007</v>
      </c>
      <c r="AA243" s="100">
        <f t="shared" si="135"/>
        <v>52822337.539999999</v>
      </c>
      <c r="AB243" s="100">
        <f t="shared" si="135"/>
        <v>254509044.65000001</v>
      </c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  <c r="TF243" s="33"/>
      <c r="TG243" s="33"/>
      <c r="TH243" s="33"/>
      <c r="TI243" s="33"/>
      <c r="TJ243" s="33"/>
      <c r="TK243" s="33"/>
      <c r="TL243" s="33"/>
      <c r="TM243" s="33"/>
      <c r="TN243" s="33"/>
      <c r="TO243" s="33"/>
      <c r="TP243" s="33"/>
      <c r="TQ243" s="33"/>
      <c r="TR243" s="33"/>
      <c r="TS243" s="33"/>
    </row>
    <row r="244" spans="1:539" s="34" customFormat="1" ht="17.25" customHeight="1" x14ac:dyDescent="0.25">
      <c r="A244" s="98"/>
      <c r="B244" s="111"/>
      <c r="C244" s="111"/>
      <c r="D244" s="85" t="s">
        <v>421</v>
      </c>
      <c r="E244" s="100">
        <f>E258</f>
        <v>0</v>
      </c>
      <c r="F244" s="100">
        <f t="shared" ref="F244:AB244" si="136">F258</f>
        <v>0</v>
      </c>
      <c r="G244" s="100">
        <f t="shared" si="136"/>
        <v>0</v>
      </c>
      <c r="H244" s="100">
        <f t="shared" si="136"/>
        <v>0</v>
      </c>
      <c r="I244" s="100">
        <f t="shared" si="136"/>
        <v>0</v>
      </c>
      <c r="J244" s="100">
        <f t="shared" si="136"/>
        <v>0</v>
      </c>
      <c r="K244" s="100">
        <f t="shared" si="136"/>
        <v>0</v>
      </c>
      <c r="L244" s="100">
        <f t="shared" si="136"/>
        <v>0</v>
      </c>
      <c r="M244" s="157"/>
      <c r="N244" s="100">
        <f t="shared" si="136"/>
        <v>96859595</v>
      </c>
      <c r="O244" s="100">
        <f t="shared" si="136"/>
        <v>96859595</v>
      </c>
      <c r="P244" s="100">
        <f t="shared" si="136"/>
        <v>0</v>
      </c>
      <c r="Q244" s="100">
        <f t="shared" si="136"/>
        <v>0</v>
      </c>
      <c r="R244" s="100">
        <f t="shared" si="136"/>
        <v>0</v>
      </c>
      <c r="S244" s="100">
        <f t="shared" si="136"/>
        <v>96859595</v>
      </c>
      <c r="T244" s="100">
        <f t="shared" si="136"/>
        <v>0</v>
      </c>
      <c r="U244" s="100">
        <f t="shared" si="136"/>
        <v>0</v>
      </c>
      <c r="V244" s="100">
        <f t="shared" si="136"/>
        <v>0</v>
      </c>
      <c r="W244" s="100">
        <f t="shared" si="136"/>
        <v>0</v>
      </c>
      <c r="X244" s="100">
        <f t="shared" si="136"/>
        <v>0</v>
      </c>
      <c r="Y244" s="100">
        <f t="shared" si="136"/>
        <v>0</v>
      </c>
      <c r="Z244" s="157">
        <f t="shared" si="118"/>
        <v>0</v>
      </c>
      <c r="AA244" s="100">
        <f t="shared" si="136"/>
        <v>0</v>
      </c>
      <c r="AB244" s="100">
        <f t="shared" si="136"/>
        <v>96859595</v>
      </c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  <c r="TF244" s="33"/>
      <c r="TG244" s="33"/>
      <c r="TH244" s="33"/>
      <c r="TI244" s="33"/>
      <c r="TJ244" s="33"/>
      <c r="TK244" s="33"/>
      <c r="TL244" s="33"/>
      <c r="TM244" s="33"/>
      <c r="TN244" s="33"/>
      <c r="TO244" s="33"/>
      <c r="TP244" s="33"/>
      <c r="TQ244" s="33"/>
      <c r="TR244" s="33"/>
      <c r="TS244" s="33"/>
    </row>
    <row r="245" spans="1:539" s="22" customFormat="1" ht="47.25" x14ac:dyDescent="0.25">
      <c r="A245" s="60" t="s">
        <v>142</v>
      </c>
      <c r="B245" s="95" t="str">
        <f>'дод 5'!A21</f>
        <v>0160</v>
      </c>
      <c r="C245" s="95" t="str">
        <f>'дод 5'!B21</f>
        <v>0111</v>
      </c>
      <c r="D245" s="36" t="s">
        <v>502</v>
      </c>
      <c r="E245" s="101">
        <f t="shared" ref="E245:E259" si="137">F245+I245</f>
        <v>3609000</v>
      </c>
      <c r="F245" s="101">
        <v>3609000</v>
      </c>
      <c r="G245" s="101">
        <v>2958200</v>
      </c>
      <c r="H245" s="101"/>
      <c r="I245" s="101"/>
      <c r="J245" s="101">
        <v>1420059.99</v>
      </c>
      <c r="K245" s="101">
        <v>1181469.21</v>
      </c>
      <c r="L245" s="101"/>
      <c r="M245" s="157">
        <f t="shared" si="114"/>
        <v>39.347741479634244</v>
      </c>
      <c r="N245" s="101">
        <f>P245+S245</f>
        <v>1900000</v>
      </c>
      <c r="O245" s="101"/>
      <c r="P245" s="101">
        <v>1900000</v>
      </c>
      <c r="Q245" s="101">
        <v>1332000</v>
      </c>
      <c r="R245" s="101">
        <v>71500</v>
      </c>
      <c r="S245" s="101"/>
      <c r="T245" s="97">
        <f t="shared" si="115"/>
        <v>1248683.6100000001</v>
      </c>
      <c r="U245" s="101"/>
      <c r="V245" s="101">
        <v>1248683.6100000001</v>
      </c>
      <c r="W245" s="101">
        <v>945860.4</v>
      </c>
      <c r="X245" s="101">
        <v>54607.199999999997</v>
      </c>
      <c r="Y245" s="101"/>
      <c r="Z245" s="157">
        <f t="shared" si="118"/>
        <v>65.720190000000002</v>
      </c>
      <c r="AA245" s="97">
        <f t="shared" ref="AA245:AA260" si="138">J245+T245</f>
        <v>2668743.6</v>
      </c>
      <c r="AB245" s="101">
        <f t="shared" ref="AB245:AB259" si="139">E245+N245</f>
        <v>5509000</v>
      </c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  <c r="TH245" s="23"/>
      <c r="TI245" s="23"/>
      <c r="TJ245" s="23"/>
      <c r="TK245" s="23"/>
      <c r="TL245" s="23"/>
      <c r="TM245" s="23"/>
      <c r="TN245" s="23"/>
      <c r="TO245" s="23"/>
      <c r="TP245" s="23"/>
      <c r="TQ245" s="23"/>
      <c r="TR245" s="23"/>
      <c r="TS245" s="23"/>
    </row>
    <row r="246" spans="1:539" s="22" customFormat="1" ht="18" customHeight="1" x14ac:dyDescent="0.25">
      <c r="A246" s="60" t="s">
        <v>207</v>
      </c>
      <c r="B246" s="95" t="str">
        <f>'дод 5'!A145</f>
        <v>6030</v>
      </c>
      <c r="C246" s="95" t="str">
        <f>'дод 5'!B145</f>
        <v>0620</v>
      </c>
      <c r="D246" s="61" t="str">
        <f>'дод 5'!C145</f>
        <v>Організація благоустрою населених пунктів</v>
      </c>
      <c r="E246" s="101">
        <f t="shared" si="137"/>
        <v>0</v>
      </c>
      <c r="F246" s="101"/>
      <c r="G246" s="101"/>
      <c r="H246" s="101"/>
      <c r="I246" s="101"/>
      <c r="J246" s="101"/>
      <c r="K246" s="101"/>
      <c r="L246" s="101"/>
      <c r="M246" s="157"/>
      <c r="N246" s="101">
        <f t="shared" ref="N246:N267" si="140">P246+S246</f>
        <v>50349000</v>
      </c>
      <c r="O246" s="101">
        <f>50000000+200000+100000+49000</f>
        <v>50349000</v>
      </c>
      <c r="P246" s="101"/>
      <c r="Q246" s="101"/>
      <c r="R246" s="101"/>
      <c r="S246" s="101">
        <f>50000000+200000+100000+49000</f>
        <v>50349000</v>
      </c>
      <c r="T246" s="97">
        <f t="shared" si="115"/>
        <v>17502488</v>
      </c>
      <c r="U246" s="101">
        <v>17502488</v>
      </c>
      <c r="V246" s="101"/>
      <c r="W246" s="101"/>
      <c r="X246" s="101"/>
      <c r="Y246" s="101">
        <v>17502488</v>
      </c>
      <c r="Z246" s="157">
        <f t="shared" si="118"/>
        <v>34.762334902381376</v>
      </c>
      <c r="AA246" s="97">
        <f t="shared" si="138"/>
        <v>17502488</v>
      </c>
      <c r="AB246" s="101">
        <f t="shared" si="139"/>
        <v>50349000</v>
      </c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  <c r="TH246" s="23"/>
      <c r="TI246" s="23"/>
      <c r="TJ246" s="23"/>
      <c r="TK246" s="23"/>
      <c r="TL246" s="23"/>
      <c r="TM246" s="23"/>
      <c r="TN246" s="23"/>
      <c r="TO246" s="23"/>
      <c r="TP246" s="23"/>
      <c r="TQ246" s="23"/>
      <c r="TR246" s="23"/>
      <c r="TS246" s="23"/>
    </row>
    <row r="247" spans="1:539" s="22" customFormat="1" ht="65.25" customHeight="1" x14ac:dyDescent="0.25">
      <c r="A247" s="60" t="s">
        <v>208</v>
      </c>
      <c r="B247" s="95" t="str">
        <f>'дод 5'!A148</f>
        <v>6084</v>
      </c>
      <c r="C247" s="95" t="str">
        <f>'дод 5'!B148</f>
        <v>0610</v>
      </c>
      <c r="D247" s="61" t="s">
        <v>541</v>
      </c>
      <c r="E247" s="101">
        <f t="shared" si="137"/>
        <v>0</v>
      </c>
      <c r="F247" s="101"/>
      <c r="G247" s="101"/>
      <c r="H247" s="101"/>
      <c r="I247" s="101"/>
      <c r="J247" s="101"/>
      <c r="K247" s="101"/>
      <c r="L247" s="101"/>
      <c r="M247" s="157"/>
      <c r="N247" s="101">
        <f t="shared" si="140"/>
        <v>71348.649999999994</v>
      </c>
      <c r="O247" s="101"/>
      <c r="P247" s="115"/>
      <c r="Q247" s="101"/>
      <c r="R247" s="101"/>
      <c r="S247" s="101">
        <f>70060+1288.65</f>
        <v>71348.649999999994</v>
      </c>
      <c r="T247" s="97">
        <f t="shared" si="115"/>
        <v>0</v>
      </c>
      <c r="U247" s="101"/>
      <c r="V247" s="101"/>
      <c r="W247" s="101"/>
      <c r="X247" s="101"/>
      <c r="Y247" s="101"/>
      <c r="Z247" s="157">
        <f t="shared" si="118"/>
        <v>0</v>
      </c>
      <c r="AA247" s="97">
        <f t="shared" si="138"/>
        <v>0</v>
      </c>
      <c r="AB247" s="101">
        <f t="shared" si="139"/>
        <v>71348.649999999994</v>
      </c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  <c r="TI247" s="23"/>
      <c r="TJ247" s="23"/>
      <c r="TK247" s="23"/>
      <c r="TL247" s="23"/>
      <c r="TM247" s="23"/>
      <c r="TN247" s="23"/>
      <c r="TO247" s="23"/>
      <c r="TP247" s="23"/>
      <c r="TQ247" s="23"/>
      <c r="TR247" s="23"/>
      <c r="TS247" s="23"/>
    </row>
    <row r="248" spans="1:539" s="22" customFormat="1" ht="18.75" hidden="1" customHeight="1" x14ac:dyDescent="0.25">
      <c r="A248" s="60" t="s">
        <v>277</v>
      </c>
      <c r="B248" s="95" t="str">
        <f>'дод 5'!A158</f>
        <v>7310</v>
      </c>
      <c r="C248" s="95" t="str">
        <f>'дод 5'!B158</f>
        <v>0443</v>
      </c>
      <c r="D248" s="61" t="str">
        <f>'дод 5'!C158</f>
        <v>Будівництво1 об'єктів житлово-комунального господарства</v>
      </c>
      <c r="E248" s="101">
        <f t="shared" si="137"/>
        <v>0</v>
      </c>
      <c r="F248" s="101"/>
      <c r="G248" s="101"/>
      <c r="H248" s="101"/>
      <c r="I248" s="101"/>
      <c r="J248" s="101"/>
      <c r="K248" s="101"/>
      <c r="L248" s="101"/>
      <c r="M248" s="157"/>
      <c r="N248" s="101">
        <f t="shared" si="140"/>
        <v>0</v>
      </c>
      <c r="O248" s="101"/>
      <c r="P248" s="101"/>
      <c r="Q248" s="101"/>
      <c r="R248" s="101"/>
      <c r="S248" s="101"/>
      <c r="T248" s="97">
        <f t="shared" si="115"/>
        <v>0</v>
      </c>
      <c r="U248" s="101"/>
      <c r="V248" s="101"/>
      <c r="W248" s="101"/>
      <c r="X248" s="101"/>
      <c r="Y248" s="101"/>
      <c r="Z248" s="157" t="e">
        <f t="shared" si="118"/>
        <v>#DIV/0!</v>
      </c>
      <c r="AA248" s="97">
        <f t="shared" si="138"/>
        <v>0</v>
      </c>
      <c r="AB248" s="101">
        <f t="shared" si="139"/>
        <v>0</v>
      </c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  <c r="TI248" s="23"/>
      <c r="TJ248" s="23"/>
      <c r="TK248" s="23"/>
      <c r="TL248" s="23"/>
      <c r="TM248" s="23"/>
      <c r="TN248" s="23"/>
      <c r="TO248" s="23"/>
      <c r="TP248" s="23"/>
      <c r="TQ248" s="23"/>
      <c r="TR248" s="23"/>
      <c r="TS248" s="23"/>
    </row>
    <row r="249" spans="1:539" s="22" customFormat="1" ht="18.75" x14ac:dyDescent="0.25">
      <c r="A249" s="60" t="s">
        <v>278</v>
      </c>
      <c r="B249" s="95" t="str">
        <f>'дод 5'!A159</f>
        <v>7321</v>
      </c>
      <c r="C249" s="95" t="str">
        <f>'дод 5'!B159</f>
        <v>0443</v>
      </c>
      <c r="D249" s="6" t="s">
        <v>558</v>
      </c>
      <c r="E249" s="101">
        <f t="shared" si="137"/>
        <v>0</v>
      </c>
      <c r="F249" s="101"/>
      <c r="G249" s="101"/>
      <c r="H249" s="101"/>
      <c r="I249" s="101"/>
      <c r="J249" s="101"/>
      <c r="K249" s="101"/>
      <c r="L249" s="101"/>
      <c r="M249" s="157"/>
      <c r="N249" s="101">
        <f t="shared" si="140"/>
        <v>88560</v>
      </c>
      <c r="O249" s="101">
        <f>42471+46089</f>
        <v>88560</v>
      </c>
      <c r="P249" s="101"/>
      <c r="Q249" s="101"/>
      <c r="R249" s="101"/>
      <c r="S249" s="101">
        <f>42471+46089</f>
        <v>88560</v>
      </c>
      <c r="T249" s="97">
        <f t="shared" si="115"/>
        <v>42471</v>
      </c>
      <c r="U249" s="101">
        <v>42471</v>
      </c>
      <c r="V249" s="101"/>
      <c r="W249" s="101"/>
      <c r="X249" s="101"/>
      <c r="Y249" s="101">
        <v>42471</v>
      </c>
      <c r="Z249" s="157">
        <f t="shared" si="118"/>
        <v>47.957317073170728</v>
      </c>
      <c r="AA249" s="97">
        <f t="shared" si="138"/>
        <v>42471</v>
      </c>
      <c r="AB249" s="101">
        <f t="shared" si="139"/>
        <v>88560</v>
      </c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  <c r="TI249" s="23"/>
      <c r="TJ249" s="23"/>
      <c r="TK249" s="23"/>
      <c r="TL249" s="23"/>
      <c r="TM249" s="23"/>
      <c r="TN249" s="23"/>
      <c r="TO249" s="23"/>
      <c r="TP249" s="23"/>
      <c r="TQ249" s="23"/>
      <c r="TR249" s="23"/>
      <c r="TS249" s="23"/>
    </row>
    <row r="250" spans="1:539" s="22" customFormat="1" ht="18" customHeight="1" x14ac:dyDescent="0.25">
      <c r="A250" s="60" t="s">
        <v>280</v>
      </c>
      <c r="B250" s="95" t="str">
        <f>'дод 5'!A160</f>
        <v>7322</v>
      </c>
      <c r="C250" s="95" t="str">
        <f>'дод 5'!B160</f>
        <v>0443</v>
      </c>
      <c r="D250" s="6" t="s">
        <v>559</v>
      </c>
      <c r="E250" s="101">
        <f t="shared" si="137"/>
        <v>0</v>
      </c>
      <c r="F250" s="101"/>
      <c r="G250" s="101"/>
      <c r="H250" s="101"/>
      <c r="I250" s="101"/>
      <c r="J250" s="101"/>
      <c r="K250" s="101"/>
      <c r="L250" s="101"/>
      <c r="M250" s="157"/>
      <c r="N250" s="101">
        <f t="shared" si="140"/>
        <v>6800000</v>
      </c>
      <c r="O250" s="101">
        <f>3000000+1800000+2000000</f>
        <v>6800000</v>
      </c>
      <c r="P250" s="101"/>
      <c r="Q250" s="101"/>
      <c r="R250" s="101"/>
      <c r="S250" s="101">
        <f>3000000+1800000+2000000</f>
        <v>6800000</v>
      </c>
      <c r="T250" s="97">
        <f t="shared" si="115"/>
        <v>5903627</v>
      </c>
      <c r="U250" s="101">
        <v>5903627</v>
      </c>
      <c r="V250" s="101"/>
      <c r="W250" s="101"/>
      <c r="X250" s="101"/>
      <c r="Y250" s="101">
        <v>5903627</v>
      </c>
      <c r="Z250" s="157">
        <f t="shared" si="118"/>
        <v>86.818044117647062</v>
      </c>
      <c r="AA250" s="97">
        <f t="shared" si="138"/>
        <v>5903627</v>
      </c>
      <c r="AB250" s="101">
        <f t="shared" si="139"/>
        <v>6800000</v>
      </c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  <c r="TI250" s="23"/>
      <c r="TJ250" s="23"/>
      <c r="TK250" s="23"/>
      <c r="TL250" s="23"/>
      <c r="TM250" s="23"/>
      <c r="TN250" s="23"/>
      <c r="TO250" s="23"/>
      <c r="TP250" s="23"/>
      <c r="TQ250" s="23"/>
      <c r="TR250" s="23"/>
      <c r="TS250" s="23"/>
    </row>
    <row r="251" spans="1:539" s="22" customFormat="1" ht="34.5" x14ac:dyDescent="0.25">
      <c r="A251" s="60" t="s">
        <v>361</v>
      </c>
      <c r="B251" s="95">
        <f>'дод 5'!A163</f>
        <v>7325</v>
      </c>
      <c r="C251" s="60" t="s">
        <v>113</v>
      </c>
      <c r="D251" s="6" t="s">
        <v>556</v>
      </c>
      <c r="E251" s="101">
        <f t="shared" si="137"/>
        <v>0</v>
      </c>
      <c r="F251" s="101"/>
      <c r="G251" s="101"/>
      <c r="H251" s="101"/>
      <c r="I251" s="101"/>
      <c r="J251" s="101"/>
      <c r="K251" s="101"/>
      <c r="L251" s="101"/>
      <c r="M251" s="157"/>
      <c r="N251" s="101">
        <f t="shared" si="140"/>
        <v>1799440</v>
      </c>
      <c r="O251" s="101">
        <f>199440+1000000+600000</f>
        <v>1799440</v>
      </c>
      <c r="P251" s="101"/>
      <c r="Q251" s="101"/>
      <c r="R251" s="101"/>
      <c r="S251" s="101">
        <f>199440+1000000+600000</f>
        <v>1799440</v>
      </c>
      <c r="T251" s="97">
        <f t="shared" si="115"/>
        <v>76225</v>
      </c>
      <c r="U251" s="101">
        <v>76225</v>
      </c>
      <c r="V251" s="101"/>
      <c r="W251" s="101"/>
      <c r="X251" s="101"/>
      <c r="Y251" s="101">
        <v>76225</v>
      </c>
      <c r="Z251" s="157">
        <f t="shared" si="118"/>
        <v>4.2360401013648694</v>
      </c>
      <c r="AA251" s="97">
        <f t="shared" si="138"/>
        <v>76225</v>
      </c>
      <c r="AB251" s="101">
        <f t="shared" si="139"/>
        <v>1799440</v>
      </c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  <c r="TH251" s="23"/>
      <c r="TI251" s="23"/>
      <c r="TJ251" s="23"/>
      <c r="TK251" s="23"/>
      <c r="TL251" s="23"/>
      <c r="TM251" s="23"/>
      <c r="TN251" s="23"/>
      <c r="TO251" s="23"/>
      <c r="TP251" s="23"/>
      <c r="TQ251" s="23"/>
      <c r="TR251" s="23"/>
      <c r="TS251" s="23"/>
    </row>
    <row r="252" spans="1:539" s="22" customFormat="1" ht="18" customHeight="1" x14ac:dyDescent="0.25">
      <c r="A252" s="60" t="s">
        <v>282</v>
      </c>
      <c r="B252" s="95" t="str">
        <f>'дод 5'!A164</f>
        <v>7330</v>
      </c>
      <c r="C252" s="95" t="str">
        <f>'дод 5'!B164</f>
        <v>0443</v>
      </c>
      <c r="D252" s="6" t="s">
        <v>557</v>
      </c>
      <c r="E252" s="101">
        <f t="shared" si="137"/>
        <v>0</v>
      </c>
      <c r="F252" s="101"/>
      <c r="G252" s="101"/>
      <c r="H252" s="101"/>
      <c r="I252" s="101"/>
      <c r="J252" s="101"/>
      <c r="K252" s="101"/>
      <c r="L252" s="101"/>
      <c r="M252" s="157"/>
      <c r="N252" s="101">
        <f t="shared" si="140"/>
        <v>12646580</v>
      </c>
      <c r="O252" s="101">
        <f>39750000+1567447+258138-1800000+200000+135000+200000+95995-28000000+240000</f>
        <v>12646580</v>
      </c>
      <c r="P252" s="101"/>
      <c r="Q252" s="101"/>
      <c r="R252" s="101"/>
      <c r="S252" s="101">
        <f>39750000+1567447+258138-1800000+200000+135000+200000+95995-28000000+240000</f>
        <v>12646580</v>
      </c>
      <c r="T252" s="97">
        <f t="shared" si="115"/>
        <v>3626031</v>
      </c>
      <c r="U252" s="101">
        <v>3626031</v>
      </c>
      <c r="V252" s="101"/>
      <c r="W252" s="101"/>
      <c r="X252" s="101"/>
      <c r="Y252" s="101">
        <v>3626031</v>
      </c>
      <c r="Z252" s="157">
        <f t="shared" si="118"/>
        <v>28.672028327025963</v>
      </c>
      <c r="AA252" s="97">
        <f t="shared" si="138"/>
        <v>3626031</v>
      </c>
      <c r="AB252" s="101">
        <f t="shared" si="139"/>
        <v>12646580</v>
      </c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  <c r="TI252" s="23"/>
      <c r="TJ252" s="23"/>
      <c r="TK252" s="23"/>
      <c r="TL252" s="23"/>
      <c r="TM252" s="23"/>
      <c r="TN252" s="23"/>
      <c r="TO252" s="23"/>
      <c r="TP252" s="23"/>
      <c r="TQ252" s="23"/>
      <c r="TR252" s="23"/>
      <c r="TS252" s="23"/>
    </row>
    <row r="253" spans="1:539" s="22" customFormat="1" ht="31.5" x14ac:dyDescent="0.25">
      <c r="A253" s="60" t="s">
        <v>430</v>
      </c>
      <c r="B253" s="95">
        <v>7340</v>
      </c>
      <c r="C253" s="60" t="s">
        <v>113</v>
      </c>
      <c r="D253" s="61" t="s">
        <v>1</v>
      </c>
      <c r="E253" s="101">
        <f t="shared" si="137"/>
        <v>0</v>
      </c>
      <c r="F253" s="101"/>
      <c r="G253" s="101"/>
      <c r="H253" s="101"/>
      <c r="I253" s="101"/>
      <c r="J253" s="101"/>
      <c r="K253" s="101"/>
      <c r="L253" s="101"/>
      <c r="M253" s="157"/>
      <c r="N253" s="101">
        <f t="shared" si="140"/>
        <v>1000000</v>
      </c>
      <c r="O253" s="101">
        <f>6000000-2067496-104420-86000-2742084</f>
        <v>1000000</v>
      </c>
      <c r="P253" s="101"/>
      <c r="Q253" s="101"/>
      <c r="R253" s="101"/>
      <c r="S253" s="101">
        <f>6000000-2067496-104420-86000-2742084</f>
        <v>1000000</v>
      </c>
      <c r="T253" s="97">
        <f t="shared" si="115"/>
        <v>0</v>
      </c>
      <c r="U253" s="101"/>
      <c r="V253" s="101"/>
      <c r="W253" s="101"/>
      <c r="X253" s="101"/>
      <c r="Y253" s="101"/>
      <c r="Z253" s="157">
        <f t="shared" si="118"/>
        <v>0</v>
      </c>
      <c r="AA253" s="97">
        <f t="shared" si="138"/>
        <v>0</v>
      </c>
      <c r="AB253" s="101">
        <f t="shared" si="139"/>
        <v>1000000</v>
      </c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  <c r="TH253" s="23"/>
      <c r="TI253" s="23"/>
      <c r="TJ253" s="23"/>
      <c r="TK253" s="23"/>
      <c r="TL253" s="23"/>
      <c r="TM253" s="23"/>
      <c r="TN253" s="23"/>
      <c r="TO253" s="23"/>
      <c r="TP253" s="23"/>
      <c r="TQ253" s="23"/>
      <c r="TR253" s="23"/>
      <c r="TS253" s="23"/>
    </row>
    <row r="254" spans="1:539" s="22" customFormat="1" ht="53.25" customHeight="1" x14ac:dyDescent="0.25">
      <c r="A254" s="60" t="s">
        <v>373</v>
      </c>
      <c r="B254" s="95">
        <f>'дод 5'!A167</f>
        <v>7361</v>
      </c>
      <c r="C254" s="95" t="str">
        <f>'дод 5'!B167</f>
        <v>0490</v>
      </c>
      <c r="D254" s="61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254" s="101">
        <f t="shared" ref="E254" si="141">F254+I254</f>
        <v>0</v>
      </c>
      <c r="F254" s="101"/>
      <c r="G254" s="101"/>
      <c r="H254" s="101"/>
      <c r="I254" s="101"/>
      <c r="J254" s="101"/>
      <c r="K254" s="101"/>
      <c r="L254" s="101"/>
      <c r="M254" s="157"/>
      <c r="N254" s="101">
        <f t="shared" ref="N254" si="142">P254+S254</f>
        <v>38172673</v>
      </c>
      <c r="O254" s="101">
        <f>10172673+28000000</f>
        <v>38172673</v>
      </c>
      <c r="P254" s="101"/>
      <c r="Q254" s="101"/>
      <c r="R254" s="101"/>
      <c r="S254" s="101">
        <f>10172673+28000000</f>
        <v>38172673</v>
      </c>
      <c r="T254" s="97">
        <f t="shared" si="115"/>
        <v>7048511</v>
      </c>
      <c r="U254" s="101">
        <v>7048511</v>
      </c>
      <c r="V254" s="101"/>
      <c r="W254" s="101"/>
      <c r="X254" s="101"/>
      <c r="Y254" s="101">
        <v>7048511</v>
      </c>
      <c r="Z254" s="157">
        <f t="shared" si="118"/>
        <v>18.4648085817831</v>
      </c>
      <c r="AA254" s="97">
        <f t="shared" si="138"/>
        <v>7048511</v>
      </c>
      <c r="AB254" s="101">
        <f t="shared" si="139"/>
        <v>38172673</v>
      </c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  <c r="TH254" s="23"/>
      <c r="TI254" s="23"/>
      <c r="TJ254" s="23"/>
      <c r="TK254" s="23"/>
      <c r="TL254" s="23"/>
      <c r="TM254" s="23"/>
      <c r="TN254" s="23"/>
      <c r="TO254" s="23"/>
      <c r="TP254" s="23"/>
      <c r="TQ254" s="23"/>
      <c r="TR254" s="23"/>
      <c r="TS254" s="23"/>
    </row>
    <row r="255" spans="1:539" s="22" customFormat="1" ht="47.25" hidden="1" customHeight="1" x14ac:dyDescent="0.25">
      <c r="A255" s="60" t="s">
        <v>368</v>
      </c>
      <c r="B255" s="95">
        <v>7363</v>
      </c>
      <c r="C255" s="60" t="s">
        <v>84</v>
      </c>
      <c r="D255" s="61" t="s">
        <v>400</v>
      </c>
      <c r="E255" s="101">
        <f t="shared" si="137"/>
        <v>0</v>
      </c>
      <c r="F255" s="101"/>
      <c r="G255" s="101"/>
      <c r="H255" s="101"/>
      <c r="I255" s="101"/>
      <c r="J255" s="101"/>
      <c r="K255" s="101"/>
      <c r="L255" s="101"/>
      <c r="M255" s="157" t="e">
        <f t="shared" si="114"/>
        <v>#DIV/0!</v>
      </c>
      <c r="N255" s="101">
        <f t="shared" si="140"/>
        <v>0</v>
      </c>
      <c r="O255" s="101"/>
      <c r="P255" s="101"/>
      <c r="Q255" s="101"/>
      <c r="R255" s="101"/>
      <c r="S255" s="101"/>
      <c r="T255" s="97">
        <f t="shared" si="115"/>
        <v>0</v>
      </c>
      <c r="U255" s="101"/>
      <c r="V255" s="101"/>
      <c r="W255" s="101"/>
      <c r="X255" s="101"/>
      <c r="Y255" s="101"/>
      <c r="Z255" s="157" t="e">
        <f t="shared" si="118"/>
        <v>#DIV/0!</v>
      </c>
      <c r="AA255" s="97">
        <f t="shared" si="138"/>
        <v>0</v>
      </c>
      <c r="AB255" s="101">
        <f t="shared" si="139"/>
        <v>0</v>
      </c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  <c r="TJ255" s="23"/>
      <c r="TK255" s="23"/>
      <c r="TL255" s="23"/>
      <c r="TM255" s="23"/>
      <c r="TN255" s="23"/>
      <c r="TO255" s="23"/>
      <c r="TP255" s="23"/>
      <c r="TQ255" s="23"/>
      <c r="TR255" s="23"/>
      <c r="TS255" s="23"/>
    </row>
    <row r="256" spans="1:539" s="22" customFormat="1" ht="31.5" x14ac:dyDescent="0.25">
      <c r="A256" s="60" t="s">
        <v>433</v>
      </c>
      <c r="B256" s="95">
        <v>7370</v>
      </c>
      <c r="C256" s="60" t="s">
        <v>84</v>
      </c>
      <c r="D256" s="61" t="s">
        <v>434</v>
      </c>
      <c r="E256" s="101">
        <f>F256+I256</f>
        <v>104420</v>
      </c>
      <c r="F256" s="101">
        <v>104420</v>
      </c>
      <c r="G256" s="101"/>
      <c r="H256" s="101"/>
      <c r="I256" s="101"/>
      <c r="J256" s="101">
        <v>31326</v>
      </c>
      <c r="K256" s="101"/>
      <c r="L256" s="101"/>
      <c r="M256" s="157">
        <f t="shared" si="114"/>
        <v>30</v>
      </c>
      <c r="N256" s="101">
        <f t="shared" si="140"/>
        <v>0</v>
      </c>
      <c r="O256" s="101"/>
      <c r="P256" s="101"/>
      <c r="Q256" s="101"/>
      <c r="R256" s="101"/>
      <c r="S256" s="101"/>
      <c r="T256" s="97">
        <f t="shared" si="115"/>
        <v>0</v>
      </c>
      <c r="U256" s="101"/>
      <c r="V256" s="101"/>
      <c r="W256" s="101"/>
      <c r="X256" s="101"/>
      <c r="Y256" s="101"/>
      <c r="Z256" s="157"/>
      <c r="AA256" s="97">
        <f t="shared" si="138"/>
        <v>31326</v>
      </c>
      <c r="AB256" s="101">
        <f t="shared" si="139"/>
        <v>104420</v>
      </c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  <c r="TH256" s="23"/>
      <c r="TI256" s="23"/>
      <c r="TJ256" s="23"/>
      <c r="TK256" s="23"/>
      <c r="TL256" s="23"/>
      <c r="TM256" s="23"/>
      <c r="TN256" s="23"/>
      <c r="TO256" s="23"/>
      <c r="TP256" s="23"/>
      <c r="TQ256" s="23"/>
      <c r="TR256" s="23"/>
      <c r="TS256" s="23"/>
    </row>
    <row r="257" spans="1:539" s="22" customFormat="1" ht="21.75" customHeight="1" x14ac:dyDescent="0.25">
      <c r="A257" s="60" t="s">
        <v>148</v>
      </c>
      <c r="B257" s="95" t="str">
        <f>'дод 5'!A189</f>
        <v>7640</v>
      </c>
      <c r="C257" s="95" t="str">
        <f>'дод 5'!B189</f>
        <v>0470</v>
      </c>
      <c r="D257" s="61" t="s">
        <v>473</v>
      </c>
      <c r="E257" s="101">
        <f t="shared" si="137"/>
        <v>1763607</v>
      </c>
      <c r="F257" s="101">
        <v>1763607</v>
      </c>
      <c r="G257" s="101"/>
      <c r="H257" s="101"/>
      <c r="I257" s="101"/>
      <c r="J257" s="101">
        <v>145060.94</v>
      </c>
      <c r="K257" s="101"/>
      <c r="L257" s="101"/>
      <c r="M257" s="157">
        <f t="shared" si="114"/>
        <v>8.2252417913968365</v>
      </c>
      <c r="N257" s="101">
        <f t="shared" si="140"/>
        <v>136118416</v>
      </c>
      <c r="O257" s="101">
        <v>124644482</v>
      </c>
      <c r="P257" s="115"/>
      <c r="Q257" s="101"/>
      <c r="R257" s="101"/>
      <c r="S257" s="101">
        <v>136118416</v>
      </c>
      <c r="T257" s="97">
        <f t="shared" si="115"/>
        <v>15777854</v>
      </c>
      <c r="U257" s="101">
        <v>6359867</v>
      </c>
      <c r="V257" s="101"/>
      <c r="W257" s="101"/>
      <c r="X257" s="101"/>
      <c r="Y257" s="101">
        <v>15777854</v>
      </c>
      <c r="Z257" s="157">
        <f t="shared" si="118"/>
        <v>11.59127064775717</v>
      </c>
      <c r="AA257" s="97">
        <f t="shared" si="138"/>
        <v>15922914.939999999</v>
      </c>
      <c r="AB257" s="101">
        <f t="shared" si="139"/>
        <v>137882023</v>
      </c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  <c r="TH257" s="23"/>
      <c r="TI257" s="23"/>
      <c r="TJ257" s="23"/>
      <c r="TK257" s="23"/>
      <c r="TL257" s="23"/>
      <c r="TM257" s="23"/>
      <c r="TN257" s="23"/>
      <c r="TO257" s="23"/>
      <c r="TP257" s="23"/>
      <c r="TQ257" s="23"/>
      <c r="TR257" s="23"/>
      <c r="TS257" s="23"/>
    </row>
    <row r="258" spans="1:539" s="24" customFormat="1" ht="17.25" customHeight="1" x14ac:dyDescent="0.25">
      <c r="A258" s="86"/>
      <c r="B258" s="113"/>
      <c r="C258" s="113"/>
      <c r="D258" s="87" t="s">
        <v>421</v>
      </c>
      <c r="E258" s="103">
        <f t="shared" si="137"/>
        <v>0</v>
      </c>
      <c r="F258" s="103"/>
      <c r="G258" s="103"/>
      <c r="H258" s="103"/>
      <c r="I258" s="103"/>
      <c r="J258" s="103"/>
      <c r="K258" s="103"/>
      <c r="L258" s="103"/>
      <c r="M258" s="157"/>
      <c r="N258" s="103">
        <f t="shared" si="140"/>
        <v>96859595</v>
      </c>
      <c r="O258" s="103">
        <v>96859595</v>
      </c>
      <c r="P258" s="116"/>
      <c r="Q258" s="103"/>
      <c r="R258" s="103"/>
      <c r="S258" s="103">
        <v>96859595</v>
      </c>
      <c r="T258" s="97">
        <f t="shared" si="115"/>
        <v>0</v>
      </c>
      <c r="U258" s="103"/>
      <c r="V258" s="103"/>
      <c r="W258" s="103"/>
      <c r="X258" s="103"/>
      <c r="Y258" s="103"/>
      <c r="Z258" s="157">
        <f t="shared" si="118"/>
        <v>0</v>
      </c>
      <c r="AA258" s="97">
        <f t="shared" si="138"/>
        <v>0</v>
      </c>
      <c r="AB258" s="103">
        <f t="shared" si="139"/>
        <v>96859595</v>
      </c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  <c r="TH258" s="30"/>
      <c r="TI258" s="30"/>
      <c r="TJ258" s="30"/>
      <c r="TK258" s="30"/>
      <c r="TL258" s="30"/>
      <c r="TM258" s="30"/>
      <c r="TN258" s="30"/>
      <c r="TO258" s="30"/>
      <c r="TP258" s="30"/>
      <c r="TQ258" s="30"/>
      <c r="TR258" s="30"/>
      <c r="TS258" s="30"/>
    </row>
    <row r="259" spans="1:539" s="22" customFormat="1" ht="126" hidden="1" customHeight="1" x14ac:dyDescent="0.25">
      <c r="A259" s="60" t="s">
        <v>371</v>
      </c>
      <c r="B259" s="95">
        <v>7691</v>
      </c>
      <c r="C259" s="37" t="s">
        <v>84</v>
      </c>
      <c r="D259" s="61" t="s">
        <v>316</v>
      </c>
      <c r="E259" s="101">
        <f t="shared" si="137"/>
        <v>0</v>
      </c>
      <c r="F259" s="101"/>
      <c r="G259" s="101"/>
      <c r="H259" s="101"/>
      <c r="I259" s="101"/>
      <c r="J259" s="101"/>
      <c r="K259" s="101"/>
      <c r="L259" s="101"/>
      <c r="M259" s="157"/>
      <c r="N259" s="101">
        <f t="shared" si="140"/>
        <v>0</v>
      </c>
      <c r="O259" s="101"/>
      <c r="P259" s="115"/>
      <c r="Q259" s="101"/>
      <c r="R259" s="101"/>
      <c r="S259" s="101"/>
      <c r="T259" s="97">
        <f t="shared" si="115"/>
        <v>0</v>
      </c>
      <c r="U259" s="101"/>
      <c r="V259" s="101"/>
      <c r="W259" s="101"/>
      <c r="X259" s="101"/>
      <c r="Y259" s="101"/>
      <c r="Z259" s="157" t="e">
        <f t="shared" si="118"/>
        <v>#DIV/0!</v>
      </c>
      <c r="AA259" s="97">
        <f t="shared" si="138"/>
        <v>0</v>
      </c>
      <c r="AB259" s="101">
        <f t="shared" si="139"/>
        <v>0</v>
      </c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  <c r="TH259" s="23"/>
      <c r="TI259" s="23"/>
      <c r="TJ259" s="23"/>
      <c r="TK259" s="23"/>
      <c r="TL259" s="23"/>
      <c r="TM259" s="23"/>
      <c r="TN259" s="23"/>
      <c r="TO259" s="23"/>
      <c r="TP259" s="23"/>
      <c r="TQ259" s="23"/>
      <c r="TR259" s="23"/>
      <c r="TS259" s="23"/>
    </row>
    <row r="260" spans="1:539" s="22" customFormat="1" ht="33.75" customHeight="1" x14ac:dyDescent="0.25">
      <c r="A260" s="60" t="s">
        <v>538</v>
      </c>
      <c r="B260" s="95">
        <v>9750</v>
      </c>
      <c r="C260" s="60" t="s">
        <v>46</v>
      </c>
      <c r="D260" s="61" t="s">
        <v>539</v>
      </c>
      <c r="E260" s="101">
        <f t="shared" ref="E260" si="143">F260+I260</f>
        <v>0</v>
      </c>
      <c r="F260" s="101"/>
      <c r="G260" s="101"/>
      <c r="H260" s="101"/>
      <c r="I260" s="101"/>
      <c r="J260" s="101"/>
      <c r="K260" s="101"/>
      <c r="L260" s="101"/>
      <c r="M260" s="157"/>
      <c r="N260" s="101">
        <f t="shared" ref="N260" si="144">P260+S260</f>
        <v>86000</v>
      </c>
      <c r="O260" s="101">
        <v>86000</v>
      </c>
      <c r="P260" s="115"/>
      <c r="Q260" s="101"/>
      <c r="R260" s="101"/>
      <c r="S260" s="101">
        <v>86000</v>
      </c>
      <c r="T260" s="97">
        <f t="shared" si="115"/>
        <v>0</v>
      </c>
      <c r="U260" s="101"/>
      <c r="V260" s="101"/>
      <c r="W260" s="101"/>
      <c r="X260" s="101"/>
      <c r="Y260" s="101"/>
      <c r="Z260" s="157">
        <f t="shared" si="118"/>
        <v>0</v>
      </c>
      <c r="AA260" s="97">
        <f t="shared" si="138"/>
        <v>0</v>
      </c>
      <c r="AB260" s="101">
        <f t="shared" ref="AB260" si="145">E260+N260</f>
        <v>86000</v>
      </c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  <c r="TI260" s="23"/>
      <c r="TJ260" s="23"/>
      <c r="TK260" s="23"/>
      <c r="TL260" s="23"/>
      <c r="TM260" s="23"/>
      <c r="TN260" s="23"/>
      <c r="TO260" s="23"/>
      <c r="TP260" s="23"/>
      <c r="TQ260" s="23"/>
      <c r="TR260" s="23"/>
      <c r="TS260" s="23"/>
    </row>
    <row r="261" spans="1:539" s="27" customFormat="1" ht="30.75" customHeight="1" x14ac:dyDescent="0.25">
      <c r="A261" s="112" t="s">
        <v>209</v>
      </c>
      <c r="B261" s="114"/>
      <c r="C261" s="114"/>
      <c r="D261" s="109" t="s">
        <v>41</v>
      </c>
      <c r="E261" s="97">
        <f>E262</f>
        <v>11825766</v>
      </c>
      <c r="F261" s="97">
        <f t="shared" ref="F261:AB261" si="146">F262</f>
        <v>11825766</v>
      </c>
      <c r="G261" s="97">
        <f t="shared" si="146"/>
        <v>7405200</v>
      </c>
      <c r="H261" s="97">
        <f t="shared" si="146"/>
        <v>86000</v>
      </c>
      <c r="I261" s="97">
        <f t="shared" si="146"/>
        <v>0</v>
      </c>
      <c r="J261" s="97">
        <f t="shared" si="146"/>
        <v>4881053.21</v>
      </c>
      <c r="K261" s="97">
        <f t="shared" si="146"/>
        <v>3820945.94</v>
      </c>
      <c r="L261" s="97">
        <f t="shared" si="146"/>
        <v>56145.1</v>
      </c>
      <c r="M261" s="157">
        <f t="shared" si="114"/>
        <v>41.274731886289651</v>
      </c>
      <c r="N261" s="97">
        <f t="shared" si="146"/>
        <v>2596250.2999999998</v>
      </c>
      <c r="O261" s="97">
        <f t="shared" si="146"/>
        <v>0</v>
      </c>
      <c r="P261" s="97">
        <f t="shared" si="146"/>
        <v>2596250.2999999998</v>
      </c>
      <c r="Q261" s="97">
        <f t="shared" si="146"/>
        <v>0</v>
      </c>
      <c r="R261" s="97">
        <f t="shared" si="146"/>
        <v>0</v>
      </c>
      <c r="S261" s="97">
        <f t="shared" si="146"/>
        <v>0</v>
      </c>
      <c r="T261" s="97">
        <f t="shared" si="146"/>
        <v>246503.16</v>
      </c>
      <c r="U261" s="97">
        <f t="shared" si="146"/>
        <v>0</v>
      </c>
      <c r="V261" s="97">
        <f t="shared" si="146"/>
        <v>246503.16</v>
      </c>
      <c r="W261" s="97">
        <f t="shared" si="146"/>
        <v>0</v>
      </c>
      <c r="X261" s="97">
        <f t="shared" si="146"/>
        <v>0</v>
      </c>
      <c r="Y261" s="97">
        <f t="shared" si="146"/>
        <v>0</v>
      </c>
      <c r="Z261" s="157">
        <f t="shared" si="118"/>
        <v>9.4945837849301373</v>
      </c>
      <c r="AA261" s="97">
        <f t="shared" si="146"/>
        <v>5127556.37</v>
      </c>
      <c r="AB261" s="97">
        <f t="shared" si="146"/>
        <v>14422016.300000001</v>
      </c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  <c r="IU261" s="32"/>
      <c r="IV261" s="32"/>
      <c r="IW261" s="32"/>
      <c r="IX261" s="32"/>
      <c r="IY261" s="32"/>
      <c r="IZ261" s="32"/>
      <c r="JA261" s="32"/>
      <c r="JB261" s="32"/>
      <c r="JC261" s="32"/>
      <c r="JD261" s="32"/>
      <c r="JE261" s="32"/>
      <c r="JF261" s="32"/>
      <c r="JG261" s="32"/>
      <c r="JH261" s="32"/>
      <c r="JI261" s="32"/>
      <c r="JJ261" s="32"/>
      <c r="JK261" s="32"/>
      <c r="JL261" s="32"/>
      <c r="JM261" s="32"/>
      <c r="JN261" s="32"/>
      <c r="JO261" s="32"/>
      <c r="JP261" s="32"/>
      <c r="JQ261" s="32"/>
      <c r="JR261" s="32"/>
      <c r="JS261" s="32"/>
      <c r="JT261" s="32"/>
      <c r="JU261" s="32"/>
      <c r="JV261" s="32"/>
      <c r="JW261" s="32"/>
      <c r="JX261" s="32"/>
      <c r="JY261" s="32"/>
      <c r="JZ261" s="32"/>
      <c r="KA261" s="32"/>
      <c r="KB261" s="32"/>
      <c r="KC261" s="32"/>
      <c r="KD261" s="32"/>
      <c r="KE261" s="32"/>
      <c r="KF261" s="32"/>
      <c r="KG261" s="32"/>
      <c r="KH261" s="32"/>
      <c r="KI261" s="32"/>
      <c r="KJ261" s="32"/>
      <c r="KK261" s="32"/>
      <c r="KL261" s="32"/>
      <c r="KM261" s="32"/>
      <c r="KN261" s="32"/>
      <c r="KO261" s="32"/>
      <c r="KP261" s="32"/>
      <c r="KQ261" s="32"/>
      <c r="KR261" s="32"/>
      <c r="KS261" s="32"/>
      <c r="KT261" s="32"/>
      <c r="KU261" s="32"/>
      <c r="KV261" s="32"/>
      <c r="KW261" s="32"/>
      <c r="KX261" s="32"/>
      <c r="KY261" s="32"/>
      <c r="KZ261" s="32"/>
      <c r="LA261" s="32"/>
      <c r="LB261" s="32"/>
      <c r="LC261" s="32"/>
      <c r="LD261" s="32"/>
      <c r="LE261" s="32"/>
      <c r="LF261" s="32"/>
      <c r="LG261" s="32"/>
      <c r="LH261" s="32"/>
      <c r="LI261" s="32"/>
      <c r="LJ261" s="32"/>
      <c r="LK261" s="32"/>
      <c r="LL261" s="32"/>
      <c r="LM261" s="32"/>
      <c r="LN261" s="32"/>
      <c r="LO261" s="32"/>
      <c r="LP261" s="32"/>
      <c r="LQ261" s="32"/>
      <c r="LR261" s="32"/>
      <c r="LS261" s="32"/>
      <c r="LT261" s="32"/>
      <c r="LU261" s="32"/>
      <c r="LV261" s="32"/>
      <c r="LW261" s="32"/>
      <c r="LX261" s="32"/>
      <c r="LY261" s="32"/>
      <c r="LZ261" s="32"/>
      <c r="MA261" s="32"/>
      <c r="MB261" s="32"/>
      <c r="MC261" s="32"/>
      <c r="MD261" s="32"/>
      <c r="ME261" s="32"/>
      <c r="MF261" s="32"/>
      <c r="MG261" s="32"/>
      <c r="MH261" s="32"/>
      <c r="MI261" s="32"/>
      <c r="MJ261" s="32"/>
      <c r="MK261" s="32"/>
      <c r="ML261" s="32"/>
      <c r="MM261" s="32"/>
      <c r="MN261" s="32"/>
      <c r="MO261" s="32"/>
      <c r="MP261" s="32"/>
      <c r="MQ261" s="32"/>
      <c r="MR261" s="32"/>
      <c r="MS261" s="32"/>
      <c r="MT261" s="32"/>
      <c r="MU261" s="32"/>
      <c r="MV261" s="32"/>
      <c r="MW261" s="32"/>
      <c r="MX261" s="32"/>
      <c r="MY261" s="32"/>
      <c r="MZ261" s="32"/>
      <c r="NA261" s="32"/>
      <c r="NB261" s="32"/>
      <c r="NC261" s="32"/>
      <c r="ND261" s="32"/>
      <c r="NE261" s="32"/>
      <c r="NF261" s="32"/>
      <c r="NG261" s="32"/>
      <c r="NH261" s="32"/>
      <c r="NI261" s="32"/>
      <c r="NJ261" s="32"/>
      <c r="NK261" s="32"/>
      <c r="NL261" s="32"/>
      <c r="NM261" s="32"/>
      <c r="NN261" s="32"/>
      <c r="NO261" s="32"/>
      <c r="NP261" s="32"/>
      <c r="NQ261" s="32"/>
      <c r="NR261" s="32"/>
      <c r="NS261" s="32"/>
      <c r="NT261" s="32"/>
      <c r="NU261" s="32"/>
      <c r="NV261" s="32"/>
      <c r="NW261" s="32"/>
      <c r="NX261" s="32"/>
      <c r="NY261" s="32"/>
      <c r="NZ261" s="32"/>
      <c r="OA261" s="32"/>
      <c r="OB261" s="32"/>
      <c r="OC261" s="32"/>
      <c r="OD261" s="32"/>
      <c r="OE261" s="32"/>
      <c r="OF261" s="32"/>
      <c r="OG261" s="32"/>
      <c r="OH261" s="32"/>
      <c r="OI261" s="32"/>
      <c r="OJ261" s="32"/>
      <c r="OK261" s="32"/>
      <c r="OL261" s="32"/>
      <c r="OM261" s="32"/>
      <c r="ON261" s="32"/>
      <c r="OO261" s="32"/>
      <c r="OP261" s="32"/>
      <c r="OQ261" s="32"/>
      <c r="OR261" s="32"/>
      <c r="OS261" s="32"/>
      <c r="OT261" s="32"/>
      <c r="OU261" s="32"/>
      <c r="OV261" s="32"/>
      <c r="OW261" s="32"/>
      <c r="OX261" s="32"/>
      <c r="OY261" s="32"/>
      <c r="OZ261" s="32"/>
      <c r="PA261" s="32"/>
      <c r="PB261" s="32"/>
      <c r="PC261" s="32"/>
      <c r="PD261" s="32"/>
      <c r="PE261" s="32"/>
      <c r="PF261" s="32"/>
      <c r="PG261" s="32"/>
      <c r="PH261" s="32"/>
      <c r="PI261" s="32"/>
      <c r="PJ261" s="32"/>
      <c r="PK261" s="32"/>
      <c r="PL261" s="32"/>
      <c r="PM261" s="32"/>
      <c r="PN261" s="32"/>
      <c r="PO261" s="32"/>
      <c r="PP261" s="32"/>
      <c r="PQ261" s="32"/>
      <c r="PR261" s="32"/>
      <c r="PS261" s="32"/>
      <c r="PT261" s="32"/>
      <c r="PU261" s="32"/>
      <c r="PV261" s="32"/>
      <c r="PW261" s="32"/>
      <c r="PX261" s="32"/>
      <c r="PY261" s="32"/>
      <c r="PZ261" s="32"/>
      <c r="QA261" s="32"/>
      <c r="QB261" s="32"/>
      <c r="QC261" s="32"/>
      <c r="QD261" s="32"/>
      <c r="QE261" s="32"/>
      <c r="QF261" s="32"/>
      <c r="QG261" s="32"/>
      <c r="QH261" s="32"/>
      <c r="QI261" s="32"/>
      <c r="QJ261" s="32"/>
      <c r="QK261" s="32"/>
      <c r="QL261" s="32"/>
      <c r="QM261" s="32"/>
      <c r="QN261" s="32"/>
      <c r="QO261" s="32"/>
      <c r="QP261" s="32"/>
      <c r="QQ261" s="32"/>
      <c r="QR261" s="32"/>
      <c r="QS261" s="32"/>
      <c r="QT261" s="32"/>
      <c r="QU261" s="32"/>
      <c r="QV261" s="32"/>
      <c r="QW261" s="32"/>
      <c r="QX261" s="32"/>
      <c r="QY261" s="32"/>
      <c r="QZ261" s="32"/>
      <c r="RA261" s="32"/>
      <c r="RB261" s="32"/>
      <c r="RC261" s="32"/>
      <c r="RD261" s="32"/>
      <c r="RE261" s="32"/>
      <c r="RF261" s="32"/>
      <c r="RG261" s="32"/>
      <c r="RH261" s="32"/>
      <c r="RI261" s="32"/>
      <c r="RJ261" s="32"/>
      <c r="RK261" s="32"/>
      <c r="RL261" s="32"/>
      <c r="RM261" s="32"/>
      <c r="RN261" s="32"/>
      <c r="RO261" s="32"/>
      <c r="RP261" s="32"/>
      <c r="RQ261" s="32"/>
      <c r="RR261" s="32"/>
      <c r="RS261" s="32"/>
      <c r="RT261" s="32"/>
      <c r="RU261" s="32"/>
      <c r="RV261" s="32"/>
      <c r="RW261" s="32"/>
      <c r="RX261" s="32"/>
      <c r="RY261" s="32"/>
      <c r="RZ261" s="32"/>
      <c r="SA261" s="32"/>
      <c r="SB261" s="32"/>
      <c r="SC261" s="32"/>
      <c r="SD261" s="32"/>
      <c r="SE261" s="32"/>
      <c r="SF261" s="32"/>
      <c r="SG261" s="32"/>
      <c r="SH261" s="32"/>
      <c r="SI261" s="32"/>
      <c r="SJ261" s="32"/>
      <c r="SK261" s="32"/>
      <c r="SL261" s="32"/>
      <c r="SM261" s="32"/>
      <c r="SN261" s="32"/>
      <c r="SO261" s="32"/>
      <c r="SP261" s="32"/>
      <c r="SQ261" s="32"/>
      <c r="SR261" s="32"/>
      <c r="SS261" s="32"/>
      <c r="ST261" s="32"/>
      <c r="SU261" s="32"/>
      <c r="SV261" s="32"/>
      <c r="SW261" s="32"/>
      <c r="SX261" s="32"/>
      <c r="SY261" s="32"/>
      <c r="SZ261" s="32"/>
      <c r="TA261" s="32"/>
      <c r="TB261" s="32"/>
      <c r="TC261" s="32"/>
      <c r="TD261" s="32"/>
      <c r="TE261" s="32"/>
      <c r="TF261" s="32"/>
      <c r="TG261" s="32"/>
      <c r="TH261" s="32"/>
      <c r="TI261" s="32"/>
      <c r="TJ261" s="32"/>
      <c r="TK261" s="32"/>
      <c r="TL261" s="32"/>
      <c r="TM261" s="32"/>
      <c r="TN261" s="32"/>
      <c r="TO261" s="32"/>
      <c r="TP261" s="32"/>
      <c r="TQ261" s="32"/>
      <c r="TR261" s="32"/>
      <c r="TS261" s="32"/>
    </row>
    <row r="262" spans="1:539" s="34" customFormat="1" ht="35.25" customHeight="1" x14ac:dyDescent="0.25">
      <c r="A262" s="98" t="s">
        <v>210</v>
      </c>
      <c r="B262" s="111"/>
      <c r="C262" s="111"/>
      <c r="D262" s="79" t="s">
        <v>41</v>
      </c>
      <c r="E262" s="100">
        <f>E263+E264+E265+E266+E267</f>
        <v>11825766</v>
      </c>
      <c r="F262" s="100">
        <f t="shared" ref="F262:AB262" si="147">F263+F264+F265+F266+F267</f>
        <v>11825766</v>
      </c>
      <c r="G262" s="100">
        <f t="shared" si="147"/>
        <v>7405200</v>
      </c>
      <c r="H262" s="100">
        <f t="shared" si="147"/>
        <v>86000</v>
      </c>
      <c r="I262" s="100">
        <f t="shared" si="147"/>
        <v>0</v>
      </c>
      <c r="J262" s="100">
        <f t="shared" si="147"/>
        <v>4881053.21</v>
      </c>
      <c r="K262" s="100">
        <f t="shared" si="147"/>
        <v>3820945.94</v>
      </c>
      <c r="L262" s="100">
        <f t="shared" si="147"/>
        <v>56145.1</v>
      </c>
      <c r="M262" s="157">
        <f t="shared" si="114"/>
        <v>41.274731886289651</v>
      </c>
      <c r="N262" s="100">
        <f t="shared" si="147"/>
        <v>2596250.2999999998</v>
      </c>
      <c r="O262" s="100">
        <f t="shared" si="147"/>
        <v>0</v>
      </c>
      <c r="P262" s="100">
        <f t="shared" si="147"/>
        <v>2596250.2999999998</v>
      </c>
      <c r="Q262" s="100">
        <f t="shared" si="147"/>
        <v>0</v>
      </c>
      <c r="R262" s="100">
        <f t="shared" si="147"/>
        <v>0</v>
      </c>
      <c r="S262" s="100">
        <f t="shared" si="147"/>
        <v>0</v>
      </c>
      <c r="T262" s="100">
        <f t="shared" si="147"/>
        <v>246503.16</v>
      </c>
      <c r="U262" s="100">
        <f t="shared" si="147"/>
        <v>0</v>
      </c>
      <c r="V262" s="100">
        <f t="shared" si="147"/>
        <v>246503.16</v>
      </c>
      <c r="W262" s="100">
        <f t="shared" si="147"/>
        <v>0</v>
      </c>
      <c r="X262" s="100">
        <f t="shared" si="147"/>
        <v>0</v>
      </c>
      <c r="Y262" s="100">
        <f t="shared" si="147"/>
        <v>0</v>
      </c>
      <c r="Z262" s="157">
        <f t="shared" si="118"/>
        <v>9.4945837849301373</v>
      </c>
      <c r="AA262" s="100">
        <f t="shared" si="147"/>
        <v>5127556.37</v>
      </c>
      <c r="AB262" s="100">
        <f t="shared" si="147"/>
        <v>14422016.300000001</v>
      </c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  <c r="IW262" s="33"/>
      <c r="IX262" s="33"/>
      <c r="IY262" s="33"/>
      <c r="IZ262" s="33"/>
      <c r="JA262" s="33"/>
      <c r="JB262" s="33"/>
      <c r="JC262" s="33"/>
      <c r="JD262" s="33"/>
      <c r="JE262" s="33"/>
      <c r="JF262" s="33"/>
      <c r="JG262" s="33"/>
      <c r="JH262" s="33"/>
      <c r="JI262" s="33"/>
      <c r="JJ262" s="33"/>
      <c r="JK262" s="33"/>
      <c r="JL262" s="33"/>
      <c r="JM262" s="33"/>
      <c r="JN262" s="33"/>
      <c r="JO262" s="33"/>
      <c r="JP262" s="33"/>
      <c r="JQ262" s="33"/>
      <c r="JR262" s="33"/>
      <c r="JS262" s="33"/>
      <c r="JT262" s="33"/>
      <c r="JU262" s="33"/>
      <c r="JV262" s="33"/>
      <c r="JW262" s="33"/>
      <c r="JX262" s="33"/>
      <c r="JY262" s="33"/>
      <c r="JZ262" s="33"/>
      <c r="KA262" s="33"/>
      <c r="KB262" s="33"/>
      <c r="KC262" s="33"/>
      <c r="KD262" s="33"/>
      <c r="KE262" s="33"/>
      <c r="KF262" s="33"/>
      <c r="KG262" s="33"/>
      <c r="KH262" s="33"/>
      <c r="KI262" s="33"/>
      <c r="KJ262" s="33"/>
      <c r="KK262" s="33"/>
      <c r="KL262" s="33"/>
      <c r="KM262" s="33"/>
      <c r="KN262" s="33"/>
      <c r="KO262" s="33"/>
      <c r="KP262" s="33"/>
      <c r="KQ262" s="33"/>
      <c r="KR262" s="33"/>
      <c r="KS262" s="33"/>
      <c r="KT262" s="33"/>
      <c r="KU262" s="33"/>
      <c r="KV262" s="33"/>
      <c r="KW262" s="33"/>
      <c r="KX262" s="33"/>
      <c r="KY262" s="33"/>
      <c r="KZ262" s="33"/>
      <c r="LA262" s="33"/>
      <c r="LB262" s="33"/>
      <c r="LC262" s="33"/>
      <c r="LD262" s="33"/>
      <c r="LE262" s="33"/>
      <c r="LF262" s="33"/>
      <c r="LG262" s="33"/>
      <c r="LH262" s="33"/>
      <c r="LI262" s="33"/>
      <c r="LJ262" s="33"/>
      <c r="LK262" s="33"/>
      <c r="LL262" s="33"/>
      <c r="LM262" s="33"/>
      <c r="LN262" s="33"/>
      <c r="LO262" s="33"/>
      <c r="LP262" s="33"/>
      <c r="LQ262" s="33"/>
      <c r="LR262" s="33"/>
      <c r="LS262" s="33"/>
      <c r="LT262" s="33"/>
      <c r="LU262" s="33"/>
      <c r="LV262" s="33"/>
      <c r="LW262" s="33"/>
      <c r="LX262" s="33"/>
      <c r="LY262" s="33"/>
      <c r="LZ262" s="33"/>
      <c r="MA262" s="33"/>
      <c r="MB262" s="33"/>
      <c r="MC262" s="33"/>
      <c r="MD262" s="33"/>
      <c r="ME262" s="33"/>
      <c r="MF262" s="33"/>
      <c r="MG262" s="33"/>
      <c r="MH262" s="33"/>
      <c r="MI262" s="33"/>
      <c r="MJ262" s="33"/>
      <c r="MK262" s="33"/>
      <c r="ML262" s="33"/>
      <c r="MM262" s="33"/>
      <c r="MN262" s="33"/>
      <c r="MO262" s="33"/>
      <c r="MP262" s="33"/>
      <c r="MQ262" s="33"/>
      <c r="MR262" s="33"/>
      <c r="MS262" s="33"/>
      <c r="MT262" s="33"/>
      <c r="MU262" s="33"/>
      <c r="MV262" s="33"/>
      <c r="MW262" s="33"/>
      <c r="MX262" s="33"/>
      <c r="MY262" s="33"/>
      <c r="MZ262" s="33"/>
      <c r="NA262" s="33"/>
      <c r="NB262" s="33"/>
      <c r="NC262" s="33"/>
      <c r="ND262" s="33"/>
      <c r="NE262" s="33"/>
      <c r="NF262" s="33"/>
      <c r="NG262" s="33"/>
      <c r="NH262" s="33"/>
      <c r="NI262" s="33"/>
      <c r="NJ262" s="33"/>
      <c r="NK262" s="33"/>
      <c r="NL262" s="33"/>
      <c r="NM262" s="33"/>
      <c r="NN262" s="33"/>
      <c r="NO262" s="33"/>
      <c r="NP262" s="33"/>
      <c r="NQ262" s="33"/>
      <c r="NR262" s="33"/>
      <c r="NS262" s="33"/>
      <c r="NT262" s="33"/>
      <c r="NU262" s="33"/>
      <c r="NV262" s="33"/>
      <c r="NW262" s="33"/>
      <c r="NX262" s="33"/>
      <c r="NY262" s="33"/>
      <c r="NZ262" s="33"/>
      <c r="OA262" s="33"/>
      <c r="OB262" s="33"/>
      <c r="OC262" s="33"/>
      <c r="OD262" s="33"/>
      <c r="OE262" s="33"/>
      <c r="OF262" s="33"/>
      <c r="OG262" s="33"/>
      <c r="OH262" s="33"/>
      <c r="OI262" s="33"/>
      <c r="OJ262" s="33"/>
      <c r="OK262" s="33"/>
      <c r="OL262" s="33"/>
      <c r="OM262" s="33"/>
      <c r="ON262" s="33"/>
      <c r="OO262" s="33"/>
      <c r="OP262" s="33"/>
      <c r="OQ262" s="33"/>
      <c r="OR262" s="33"/>
      <c r="OS262" s="33"/>
      <c r="OT262" s="33"/>
      <c r="OU262" s="33"/>
      <c r="OV262" s="33"/>
      <c r="OW262" s="33"/>
      <c r="OX262" s="33"/>
      <c r="OY262" s="33"/>
      <c r="OZ262" s="33"/>
      <c r="PA262" s="33"/>
      <c r="PB262" s="33"/>
      <c r="PC262" s="33"/>
      <c r="PD262" s="33"/>
      <c r="PE262" s="33"/>
      <c r="PF262" s="33"/>
      <c r="PG262" s="33"/>
      <c r="PH262" s="33"/>
      <c r="PI262" s="33"/>
      <c r="PJ262" s="33"/>
      <c r="PK262" s="33"/>
      <c r="PL262" s="33"/>
      <c r="PM262" s="33"/>
      <c r="PN262" s="33"/>
      <c r="PO262" s="33"/>
      <c r="PP262" s="33"/>
      <c r="PQ262" s="33"/>
      <c r="PR262" s="33"/>
      <c r="PS262" s="33"/>
      <c r="PT262" s="33"/>
      <c r="PU262" s="33"/>
      <c r="PV262" s="33"/>
      <c r="PW262" s="33"/>
      <c r="PX262" s="33"/>
      <c r="PY262" s="33"/>
      <c r="PZ262" s="33"/>
      <c r="QA262" s="33"/>
      <c r="QB262" s="33"/>
      <c r="QC262" s="33"/>
      <c r="QD262" s="33"/>
      <c r="QE262" s="33"/>
      <c r="QF262" s="33"/>
      <c r="QG262" s="33"/>
      <c r="QH262" s="33"/>
      <c r="QI262" s="33"/>
      <c r="QJ262" s="33"/>
      <c r="QK262" s="33"/>
      <c r="QL262" s="33"/>
      <c r="QM262" s="33"/>
      <c r="QN262" s="33"/>
      <c r="QO262" s="33"/>
      <c r="QP262" s="33"/>
      <c r="QQ262" s="33"/>
      <c r="QR262" s="33"/>
      <c r="QS262" s="33"/>
      <c r="QT262" s="33"/>
      <c r="QU262" s="33"/>
      <c r="QV262" s="33"/>
      <c r="QW262" s="33"/>
      <c r="QX262" s="33"/>
      <c r="QY262" s="33"/>
      <c r="QZ262" s="33"/>
      <c r="RA262" s="33"/>
      <c r="RB262" s="33"/>
      <c r="RC262" s="33"/>
      <c r="RD262" s="33"/>
      <c r="RE262" s="33"/>
      <c r="RF262" s="33"/>
      <c r="RG262" s="33"/>
      <c r="RH262" s="33"/>
      <c r="RI262" s="33"/>
      <c r="RJ262" s="33"/>
      <c r="RK262" s="33"/>
      <c r="RL262" s="33"/>
      <c r="RM262" s="33"/>
      <c r="RN262" s="33"/>
      <c r="RO262" s="33"/>
      <c r="RP262" s="33"/>
      <c r="RQ262" s="33"/>
      <c r="RR262" s="33"/>
      <c r="RS262" s="33"/>
      <c r="RT262" s="33"/>
      <c r="RU262" s="33"/>
      <c r="RV262" s="33"/>
      <c r="RW262" s="33"/>
      <c r="RX262" s="33"/>
      <c r="RY262" s="33"/>
      <c r="RZ262" s="33"/>
      <c r="SA262" s="33"/>
      <c r="SB262" s="33"/>
      <c r="SC262" s="33"/>
      <c r="SD262" s="33"/>
      <c r="SE262" s="33"/>
      <c r="SF262" s="33"/>
      <c r="SG262" s="33"/>
      <c r="SH262" s="33"/>
      <c r="SI262" s="33"/>
      <c r="SJ262" s="33"/>
      <c r="SK262" s="33"/>
      <c r="SL262" s="33"/>
      <c r="SM262" s="33"/>
      <c r="SN262" s="33"/>
      <c r="SO262" s="33"/>
      <c r="SP262" s="33"/>
      <c r="SQ262" s="33"/>
      <c r="SR262" s="33"/>
      <c r="SS262" s="33"/>
      <c r="ST262" s="33"/>
      <c r="SU262" s="33"/>
      <c r="SV262" s="33"/>
      <c r="SW262" s="33"/>
      <c r="SX262" s="33"/>
      <c r="SY262" s="33"/>
      <c r="SZ262" s="33"/>
      <c r="TA262" s="33"/>
      <c r="TB262" s="33"/>
      <c r="TC262" s="33"/>
      <c r="TD262" s="33"/>
      <c r="TE262" s="33"/>
      <c r="TF262" s="33"/>
      <c r="TG262" s="33"/>
      <c r="TH262" s="33"/>
      <c r="TI262" s="33"/>
      <c r="TJ262" s="33"/>
      <c r="TK262" s="33"/>
      <c r="TL262" s="33"/>
      <c r="TM262" s="33"/>
      <c r="TN262" s="33"/>
      <c r="TO262" s="33"/>
      <c r="TP262" s="33"/>
      <c r="TQ262" s="33"/>
      <c r="TR262" s="33"/>
      <c r="TS262" s="33"/>
    </row>
    <row r="263" spans="1:539" s="22" customFormat="1" ht="47.25" x14ac:dyDescent="0.25">
      <c r="A263" s="60" t="s">
        <v>211</v>
      </c>
      <c r="B263" s="95" t="str">
        <f>'дод 5'!A21</f>
        <v>0160</v>
      </c>
      <c r="C263" s="95" t="str">
        <f>'дод 5'!B21</f>
        <v>0111</v>
      </c>
      <c r="D263" s="36" t="s">
        <v>502</v>
      </c>
      <c r="E263" s="101">
        <f>F263+I263</f>
        <v>9390500</v>
      </c>
      <c r="F263" s="101">
        <v>9390500</v>
      </c>
      <c r="G263" s="101">
        <v>7405200</v>
      </c>
      <c r="H263" s="101">
        <v>86000</v>
      </c>
      <c r="I263" s="101"/>
      <c r="J263" s="101">
        <v>4867674.97</v>
      </c>
      <c r="K263" s="101">
        <v>3820945.94</v>
      </c>
      <c r="L263" s="101">
        <v>56145.1</v>
      </c>
      <c r="M263" s="157">
        <f t="shared" si="114"/>
        <v>51.83616388903679</v>
      </c>
      <c r="N263" s="101">
        <f t="shared" si="140"/>
        <v>0</v>
      </c>
      <c r="O263" s="101"/>
      <c r="P263" s="101"/>
      <c r="Q263" s="101"/>
      <c r="R263" s="101"/>
      <c r="S263" s="101"/>
      <c r="T263" s="97">
        <f t="shared" si="115"/>
        <v>0</v>
      </c>
      <c r="U263" s="101"/>
      <c r="V263" s="101"/>
      <c r="W263" s="101"/>
      <c r="X263" s="101"/>
      <c r="Y263" s="101"/>
      <c r="Z263" s="157"/>
      <c r="AA263" s="97">
        <f>J263+T263</f>
        <v>4867674.97</v>
      </c>
      <c r="AB263" s="101">
        <f>E263+N263</f>
        <v>9390500</v>
      </c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  <c r="TI263" s="23"/>
      <c r="TJ263" s="23"/>
      <c r="TK263" s="23"/>
      <c r="TL263" s="23"/>
      <c r="TM263" s="23"/>
      <c r="TN263" s="23"/>
      <c r="TO263" s="23"/>
      <c r="TP263" s="23"/>
      <c r="TQ263" s="23"/>
      <c r="TR263" s="23"/>
      <c r="TS263" s="23"/>
    </row>
    <row r="264" spans="1:539" s="22" customFormat="1" ht="31.5" x14ac:dyDescent="0.25">
      <c r="A264" s="60" t="s">
        <v>313</v>
      </c>
      <c r="B264" s="95" t="str">
        <f>'дод 5'!A149</f>
        <v>6090</v>
      </c>
      <c r="C264" s="95" t="str">
        <f>'дод 5'!B149</f>
        <v>0640</v>
      </c>
      <c r="D264" s="61" t="str">
        <f>'дод 5'!C149</f>
        <v>Інша діяльність у сфері житлово-комунального господарства</v>
      </c>
      <c r="E264" s="101">
        <f>F264+I264</f>
        <v>175000</v>
      </c>
      <c r="F264" s="101">
        <v>175000</v>
      </c>
      <c r="G264" s="101"/>
      <c r="H264" s="101"/>
      <c r="I264" s="101"/>
      <c r="J264" s="101">
        <v>13378.24</v>
      </c>
      <c r="K264" s="101"/>
      <c r="L264" s="101"/>
      <c r="M264" s="157">
        <f t="shared" si="114"/>
        <v>7.6447085714285716</v>
      </c>
      <c r="N264" s="101">
        <f t="shared" si="140"/>
        <v>0</v>
      </c>
      <c r="O264" s="101"/>
      <c r="P264" s="101"/>
      <c r="Q264" s="101"/>
      <c r="R264" s="101"/>
      <c r="S264" s="101"/>
      <c r="T264" s="97">
        <f t="shared" si="115"/>
        <v>0</v>
      </c>
      <c r="U264" s="101"/>
      <c r="V264" s="101"/>
      <c r="W264" s="101"/>
      <c r="X264" s="101"/>
      <c r="Y264" s="101"/>
      <c r="Z264" s="157"/>
      <c r="AA264" s="97">
        <f>J264+T264</f>
        <v>13378.24</v>
      </c>
      <c r="AB264" s="101">
        <f>E264+N264</f>
        <v>175000</v>
      </c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  <c r="TH264" s="23"/>
      <c r="TI264" s="23"/>
      <c r="TJ264" s="23"/>
      <c r="TK264" s="23"/>
      <c r="TL264" s="23"/>
      <c r="TM264" s="23"/>
      <c r="TN264" s="23"/>
      <c r="TO264" s="23"/>
      <c r="TP264" s="23"/>
      <c r="TQ264" s="23"/>
      <c r="TR264" s="23"/>
      <c r="TS264" s="23"/>
    </row>
    <row r="265" spans="1:539" s="22" customFormat="1" ht="31.5" hidden="1" x14ac:dyDescent="0.25">
      <c r="A265" s="60" t="s">
        <v>460</v>
      </c>
      <c r="B265" s="60" t="s">
        <v>461</v>
      </c>
      <c r="C265" s="60" t="s">
        <v>113</v>
      </c>
      <c r="D265" s="61" t="s">
        <v>462</v>
      </c>
      <c r="E265" s="101">
        <f>F265+I265</f>
        <v>0</v>
      </c>
      <c r="F265" s="101"/>
      <c r="G265" s="101"/>
      <c r="H265" s="101"/>
      <c r="I265" s="101"/>
      <c r="J265" s="101"/>
      <c r="K265" s="101"/>
      <c r="L265" s="101"/>
      <c r="M265" s="157" t="e">
        <f t="shared" si="114"/>
        <v>#DIV/0!</v>
      </c>
      <c r="N265" s="101">
        <f t="shared" si="140"/>
        <v>0</v>
      </c>
      <c r="O265" s="101">
        <f>900000-900000</f>
        <v>0</v>
      </c>
      <c r="P265" s="101"/>
      <c r="Q265" s="101"/>
      <c r="R265" s="101"/>
      <c r="S265" s="101">
        <f>900000-900000</f>
        <v>0</v>
      </c>
      <c r="T265" s="97">
        <f t="shared" si="115"/>
        <v>0</v>
      </c>
      <c r="U265" s="101"/>
      <c r="V265" s="101"/>
      <c r="W265" s="101"/>
      <c r="X265" s="101"/>
      <c r="Y265" s="101"/>
      <c r="Z265" s="157"/>
      <c r="AA265" s="97">
        <f>J265+T265</f>
        <v>0</v>
      </c>
      <c r="AB265" s="101">
        <f>E265+N265</f>
        <v>0</v>
      </c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  <c r="TH265" s="23"/>
      <c r="TI265" s="23"/>
      <c r="TJ265" s="23"/>
      <c r="TK265" s="23"/>
      <c r="TL265" s="23"/>
      <c r="TM265" s="23"/>
      <c r="TN265" s="23"/>
      <c r="TO265" s="23"/>
      <c r="TP265" s="23"/>
      <c r="TQ265" s="23"/>
      <c r="TR265" s="23"/>
      <c r="TS265" s="23"/>
    </row>
    <row r="266" spans="1:539" s="22" customFormat="1" ht="31.5" x14ac:dyDescent="0.25">
      <c r="A266" s="60" t="s">
        <v>567</v>
      </c>
      <c r="B266" s="60" t="s">
        <v>568</v>
      </c>
      <c r="C266" s="60" t="s">
        <v>84</v>
      </c>
      <c r="D266" s="61" t="s">
        <v>434</v>
      </c>
      <c r="E266" s="101">
        <f>F266+I266</f>
        <v>2260266</v>
      </c>
      <c r="F266" s="101">
        <f>1360266+900000</f>
        <v>2260266</v>
      </c>
      <c r="G266" s="101"/>
      <c r="H266" s="101"/>
      <c r="I266" s="101"/>
      <c r="J266" s="101"/>
      <c r="K266" s="101"/>
      <c r="L266" s="101"/>
      <c r="M266" s="157">
        <f t="shared" si="114"/>
        <v>0</v>
      </c>
      <c r="N266" s="101">
        <f t="shared" ref="N266" si="148">P266+S266</f>
        <v>0</v>
      </c>
      <c r="O266" s="101"/>
      <c r="P266" s="101"/>
      <c r="Q266" s="101"/>
      <c r="R266" s="101"/>
      <c r="S266" s="101"/>
      <c r="T266" s="97">
        <f t="shared" si="115"/>
        <v>0</v>
      </c>
      <c r="U266" s="101"/>
      <c r="V266" s="101"/>
      <c r="W266" s="101"/>
      <c r="X266" s="101"/>
      <c r="Y266" s="101"/>
      <c r="Z266" s="157"/>
      <c r="AA266" s="97">
        <f>J266+T266</f>
        <v>0</v>
      </c>
      <c r="AB266" s="101">
        <f>E266+N266</f>
        <v>2260266</v>
      </c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  <c r="TJ266" s="23"/>
      <c r="TK266" s="23"/>
      <c r="TL266" s="23"/>
      <c r="TM266" s="23"/>
      <c r="TN266" s="23"/>
      <c r="TO266" s="23"/>
      <c r="TP266" s="23"/>
      <c r="TQ266" s="23"/>
      <c r="TR266" s="23"/>
      <c r="TS266" s="23"/>
    </row>
    <row r="267" spans="1:539" s="22" customFormat="1" ht="126" x14ac:dyDescent="0.25">
      <c r="A267" s="105" t="s">
        <v>301</v>
      </c>
      <c r="B267" s="42" t="str">
        <f>'дод 5'!A196</f>
        <v>7691</v>
      </c>
      <c r="C267" s="42" t="str">
        <f>'дод 5'!B196</f>
        <v>0490</v>
      </c>
      <c r="D267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7" s="101">
        <f>F267+I267</f>
        <v>0</v>
      </c>
      <c r="F267" s="101"/>
      <c r="G267" s="101"/>
      <c r="H267" s="101"/>
      <c r="I267" s="101"/>
      <c r="J267" s="101"/>
      <c r="K267" s="101"/>
      <c r="L267" s="101"/>
      <c r="M267" s="157"/>
      <c r="N267" s="101">
        <f t="shared" si="140"/>
        <v>2596250.2999999998</v>
      </c>
      <c r="O267" s="101"/>
      <c r="P267" s="101">
        <f>1060391+1535859.3</f>
        <v>2596250.2999999998</v>
      </c>
      <c r="Q267" s="101"/>
      <c r="R267" s="101"/>
      <c r="S267" s="101"/>
      <c r="T267" s="97">
        <f t="shared" si="115"/>
        <v>246503.16</v>
      </c>
      <c r="U267" s="101"/>
      <c r="V267" s="101">
        <v>246503.16</v>
      </c>
      <c r="W267" s="101"/>
      <c r="X267" s="101"/>
      <c r="Y267" s="101"/>
      <c r="Z267" s="157">
        <f t="shared" si="118"/>
        <v>9.4945837849301373</v>
      </c>
      <c r="AA267" s="97">
        <f>J267+T267</f>
        <v>246503.16</v>
      </c>
      <c r="AB267" s="101">
        <f>E267+N267</f>
        <v>2596250.2999999998</v>
      </c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  <c r="TI267" s="23"/>
      <c r="TJ267" s="23"/>
      <c r="TK267" s="23"/>
      <c r="TL267" s="23"/>
      <c r="TM267" s="23"/>
      <c r="TN267" s="23"/>
      <c r="TO267" s="23"/>
      <c r="TP267" s="23"/>
      <c r="TQ267" s="23"/>
      <c r="TR267" s="23"/>
      <c r="TS267" s="23"/>
    </row>
    <row r="268" spans="1:539" s="27" customFormat="1" ht="34.5" customHeight="1" x14ac:dyDescent="0.25">
      <c r="A268" s="112" t="s">
        <v>214</v>
      </c>
      <c r="B268" s="114"/>
      <c r="C268" s="114"/>
      <c r="D268" s="109" t="s">
        <v>43</v>
      </c>
      <c r="E268" s="97">
        <f>E269</f>
        <v>4321300</v>
      </c>
      <c r="F268" s="97">
        <f t="shared" ref="F268:AB269" si="149">F269</f>
        <v>4321300</v>
      </c>
      <c r="G268" s="97">
        <f t="shared" si="149"/>
        <v>3301600</v>
      </c>
      <c r="H268" s="97">
        <f t="shared" si="149"/>
        <v>46000</v>
      </c>
      <c r="I268" s="97">
        <f t="shared" si="149"/>
        <v>0</v>
      </c>
      <c r="J268" s="97">
        <f t="shared" si="149"/>
        <v>2316123.5099999998</v>
      </c>
      <c r="K268" s="97">
        <f t="shared" si="149"/>
        <v>1811578.41</v>
      </c>
      <c r="L268" s="97">
        <f t="shared" si="149"/>
        <v>29685.86</v>
      </c>
      <c r="M268" s="157">
        <f t="shared" si="114"/>
        <v>53.597841158910512</v>
      </c>
      <c r="N268" s="97">
        <f t="shared" si="149"/>
        <v>0</v>
      </c>
      <c r="O268" s="97">
        <f t="shared" si="149"/>
        <v>0</v>
      </c>
      <c r="P268" s="97">
        <f t="shared" si="149"/>
        <v>0</v>
      </c>
      <c r="Q268" s="97">
        <f t="shared" si="149"/>
        <v>0</v>
      </c>
      <c r="R268" s="97">
        <f t="shared" si="149"/>
        <v>0</v>
      </c>
      <c r="S268" s="97">
        <f t="shared" si="149"/>
        <v>0</v>
      </c>
      <c r="T268" s="97">
        <f t="shared" si="149"/>
        <v>0</v>
      </c>
      <c r="U268" s="97">
        <f t="shared" si="149"/>
        <v>0</v>
      </c>
      <c r="V268" s="97">
        <f t="shared" si="149"/>
        <v>0</v>
      </c>
      <c r="W268" s="97">
        <f t="shared" si="149"/>
        <v>0</v>
      </c>
      <c r="X268" s="97">
        <f t="shared" si="149"/>
        <v>0</v>
      </c>
      <c r="Y268" s="97">
        <f t="shared" si="149"/>
        <v>0</v>
      </c>
      <c r="Z268" s="157"/>
      <c r="AA268" s="97">
        <f t="shared" si="149"/>
        <v>2316123.5099999998</v>
      </c>
      <c r="AB268" s="97">
        <f t="shared" si="149"/>
        <v>4321300</v>
      </c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  <c r="TH268" s="32"/>
      <c r="TI268" s="32"/>
      <c r="TJ268" s="32"/>
      <c r="TK268" s="32"/>
      <c r="TL268" s="32"/>
      <c r="TM268" s="32"/>
      <c r="TN268" s="32"/>
      <c r="TO268" s="32"/>
      <c r="TP268" s="32"/>
      <c r="TQ268" s="32"/>
      <c r="TR268" s="32"/>
      <c r="TS268" s="32"/>
    </row>
    <row r="269" spans="1:539" s="34" customFormat="1" ht="35.25" customHeight="1" x14ac:dyDescent="0.25">
      <c r="A269" s="98" t="s">
        <v>212</v>
      </c>
      <c r="B269" s="111"/>
      <c r="C269" s="111"/>
      <c r="D269" s="79" t="s">
        <v>43</v>
      </c>
      <c r="E269" s="100">
        <f>E270</f>
        <v>4321300</v>
      </c>
      <c r="F269" s="100">
        <f t="shared" si="149"/>
        <v>4321300</v>
      </c>
      <c r="G269" s="100">
        <f t="shared" si="149"/>
        <v>3301600</v>
      </c>
      <c r="H269" s="100">
        <f t="shared" si="149"/>
        <v>46000</v>
      </c>
      <c r="I269" s="100">
        <f t="shared" si="149"/>
        <v>0</v>
      </c>
      <c r="J269" s="100">
        <f t="shared" si="149"/>
        <v>2316123.5099999998</v>
      </c>
      <c r="K269" s="100">
        <f t="shared" si="149"/>
        <v>1811578.41</v>
      </c>
      <c r="L269" s="100">
        <f t="shared" si="149"/>
        <v>29685.86</v>
      </c>
      <c r="M269" s="157">
        <f t="shared" si="114"/>
        <v>53.597841158910512</v>
      </c>
      <c r="N269" s="100">
        <f t="shared" si="149"/>
        <v>0</v>
      </c>
      <c r="O269" s="100">
        <f t="shared" si="149"/>
        <v>0</v>
      </c>
      <c r="P269" s="100">
        <f t="shared" si="149"/>
        <v>0</v>
      </c>
      <c r="Q269" s="100">
        <f t="shared" si="149"/>
        <v>0</v>
      </c>
      <c r="R269" s="100">
        <f t="shared" si="149"/>
        <v>0</v>
      </c>
      <c r="S269" s="100">
        <f t="shared" si="149"/>
        <v>0</v>
      </c>
      <c r="T269" s="100">
        <f t="shared" si="149"/>
        <v>0</v>
      </c>
      <c r="U269" s="100">
        <f t="shared" si="149"/>
        <v>0</v>
      </c>
      <c r="V269" s="100">
        <f t="shared" si="149"/>
        <v>0</v>
      </c>
      <c r="W269" s="100">
        <f t="shared" si="149"/>
        <v>0</v>
      </c>
      <c r="X269" s="100">
        <f t="shared" si="149"/>
        <v>0</v>
      </c>
      <c r="Y269" s="100">
        <f t="shared" si="149"/>
        <v>0</v>
      </c>
      <c r="Z269" s="157"/>
      <c r="AA269" s="100">
        <f t="shared" si="149"/>
        <v>2316123.5099999998</v>
      </c>
      <c r="AB269" s="100">
        <f t="shared" si="149"/>
        <v>4321300</v>
      </c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  <c r="IW269" s="33"/>
      <c r="IX269" s="33"/>
      <c r="IY269" s="33"/>
      <c r="IZ269" s="33"/>
      <c r="JA269" s="33"/>
      <c r="JB269" s="33"/>
      <c r="JC269" s="33"/>
      <c r="JD269" s="33"/>
      <c r="JE269" s="33"/>
      <c r="JF269" s="33"/>
      <c r="JG269" s="33"/>
      <c r="JH269" s="33"/>
      <c r="JI269" s="33"/>
      <c r="JJ269" s="33"/>
      <c r="JK269" s="33"/>
      <c r="JL269" s="33"/>
      <c r="JM269" s="33"/>
      <c r="JN269" s="33"/>
      <c r="JO269" s="33"/>
      <c r="JP269" s="33"/>
      <c r="JQ269" s="33"/>
      <c r="JR269" s="33"/>
      <c r="JS269" s="33"/>
      <c r="JT269" s="33"/>
      <c r="JU269" s="33"/>
      <c r="JV269" s="33"/>
      <c r="JW269" s="33"/>
      <c r="JX269" s="33"/>
      <c r="JY269" s="33"/>
      <c r="JZ269" s="33"/>
      <c r="KA269" s="33"/>
      <c r="KB269" s="33"/>
      <c r="KC269" s="33"/>
      <c r="KD269" s="33"/>
      <c r="KE269" s="33"/>
      <c r="KF269" s="33"/>
      <c r="KG269" s="33"/>
      <c r="KH269" s="33"/>
      <c r="KI269" s="33"/>
      <c r="KJ269" s="33"/>
      <c r="KK269" s="33"/>
      <c r="KL269" s="33"/>
      <c r="KM269" s="33"/>
      <c r="KN269" s="33"/>
      <c r="KO269" s="33"/>
      <c r="KP269" s="33"/>
      <c r="KQ269" s="33"/>
      <c r="KR269" s="33"/>
      <c r="KS269" s="33"/>
      <c r="KT269" s="33"/>
      <c r="KU269" s="33"/>
      <c r="KV269" s="33"/>
      <c r="KW269" s="33"/>
      <c r="KX269" s="33"/>
      <c r="KY269" s="33"/>
      <c r="KZ269" s="33"/>
      <c r="LA269" s="33"/>
      <c r="LB269" s="33"/>
      <c r="LC269" s="33"/>
      <c r="LD269" s="33"/>
      <c r="LE269" s="33"/>
      <c r="LF269" s="33"/>
      <c r="LG269" s="33"/>
      <c r="LH269" s="33"/>
      <c r="LI269" s="33"/>
      <c r="LJ269" s="33"/>
      <c r="LK269" s="33"/>
      <c r="LL269" s="33"/>
      <c r="LM269" s="33"/>
      <c r="LN269" s="33"/>
      <c r="LO269" s="33"/>
      <c r="LP269" s="33"/>
      <c r="LQ269" s="33"/>
      <c r="LR269" s="33"/>
      <c r="LS269" s="33"/>
      <c r="LT269" s="33"/>
      <c r="LU269" s="33"/>
      <c r="LV269" s="33"/>
      <c r="LW269" s="33"/>
      <c r="LX269" s="33"/>
      <c r="LY269" s="33"/>
      <c r="LZ269" s="33"/>
      <c r="MA269" s="33"/>
      <c r="MB269" s="33"/>
      <c r="MC269" s="33"/>
      <c r="MD269" s="33"/>
      <c r="ME269" s="33"/>
      <c r="MF269" s="33"/>
      <c r="MG269" s="33"/>
      <c r="MH269" s="33"/>
      <c r="MI269" s="33"/>
      <c r="MJ269" s="33"/>
      <c r="MK269" s="33"/>
      <c r="ML269" s="33"/>
      <c r="MM269" s="33"/>
      <c r="MN269" s="33"/>
      <c r="MO269" s="33"/>
      <c r="MP269" s="33"/>
      <c r="MQ269" s="33"/>
      <c r="MR269" s="33"/>
      <c r="MS269" s="33"/>
      <c r="MT269" s="33"/>
      <c r="MU269" s="33"/>
      <c r="MV269" s="33"/>
      <c r="MW269" s="33"/>
      <c r="MX269" s="33"/>
      <c r="MY269" s="33"/>
      <c r="MZ269" s="33"/>
      <c r="NA269" s="33"/>
      <c r="NB269" s="33"/>
      <c r="NC269" s="33"/>
      <c r="ND269" s="33"/>
      <c r="NE269" s="33"/>
      <c r="NF269" s="33"/>
      <c r="NG269" s="33"/>
      <c r="NH269" s="33"/>
      <c r="NI269" s="33"/>
      <c r="NJ269" s="33"/>
      <c r="NK269" s="33"/>
      <c r="NL269" s="33"/>
      <c r="NM269" s="33"/>
      <c r="NN269" s="33"/>
      <c r="NO269" s="33"/>
      <c r="NP269" s="33"/>
      <c r="NQ269" s="33"/>
      <c r="NR269" s="33"/>
      <c r="NS269" s="33"/>
      <c r="NT269" s="33"/>
      <c r="NU269" s="33"/>
      <c r="NV269" s="33"/>
      <c r="NW269" s="33"/>
      <c r="NX269" s="33"/>
      <c r="NY269" s="33"/>
      <c r="NZ269" s="33"/>
      <c r="OA269" s="33"/>
      <c r="OB269" s="33"/>
      <c r="OC269" s="33"/>
      <c r="OD269" s="33"/>
      <c r="OE269" s="33"/>
      <c r="OF269" s="33"/>
      <c r="OG269" s="33"/>
      <c r="OH269" s="33"/>
      <c r="OI269" s="33"/>
      <c r="OJ269" s="33"/>
      <c r="OK269" s="33"/>
      <c r="OL269" s="33"/>
      <c r="OM269" s="33"/>
      <c r="ON269" s="33"/>
      <c r="OO269" s="33"/>
      <c r="OP269" s="33"/>
      <c r="OQ269" s="33"/>
      <c r="OR269" s="33"/>
      <c r="OS269" s="33"/>
      <c r="OT269" s="33"/>
      <c r="OU269" s="33"/>
      <c r="OV269" s="33"/>
      <c r="OW269" s="33"/>
      <c r="OX269" s="33"/>
      <c r="OY269" s="33"/>
      <c r="OZ269" s="33"/>
      <c r="PA269" s="33"/>
      <c r="PB269" s="33"/>
      <c r="PC269" s="33"/>
      <c r="PD269" s="33"/>
      <c r="PE269" s="33"/>
      <c r="PF269" s="33"/>
      <c r="PG269" s="33"/>
      <c r="PH269" s="33"/>
      <c r="PI269" s="33"/>
      <c r="PJ269" s="33"/>
      <c r="PK269" s="33"/>
      <c r="PL269" s="33"/>
      <c r="PM269" s="33"/>
      <c r="PN269" s="33"/>
      <c r="PO269" s="33"/>
      <c r="PP269" s="33"/>
      <c r="PQ269" s="33"/>
      <c r="PR269" s="33"/>
      <c r="PS269" s="33"/>
      <c r="PT269" s="33"/>
      <c r="PU269" s="33"/>
      <c r="PV269" s="33"/>
      <c r="PW269" s="33"/>
      <c r="PX269" s="33"/>
      <c r="PY269" s="33"/>
      <c r="PZ269" s="33"/>
      <c r="QA269" s="33"/>
      <c r="QB269" s="33"/>
      <c r="QC269" s="33"/>
      <c r="QD269" s="33"/>
      <c r="QE269" s="33"/>
      <c r="QF269" s="33"/>
      <c r="QG269" s="33"/>
      <c r="QH269" s="33"/>
      <c r="QI269" s="33"/>
      <c r="QJ269" s="33"/>
      <c r="QK269" s="33"/>
      <c r="QL269" s="33"/>
      <c r="QM269" s="33"/>
      <c r="QN269" s="33"/>
      <c r="QO269" s="33"/>
      <c r="QP269" s="33"/>
      <c r="QQ269" s="33"/>
      <c r="QR269" s="33"/>
      <c r="QS269" s="33"/>
      <c r="QT269" s="33"/>
      <c r="QU269" s="33"/>
      <c r="QV269" s="33"/>
      <c r="QW269" s="33"/>
      <c r="QX269" s="33"/>
      <c r="QY269" s="33"/>
      <c r="QZ269" s="33"/>
      <c r="RA269" s="33"/>
      <c r="RB269" s="33"/>
      <c r="RC269" s="33"/>
      <c r="RD269" s="33"/>
      <c r="RE269" s="33"/>
      <c r="RF269" s="33"/>
      <c r="RG269" s="33"/>
      <c r="RH269" s="33"/>
      <c r="RI269" s="33"/>
      <c r="RJ269" s="33"/>
      <c r="RK269" s="33"/>
      <c r="RL269" s="33"/>
      <c r="RM269" s="33"/>
      <c r="RN269" s="33"/>
      <c r="RO269" s="33"/>
      <c r="RP269" s="33"/>
      <c r="RQ269" s="33"/>
      <c r="RR269" s="33"/>
      <c r="RS269" s="33"/>
      <c r="RT269" s="33"/>
      <c r="RU269" s="33"/>
      <c r="RV269" s="33"/>
      <c r="RW269" s="33"/>
      <c r="RX269" s="33"/>
      <c r="RY269" s="33"/>
      <c r="RZ269" s="33"/>
      <c r="SA269" s="33"/>
      <c r="SB269" s="33"/>
      <c r="SC269" s="33"/>
      <c r="SD269" s="33"/>
      <c r="SE269" s="33"/>
      <c r="SF269" s="33"/>
      <c r="SG269" s="33"/>
      <c r="SH269" s="33"/>
      <c r="SI269" s="33"/>
      <c r="SJ269" s="33"/>
      <c r="SK269" s="33"/>
      <c r="SL269" s="33"/>
      <c r="SM269" s="33"/>
      <c r="SN269" s="33"/>
      <c r="SO269" s="33"/>
      <c r="SP269" s="33"/>
      <c r="SQ269" s="33"/>
      <c r="SR269" s="33"/>
      <c r="SS269" s="33"/>
      <c r="ST269" s="33"/>
      <c r="SU269" s="33"/>
      <c r="SV269" s="33"/>
      <c r="SW269" s="33"/>
      <c r="SX269" s="33"/>
      <c r="SY269" s="33"/>
      <c r="SZ269" s="33"/>
      <c r="TA269" s="33"/>
      <c r="TB269" s="33"/>
      <c r="TC269" s="33"/>
      <c r="TD269" s="33"/>
      <c r="TE269" s="33"/>
      <c r="TF269" s="33"/>
      <c r="TG269" s="33"/>
      <c r="TH269" s="33"/>
      <c r="TI269" s="33"/>
      <c r="TJ269" s="33"/>
      <c r="TK269" s="33"/>
      <c r="TL269" s="33"/>
      <c r="TM269" s="33"/>
      <c r="TN269" s="33"/>
      <c r="TO269" s="33"/>
      <c r="TP269" s="33"/>
      <c r="TQ269" s="33"/>
      <c r="TR269" s="33"/>
      <c r="TS269" s="33"/>
    </row>
    <row r="270" spans="1:539" s="22" customFormat="1" ht="49.5" customHeight="1" x14ac:dyDescent="0.25">
      <c r="A270" s="60" t="s">
        <v>213</v>
      </c>
      <c r="B270" s="95" t="str">
        <f>'дод 5'!A21</f>
        <v>0160</v>
      </c>
      <c r="C270" s="95" t="str">
        <f>'дод 5'!B21</f>
        <v>0111</v>
      </c>
      <c r="D270" s="36" t="s">
        <v>502</v>
      </c>
      <c r="E270" s="101">
        <f>F270+I270</f>
        <v>4321300</v>
      </c>
      <c r="F270" s="101">
        <f>4301300+20000</f>
        <v>4321300</v>
      </c>
      <c r="G270" s="101">
        <v>3301600</v>
      </c>
      <c r="H270" s="101">
        <v>46000</v>
      </c>
      <c r="I270" s="101"/>
      <c r="J270" s="101">
        <v>2316123.5099999998</v>
      </c>
      <c r="K270" s="101">
        <v>1811578.41</v>
      </c>
      <c r="L270" s="101">
        <v>29685.86</v>
      </c>
      <c r="M270" s="157">
        <f t="shared" si="114"/>
        <v>53.597841158910512</v>
      </c>
      <c r="N270" s="101">
        <f>P270+S270</f>
        <v>0</v>
      </c>
      <c r="O270" s="101"/>
      <c r="P270" s="101"/>
      <c r="Q270" s="101"/>
      <c r="R270" s="101"/>
      <c r="S270" s="101"/>
      <c r="T270" s="97">
        <f t="shared" si="115"/>
        <v>0</v>
      </c>
      <c r="U270" s="101"/>
      <c r="V270" s="101"/>
      <c r="W270" s="101"/>
      <c r="X270" s="101"/>
      <c r="Y270" s="101"/>
      <c r="Z270" s="157"/>
      <c r="AA270" s="97">
        <f>J270+T270</f>
        <v>2316123.5099999998</v>
      </c>
      <c r="AB270" s="101">
        <f>E270+N270</f>
        <v>4321300</v>
      </c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  <c r="TH270" s="23"/>
      <c r="TI270" s="23"/>
      <c r="TJ270" s="23"/>
      <c r="TK270" s="23"/>
      <c r="TL270" s="23"/>
      <c r="TM270" s="23"/>
      <c r="TN270" s="23"/>
      <c r="TO270" s="23"/>
      <c r="TP270" s="23"/>
      <c r="TQ270" s="23"/>
      <c r="TR270" s="23"/>
      <c r="TS270" s="23"/>
    </row>
    <row r="271" spans="1:539" s="27" customFormat="1" ht="37.5" customHeight="1" x14ac:dyDescent="0.25">
      <c r="A271" s="112" t="s">
        <v>215</v>
      </c>
      <c r="B271" s="114"/>
      <c r="C271" s="114"/>
      <c r="D271" s="109" t="s">
        <v>40</v>
      </c>
      <c r="E271" s="97">
        <f>E272</f>
        <v>21461300</v>
      </c>
      <c r="F271" s="97">
        <f t="shared" ref="F271:AB271" si="150">F272</f>
        <v>20961300</v>
      </c>
      <c r="G271" s="97">
        <f t="shared" si="150"/>
        <v>14962200</v>
      </c>
      <c r="H271" s="97">
        <f t="shared" si="150"/>
        <v>286600</v>
      </c>
      <c r="I271" s="97">
        <f t="shared" si="150"/>
        <v>500000</v>
      </c>
      <c r="J271" s="97">
        <f t="shared" si="150"/>
        <v>10707800.130000001</v>
      </c>
      <c r="K271" s="97">
        <f t="shared" si="150"/>
        <v>8005310.9800000004</v>
      </c>
      <c r="L271" s="97">
        <f t="shared" si="150"/>
        <v>155624.9</v>
      </c>
      <c r="M271" s="157">
        <f t="shared" si="114"/>
        <v>49.893529888683354</v>
      </c>
      <c r="N271" s="97">
        <f t="shared" si="150"/>
        <v>65000</v>
      </c>
      <c r="O271" s="97">
        <f t="shared" si="150"/>
        <v>65000</v>
      </c>
      <c r="P271" s="97">
        <f t="shared" si="150"/>
        <v>0</v>
      </c>
      <c r="Q271" s="97">
        <f t="shared" si="150"/>
        <v>0</v>
      </c>
      <c r="R271" s="97">
        <f t="shared" si="150"/>
        <v>0</v>
      </c>
      <c r="S271" s="97">
        <f t="shared" si="150"/>
        <v>65000</v>
      </c>
      <c r="T271" s="97">
        <f t="shared" si="150"/>
        <v>3960</v>
      </c>
      <c r="U271" s="97">
        <f t="shared" si="150"/>
        <v>3960</v>
      </c>
      <c r="V271" s="97">
        <f t="shared" si="150"/>
        <v>0</v>
      </c>
      <c r="W271" s="97">
        <f t="shared" si="150"/>
        <v>0</v>
      </c>
      <c r="X271" s="97">
        <f t="shared" si="150"/>
        <v>0</v>
      </c>
      <c r="Y271" s="97">
        <f t="shared" si="150"/>
        <v>3960</v>
      </c>
      <c r="Z271" s="157">
        <f t="shared" si="118"/>
        <v>6.092307692307692</v>
      </c>
      <c r="AA271" s="97">
        <f t="shared" si="150"/>
        <v>10711760.130000001</v>
      </c>
      <c r="AB271" s="97">
        <f t="shared" si="150"/>
        <v>21526300</v>
      </c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  <c r="IT271" s="32"/>
      <c r="IU271" s="32"/>
      <c r="IV271" s="32"/>
      <c r="IW271" s="32"/>
      <c r="IX271" s="32"/>
      <c r="IY271" s="32"/>
      <c r="IZ271" s="32"/>
      <c r="JA271" s="32"/>
      <c r="JB271" s="32"/>
      <c r="JC271" s="32"/>
      <c r="JD271" s="32"/>
      <c r="JE271" s="32"/>
      <c r="JF271" s="32"/>
      <c r="JG271" s="32"/>
      <c r="JH271" s="32"/>
      <c r="JI271" s="32"/>
      <c r="JJ271" s="32"/>
      <c r="JK271" s="32"/>
      <c r="JL271" s="32"/>
      <c r="JM271" s="32"/>
      <c r="JN271" s="32"/>
      <c r="JO271" s="32"/>
      <c r="JP271" s="32"/>
      <c r="JQ271" s="32"/>
      <c r="JR271" s="32"/>
      <c r="JS271" s="32"/>
      <c r="JT271" s="32"/>
      <c r="JU271" s="32"/>
      <c r="JV271" s="32"/>
      <c r="JW271" s="32"/>
      <c r="JX271" s="32"/>
      <c r="JY271" s="32"/>
      <c r="JZ271" s="32"/>
      <c r="KA271" s="32"/>
      <c r="KB271" s="32"/>
      <c r="KC271" s="32"/>
      <c r="KD271" s="32"/>
      <c r="KE271" s="32"/>
      <c r="KF271" s="32"/>
      <c r="KG271" s="32"/>
      <c r="KH271" s="32"/>
      <c r="KI271" s="32"/>
      <c r="KJ271" s="32"/>
      <c r="KK271" s="32"/>
      <c r="KL271" s="32"/>
      <c r="KM271" s="32"/>
      <c r="KN271" s="32"/>
      <c r="KO271" s="32"/>
      <c r="KP271" s="32"/>
      <c r="KQ271" s="32"/>
      <c r="KR271" s="32"/>
      <c r="KS271" s="32"/>
      <c r="KT271" s="32"/>
      <c r="KU271" s="32"/>
      <c r="KV271" s="32"/>
      <c r="KW271" s="32"/>
      <c r="KX271" s="32"/>
      <c r="KY271" s="32"/>
      <c r="KZ271" s="32"/>
      <c r="LA271" s="32"/>
      <c r="LB271" s="32"/>
      <c r="LC271" s="32"/>
      <c r="LD271" s="32"/>
      <c r="LE271" s="32"/>
      <c r="LF271" s="32"/>
      <c r="LG271" s="32"/>
      <c r="LH271" s="32"/>
      <c r="LI271" s="32"/>
      <c r="LJ271" s="32"/>
      <c r="LK271" s="32"/>
      <c r="LL271" s="32"/>
      <c r="LM271" s="32"/>
      <c r="LN271" s="32"/>
      <c r="LO271" s="32"/>
      <c r="LP271" s="32"/>
      <c r="LQ271" s="32"/>
      <c r="LR271" s="32"/>
      <c r="LS271" s="32"/>
      <c r="LT271" s="32"/>
      <c r="LU271" s="32"/>
      <c r="LV271" s="32"/>
      <c r="LW271" s="32"/>
      <c r="LX271" s="32"/>
      <c r="LY271" s="32"/>
      <c r="LZ271" s="32"/>
      <c r="MA271" s="32"/>
      <c r="MB271" s="32"/>
      <c r="MC271" s="32"/>
      <c r="MD271" s="32"/>
      <c r="ME271" s="32"/>
      <c r="MF271" s="32"/>
      <c r="MG271" s="32"/>
      <c r="MH271" s="32"/>
      <c r="MI271" s="32"/>
      <c r="MJ271" s="32"/>
      <c r="MK271" s="32"/>
      <c r="ML271" s="32"/>
      <c r="MM271" s="32"/>
      <c r="MN271" s="32"/>
      <c r="MO271" s="32"/>
      <c r="MP271" s="32"/>
      <c r="MQ271" s="32"/>
      <c r="MR271" s="32"/>
      <c r="MS271" s="32"/>
      <c r="MT271" s="32"/>
      <c r="MU271" s="32"/>
      <c r="MV271" s="32"/>
      <c r="MW271" s="32"/>
      <c r="MX271" s="32"/>
      <c r="MY271" s="32"/>
      <c r="MZ271" s="32"/>
      <c r="NA271" s="32"/>
      <c r="NB271" s="32"/>
      <c r="NC271" s="32"/>
      <c r="ND271" s="32"/>
      <c r="NE271" s="32"/>
      <c r="NF271" s="32"/>
      <c r="NG271" s="32"/>
      <c r="NH271" s="32"/>
      <c r="NI271" s="32"/>
      <c r="NJ271" s="32"/>
      <c r="NK271" s="32"/>
      <c r="NL271" s="32"/>
      <c r="NM271" s="32"/>
      <c r="NN271" s="32"/>
      <c r="NO271" s="32"/>
      <c r="NP271" s="32"/>
      <c r="NQ271" s="32"/>
      <c r="NR271" s="32"/>
      <c r="NS271" s="32"/>
      <c r="NT271" s="32"/>
      <c r="NU271" s="32"/>
      <c r="NV271" s="32"/>
      <c r="NW271" s="32"/>
      <c r="NX271" s="32"/>
      <c r="NY271" s="32"/>
      <c r="NZ271" s="32"/>
      <c r="OA271" s="32"/>
      <c r="OB271" s="32"/>
      <c r="OC271" s="32"/>
      <c r="OD271" s="32"/>
      <c r="OE271" s="32"/>
      <c r="OF271" s="32"/>
      <c r="OG271" s="32"/>
      <c r="OH271" s="32"/>
      <c r="OI271" s="32"/>
      <c r="OJ271" s="32"/>
      <c r="OK271" s="32"/>
      <c r="OL271" s="32"/>
      <c r="OM271" s="32"/>
      <c r="ON271" s="32"/>
      <c r="OO271" s="32"/>
      <c r="OP271" s="32"/>
      <c r="OQ271" s="32"/>
      <c r="OR271" s="32"/>
      <c r="OS271" s="32"/>
      <c r="OT271" s="32"/>
      <c r="OU271" s="32"/>
      <c r="OV271" s="32"/>
      <c r="OW271" s="32"/>
      <c r="OX271" s="32"/>
      <c r="OY271" s="32"/>
      <c r="OZ271" s="32"/>
      <c r="PA271" s="32"/>
      <c r="PB271" s="32"/>
      <c r="PC271" s="32"/>
      <c r="PD271" s="32"/>
      <c r="PE271" s="32"/>
      <c r="PF271" s="32"/>
      <c r="PG271" s="32"/>
      <c r="PH271" s="32"/>
      <c r="PI271" s="32"/>
      <c r="PJ271" s="32"/>
      <c r="PK271" s="32"/>
      <c r="PL271" s="32"/>
      <c r="PM271" s="32"/>
      <c r="PN271" s="32"/>
      <c r="PO271" s="32"/>
      <c r="PP271" s="32"/>
      <c r="PQ271" s="32"/>
      <c r="PR271" s="32"/>
      <c r="PS271" s="32"/>
      <c r="PT271" s="32"/>
      <c r="PU271" s="32"/>
      <c r="PV271" s="32"/>
      <c r="PW271" s="32"/>
      <c r="PX271" s="32"/>
      <c r="PY271" s="32"/>
      <c r="PZ271" s="32"/>
      <c r="QA271" s="32"/>
      <c r="QB271" s="32"/>
      <c r="QC271" s="32"/>
      <c r="QD271" s="32"/>
      <c r="QE271" s="32"/>
      <c r="QF271" s="32"/>
      <c r="QG271" s="32"/>
      <c r="QH271" s="32"/>
      <c r="QI271" s="32"/>
      <c r="QJ271" s="32"/>
      <c r="QK271" s="32"/>
      <c r="QL271" s="32"/>
      <c r="QM271" s="32"/>
      <c r="QN271" s="32"/>
      <c r="QO271" s="32"/>
      <c r="QP271" s="32"/>
      <c r="QQ271" s="32"/>
      <c r="QR271" s="32"/>
      <c r="QS271" s="32"/>
      <c r="QT271" s="32"/>
      <c r="QU271" s="32"/>
      <c r="QV271" s="32"/>
      <c r="QW271" s="32"/>
      <c r="QX271" s="32"/>
      <c r="QY271" s="32"/>
      <c r="QZ271" s="32"/>
      <c r="RA271" s="32"/>
      <c r="RB271" s="32"/>
      <c r="RC271" s="32"/>
      <c r="RD271" s="32"/>
      <c r="RE271" s="32"/>
      <c r="RF271" s="32"/>
      <c r="RG271" s="32"/>
      <c r="RH271" s="32"/>
      <c r="RI271" s="32"/>
      <c r="RJ271" s="32"/>
      <c r="RK271" s="32"/>
      <c r="RL271" s="32"/>
      <c r="RM271" s="32"/>
      <c r="RN271" s="32"/>
      <c r="RO271" s="32"/>
      <c r="RP271" s="32"/>
      <c r="RQ271" s="32"/>
      <c r="RR271" s="32"/>
      <c r="RS271" s="32"/>
      <c r="RT271" s="32"/>
      <c r="RU271" s="32"/>
      <c r="RV271" s="32"/>
      <c r="RW271" s="32"/>
      <c r="RX271" s="32"/>
      <c r="RY271" s="32"/>
      <c r="RZ271" s="32"/>
      <c r="SA271" s="32"/>
      <c r="SB271" s="32"/>
      <c r="SC271" s="32"/>
      <c r="SD271" s="32"/>
      <c r="SE271" s="32"/>
      <c r="SF271" s="32"/>
      <c r="SG271" s="32"/>
      <c r="SH271" s="32"/>
      <c r="SI271" s="32"/>
      <c r="SJ271" s="32"/>
      <c r="SK271" s="32"/>
      <c r="SL271" s="32"/>
      <c r="SM271" s="32"/>
      <c r="SN271" s="32"/>
      <c r="SO271" s="32"/>
      <c r="SP271" s="32"/>
      <c r="SQ271" s="32"/>
      <c r="SR271" s="32"/>
      <c r="SS271" s="32"/>
      <c r="ST271" s="32"/>
      <c r="SU271" s="32"/>
      <c r="SV271" s="32"/>
      <c r="SW271" s="32"/>
      <c r="SX271" s="32"/>
      <c r="SY271" s="32"/>
      <c r="SZ271" s="32"/>
      <c r="TA271" s="32"/>
      <c r="TB271" s="32"/>
      <c r="TC271" s="32"/>
      <c r="TD271" s="32"/>
      <c r="TE271" s="32"/>
      <c r="TF271" s="32"/>
      <c r="TG271" s="32"/>
      <c r="TH271" s="32"/>
      <c r="TI271" s="32"/>
      <c r="TJ271" s="32"/>
      <c r="TK271" s="32"/>
      <c r="TL271" s="32"/>
      <c r="TM271" s="32"/>
      <c r="TN271" s="32"/>
      <c r="TO271" s="32"/>
      <c r="TP271" s="32"/>
      <c r="TQ271" s="32"/>
      <c r="TR271" s="32"/>
      <c r="TS271" s="32"/>
    </row>
    <row r="272" spans="1:539" s="34" customFormat="1" ht="33.75" customHeight="1" x14ac:dyDescent="0.25">
      <c r="A272" s="98" t="s">
        <v>216</v>
      </c>
      <c r="B272" s="111"/>
      <c r="C272" s="111"/>
      <c r="D272" s="79" t="s">
        <v>40</v>
      </c>
      <c r="E272" s="100">
        <f>E273+E274++E275+E276+E277+E278</f>
        <v>21461300</v>
      </c>
      <c r="F272" s="100">
        <f t="shared" ref="F272:AB272" si="151">F273+F274++F275+F276+F277+F278</f>
        <v>20961300</v>
      </c>
      <c r="G272" s="100">
        <f t="shared" si="151"/>
        <v>14962200</v>
      </c>
      <c r="H272" s="100">
        <f t="shared" si="151"/>
        <v>286600</v>
      </c>
      <c r="I272" s="100">
        <f t="shared" si="151"/>
        <v>500000</v>
      </c>
      <c r="J272" s="100">
        <f t="shared" si="151"/>
        <v>10707800.130000001</v>
      </c>
      <c r="K272" s="100">
        <f t="shared" si="151"/>
        <v>8005310.9800000004</v>
      </c>
      <c r="L272" s="100">
        <f t="shared" si="151"/>
        <v>155624.9</v>
      </c>
      <c r="M272" s="157">
        <f t="shared" si="114"/>
        <v>49.893529888683354</v>
      </c>
      <c r="N272" s="100">
        <f t="shared" si="151"/>
        <v>65000</v>
      </c>
      <c r="O272" s="100">
        <f t="shared" si="151"/>
        <v>65000</v>
      </c>
      <c r="P272" s="100">
        <f t="shared" si="151"/>
        <v>0</v>
      </c>
      <c r="Q272" s="100">
        <f t="shared" si="151"/>
        <v>0</v>
      </c>
      <c r="R272" s="100">
        <f t="shared" si="151"/>
        <v>0</v>
      </c>
      <c r="S272" s="100">
        <f t="shared" si="151"/>
        <v>65000</v>
      </c>
      <c r="T272" s="100">
        <f t="shared" si="151"/>
        <v>3960</v>
      </c>
      <c r="U272" s="100">
        <f t="shared" si="151"/>
        <v>3960</v>
      </c>
      <c r="V272" s="100">
        <f t="shared" si="151"/>
        <v>0</v>
      </c>
      <c r="W272" s="100">
        <f t="shared" si="151"/>
        <v>0</v>
      </c>
      <c r="X272" s="100">
        <f t="shared" si="151"/>
        <v>0</v>
      </c>
      <c r="Y272" s="100">
        <f t="shared" si="151"/>
        <v>3960</v>
      </c>
      <c r="Z272" s="157">
        <f t="shared" si="118"/>
        <v>6.092307692307692</v>
      </c>
      <c r="AA272" s="100">
        <f t="shared" si="151"/>
        <v>10711760.130000001</v>
      </c>
      <c r="AB272" s="100">
        <f t="shared" si="151"/>
        <v>21526300</v>
      </c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  <c r="TH272" s="33"/>
      <c r="TI272" s="33"/>
      <c r="TJ272" s="33"/>
      <c r="TK272" s="33"/>
      <c r="TL272" s="33"/>
      <c r="TM272" s="33"/>
      <c r="TN272" s="33"/>
      <c r="TO272" s="33"/>
      <c r="TP272" s="33"/>
      <c r="TQ272" s="33"/>
      <c r="TR272" s="33"/>
      <c r="TS272" s="33"/>
    </row>
    <row r="273" spans="1:539" s="22" customFormat="1" ht="47.25" x14ac:dyDescent="0.25">
      <c r="A273" s="60" t="s">
        <v>217</v>
      </c>
      <c r="B273" s="95" t="str">
        <f>'дод 5'!A21</f>
        <v>0160</v>
      </c>
      <c r="C273" s="95" t="str">
        <f>'дод 5'!B21</f>
        <v>0111</v>
      </c>
      <c r="D273" s="36" t="s">
        <v>502</v>
      </c>
      <c r="E273" s="101">
        <f t="shared" ref="E273:E278" si="152">F273+I273</f>
        <v>19308300</v>
      </c>
      <c r="F273" s="101">
        <f>19290300+18000</f>
        <v>19308300</v>
      </c>
      <c r="G273" s="101">
        <v>14962200</v>
      </c>
      <c r="H273" s="101">
        <v>286600</v>
      </c>
      <c r="I273" s="101"/>
      <c r="J273" s="101">
        <v>10265250.210000001</v>
      </c>
      <c r="K273" s="101">
        <v>8005310.9800000004</v>
      </c>
      <c r="L273" s="101">
        <v>155624.9</v>
      </c>
      <c r="M273" s="157">
        <f t="shared" si="114"/>
        <v>53.164961234287858</v>
      </c>
      <c r="N273" s="101">
        <f>P273+S273</f>
        <v>0</v>
      </c>
      <c r="O273" s="101">
        <f>18000-18000</f>
        <v>0</v>
      </c>
      <c r="P273" s="101"/>
      <c r="Q273" s="101"/>
      <c r="R273" s="101"/>
      <c r="S273" s="101">
        <f>18000-18000</f>
        <v>0</v>
      </c>
      <c r="T273" s="97">
        <f t="shared" si="115"/>
        <v>0</v>
      </c>
      <c r="U273" s="101"/>
      <c r="V273" s="101"/>
      <c r="W273" s="101"/>
      <c r="X273" s="101"/>
      <c r="Y273" s="101"/>
      <c r="Z273" s="157"/>
      <c r="AA273" s="97">
        <f>J273+T273</f>
        <v>10265250.210000001</v>
      </c>
      <c r="AB273" s="101">
        <f t="shared" ref="AB273:AB278" si="153">E273+N273</f>
        <v>19308300</v>
      </c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  <c r="TH273" s="23"/>
      <c r="TI273" s="23"/>
      <c r="TJ273" s="23"/>
      <c r="TK273" s="23"/>
      <c r="TL273" s="23"/>
      <c r="TM273" s="23"/>
      <c r="TN273" s="23"/>
      <c r="TO273" s="23"/>
      <c r="TP273" s="23"/>
      <c r="TQ273" s="23"/>
      <c r="TR273" s="23"/>
      <c r="TS273" s="23"/>
    </row>
    <row r="274" spans="1:539" s="25" customFormat="1" ht="25.5" customHeight="1" x14ac:dyDescent="0.25">
      <c r="A274" s="60" t="s">
        <v>218</v>
      </c>
      <c r="B274" s="95" t="str">
        <f>'дод 5'!A155</f>
        <v>7130</v>
      </c>
      <c r="C274" s="95" t="str">
        <f>'дод 5'!B155</f>
        <v>0421</v>
      </c>
      <c r="D274" s="61" t="str">
        <f>'дод 5'!C155</f>
        <v>Здійснення заходів із землеустрою</v>
      </c>
      <c r="E274" s="101">
        <f t="shared" si="152"/>
        <v>450000</v>
      </c>
      <c r="F274" s="101">
        <f>150000+300000</f>
        <v>450000</v>
      </c>
      <c r="G274" s="101"/>
      <c r="H274" s="101"/>
      <c r="I274" s="101"/>
      <c r="J274" s="101"/>
      <c r="K274" s="101"/>
      <c r="L274" s="101"/>
      <c r="M274" s="157">
        <f t="shared" si="114"/>
        <v>0</v>
      </c>
      <c r="N274" s="101">
        <f t="shared" ref="N274:N278" si="154">P274+S274</f>
        <v>0</v>
      </c>
      <c r="O274" s="101"/>
      <c r="P274" s="101"/>
      <c r="Q274" s="101"/>
      <c r="R274" s="101"/>
      <c r="S274" s="101"/>
      <c r="T274" s="97">
        <f t="shared" si="115"/>
        <v>0</v>
      </c>
      <c r="U274" s="101"/>
      <c r="V274" s="101"/>
      <c r="W274" s="101"/>
      <c r="X274" s="101"/>
      <c r="Y274" s="101"/>
      <c r="Z274" s="157"/>
      <c r="AA274" s="97">
        <f>J274+T274</f>
        <v>0</v>
      </c>
      <c r="AB274" s="101">
        <f t="shared" si="153"/>
        <v>450000</v>
      </c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  <c r="IW274" s="31"/>
      <c r="IX274" s="31"/>
      <c r="IY274" s="31"/>
      <c r="IZ274" s="31"/>
      <c r="JA274" s="31"/>
      <c r="JB274" s="31"/>
      <c r="JC274" s="31"/>
      <c r="JD274" s="31"/>
      <c r="JE274" s="31"/>
      <c r="JF274" s="31"/>
      <c r="JG274" s="31"/>
      <c r="JH274" s="31"/>
      <c r="JI274" s="31"/>
      <c r="JJ274" s="31"/>
      <c r="JK274" s="31"/>
      <c r="JL274" s="31"/>
      <c r="JM274" s="31"/>
      <c r="JN274" s="31"/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  <c r="OP274" s="31"/>
      <c r="OQ274" s="31"/>
      <c r="OR274" s="31"/>
      <c r="OS274" s="31"/>
      <c r="OT274" s="31"/>
      <c r="OU274" s="31"/>
      <c r="OV274" s="31"/>
      <c r="OW274" s="31"/>
      <c r="OX274" s="31"/>
      <c r="OY274" s="31"/>
      <c r="OZ274" s="31"/>
      <c r="PA274" s="31"/>
      <c r="PB274" s="31"/>
      <c r="PC274" s="31"/>
      <c r="PD274" s="31"/>
      <c r="PE274" s="31"/>
      <c r="PF274" s="31"/>
      <c r="PG274" s="31"/>
      <c r="PH274" s="31"/>
      <c r="PI274" s="31"/>
      <c r="PJ274" s="31"/>
      <c r="PK274" s="31"/>
      <c r="PL274" s="31"/>
      <c r="PM274" s="31"/>
      <c r="PN274" s="31"/>
      <c r="PO274" s="31"/>
      <c r="PP274" s="31"/>
      <c r="PQ274" s="31"/>
      <c r="PR274" s="31"/>
      <c r="PS274" s="31"/>
      <c r="PT274" s="31"/>
      <c r="PU274" s="31"/>
      <c r="PV274" s="31"/>
      <c r="PW274" s="31"/>
      <c r="PX274" s="31"/>
      <c r="PY274" s="31"/>
      <c r="PZ274" s="31"/>
      <c r="QA274" s="31"/>
      <c r="QB274" s="31"/>
      <c r="QC274" s="31"/>
      <c r="QD274" s="31"/>
      <c r="QE274" s="31"/>
      <c r="QF274" s="31"/>
      <c r="QG274" s="31"/>
      <c r="QH274" s="31"/>
      <c r="QI274" s="31"/>
      <c r="QJ274" s="31"/>
      <c r="QK274" s="31"/>
      <c r="QL274" s="31"/>
      <c r="QM274" s="31"/>
      <c r="QN274" s="31"/>
      <c r="QO274" s="31"/>
      <c r="QP274" s="31"/>
      <c r="QQ274" s="31"/>
      <c r="QR274" s="31"/>
      <c r="QS274" s="31"/>
      <c r="QT274" s="31"/>
      <c r="QU274" s="31"/>
      <c r="QV274" s="31"/>
      <c r="QW274" s="31"/>
      <c r="QX274" s="31"/>
      <c r="QY274" s="31"/>
      <c r="QZ274" s="31"/>
      <c r="RA274" s="31"/>
      <c r="RB274" s="31"/>
      <c r="RC274" s="31"/>
      <c r="RD274" s="31"/>
      <c r="RE274" s="31"/>
      <c r="RF274" s="31"/>
      <c r="RG274" s="31"/>
      <c r="RH274" s="31"/>
      <c r="RI274" s="31"/>
      <c r="RJ274" s="31"/>
      <c r="RK274" s="31"/>
      <c r="RL274" s="31"/>
      <c r="RM274" s="31"/>
      <c r="RN274" s="31"/>
      <c r="RO274" s="31"/>
      <c r="RP274" s="31"/>
      <c r="RQ274" s="31"/>
      <c r="RR274" s="31"/>
      <c r="RS274" s="31"/>
      <c r="RT274" s="31"/>
      <c r="RU274" s="31"/>
      <c r="RV274" s="31"/>
      <c r="RW274" s="31"/>
      <c r="RX274" s="31"/>
      <c r="RY274" s="31"/>
      <c r="RZ274" s="31"/>
      <c r="SA274" s="31"/>
      <c r="SB274" s="31"/>
      <c r="SC274" s="31"/>
      <c r="SD274" s="31"/>
      <c r="SE274" s="31"/>
      <c r="SF274" s="31"/>
      <c r="SG274" s="31"/>
      <c r="SH274" s="31"/>
      <c r="SI274" s="31"/>
      <c r="SJ274" s="31"/>
      <c r="SK274" s="31"/>
      <c r="SL274" s="31"/>
      <c r="SM274" s="31"/>
      <c r="SN274" s="31"/>
      <c r="SO274" s="31"/>
      <c r="SP274" s="31"/>
      <c r="SQ274" s="31"/>
      <c r="SR274" s="31"/>
      <c r="SS274" s="31"/>
      <c r="ST274" s="31"/>
      <c r="SU274" s="31"/>
      <c r="SV274" s="31"/>
      <c r="SW274" s="31"/>
      <c r="SX274" s="31"/>
      <c r="SY274" s="31"/>
      <c r="SZ274" s="31"/>
      <c r="TA274" s="31"/>
      <c r="TB274" s="31"/>
      <c r="TC274" s="31"/>
      <c r="TD274" s="31"/>
      <c r="TE274" s="31"/>
      <c r="TF274" s="31"/>
      <c r="TG274" s="31"/>
      <c r="TH274" s="31"/>
      <c r="TI274" s="31"/>
      <c r="TJ274" s="31"/>
      <c r="TK274" s="31"/>
      <c r="TL274" s="31"/>
      <c r="TM274" s="31"/>
      <c r="TN274" s="31"/>
      <c r="TO274" s="31"/>
      <c r="TP274" s="31"/>
      <c r="TQ274" s="31"/>
      <c r="TR274" s="31"/>
      <c r="TS274" s="31"/>
    </row>
    <row r="275" spans="1:539" s="22" customFormat="1" ht="29.25" customHeight="1" x14ac:dyDescent="0.25">
      <c r="A275" s="105" t="s">
        <v>219</v>
      </c>
      <c r="B275" s="42" t="str">
        <f>'дод 5'!A188</f>
        <v>7610</v>
      </c>
      <c r="C275" s="42" t="str">
        <f>'дод 5'!B188</f>
        <v>0411</v>
      </c>
      <c r="D275" s="36" t="str">
        <f>'дод 5'!C188</f>
        <v>Сприяння розвитку малого та середнього підприємництва</v>
      </c>
      <c r="E275" s="101">
        <f t="shared" si="152"/>
        <v>915000</v>
      </c>
      <c r="F275" s="101">
        <v>415000</v>
      </c>
      <c r="G275" s="101"/>
      <c r="H275" s="101"/>
      <c r="I275" s="101">
        <v>500000</v>
      </c>
      <c r="J275" s="101">
        <v>34900</v>
      </c>
      <c r="K275" s="101"/>
      <c r="L275" s="101"/>
      <c r="M275" s="157">
        <f t="shared" ref="M275:M294" si="155">J275/E275*100</f>
        <v>3.8142076502732243</v>
      </c>
      <c r="N275" s="101">
        <f t="shared" si="154"/>
        <v>0</v>
      </c>
      <c r="O275" s="101"/>
      <c r="P275" s="101"/>
      <c r="Q275" s="101"/>
      <c r="R275" s="101"/>
      <c r="S275" s="101"/>
      <c r="T275" s="97">
        <f t="shared" ref="T275:T291" si="156">V275+Y275</f>
        <v>0</v>
      </c>
      <c r="U275" s="101"/>
      <c r="V275" s="101"/>
      <c r="W275" s="101"/>
      <c r="X275" s="101"/>
      <c r="Y275" s="101"/>
      <c r="Z275" s="157"/>
      <c r="AA275" s="97">
        <f t="shared" ref="AA275:AA291" si="157">J275+T275</f>
        <v>34900</v>
      </c>
      <c r="AB275" s="101">
        <f t="shared" si="153"/>
        <v>915000</v>
      </c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  <c r="TH275" s="23"/>
      <c r="TI275" s="23"/>
      <c r="TJ275" s="23"/>
      <c r="TK275" s="23"/>
      <c r="TL275" s="23"/>
      <c r="TM275" s="23"/>
      <c r="TN275" s="23"/>
      <c r="TO275" s="23"/>
      <c r="TP275" s="23"/>
      <c r="TQ275" s="23"/>
      <c r="TR275" s="23"/>
      <c r="TS275" s="23"/>
    </row>
    <row r="276" spans="1:539" s="22" customFormat="1" ht="32.25" customHeight="1" x14ac:dyDescent="0.25">
      <c r="A276" s="105" t="s">
        <v>268</v>
      </c>
      <c r="B276" s="42" t="str">
        <f>'дод 5'!A191</f>
        <v>7650</v>
      </c>
      <c r="C276" s="42" t="str">
        <f>'дод 5'!B191</f>
        <v>0490</v>
      </c>
      <c r="D276" s="36" t="str">
        <f>'дод 5'!C191</f>
        <v>Проведення експертної грошової оцінки земельної ділянки чи права на неї</v>
      </c>
      <c r="E276" s="101">
        <f t="shared" si="152"/>
        <v>0</v>
      </c>
      <c r="F276" s="101"/>
      <c r="G276" s="101"/>
      <c r="H276" s="101"/>
      <c r="I276" s="101"/>
      <c r="J276" s="101"/>
      <c r="K276" s="101"/>
      <c r="L276" s="101"/>
      <c r="M276" s="157"/>
      <c r="N276" s="101">
        <f t="shared" si="154"/>
        <v>20000</v>
      </c>
      <c r="O276" s="101">
        <v>20000</v>
      </c>
      <c r="P276" s="101"/>
      <c r="Q276" s="101"/>
      <c r="R276" s="101"/>
      <c r="S276" s="101">
        <v>20000</v>
      </c>
      <c r="T276" s="97">
        <f t="shared" si="156"/>
        <v>3960</v>
      </c>
      <c r="U276" s="101">
        <v>3960</v>
      </c>
      <c r="V276" s="101"/>
      <c r="W276" s="101"/>
      <c r="X276" s="101"/>
      <c r="Y276" s="101">
        <v>3960</v>
      </c>
      <c r="Z276" s="157">
        <f t="shared" ref="Z276:Z295" si="158">T276/N276*100</f>
        <v>19.8</v>
      </c>
      <c r="AA276" s="97">
        <f t="shared" si="157"/>
        <v>3960</v>
      </c>
      <c r="AB276" s="101">
        <f t="shared" si="153"/>
        <v>20000</v>
      </c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  <c r="TF276" s="23"/>
      <c r="TG276" s="23"/>
      <c r="TH276" s="23"/>
      <c r="TI276" s="23"/>
      <c r="TJ276" s="23"/>
      <c r="TK276" s="23"/>
      <c r="TL276" s="23"/>
      <c r="TM276" s="23"/>
      <c r="TN276" s="23"/>
      <c r="TO276" s="23"/>
      <c r="TP276" s="23"/>
      <c r="TQ276" s="23"/>
      <c r="TR276" s="23"/>
      <c r="TS276" s="23"/>
    </row>
    <row r="277" spans="1:539" s="22" customFormat="1" ht="67.5" customHeight="1" x14ac:dyDescent="0.25">
      <c r="A277" s="105" t="s">
        <v>270</v>
      </c>
      <c r="B277" s="42" t="str">
        <f>'дод 5'!A192</f>
        <v>7660</v>
      </c>
      <c r="C277" s="42" t="str">
        <f>'дод 5'!B192</f>
        <v>0490</v>
      </c>
      <c r="D277" s="36" t="str">
        <f>'дод 5'!C192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77" s="101">
        <f t="shared" si="152"/>
        <v>0</v>
      </c>
      <c r="F277" s="101"/>
      <c r="G277" s="101"/>
      <c r="H277" s="101"/>
      <c r="I277" s="101"/>
      <c r="J277" s="101"/>
      <c r="K277" s="101"/>
      <c r="L277" s="101"/>
      <c r="M277" s="157"/>
      <c r="N277" s="101">
        <f t="shared" si="154"/>
        <v>45000</v>
      </c>
      <c r="O277" s="101">
        <v>45000</v>
      </c>
      <c r="P277" s="101"/>
      <c r="Q277" s="101"/>
      <c r="R277" s="101"/>
      <c r="S277" s="101">
        <v>45000</v>
      </c>
      <c r="T277" s="97">
        <f t="shared" si="156"/>
        <v>0</v>
      </c>
      <c r="U277" s="101"/>
      <c r="V277" s="101"/>
      <c r="W277" s="101"/>
      <c r="X277" s="101"/>
      <c r="Y277" s="101"/>
      <c r="Z277" s="157">
        <f t="shared" si="158"/>
        <v>0</v>
      </c>
      <c r="AA277" s="97">
        <f t="shared" si="157"/>
        <v>0</v>
      </c>
      <c r="AB277" s="101">
        <f t="shared" si="153"/>
        <v>45000</v>
      </c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  <c r="TH277" s="23"/>
      <c r="TI277" s="23"/>
      <c r="TJ277" s="23"/>
      <c r="TK277" s="23"/>
      <c r="TL277" s="23"/>
      <c r="TM277" s="23"/>
      <c r="TN277" s="23"/>
      <c r="TO277" s="23"/>
      <c r="TP277" s="23"/>
      <c r="TQ277" s="23"/>
      <c r="TR277" s="23"/>
      <c r="TS277" s="23"/>
    </row>
    <row r="278" spans="1:539" s="22" customFormat="1" ht="23.25" customHeight="1" x14ac:dyDescent="0.25">
      <c r="A278" s="105" t="s">
        <v>266</v>
      </c>
      <c r="B278" s="42" t="str">
        <f>'дод 5'!A197</f>
        <v>7693</v>
      </c>
      <c r="C278" s="42" t="str">
        <f>'дод 5'!B197</f>
        <v>0490</v>
      </c>
      <c r="D278" s="36" t="str">
        <f>'дод 5'!C197</f>
        <v>Інші заходи, пов'язані з економічною діяльністю</v>
      </c>
      <c r="E278" s="101">
        <f t="shared" si="152"/>
        <v>788000</v>
      </c>
      <c r="F278" s="101">
        <f>788000</f>
        <v>788000</v>
      </c>
      <c r="G278" s="101"/>
      <c r="H278" s="101"/>
      <c r="I278" s="101"/>
      <c r="J278" s="101">
        <v>407649.92</v>
      </c>
      <c r="K278" s="101"/>
      <c r="L278" s="101"/>
      <c r="M278" s="157">
        <f t="shared" si="155"/>
        <v>51.732223350253804</v>
      </c>
      <c r="N278" s="101">
        <f t="shared" si="154"/>
        <v>0</v>
      </c>
      <c r="O278" s="101"/>
      <c r="P278" s="101"/>
      <c r="Q278" s="101"/>
      <c r="R278" s="101"/>
      <c r="S278" s="101"/>
      <c r="T278" s="97">
        <f t="shared" si="156"/>
        <v>0</v>
      </c>
      <c r="U278" s="101"/>
      <c r="V278" s="101"/>
      <c r="W278" s="101"/>
      <c r="X278" s="101"/>
      <c r="Y278" s="101"/>
      <c r="Z278" s="157"/>
      <c r="AA278" s="97">
        <f t="shared" si="157"/>
        <v>407649.92</v>
      </c>
      <c r="AB278" s="101">
        <f t="shared" si="153"/>
        <v>788000</v>
      </c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  <c r="TH278" s="23"/>
      <c r="TI278" s="23"/>
      <c r="TJ278" s="23"/>
      <c r="TK278" s="23"/>
      <c r="TL278" s="23"/>
      <c r="TM278" s="23"/>
      <c r="TN278" s="23"/>
      <c r="TO278" s="23"/>
      <c r="TP278" s="23"/>
      <c r="TQ278" s="23"/>
      <c r="TR278" s="23"/>
      <c r="TS278" s="23"/>
    </row>
    <row r="279" spans="1:539" s="22" customFormat="1" ht="35.25" customHeight="1" x14ac:dyDescent="0.25">
      <c r="A279" s="108" t="s">
        <v>428</v>
      </c>
      <c r="B279" s="39"/>
      <c r="C279" s="39"/>
      <c r="D279" s="109" t="s">
        <v>429</v>
      </c>
      <c r="E279" s="97">
        <f>E280</f>
        <v>20000</v>
      </c>
      <c r="F279" s="97">
        <f t="shared" ref="F279:AB280" si="159">F280</f>
        <v>20000</v>
      </c>
      <c r="G279" s="97">
        <f t="shared" si="159"/>
        <v>0</v>
      </c>
      <c r="H279" s="97">
        <f t="shared" si="159"/>
        <v>0</v>
      </c>
      <c r="I279" s="97">
        <f t="shared" si="159"/>
        <v>0</v>
      </c>
      <c r="J279" s="97">
        <f t="shared" si="159"/>
        <v>0</v>
      </c>
      <c r="K279" s="97">
        <f t="shared" si="159"/>
        <v>0</v>
      </c>
      <c r="L279" s="97">
        <f t="shared" si="159"/>
        <v>0</v>
      </c>
      <c r="M279" s="157">
        <f t="shared" si="155"/>
        <v>0</v>
      </c>
      <c r="N279" s="97">
        <f t="shared" si="159"/>
        <v>0</v>
      </c>
      <c r="O279" s="97">
        <f t="shared" si="159"/>
        <v>0</v>
      </c>
      <c r="P279" s="97">
        <f t="shared" si="159"/>
        <v>0</v>
      </c>
      <c r="Q279" s="97">
        <f t="shared" si="159"/>
        <v>0</v>
      </c>
      <c r="R279" s="97">
        <f t="shared" si="159"/>
        <v>0</v>
      </c>
      <c r="S279" s="97">
        <f t="shared" si="159"/>
        <v>0</v>
      </c>
      <c r="T279" s="97">
        <f t="shared" si="159"/>
        <v>0</v>
      </c>
      <c r="U279" s="97">
        <f t="shared" si="159"/>
        <v>0</v>
      </c>
      <c r="V279" s="97">
        <f t="shared" si="159"/>
        <v>0</v>
      </c>
      <c r="W279" s="97">
        <f t="shared" si="159"/>
        <v>0</v>
      </c>
      <c r="X279" s="97">
        <f t="shared" si="159"/>
        <v>0</v>
      </c>
      <c r="Y279" s="97">
        <f t="shared" si="159"/>
        <v>0</v>
      </c>
      <c r="Z279" s="157"/>
      <c r="AA279" s="97">
        <f t="shared" si="159"/>
        <v>0</v>
      </c>
      <c r="AB279" s="97">
        <f t="shared" si="159"/>
        <v>20000</v>
      </c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  <c r="TH279" s="23"/>
      <c r="TI279" s="23"/>
      <c r="TJ279" s="23"/>
      <c r="TK279" s="23"/>
      <c r="TL279" s="23"/>
      <c r="TM279" s="23"/>
      <c r="TN279" s="23"/>
      <c r="TO279" s="23"/>
      <c r="TP279" s="23"/>
      <c r="TQ279" s="23"/>
      <c r="TR279" s="23"/>
      <c r="TS279" s="23"/>
    </row>
    <row r="280" spans="1:539" s="34" customFormat="1" ht="34.5" customHeight="1" x14ac:dyDescent="0.25">
      <c r="A280" s="110" t="s">
        <v>427</v>
      </c>
      <c r="B280" s="76"/>
      <c r="C280" s="76"/>
      <c r="D280" s="79" t="s">
        <v>429</v>
      </c>
      <c r="E280" s="100">
        <f>E281</f>
        <v>20000</v>
      </c>
      <c r="F280" s="100">
        <f t="shared" si="159"/>
        <v>20000</v>
      </c>
      <c r="G280" s="100">
        <f t="shared" si="159"/>
        <v>0</v>
      </c>
      <c r="H280" s="100">
        <f t="shared" si="159"/>
        <v>0</v>
      </c>
      <c r="I280" s="100">
        <f t="shared" si="159"/>
        <v>0</v>
      </c>
      <c r="J280" s="100">
        <f t="shared" si="159"/>
        <v>0</v>
      </c>
      <c r="K280" s="100">
        <f t="shared" si="159"/>
        <v>0</v>
      </c>
      <c r="L280" s="100">
        <f t="shared" si="159"/>
        <v>0</v>
      </c>
      <c r="M280" s="157">
        <f t="shared" si="155"/>
        <v>0</v>
      </c>
      <c r="N280" s="100">
        <f t="shared" si="159"/>
        <v>0</v>
      </c>
      <c r="O280" s="100">
        <f t="shared" si="159"/>
        <v>0</v>
      </c>
      <c r="P280" s="100">
        <f t="shared" si="159"/>
        <v>0</v>
      </c>
      <c r="Q280" s="100">
        <f t="shared" si="159"/>
        <v>0</v>
      </c>
      <c r="R280" s="100">
        <f t="shared" si="159"/>
        <v>0</v>
      </c>
      <c r="S280" s="100">
        <f t="shared" si="159"/>
        <v>0</v>
      </c>
      <c r="T280" s="100">
        <f t="shared" si="159"/>
        <v>0</v>
      </c>
      <c r="U280" s="100">
        <f t="shared" si="159"/>
        <v>0</v>
      </c>
      <c r="V280" s="100">
        <f t="shared" si="159"/>
        <v>0</v>
      </c>
      <c r="W280" s="100">
        <f t="shared" si="159"/>
        <v>0</v>
      </c>
      <c r="X280" s="100">
        <f t="shared" si="159"/>
        <v>0</v>
      </c>
      <c r="Y280" s="100">
        <f t="shared" si="159"/>
        <v>0</v>
      </c>
      <c r="Z280" s="157"/>
      <c r="AA280" s="100">
        <f t="shared" si="159"/>
        <v>0</v>
      </c>
      <c r="AB280" s="100">
        <f t="shared" si="159"/>
        <v>20000</v>
      </c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  <c r="MZ280" s="33"/>
      <c r="NA280" s="33"/>
      <c r="NB280" s="33"/>
      <c r="NC280" s="33"/>
      <c r="ND280" s="33"/>
      <c r="NE280" s="33"/>
      <c r="NF280" s="33"/>
      <c r="NG280" s="33"/>
      <c r="NH280" s="33"/>
      <c r="NI280" s="33"/>
      <c r="NJ280" s="33"/>
      <c r="NK280" s="33"/>
      <c r="NL280" s="33"/>
      <c r="NM280" s="33"/>
      <c r="NN280" s="33"/>
      <c r="NO280" s="33"/>
      <c r="NP280" s="33"/>
      <c r="NQ280" s="33"/>
      <c r="NR280" s="33"/>
      <c r="NS280" s="33"/>
      <c r="NT280" s="33"/>
      <c r="NU280" s="33"/>
      <c r="NV280" s="33"/>
      <c r="NW280" s="33"/>
      <c r="NX280" s="33"/>
      <c r="NY280" s="33"/>
      <c r="NZ280" s="33"/>
      <c r="OA280" s="33"/>
      <c r="OB280" s="33"/>
      <c r="OC280" s="33"/>
      <c r="OD280" s="33"/>
      <c r="OE280" s="33"/>
      <c r="OF280" s="33"/>
      <c r="OG280" s="33"/>
      <c r="OH280" s="33"/>
      <c r="OI280" s="33"/>
      <c r="OJ280" s="33"/>
      <c r="OK280" s="33"/>
      <c r="OL280" s="33"/>
      <c r="OM280" s="33"/>
      <c r="ON280" s="33"/>
      <c r="OO280" s="33"/>
      <c r="OP280" s="33"/>
      <c r="OQ280" s="33"/>
      <c r="OR280" s="33"/>
      <c r="OS280" s="33"/>
      <c r="OT280" s="33"/>
      <c r="OU280" s="33"/>
      <c r="OV280" s="33"/>
      <c r="OW280" s="33"/>
      <c r="OX280" s="33"/>
      <c r="OY280" s="33"/>
      <c r="OZ280" s="33"/>
      <c r="PA280" s="33"/>
      <c r="PB280" s="33"/>
      <c r="PC280" s="33"/>
      <c r="PD280" s="33"/>
      <c r="PE280" s="33"/>
      <c r="PF280" s="33"/>
      <c r="PG280" s="33"/>
      <c r="PH280" s="33"/>
      <c r="PI280" s="33"/>
      <c r="PJ280" s="33"/>
      <c r="PK280" s="33"/>
      <c r="PL280" s="33"/>
      <c r="PM280" s="33"/>
      <c r="PN280" s="33"/>
      <c r="PO280" s="33"/>
      <c r="PP280" s="33"/>
      <c r="PQ280" s="33"/>
      <c r="PR280" s="33"/>
      <c r="PS280" s="33"/>
      <c r="PT280" s="33"/>
      <c r="PU280" s="33"/>
      <c r="PV280" s="33"/>
      <c r="PW280" s="33"/>
      <c r="PX280" s="33"/>
      <c r="PY280" s="33"/>
      <c r="PZ280" s="33"/>
      <c r="QA280" s="33"/>
      <c r="QB280" s="33"/>
      <c r="QC280" s="33"/>
      <c r="QD280" s="33"/>
      <c r="QE280" s="33"/>
      <c r="QF280" s="33"/>
      <c r="QG280" s="33"/>
      <c r="QH280" s="33"/>
      <c r="QI280" s="33"/>
      <c r="QJ280" s="33"/>
      <c r="QK280" s="33"/>
      <c r="QL280" s="33"/>
      <c r="QM280" s="33"/>
      <c r="QN280" s="33"/>
      <c r="QO280" s="33"/>
      <c r="QP280" s="33"/>
      <c r="QQ280" s="33"/>
      <c r="QR280" s="33"/>
      <c r="QS280" s="33"/>
      <c r="QT280" s="33"/>
      <c r="QU280" s="33"/>
      <c r="QV280" s="33"/>
      <c r="QW280" s="33"/>
      <c r="QX280" s="33"/>
      <c r="QY280" s="33"/>
      <c r="QZ280" s="33"/>
      <c r="RA280" s="33"/>
      <c r="RB280" s="33"/>
      <c r="RC280" s="33"/>
      <c r="RD280" s="33"/>
      <c r="RE280" s="33"/>
      <c r="RF280" s="33"/>
      <c r="RG280" s="33"/>
      <c r="RH280" s="33"/>
      <c r="RI280" s="33"/>
      <c r="RJ280" s="33"/>
      <c r="RK280" s="33"/>
      <c r="RL280" s="33"/>
      <c r="RM280" s="33"/>
      <c r="RN280" s="33"/>
      <c r="RO280" s="33"/>
      <c r="RP280" s="33"/>
      <c r="RQ280" s="33"/>
      <c r="RR280" s="33"/>
      <c r="RS280" s="33"/>
      <c r="RT280" s="33"/>
      <c r="RU280" s="33"/>
      <c r="RV280" s="33"/>
      <c r="RW280" s="33"/>
      <c r="RX280" s="33"/>
      <c r="RY280" s="33"/>
      <c r="RZ280" s="33"/>
      <c r="SA280" s="33"/>
      <c r="SB280" s="33"/>
      <c r="SC280" s="33"/>
      <c r="SD280" s="33"/>
      <c r="SE280" s="33"/>
      <c r="SF280" s="33"/>
      <c r="SG280" s="33"/>
      <c r="SH280" s="33"/>
      <c r="SI280" s="33"/>
      <c r="SJ280" s="33"/>
      <c r="SK280" s="33"/>
      <c r="SL280" s="33"/>
      <c r="SM280" s="33"/>
      <c r="SN280" s="33"/>
      <c r="SO280" s="33"/>
      <c r="SP280" s="33"/>
      <c r="SQ280" s="33"/>
      <c r="SR280" s="33"/>
      <c r="SS280" s="33"/>
      <c r="ST280" s="33"/>
      <c r="SU280" s="33"/>
      <c r="SV280" s="33"/>
      <c r="SW280" s="33"/>
      <c r="SX280" s="33"/>
      <c r="SY280" s="33"/>
      <c r="SZ280" s="33"/>
      <c r="TA280" s="33"/>
      <c r="TB280" s="33"/>
      <c r="TC280" s="33"/>
      <c r="TD280" s="33"/>
      <c r="TE280" s="33"/>
      <c r="TF280" s="33"/>
      <c r="TG280" s="33"/>
      <c r="TH280" s="33"/>
      <c r="TI280" s="33"/>
      <c r="TJ280" s="33"/>
      <c r="TK280" s="33"/>
      <c r="TL280" s="33"/>
      <c r="TM280" s="33"/>
      <c r="TN280" s="33"/>
      <c r="TO280" s="33"/>
      <c r="TP280" s="33"/>
      <c r="TQ280" s="33"/>
      <c r="TR280" s="33"/>
      <c r="TS280" s="33"/>
    </row>
    <row r="281" spans="1:539" s="22" customFormat="1" ht="42.75" customHeight="1" x14ac:dyDescent="0.25">
      <c r="A281" s="105" t="s">
        <v>426</v>
      </c>
      <c r="B281" s="105" t="s">
        <v>121</v>
      </c>
      <c r="C281" s="105" t="s">
        <v>47</v>
      </c>
      <c r="D281" s="36" t="s">
        <v>502</v>
      </c>
      <c r="E281" s="101">
        <f t="shared" ref="E281" si="160">F281+I281</f>
        <v>20000</v>
      </c>
      <c r="F281" s="101">
        <v>20000</v>
      </c>
      <c r="G281" s="101"/>
      <c r="H281" s="101"/>
      <c r="I281" s="101"/>
      <c r="J281" s="101"/>
      <c r="K281" s="101"/>
      <c r="L281" s="101"/>
      <c r="M281" s="157">
        <f t="shared" si="155"/>
        <v>0</v>
      </c>
      <c r="N281" s="101">
        <f>P281+S281</f>
        <v>0</v>
      </c>
      <c r="O281" s="101"/>
      <c r="P281" s="101"/>
      <c r="Q281" s="101"/>
      <c r="R281" s="101"/>
      <c r="S281" s="101"/>
      <c r="T281" s="97">
        <f t="shared" si="156"/>
        <v>0</v>
      </c>
      <c r="U281" s="101"/>
      <c r="V281" s="101"/>
      <c r="W281" s="101"/>
      <c r="X281" s="101"/>
      <c r="Y281" s="101"/>
      <c r="Z281" s="157"/>
      <c r="AA281" s="97">
        <f t="shared" si="157"/>
        <v>0</v>
      </c>
      <c r="AB281" s="101">
        <f t="shared" ref="AB281" si="161">E281+N281</f>
        <v>20000</v>
      </c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  <c r="TH281" s="23"/>
      <c r="TI281" s="23"/>
      <c r="TJ281" s="23"/>
      <c r="TK281" s="23"/>
      <c r="TL281" s="23"/>
      <c r="TM281" s="23"/>
      <c r="TN281" s="23"/>
      <c r="TO281" s="23"/>
      <c r="TP281" s="23"/>
      <c r="TQ281" s="23"/>
      <c r="TR281" s="23"/>
      <c r="TS281" s="23"/>
    </row>
    <row r="282" spans="1:539" s="27" customFormat="1" ht="38.25" customHeight="1" x14ac:dyDescent="0.25">
      <c r="A282" s="112" t="s">
        <v>220</v>
      </c>
      <c r="B282" s="114"/>
      <c r="C282" s="114"/>
      <c r="D282" s="109" t="s">
        <v>42</v>
      </c>
      <c r="E282" s="97">
        <f>E283</f>
        <v>124782512.44</v>
      </c>
      <c r="F282" s="97">
        <f t="shared" ref="F282:AB282" si="162">F283</f>
        <v>123811039</v>
      </c>
      <c r="G282" s="97">
        <f t="shared" si="162"/>
        <v>15760200</v>
      </c>
      <c r="H282" s="97">
        <f t="shared" si="162"/>
        <v>257700</v>
      </c>
      <c r="I282" s="97">
        <f t="shared" si="162"/>
        <v>0</v>
      </c>
      <c r="J282" s="97">
        <f t="shared" si="162"/>
        <v>61899915.18</v>
      </c>
      <c r="K282" s="97">
        <f t="shared" si="162"/>
        <v>8313033.0700000003</v>
      </c>
      <c r="L282" s="97">
        <f t="shared" si="162"/>
        <v>141737.54999999999</v>
      </c>
      <c r="M282" s="157">
        <f t="shared" si="155"/>
        <v>49.606242068385782</v>
      </c>
      <c r="N282" s="97">
        <f t="shared" si="162"/>
        <v>103000</v>
      </c>
      <c r="O282" s="97">
        <f t="shared" si="162"/>
        <v>0</v>
      </c>
      <c r="P282" s="97">
        <f t="shared" si="162"/>
        <v>103000</v>
      </c>
      <c r="Q282" s="97">
        <f t="shared" si="162"/>
        <v>0</v>
      </c>
      <c r="R282" s="97">
        <f t="shared" si="162"/>
        <v>0</v>
      </c>
      <c r="S282" s="97">
        <f t="shared" si="162"/>
        <v>0</v>
      </c>
      <c r="T282" s="97">
        <f t="shared" si="162"/>
        <v>42816.5</v>
      </c>
      <c r="U282" s="97">
        <f t="shared" si="162"/>
        <v>0</v>
      </c>
      <c r="V282" s="97">
        <f t="shared" si="162"/>
        <v>42816.5</v>
      </c>
      <c r="W282" s="97">
        <f t="shared" si="162"/>
        <v>0</v>
      </c>
      <c r="X282" s="97">
        <f t="shared" si="162"/>
        <v>0</v>
      </c>
      <c r="Y282" s="97">
        <f t="shared" si="162"/>
        <v>0</v>
      </c>
      <c r="Z282" s="157">
        <f t="shared" si="158"/>
        <v>41.569417475728152</v>
      </c>
      <c r="AA282" s="97">
        <f t="shared" si="162"/>
        <v>61942731.68</v>
      </c>
      <c r="AB282" s="97">
        <f t="shared" si="162"/>
        <v>124885512.44</v>
      </c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  <c r="IT282" s="32"/>
      <c r="IU282" s="32"/>
      <c r="IV282" s="32"/>
      <c r="IW282" s="32"/>
      <c r="IX282" s="32"/>
      <c r="IY282" s="32"/>
      <c r="IZ282" s="32"/>
      <c r="JA282" s="32"/>
      <c r="JB282" s="32"/>
      <c r="JC282" s="32"/>
      <c r="JD282" s="32"/>
      <c r="JE282" s="32"/>
      <c r="JF282" s="32"/>
      <c r="JG282" s="32"/>
      <c r="JH282" s="32"/>
      <c r="JI282" s="32"/>
      <c r="JJ282" s="32"/>
      <c r="JK282" s="32"/>
      <c r="JL282" s="32"/>
      <c r="JM282" s="32"/>
      <c r="JN282" s="32"/>
      <c r="JO282" s="32"/>
      <c r="JP282" s="32"/>
      <c r="JQ282" s="32"/>
      <c r="JR282" s="32"/>
      <c r="JS282" s="32"/>
      <c r="JT282" s="32"/>
      <c r="JU282" s="32"/>
      <c r="JV282" s="32"/>
      <c r="JW282" s="32"/>
      <c r="JX282" s="32"/>
      <c r="JY282" s="32"/>
      <c r="JZ282" s="32"/>
      <c r="KA282" s="32"/>
      <c r="KB282" s="32"/>
      <c r="KC282" s="32"/>
      <c r="KD282" s="32"/>
      <c r="KE282" s="32"/>
      <c r="KF282" s="32"/>
      <c r="KG282" s="32"/>
      <c r="KH282" s="32"/>
      <c r="KI282" s="32"/>
      <c r="KJ282" s="32"/>
      <c r="KK282" s="32"/>
      <c r="KL282" s="32"/>
      <c r="KM282" s="32"/>
      <c r="KN282" s="32"/>
      <c r="KO282" s="32"/>
      <c r="KP282" s="32"/>
      <c r="KQ282" s="32"/>
      <c r="KR282" s="32"/>
      <c r="KS282" s="32"/>
      <c r="KT282" s="32"/>
      <c r="KU282" s="32"/>
      <c r="KV282" s="32"/>
      <c r="KW282" s="32"/>
      <c r="KX282" s="32"/>
      <c r="KY282" s="32"/>
      <c r="KZ282" s="32"/>
      <c r="LA282" s="32"/>
      <c r="LB282" s="32"/>
      <c r="LC282" s="32"/>
      <c r="LD282" s="32"/>
      <c r="LE282" s="32"/>
      <c r="LF282" s="32"/>
      <c r="LG282" s="32"/>
      <c r="LH282" s="32"/>
      <c r="LI282" s="32"/>
      <c r="LJ282" s="32"/>
      <c r="LK282" s="32"/>
      <c r="LL282" s="32"/>
      <c r="LM282" s="32"/>
      <c r="LN282" s="32"/>
      <c r="LO282" s="32"/>
      <c r="LP282" s="32"/>
      <c r="LQ282" s="32"/>
      <c r="LR282" s="32"/>
      <c r="LS282" s="32"/>
      <c r="LT282" s="32"/>
      <c r="LU282" s="32"/>
      <c r="LV282" s="32"/>
      <c r="LW282" s="32"/>
      <c r="LX282" s="32"/>
      <c r="LY282" s="32"/>
      <c r="LZ282" s="32"/>
      <c r="MA282" s="32"/>
      <c r="MB282" s="32"/>
      <c r="MC282" s="32"/>
      <c r="MD282" s="32"/>
      <c r="ME282" s="32"/>
      <c r="MF282" s="32"/>
      <c r="MG282" s="32"/>
      <c r="MH282" s="32"/>
      <c r="MI282" s="32"/>
      <c r="MJ282" s="32"/>
      <c r="MK282" s="32"/>
      <c r="ML282" s="32"/>
      <c r="MM282" s="32"/>
      <c r="MN282" s="32"/>
      <c r="MO282" s="32"/>
      <c r="MP282" s="32"/>
      <c r="MQ282" s="32"/>
      <c r="MR282" s="32"/>
      <c r="MS282" s="32"/>
      <c r="MT282" s="32"/>
      <c r="MU282" s="32"/>
      <c r="MV282" s="32"/>
      <c r="MW282" s="32"/>
      <c r="MX282" s="32"/>
      <c r="MY282" s="32"/>
      <c r="MZ282" s="32"/>
      <c r="NA282" s="32"/>
      <c r="NB282" s="32"/>
      <c r="NC282" s="32"/>
      <c r="ND282" s="32"/>
      <c r="NE282" s="32"/>
      <c r="NF282" s="32"/>
      <c r="NG282" s="32"/>
      <c r="NH282" s="32"/>
      <c r="NI282" s="32"/>
      <c r="NJ282" s="32"/>
      <c r="NK282" s="32"/>
      <c r="NL282" s="32"/>
      <c r="NM282" s="32"/>
      <c r="NN282" s="32"/>
      <c r="NO282" s="32"/>
      <c r="NP282" s="32"/>
      <c r="NQ282" s="32"/>
      <c r="NR282" s="32"/>
      <c r="NS282" s="32"/>
      <c r="NT282" s="32"/>
      <c r="NU282" s="32"/>
      <c r="NV282" s="32"/>
      <c r="NW282" s="32"/>
      <c r="NX282" s="32"/>
      <c r="NY282" s="32"/>
      <c r="NZ282" s="32"/>
      <c r="OA282" s="32"/>
      <c r="OB282" s="32"/>
      <c r="OC282" s="32"/>
      <c r="OD282" s="32"/>
      <c r="OE282" s="32"/>
      <c r="OF282" s="32"/>
      <c r="OG282" s="32"/>
      <c r="OH282" s="32"/>
      <c r="OI282" s="32"/>
      <c r="OJ282" s="32"/>
      <c r="OK282" s="32"/>
      <c r="OL282" s="32"/>
      <c r="OM282" s="32"/>
      <c r="ON282" s="32"/>
      <c r="OO282" s="32"/>
      <c r="OP282" s="32"/>
      <c r="OQ282" s="32"/>
      <c r="OR282" s="32"/>
      <c r="OS282" s="32"/>
      <c r="OT282" s="32"/>
      <c r="OU282" s="32"/>
      <c r="OV282" s="32"/>
      <c r="OW282" s="32"/>
      <c r="OX282" s="32"/>
      <c r="OY282" s="32"/>
      <c r="OZ282" s="32"/>
      <c r="PA282" s="32"/>
      <c r="PB282" s="32"/>
      <c r="PC282" s="32"/>
      <c r="PD282" s="32"/>
      <c r="PE282" s="32"/>
      <c r="PF282" s="32"/>
      <c r="PG282" s="32"/>
      <c r="PH282" s="32"/>
      <c r="PI282" s="32"/>
      <c r="PJ282" s="32"/>
      <c r="PK282" s="32"/>
      <c r="PL282" s="32"/>
      <c r="PM282" s="32"/>
      <c r="PN282" s="32"/>
      <c r="PO282" s="32"/>
      <c r="PP282" s="32"/>
      <c r="PQ282" s="32"/>
      <c r="PR282" s="32"/>
      <c r="PS282" s="32"/>
      <c r="PT282" s="32"/>
      <c r="PU282" s="32"/>
      <c r="PV282" s="32"/>
      <c r="PW282" s="32"/>
      <c r="PX282" s="32"/>
      <c r="PY282" s="32"/>
      <c r="PZ282" s="32"/>
      <c r="QA282" s="32"/>
      <c r="QB282" s="32"/>
      <c r="QC282" s="32"/>
      <c r="QD282" s="32"/>
      <c r="QE282" s="32"/>
      <c r="QF282" s="32"/>
      <c r="QG282" s="32"/>
      <c r="QH282" s="32"/>
      <c r="QI282" s="32"/>
      <c r="QJ282" s="32"/>
      <c r="QK282" s="32"/>
      <c r="QL282" s="32"/>
      <c r="QM282" s="32"/>
      <c r="QN282" s="32"/>
      <c r="QO282" s="32"/>
      <c r="QP282" s="32"/>
      <c r="QQ282" s="32"/>
      <c r="QR282" s="32"/>
      <c r="QS282" s="32"/>
      <c r="QT282" s="32"/>
      <c r="QU282" s="32"/>
      <c r="QV282" s="32"/>
      <c r="QW282" s="32"/>
      <c r="QX282" s="32"/>
      <c r="QY282" s="32"/>
      <c r="QZ282" s="32"/>
      <c r="RA282" s="32"/>
      <c r="RB282" s="32"/>
      <c r="RC282" s="32"/>
      <c r="RD282" s="32"/>
      <c r="RE282" s="32"/>
      <c r="RF282" s="32"/>
      <c r="RG282" s="32"/>
      <c r="RH282" s="32"/>
      <c r="RI282" s="32"/>
      <c r="RJ282" s="32"/>
      <c r="RK282" s="32"/>
      <c r="RL282" s="32"/>
      <c r="RM282" s="32"/>
      <c r="RN282" s="32"/>
      <c r="RO282" s="32"/>
      <c r="RP282" s="32"/>
      <c r="RQ282" s="32"/>
      <c r="RR282" s="32"/>
      <c r="RS282" s="32"/>
      <c r="RT282" s="32"/>
      <c r="RU282" s="32"/>
      <c r="RV282" s="32"/>
      <c r="RW282" s="32"/>
      <c r="RX282" s="32"/>
      <c r="RY282" s="32"/>
      <c r="RZ282" s="32"/>
      <c r="SA282" s="32"/>
      <c r="SB282" s="32"/>
      <c r="SC282" s="32"/>
      <c r="SD282" s="32"/>
      <c r="SE282" s="32"/>
      <c r="SF282" s="32"/>
      <c r="SG282" s="32"/>
      <c r="SH282" s="32"/>
      <c r="SI282" s="32"/>
      <c r="SJ282" s="32"/>
      <c r="SK282" s="32"/>
      <c r="SL282" s="32"/>
      <c r="SM282" s="32"/>
      <c r="SN282" s="32"/>
      <c r="SO282" s="32"/>
      <c r="SP282" s="32"/>
      <c r="SQ282" s="32"/>
      <c r="SR282" s="32"/>
      <c r="SS282" s="32"/>
      <c r="ST282" s="32"/>
      <c r="SU282" s="32"/>
      <c r="SV282" s="32"/>
      <c r="SW282" s="32"/>
      <c r="SX282" s="32"/>
      <c r="SY282" s="32"/>
      <c r="SZ282" s="32"/>
      <c r="TA282" s="32"/>
      <c r="TB282" s="32"/>
      <c r="TC282" s="32"/>
      <c r="TD282" s="32"/>
      <c r="TE282" s="32"/>
      <c r="TF282" s="32"/>
      <c r="TG282" s="32"/>
      <c r="TH282" s="32"/>
      <c r="TI282" s="32"/>
      <c r="TJ282" s="32"/>
      <c r="TK282" s="32"/>
      <c r="TL282" s="32"/>
      <c r="TM282" s="32"/>
      <c r="TN282" s="32"/>
      <c r="TO282" s="32"/>
      <c r="TP282" s="32"/>
      <c r="TQ282" s="32"/>
      <c r="TR282" s="32"/>
      <c r="TS282" s="32"/>
    </row>
    <row r="283" spans="1:539" s="34" customFormat="1" ht="34.5" customHeight="1" x14ac:dyDescent="0.25">
      <c r="A283" s="98" t="s">
        <v>221</v>
      </c>
      <c r="B283" s="111"/>
      <c r="C283" s="111"/>
      <c r="D283" s="79" t="s">
        <v>42</v>
      </c>
      <c r="E283" s="100">
        <f>SUM(E284+E285+E286+E288+E289+E290+E291+E287)</f>
        <v>124782512.44</v>
      </c>
      <c r="F283" s="100">
        <f t="shared" ref="F283:AB283" si="163">SUM(F284+F285+F286+F288+F289+F290+F291+F287)</f>
        <v>123811039</v>
      </c>
      <c r="G283" s="100">
        <f t="shared" si="163"/>
        <v>15760200</v>
      </c>
      <c r="H283" s="100">
        <f t="shared" si="163"/>
        <v>257700</v>
      </c>
      <c r="I283" s="100">
        <f t="shared" si="163"/>
        <v>0</v>
      </c>
      <c r="J283" s="100">
        <f t="shared" si="163"/>
        <v>61899915.18</v>
      </c>
      <c r="K283" s="100">
        <f t="shared" si="163"/>
        <v>8313033.0700000003</v>
      </c>
      <c r="L283" s="100">
        <f t="shared" si="163"/>
        <v>141737.54999999999</v>
      </c>
      <c r="M283" s="157">
        <f t="shared" si="155"/>
        <v>49.606242068385782</v>
      </c>
      <c r="N283" s="100">
        <f t="shared" si="163"/>
        <v>103000</v>
      </c>
      <c r="O283" s="100">
        <f t="shared" si="163"/>
        <v>0</v>
      </c>
      <c r="P283" s="100">
        <f t="shared" si="163"/>
        <v>103000</v>
      </c>
      <c r="Q283" s="100">
        <f t="shared" si="163"/>
        <v>0</v>
      </c>
      <c r="R283" s="100">
        <f t="shared" si="163"/>
        <v>0</v>
      </c>
      <c r="S283" s="100">
        <f t="shared" si="163"/>
        <v>0</v>
      </c>
      <c r="T283" s="100">
        <f t="shared" si="163"/>
        <v>42816.5</v>
      </c>
      <c r="U283" s="100">
        <f t="shared" si="163"/>
        <v>0</v>
      </c>
      <c r="V283" s="100">
        <f t="shared" si="163"/>
        <v>42816.5</v>
      </c>
      <c r="W283" s="100">
        <f t="shared" si="163"/>
        <v>0</v>
      </c>
      <c r="X283" s="100">
        <f t="shared" si="163"/>
        <v>0</v>
      </c>
      <c r="Y283" s="100">
        <f t="shared" si="163"/>
        <v>0</v>
      </c>
      <c r="Z283" s="157">
        <f t="shared" si="158"/>
        <v>41.569417475728152</v>
      </c>
      <c r="AA283" s="100">
        <f t="shared" si="163"/>
        <v>61942731.68</v>
      </c>
      <c r="AB283" s="100">
        <f t="shared" si="163"/>
        <v>124885512.44</v>
      </c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  <c r="PR283" s="33"/>
      <c r="PS283" s="33"/>
      <c r="PT283" s="33"/>
      <c r="PU283" s="33"/>
      <c r="PV283" s="33"/>
      <c r="PW283" s="33"/>
      <c r="PX283" s="33"/>
      <c r="PY283" s="33"/>
      <c r="PZ283" s="33"/>
      <c r="QA283" s="33"/>
      <c r="QB283" s="33"/>
      <c r="QC283" s="33"/>
      <c r="QD283" s="33"/>
      <c r="QE283" s="33"/>
      <c r="QF283" s="33"/>
      <c r="QG283" s="33"/>
      <c r="QH283" s="33"/>
      <c r="QI283" s="33"/>
      <c r="QJ283" s="33"/>
      <c r="QK283" s="33"/>
      <c r="QL283" s="33"/>
      <c r="QM283" s="33"/>
      <c r="QN283" s="33"/>
      <c r="QO283" s="33"/>
      <c r="QP283" s="33"/>
      <c r="QQ283" s="33"/>
      <c r="QR283" s="33"/>
      <c r="QS283" s="33"/>
      <c r="QT283" s="33"/>
      <c r="QU283" s="33"/>
      <c r="QV283" s="33"/>
      <c r="QW283" s="33"/>
      <c r="QX283" s="33"/>
      <c r="QY283" s="33"/>
      <c r="QZ283" s="33"/>
      <c r="RA283" s="33"/>
      <c r="RB283" s="33"/>
      <c r="RC283" s="33"/>
      <c r="RD283" s="33"/>
      <c r="RE283" s="33"/>
      <c r="RF283" s="33"/>
      <c r="RG283" s="33"/>
      <c r="RH283" s="33"/>
      <c r="RI283" s="33"/>
      <c r="RJ283" s="33"/>
      <c r="RK283" s="33"/>
      <c r="RL283" s="33"/>
      <c r="RM283" s="33"/>
      <c r="RN283" s="33"/>
      <c r="RO283" s="33"/>
      <c r="RP283" s="33"/>
      <c r="RQ283" s="33"/>
      <c r="RR283" s="33"/>
      <c r="RS283" s="33"/>
      <c r="RT283" s="33"/>
      <c r="RU283" s="33"/>
      <c r="RV283" s="33"/>
      <c r="RW283" s="33"/>
      <c r="RX283" s="33"/>
      <c r="RY283" s="33"/>
      <c r="RZ283" s="33"/>
      <c r="SA283" s="33"/>
      <c r="SB283" s="33"/>
      <c r="SC283" s="33"/>
      <c r="SD283" s="33"/>
      <c r="SE283" s="33"/>
      <c r="SF283" s="33"/>
      <c r="SG283" s="33"/>
      <c r="SH283" s="33"/>
      <c r="SI283" s="33"/>
      <c r="SJ283" s="33"/>
      <c r="SK283" s="33"/>
      <c r="SL283" s="33"/>
      <c r="SM283" s="33"/>
      <c r="SN283" s="33"/>
      <c r="SO283" s="33"/>
      <c r="SP283" s="33"/>
      <c r="SQ283" s="33"/>
      <c r="SR283" s="33"/>
      <c r="SS283" s="33"/>
      <c r="ST283" s="33"/>
      <c r="SU283" s="33"/>
      <c r="SV283" s="33"/>
      <c r="SW283" s="33"/>
      <c r="SX283" s="33"/>
      <c r="SY283" s="33"/>
      <c r="SZ283" s="33"/>
      <c r="TA283" s="33"/>
      <c r="TB283" s="33"/>
      <c r="TC283" s="33"/>
      <c r="TD283" s="33"/>
      <c r="TE283" s="33"/>
      <c r="TF283" s="33"/>
      <c r="TG283" s="33"/>
      <c r="TH283" s="33"/>
      <c r="TI283" s="33"/>
      <c r="TJ283" s="33"/>
      <c r="TK283" s="33"/>
      <c r="TL283" s="33"/>
      <c r="TM283" s="33"/>
      <c r="TN283" s="33"/>
      <c r="TO283" s="33"/>
      <c r="TP283" s="33"/>
      <c r="TQ283" s="33"/>
      <c r="TR283" s="33"/>
      <c r="TS283" s="33"/>
    </row>
    <row r="284" spans="1:539" s="22" customFormat="1" ht="47.25" x14ac:dyDescent="0.25">
      <c r="A284" s="60" t="s">
        <v>222</v>
      </c>
      <c r="B284" s="95" t="str">
        <f>'дод 5'!A21</f>
        <v>0160</v>
      </c>
      <c r="C284" s="95" t="str">
        <f>'дод 5'!B21</f>
        <v>0111</v>
      </c>
      <c r="D284" s="36" t="s">
        <v>502</v>
      </c>
      <c r="E284" s="101">
        <f t="shared" ref="E284:E289" si="164">F284+I284</f>
        <v>20132100</v>
      </c>
      <c r="F284" s="101">
        <f>20122100+1000000-1000000+10000</f>
        <v>20132100</v>
      </c>
      <c r="G284" s="101">
        <v>15760200</v>
      </c>
      <c r="H284" s="101">
        <v>257700</v>
      </c>
      <c r="I284" s="101"/>
      <c r="J284" s="101">
        <v>10598557.42</v>
      </c>
      <c r="K284" s="101">
        <v>8313033.0700000003</v>
      </c>
      <c r="L284" s="101">
        <v>141737.54999999999</v>
      </c>
      <c r="M284" s="157">
        <f t="shared" si="155"/>
        <v>52.645066436188969</v>
      </c>
      <c r="N284" s="101">
        <f>P284+S284</f>
        <v>0</v>
      </c>
      <c r="O284" s="101"/>
      <c r="P284" s="101"/>
      <c r="Q284" s="101"/>
      <c r="R284" s="101"/>
      <c r="S284" s="101"/>
      <c r="T284" s="97">
        <f t="shared" si="156"/>
        <v>0</v>
      </c>
      <c r="U284" s="101"/>
      <c r="V284" s="101"/>
      <c r="W284" s="101"/>
      <c r="X284" s="101"/>
      <c r="Y284" s="101"/>
      <c r="Z284" s="157"/>
      <c r="AA284" s="97">
        <f t="shared" si="157"/>
        <v>10598557.42</v>
      </c>
      <c r="AB284" s="101">
        <f t="shared" ref="AB284:AB291" si="165">E284+N284</f>
        <v>20132100</v>
      </c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  <c r="TH284" s="23"/>
      <c r="TI284" s="23"/>
      <c r="TJ284" s="23"/>
      <c r="TK284" s="23"/>
      <c r="TL284" s="23"/>
      <c r="TM284" s="23"/>
      <c r="TN284" s="23"/>
      <c r="TO284" s="23"/>
      <c r="TP284" s="23"/>
      <c r="TQ284" s="23"/>
      <c r="TR284" s="23"/>
      <c r="TS284" s="23"/>
    </row>
    <row r="285" spans="1:539" s="22" customFormat="1" ht="25.5" customHeight="1" x14ac:dyDescent="0.25">
      <c r="A285" s="60" t="s">
        <v>260</v>
      </c>
      <c r="B285" s="95" t="str">
        <f>'дод 5'!A189</f>
        <v>7640</v>
      </c>
      <c r="C285" s="95" t="str">
        <f>'дод 5'!B189</f>
        <v>0470</v>
      </c>
      <c r="D285" s="61" t="s">
        <v>424</v>
      </c>
      <c r="E285" s="101">
        <f t="shared" si="164"/>
        <v>426000</v>
      </c>
      <c r="F285" s="101">
        <v>426000</v>
      </c>
      <c r="G285" s="101"/>
      <c r="H285" s="101"/>
      <c r="I285" s="101"/>
      <c r="J285" s="101">
        <v>90929.8</v>
      </c>
      <c r="K285" s="101"/>
      <c r="L285" s="101"/>
      <c r="M285" s="157">
        <f t="shared" si="155"/>
        <v>21.345023474178404</v>
      </c>
      <c r="N285" s="101">
        <f t="shared" ref="N285:N291" si="166">P285+S285</f>
        <v>0</v>
      </c>
      <c r="O285" s="101"/>
      <c r="P285" s="101"/>
      <c r="Q285" s="101"/>
      <c r="R285" s="101"/>
      <c r="S285" s="101"/>
      <c r="T285" s="97">
        <f t="shared" si="156"/>
        <v>0</v>
      </c>
      <c r="U285" s="101"/>
      <c r="V285" s="101"/>
      <c r="W285" s="101"/>
      <c r="X285" s="101"/>
      <c r="Y285" s="101"/>
      <c r="Z285" s="157"/>
      <c r="AA285" s="97">
        <f t="shared" si="157"/>
        <v>90929.8</v>
      </c>
      <c r="AB285" s="101">
        <f t="shared" si="165"/>
        <v>426000</v>
      </c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  <c r="TH285" s="23"/>
      <c r="TI285" s="23"/>
      <c r="TJ285" s="23"/>
      <c r="TK285" s="23"/>
      <c r="TL285" s="23"/>
      <c r="TM285" s="23"/>
      <c r="TN285" s="23"/>
      <c r="TO285" s="23"/>
      <c r="TP285" s="23"/>
      <c r="TQ285" s="23"/>
      <c r="TR285" s="23"/>
      <c r="TS285" s="23"/>
    </row>
    <row r="286" spans="1:539" s="22" customFormat="1" ht="29.25" customHeight="1" x14ac:dyDescent="0.25">
      <c r="A286" s="60" t="s">
        <v>332</v>
      </c>
      <c r="B286" s="95" t="str">
        <f>'дод 5'!A197</f>
        <v>7693</v>
      </c>
      <c r="C286" s="95" t="str">
        <f>'дод 5'!B197</f>
        <v>0490</v>
      </c>
      <c r="D286" s="61" t="str">
        <f>'дод 5'!C197</f>
        <v>Інші заходи, пов'язані з економічною діяльністю</v>
      </c>
      <c r="E286" s="101">
        <f t="shared" si="164"/>
        <v>343000</v>
      </c>
      <c r="F286" s="101">
        <f>483750-130750-10000</f>
        <v>343000</v>
      </c>
      <c r="G286" s="101"/>
      <c r="H286" s="101"/>
      <c r="I286" s="101"/>
      <c r="J286" s="101">
        <v>205</v>
      </c>
      <c r="K286" s="101"/>
      <c r="L286" s="101"/>
      <c r="M286" s="157">
        <f t="shared" si="155"/>
        <v>5.9766763848396499E-2</v>
      </c>
      <c r="N286" s="101">
        <f t="shared" si="166"/>
        <v>0</v>
      </c>
      <c r="O286" s="101"/>
      <c r="P286" s="101"/>
      <c r="Q286" s="101"/>
      <c r="R286" s="101"/>
      <c r="S286" s="101"/>
      <c r="T286" s="97">
        <f t="shared" si="156"/>
        <v>0</v>
      </c>
      <c r="U286" s="101"/>
      <c r="V286" s="101"/>
      <c r="W286" s="101"/>
      <c r="X286" s="101"/>
      <c r="Y286" s="101"/>
      <c r="Z286" s="157"/>
      <c r="AA286" s="97">
        <f t="shared" si="157"/>
        <v>205</v>
      </c>
      <c r="AB286" s="101">
        <f t="shared" si="165"/>
        <v>343000</v>
      </c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  <c r="TH286" s="23"/>
      <c r="TI286" s="23"/>
      <c r="TJ286" s="23"/>
      <c r="TK286" s="23"/>
      <c r="TL286" s="23"/>
      <c r="TM286" s="23"/>
      <c r="TN286" s="23"/>
      <c r="TO286" s="23"/>
      <c r="TP286" s="23"/>
      <c r="TQ286" s="23"/>
      <c r="TR286" s="23"/>
      <c r="TS286" s="23"/>
    </row>
    <row r="287" spans="1:539" s="22" customFormat="1" ht="42.75" customHeight="1" x14ac:dyDescent="0.25">
      <c r="A287" s="60">
        <v>3718330</v>
      </c>
      <c r="B287" s="95">
        <f>'дод 5'!A210</f>
        <v>8330</v>
      </c>
      <c r="C287" s="60" t="s">
        <v>94</v>
      </c>
      <c r="D287" s="61" t="str">
        <f>'дод 5'!C210</f>
        <v xml:space="preserve">Інша діяльність у сфері екології та охорони природних ресурсів </v>
      </c>
      <c r="E287" s="101">
        <f t="shared" si="164"/>
        <v>75000</v>
      </c>
      <c r="F287" s="101">
        <v>75000</v>
      </c>
      <c r="G287" s="101"/>
      <c r="H287" s="101"/>
      <c r="I287" s="101"/>
      <c r="J287" s="101"/>
      <c r="K287" s="101"/>
      <c r="L287" s="101"/>
      <c r="M287" s="157">
        <f t="shared" si="155"/>
        <v>0</v>
      </c>
      <c r="N287" s="101">
        <f t="shared" si="166"/>
        <v>0</v>
      </c>
      <c r="O287" s="101"/>
      <c r="P287" s="101"/>
      <c r="Q287" s="101"/>
      <c r="R287" s="101"/>
      <c r="S287" s="101"/>
      <c r="T287" s="97">
        <f t="shared" si="156"/>
        <v>0</v>
      </c>
      <c r="U287" s="101"/>
      <c r="V287" s="101"/>
      <c r="W287" s="101"/>
      <c r="X287" s="101"/>
      <c r="Y287" s="101"/>
      <c r="Z287" s="157"/>
      <c r="AA287" s="97">
        <f t="shared" si="157"/>
        <v>0</v>
      </c>
      <c r="AB287" s="101">
        <f t="shared" si="165"/>
        <v>75000</v>
      </c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  <c r="TH287" s="23"/>
      <c r="TI287" s="23"/>
      <c r="TJ287" s="23"/>
      <c r="TK287" s="23"/>
      <c r="TL287" s="23"/>
      <c r="TM287" s="23"/>
      <c r="TN287" s="23"/>
      <c r="TO287" s="23"/>
      <c r="TP287" s="23"/>
      <c r="TQ287" s="23"/>
      <c r="TR287" s="23"/>
      <c r="TS287" s="23"/>
    </row>
    <row r="288" spans="1:539" s="22" customFormat="1" ht="33" customHeight="1" x14ac:dyDescent="0.25">
      <c r="A288" s="60" t="s">
        <v>223</v>
      </c>
      <c r="B288" s="95" t="str">
        <f>'дод 5'!A211</f>
        <v>8340</v>
      </c>
      <c r="C288" s="60" t="str">
        <f>'дод 5'!B211</f>
        <v>0540</v>
      </c>
      <c r="D288" s="61" t="str">
        <f>'дод 5'!C211</f>
        <v>Природоохоронні заходи за рахунок цільових фондів</v>
      </c>
      <c r="E288" s="101">
        <f t="shared" si="164"/>
        <v>0</v>
      </c>
      <c r="F288" s="101"/>
      <c r="G288" s="101"/>
      <c r="H288" s="101"/>
      <c r="I288" s="101"/>
      <c r="J288" s="101"/>
      <c r="K288" s="101"/>
      <c r="L288" s="101"/>
      <c r="M288" s="157"/>
      <c r="N288" s="101">
        <f t="shared" si="166"/>
        <v>103000</v>
      </c>
      <c r="O288" s="101"/>
      <c r="P288" s="101">
        <v>103000</v>
      </c>
      <c r="Q288" s="101"/>
      <c r="R288" s="101"/>
      <c r="S288" s="101"/>
      <c r="T288" s="97">
        <f t="shared" si="156"/>
        <v>42816.5</v>
      </c>
      <c r="U288" s="101"/>
      <c r="V288" s="101">
        <v>42816.5</v>
      </c>
      <c r="W288" s="101"/>
      <c r="X288" s="101"/>
      <c r="Y288" s="101"/>
      <c r="Z288" s="157">
        <f t="shared" si="158"/>
        <v>41.569417475728152</v>
      </c>
      <c r="AA288" s="97">
        <f t="shared" si="157"/>
        <v>42816.5</v>
      </c>
      <c r="AB288" s="101">
        <f t="shared" si="165"/>
        <v>103000</v>
      </c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  <c r="TH288" s="23"/>
      <c r="TI288" s="23"/>
      <c r="TJ288" s="23"/>
      <c r="TK288" s="23"/>
      <c r="TL288" s="23"/>
      <c r="TM288" s="23"/>
      <c r="TN288" s="23"/>
      <c r="TO288" s="23"/>
      <c r="TP288" s="23"/>
      <c r="TQ288" s="23"/>
      <c r="TR288" s="23"/>
      <c r="TS288" s="23"/>
    </row>
    <row r="289" spans="1:539" s="22" customFormat="1" ht="27" customHeight="1" x14ac:dyDescent="0.25">
      <c r="A289" s="60" t="s">
        <v>224</v>
      </c>
      <c r="B289" s="95" t="str">
        <f>'дод 5'!A214</f>
        <v>8600</v>
      </c>
      <c r="C289" s="95" t="str">
        <f>'дод 5'!B214</f>
        <v>0170</v>
      </c>
      <c r="D289" s="61" t="str">
        <f>'дод 5'!C214</f>
        <v>Обслуговування місцевого боргу</v>
      </c>
      <c r="E289" s="101">
        <f t="shared" si="164"/>
        <v>1964239</v>
      </c>
      <c r="F289" s="101">
        <f>1833489+130750</f>
        <v>1964239</v>
      </c>
      <c r="G289" s="101"/>
      <c r="H289" s="101"/>
      <c r="I289" s="101"/>
      <c r="J289" s="101">
        <v>774822.96</v>
      </c>
      <c r="K289" s="101"/>
      <c r="L289" s="101"/>
      <c r="M289" s="157">
        <f t="shared" si="155"/>
        <v>39.446470617883058</v>
      </c>
      <c r="N289" s="101">
        <f t="shared" si="166"/>
        <v>0</v>
      </c>
      <c r="O289" s="101"/>
      <c r="P289" s="101"/>
      <c r="Q289" s="101"/>
      <c r="R289" s="101"/>
      <c r="S289" s="101"/>
      <c r="T289" s="97">
        <f t="shared" si="156"/>
        <v>0</v>
      </c>
      <c r="U289" s="101"/>
      <c r="V289" s="101"/>
      <c r="W289" s="101"/>
      <c r="X289" s="101"/>
      <c r="Y289" s="101"/>
      <c r="Z289" s="157"/>
      <c r="AA289" s="97">
        <f t="shared" si="157"/>
        <v>774822.96</v>
      </c>
      <c r="AB289" s="101">
        <f t="shared" si="165"/>
        <v>1964239</v>
      </c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  <c r="TH289" s="23"/>
      <c r="TI289" s="23"/>
      <c r="TJ289" s="23"/>
      <c r="TK289" s="23"/>
      <c r="TL289" s="23"/>
      <c r="TM289" s="23"/>
      <c r="TN289" s="23"/>
      <c r="TO289" s="23"/>
      <c r="TP289" s="23"/>
      <c r="TQ289" s="23"/>
      <c r="TR289" s="23"/>
      <c r="TS289" s="23"/>
    </row>
    <row r="290" spans="1:539" s="22" customFormat="1" ht="25.5" customHeight="1" x14ac:dyDescent="0.25">
      <c r="A290" s="60" t="s">
        <v>525</v>
      </c>
      <c r="B290" s="95">
        <v>8710</v>
      </c>
      <c r="C290" s="95" t="str">
        <f>'дод 5'!B215</f>
        <v>0133</v>
      </c>
      <c r="D290" s="61" t="str">
        <f>'дод 5'!C215</f>
        <v>Резервний фонд місцевого бюджету</v>
      </c>
      <c r="E290" s="101">
        <f>16076686.44+30260-2902100-6378100+81980-1553963+117260-370000-4100550-30000</f>
        <v>971473.43999999948</v>
      </c>
      <c r="F290" s="101"/>
      <c r="G290" s="101"/>
      <c r="H290" s="101"/>
      <c r="I290" s="101"/>
      <c r="J290" s="101"/>
      <c r="K290" s="101"/>
      <c r="L290" s="101"/>
      <c r="M290" s="157">
        <f t="shared" si="155"/>
        <v>0</v>
      </c>
      <c r="N290" s="101">
        <f t="shared" si="166"/>
        <v>0</v>
      </c>
      <c r="O290" s="101"/>
      <c r="P290" s="101"/>
      <c r="Q290" s="101"/>
      <c r="R290" s="101"/>
      <c r="S290" s="101"/>
      <c r="T290" s="97">
        <f t="shared" si="156"/>
        <v>0</v>
      </c>
      <c r="U290" s="101"/>
      <c r="V290" s="101"/>
      <c r="W290" s="101"/>
      <c r="X290" s="101"/>
      <c r="Y290" s="101"/>
      <c r="Z290" s="157"/>
      <c r="AA290" s="97">
        <f t="shared" si="157"/>
        <v>0</v>
      </c>
      <c r="AB290" s="101">
        <f t="shared" si="165"/>
        <v>971473.43999999948</v>
      </c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  <c r="TH290" s="23"/>
      <c r="TI290" s="23"/>
      <c r="TJ290" s="23"/>
      <c r="TK290" s="23"/>
      <c r="TL290" s="23"/>
      <c r="TM290" s="23"/>
      <c r="TN290" s="23"/>
      <c r="TO290" s="23"/>
      <c r="TP290" s="23"/>
      <c r="TQ290" s="23"/>
      <c r="TR290" s="23"/>
      <c r="TS290" s="23"/>
    </row>
    <row r="291" spans="1:539" s="22" customFormat="1" ht="29.25" customHeight="1" x14ac:dyDescent="0.25">
      <c r="A291" s="60" t="s">
        <v>234</v>
      </c>
      <c r="B291" s="95" t="str">
        <f>'дод 5'!A219</f>
        <v>9110</v>
      </c>
      <c r="C291" s="95" t="str">
        <f>'дод 5'!B219</f>
        <v>0180</v>
      </c>
      <c r="D291" s="61" t="str">
        <f>'дод 5'!C219</f>
        <v>Реверсна дотація</v>
      </c>
      <c r="E291" s="101">
        <f>F291+I291</f>
        <v>100870700</v>
      </c>
      <c r="F291" s="101">
        <v>100870700</v>
      </c>
      <c r="G291" s="101"/>
      <c r="H291" s="101"/>
      <c r="I291" s="101"/>
      <c r="J291" s="101">
        <v>50435400</v>
      </c>
      <c r="K291" s="101"/>
      <c r="L291" s="101"/>
      <c r="M291" s="157">
        <f t="shared" si="155"/>
        <v>50.000049568407867</v>
      </c>
      <c r="N291" s="101">
        <f t="shared" si="166"/>
        <v>0</v>
      </c>
      <c r="O291" s="101"/>
      <c r="P291" s="101"/>
      <c r="Q291" s="101"/>
      <c r="R291" s="101"/>
      <c r="S291" s="101"/>
      <c r="T291" s="97">
        <f t="shared" si="156"/>
        <v>0</v>
      </c>
      <c r="U291" s="101"/>
      <c r="V291" s="101"/>
      <c r="W291" s="101"/>
      <c r="X291" s="101"/>
      <c r="Y291" s="101"/>
      <c r="Z291" s="157"/>
      <c r="AA291" s="97">
        <f t="shared" si="157"/>
        <v>50435400</v>
      </c>
      <c r="AB291" s="101">
        <f t="shared" si="165"/>
        <v>100870700</v>
      </c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  <c r="TH291" s="23"/>
      <c r="TI291" s="23"/>
      <c r="TJ291" s="23"/>
      <c r="TK291" s="23"/>
      <c r="TL291" s="23"/>
      <c r="TM291" s="23"/>
      <c r="TN291" s="23"/>
      <c r="TO291" s="23"/>
      <c r="TP291" s="23"/>
      <c r="TQ291" s="23"/>
      <c r="TR291" s="23"/>
      <c r="TS291" s="23"/>
    </row>
    <row r="292" spans="1:539" s="27" customFormat="1" ht="26.25" customHeight="1" x14ac:dyDescent="0.25">
      <c r="A292" s="121"/>
      <c r="B292" s="114"/>
      <c r="C292" s="140"/>
      <c r="D292" s="109" t="s">
        <v>410</v>
      </c>
      <c r="E292" s="97">
        <f>E18+E62+E113+E147+E184+E192+E203+E239+E242+E261+E268+E271+E279+E282</f>
        <v>2206879947.6799998</v>
      </c>
      <c r="F292" s="97">
        <f t="shared" ref="F292:AB292" si="167">F18+F62+F113+F147+F184+F192+F203+F239+F242+F261+F268+F271+F279+F282</f>
        <v>2125048978.24</v>
      </c>
      <c r="G292" s="97">
        <f t="shared" si="167"/>
        <v>1079211630</v>
      </c>
      <c r="H292" s="97">
        <f t="shared" si="167"/>
        <v>99122524</v>
      </c>
      <c r="I292" s="97">
        <f t="shared" si="167"/>
        <v>80859496</v>
      </c>
      <c r="J292" s="97">
        <f t="shared" si="167"/>
        <v>1085692126.7900002</v>
      </c>
      <c r="K292" s="97">
        <f t="shared" si="167"/>
        <v>568168029.78000009</v>
      </c>
      <c r="L292" s="97">
        <f t="shared" si="167"/>
        <v>55899189.730000004</v>
      </c>
      <c r="M292" s="157">
        <f t="shared" si="155"/>
        <v>49.195794629940913</v>
      </c>
      <c r="N292" s="97">
        <f t="shared" si="167"/>
        <v>661946985.39999986</v>
      </c>
      <c r="O292" s="97">
        <f t="shared" si="167"/>
        <v>597272690.88</v>
      </c>
      <c r="P292" s="97">
        <f t="shared" si="167"/>
        <v>47386801.869999997</v>
      </c>
      <c r="Q292" s="97">
        <f t="shared" si="167"/>
        <v>6033355</v>
      </c>
      <c r="R292" s="97">
        <f t="shared" si="167"/>
        <v>266522</v>
      </c>
      <c r="S292" s="97">
        <f t="shared" si="167"/>
        <v>614560183.52999997</v>
      </c>
      <c r="T292" s="97">
        <f t="shared" si="167"/>
        <v>173230615.00999999</v>
      </c>
      <c r="U292" s="97">
        <f t="shared" si="167"/>
        <v>142273978.88</v>
      </c>
      <c r="V292" s="97">
        <f t="shared" si="167"/>
        <v>20318441.380000003</v>
      </c>
      <c r="W292" s="97">
        <f t="shared" si="167"/>
        <v>4085382.4699999997</v>
      </c>
      <c r="X292" s="97">
        <f t="shared" si="167"/>
        <v>109216.06999999999</v>
      </c>
      <c r="Y292" s="97">
        <f t="shared" si="167"/>
        <v>152912173.63</v>
      </c>
      <c r="Z292" s="157">
        <f t="shared" si="158"/>
        <v>26.169862365234671</v>
      </c>
      <c r="AA292" s="97">
        <f t="shared" si="167"/>
        <v>1258922741.8000002</v>
      </c>
      <c r="AB292" s="97">
        <f t="shared" si="167"/>
        <v>2868826933.0799999</v>
      </c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  <c r="TH292" s="32"/>
      <c r="TI292" s="32"/>
      <c r="TJ292" s="32"/>
      <c r="TK292" s="32"/>
      <c r="TL292" s="32"/>
      <c r="TM292" s="32"/>
      <c r="TN292" s="32"/>
      <c r="TO292" s="32"/>
      <c r="TP292" s="32"/>
      <c r="TQ292" s="32"/>
      <c r="TR292" s="32"/>
      <c r="TS292" s="32"/>
    </row>
    <row r="293" spans="1:539" s="34" customFormat="1" ht="34.5" customHeight="1" x14ac:dyDescent="0.25">
      <c r="A293" s="122"/>
      <c r="B293" s="111"/>
      <c r="C293" s="99"/>
      <c r="D293" s="79" t="s">
        <v>403</v>
      </c>
      <c r="E293" s="100">
        <f>E64+E71+E207+E208+E72+E120</f>
        <v>485373327.60000002</v>
      </c>
      <c r="F293" s="100">
        <f t="shared" ref="F293:AB293" si="168">F64+F71+F207+F208+F72+F120</f>
        <v>485373327.60000002</v>
      </c>
      <c r="G293" s="100">
        <f t="shared" si="168"/>
        <v>396066000</v>
      </c>
      <c r="H293" s="100">
        <f t="shared" si="168"/>
        <v>0</v>
      </c>
      <c r="I293" s="100">
        <f t="shared" si="168"/>
        <v>0</v>
      </c>
      <c r="J293" s="100">
        <f>J64+J71+J207+J208+J72+J120</f>
        <v>274163573.12</v>
      </c>
      <c r="K293" s="100">
        <f t="shared" si="168"/>
        <v>224936034.97</v>
      </c>
      <c r="L293" s="100">
        <f t="shared" si="168"/>
        <v>0</v>
      </c>
      <c r="M293" s="159">
        <f t="shared" si="155"/>
        <v>56.485092511292748</v>
      </c>
      <c r="N293" s="100">
        <f t="shared" si="168"/>
        <v>15485720.18</v>
      </c>
      <c r="O293" s="100">
        <f t="shared" si="168"/>
        <v>15485720.18</v>
      </c>
      <c r="P293" s="100">
        <f t="shared" si="168"/>
        <v>0</v>
      </c>
      <c r="Q293" s="100">
        <f t="shared" si="168"/>
        <v>0</v>
      </c>
      <c r="R293" s="100">
        <f t="shared" si="168"/>
        <v>0</v>
      </c>
      <c r="S293" s="100">
        <f t="shared" si="168"/>
        <v>15485720.18</v>
      </c>
      <c r="T293" s="100">
        <f t="shared" si="168"/>
        <v>0</v>
      </c>
      <c r="U293" s="100">
        <f t="shared" si="168"/>
        <v>0</v>
      </c>
      <c r="V293" s="100">
        <f t="shared" si="168"/>
        <v>0</v>
      </c>
      <c r="W293" s="100">
        <f t="shared" si="168"/>
        <v>0</v>
      </c>
      <c r="X293" s="100">
        <f t="shared" si="168"/>
        <v>0</v>
      </c>
      <c r="Y293" s="100">
        <f t="shared" si="168"/>
        <v>0</v>
      </c>
      <c r="Z293" s="159">
        <f t="shared" si="158"/>
        <v>0</v>
      </c>
      <c r="AA293" s="100">
        <f t="shared" si="168"/>
        <v>274163573.12</v>
      </c>
      <c r="AB293" s="100">
        <f t="shared" si="168"/>
        <v>500859047.77999997</v>
      </c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  <c r="IW293" s="33"/>
      <c r="IX293" s="33"/>
      <c r="IY293" s="33"/>
      <c r="IZ293" s="33"/>
      <c r="JA293" s="33"/>
      <c r="JB293" s="33"/>
      <c r="JC293" s="33"/>
      <c r="JD293" s="33"/>
      <c r="JE293" s="33"/>
      <c r="JF293" s="33"/>
      <c r="JG293" s="33"/>
      <c r="JH293" s="33"/>
      <c r="JI293" s="33"/>
      <c r="JJ293" s="33"/>
      <c r="JK293" s="33"/>
      <c r="JL293" s="33"/>
      <c r="JM293" s="33"/>
      <c r="JN293" s="33"/>
      <c r="JO293" s="33"/>
      <c r="JP293" s="33"/>
      <c r="JQ293" s="33"/>
      <c r="JR293" s="33"/>
      <c r="JS293" s="33"/>
      <c r="JT293" s="33"/>
      <c r="JU293" s="33"/>
      <c r="JV293" s="33"/>
      <c r="JW293" s="33"/>
      <c r="JX293" s="33"/>
      <c r="JY293" s="33"/>
      <c r="JZ293" s="33"/>
      <c r="KA293" s="33"/>
      <c r="KB293" s="33"/>
      <c r="KC293" s="33"/>
      <c r="KD293" s="33"/>
      <c r="KE293" s="33"/>
      <c r="KF293" s="33"/>
      <c r="KG293" s="33"/>
      <c r="KH293" s="33"/>
      <c r="KI293" s="33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  <c r="MZ293" s="33"/>
      <c r="NA293" s="33"/>
      <c r="NB293" s="33"/>
      <c r="NC293" s="33"/>
      <c r="ND293" s="33"/>
      <c r="NE293" s="33"/>
      <c r="NF293" s="33"/>
      <c r="NG293" s="33"/>
      <c r="NH293" s="33"/>
      <c r="NI293" s="33"/>
      <c r="NJ293" s="33"/>
      <c r="NK293" s="33"/>
      <c r="NL293" s="33"/>
      <c r="NM293" s="33"/>
      <c r="NN293" s="33"/>
      <c r="NO293" s="33"/>
      <c r="NP293" s="33"/>
      <c r="NQ293" s="33"/>
      <c r="NR293" s="33"/>
      <c r="NS293" s="33"/>
      <c r="NT293" s="33"/>
      <c r="NU293" s="33"/>
      <c r="NV293" s="33"/>
      <c r="NW293" s="33"/>
      <c r="NX293" s="33"/>
      <c r="NY293" s="33"/>
      <c r="NZ293" s="33"/>
      <c r="OA293" s="33"/>
      <c r="OB293" s="33"/>
      <c r="OC293" s="33"/>
      <c r="OD293" s="33"/>
      <c r="OE293" s="33"/>
      <c r="OF293" s="33"/>
      <c r="OG293" s="33"/>
      <c r="OH293" s="33"/>
      <c r="OI293" s="33"/>
      <c r="OJ293" s="33"/>
      <c r="OK293" s="33"/>
      <c r="OL293" s="33"/>
      <c r="OM293" s="33"/>
      <c r="ON293" s="33"/>
      <c r="OO293" s="33"/>
      <c r="OP293" s="33"/>
      <c r="OQ293" s="33"/>
      <c r="OR293" s="33"/>
      <c r="OS293" s="33"/>
      <c r="OT293" s="33"/>
      <c r="OU293" s="33"/>
      <c r="OV293" s="33"/>
      <c r="OW293" s="33"/>
      <c r="OX293" s="33"/>
      <c r="OY293" s="33"/>
      <c r="OZ293" s="33"/>
      <c r="PA293" s="33"/>
      <c r="PB293" s="33"/>
      <c r="PC293" s="33"/>
      <c r="PD293" s="33"/>
      <c r="PE293" s="33"/>
      <c r="PF293" s="33"/>
      <c r="PG293" s="33"/>
      <c r="PH293" s="33"/>
      <c r="PI293" s="33"/>
      <c r="PJ293" s="33"/>
      <c r="PK293" s="33"/>
      <c r="PL293" s="33"/>
      <c r="PM293" s="33"/>
      <c r="PN293" s="33"/>
      <c r="PO293" s="33"/>
      <c r="PP293" s="33"/>
      <c r="PQ293" s="33"/>
      <c r="PR293" s="33"/>
      <c r="PS293" s="33"/>
      <c r="PT293" s="33"/>
      <c r="PU293" s="33"/>
      <c r="PV293" s="33"/>
      <c r="PW293" s="33"/>
      <c r="PX293" s="33"/>
      <c r="PY293" s="33"/>
      <c r="PZ293" s="33"/>
      <c r="QA293" s="33"/>
      <c r="QB293" s="33"/>
      <c r="QC293" s="33"/>
      <c r="QD293" s="33"/>
      <c r="QE293" s="33"/>
      <c r="QF293" s="33"/>
      <c r="QG293" s="33"/>
      <c r="QH293" s="33"/>
      <c r="QI293" s="33"/>
      <c r="QJ293" s="33"/>
      <c r="QK293" s="33"/>
      <c r="QL293" s="33"/>
      <c r="QM293" s="33"/>
      <c r="QN293" s="33"/>
      <c r="QO293" s="33"/>
      <c r="QP293" s="33"/>
      <c r="QQ293" s="33"/>
      <c r="QR293" s="33"/>
      <c r="QS293" s="33"/>
      <c r="QT293" s="33"/>
      <c r="QU293" s="33"/>
      <c r="QV293" s="33"/>
      <c r="QW293" s="33"/>
      <c r="QX293" s="33"/>
      <c r="QY293" s="33"/>
      <c r="QZ293" s="33"/>
      <c r="RA293" s="33"/>
      <c r="RB293" s="33"/>
      <c r="RC293" s="33"/>
      <c r="RD293" s="33"/>
      <c r="RE293" s="33"/>
      <c r="RF293" s="33"/>
      <c r="RG293" s="33"/>
      <c r="RH293" s="33"/>
      <c r="RI293" s="33"/>
      <c r="RJ293" s="33"/>
      <c r="RK293" s="33"/>
      <c r="RL293" s="33"/>
      <c r="RM293" s="33"/>
      <c r="RN293" s="33"/>
      <c r="RO293" s="33"/>
      <c r="RP293" s="33"/>
      <c r="RQ293" s="33"/>
      <c r="RR293" s="33"/>
      <c r="RS293" s="33"/>
      <c r="RT293" s="33"/>
      <c r="RU293" s="33"/>
      <c r="RV293" s="33"/>
      <c r="RW293" s="33"/>
      <c r="RX293" s="33"/>
      <c r="RY293" s="33"/>
      <c r="RZ293" s="33"/>
      <c r="SA293" s="33"/>
      <c r="SB293" s="33"/>
      <c r="SC293" s="33"/>
      <c r="SD293" s="33"/>
      <c r="SE293" s="33"/>
      <c r="SF293" s="33"/>
      <c r="SG293" s="33"/>
      <c r="SH293" s="33"/>
      <c r="SI293" s="33"/>
      <c r="SJ293" s="33"/>
      <c r="SK293" s="33"/>
      <c r="SL293" s="33"/>
      <c r="SM293" s="33"/>
      <c r="SN293" s="33"/>
      <c r="SO293" s="33"/>
      <c r="SP293" s="33"/>
      <c r="SQ293" s="33"/>
      <c r="SR293" s="33"/>
      <c r="SS293" s="33"/>
      <c r="ST293" s="33"/>
      <c r="SU293" s="33"/>
      <c r="SV293" s="33"/>
      <c r="SW293" s="33"/>
      <c r="SX293" s="33"/>
      <c r="SY293" s="33"/>
      <c r="SZ293" s="33"/>
      <c r="TA293" s="33"/>
      <c r="TB293" s="33"/>
      <c r="TC293" s="33"/>
      <c r="TD293" s="33"/>
      <c r="TE293" s="33"/>
      <c r="TF293" s="33"/>
      <c r="TG293" s="33"/>
      <c r="TH293" s="33"/>
      <c r="TI293" s="33"/>
      <c r="TJ293" s="33"/>
      <c r="TK293" s="33"/>
      <c r="TL293" s="33"/>
      <c r="TM293" s="33"/>
      <c r="TN293" s="33"/>
      <c r="TO293" s="33"/>
      <c r="TP293" s="33"/>
      <c r="TQ293" s="33"/>
      <c r="TR293" s="33"/>
      <c r="TS293" s="33"/>
    </row>
    <row r="294" spans="1:539" s="34" customFormat="1" ht="39" customHeight="1" x14ac:dyDescent="0.25">
      <c r="A294" s="122"/>
      <c r="B294" s="111"/>
      <c r="C294" s="99"/>
      <c r="D294" s="79" t="s">
        <v>404</v>
      </c>
      <c r="E294" s="100">
        <f>E20+E67+E69+E151+E66+E70+E119</f>
        <v>20445429.240000002</v>
      </c>
      <c r="F294" s="100">
        <f t="shared" ref="F294:AB294" si="169">F20+F67+F69+F151+F66+F70+F119</f>
        <v>20445429.240000002</v>
      </c>
      <c r="G294" s="100">
        <f t="shared" si="169"/>
        <v>4133559</v>
      </c>
      <c r="H294" s="100">
        <f t="shared" si="169"/>
        <v>0</v>
      </c>
      <c r="I294" s="100">
        <f t="shared" si="169"/>
        <v>0</v>
      </c>
      <c r="J294" s="100">
        <f>J20+J67+J69+J151+J66+J70+J119</f>
        <v>11521741.23</v>
      </c>
      <c r="K294" s="100">
        <f t="shared" si="169"/>
        <v>1445031.96</v>
      </c>
      <c r="L294" s="100">
        <f t="shared" si="169"/>
        <v>0</v>
      </c>
      <c r="M294" s="159">
        <f t="shared" si="155"/>
        <v>56.353628455295755</v>
      </c>
      <c r="N294" s="100">
        <f t="shared" si="169"/>
        <v>98583</v>
      </c>
      <c r="O294" s="100">
        <f t="shared" si="169"/>
        <v>98583</v>
      </c>
      <c r="P294" s="100">
        <f t="shared" si="169"/>
        <v>0</v>
      </c>
      <c r="Q294" s="100">
        <f t="shared" si="169"/>
        <v>0</v>
      </c>
      <c r="R294" s="100">
        <f t="shared" si="169"/>
        <v>0</v>
      </c>
      <c r="S294" s="100">
        <f t="shared" si="169"/>
        <v>98583</v>
      </c>
      <c r="T294" s="100">
        <f t="shared" si="169"/>
        <v>0</v>
      </c>
      <c r="U294" s="100">
        <f t="shared" si="169"/>
        <v>0</v>
      </c>
      <c r="V294" s="100">
        <f t="shared" si="169"/>
        <v>0</v>
      </c>
      <c r="W294" s="100">
        <f t="shared" si="169"/>
        <v>0</v>
      </c>
      <c r="X294" s="100">
        <f t="shared" si="169"/>
        <v>0</v>
      </c>
      <c r="Y294" s="100">
        <f t="shared" si="169"/>
        <v>0</v>
      </c>
      <c r="Z294" s="159">
        <f t="shared" si="158"/>
        <v>0</v>
      </c>
      <c r="AA294" s="100">
        <f t="shared" si="169"/>
        <v>11521741.23</v>
      </c>
      <c r="AB294" s="100">
        <f t="shared" si="169"/>
        <v>20544012.240000002</v>
      </c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  <c r="IW294" s="33"/>
      <c r="IX294" s="33"/>
      <c r="IY294" s="33"/>
      <c r="IZ294" s="33"/>
      <c r="JA294" s="33"/>
      <c r="JB294" s="33"/>
      <c r="JC294" s="33"/>
      <c r="JD294" s="33"/>
      <c r="JE294" s="33"/>
      <c r="JF294" s="33"/>
      <c r="JG294" s="33"/>
      <c r="JH294" s="33"/>
      <c r="JI294" s="33"/>
      <c r="JJ294" s="33"/>
      <c r="JK294" s="33"/>
      <c r="JL294" s="33"/>
      <c r="JM294" s="33"/>
      <c r="JN294" s="33"/>
      <c r="JO294" s="33"/>
      <c r="JP294" s="33"/>
      <c r="JQ294" s="33"/>
      <c r="JR294" s="33"/>
      <c r="JS294" s="33"/>
      <c r="JT294" s="33"/>
      <c r="JU294" s="33"/>
      <c r="JV294" s="33"/>
      <c r="JW294" s="33"/>
      <c r="JX294" s="33"/>
      <c r="JY294" s="33"/>
      <c r="JZ294" s="33"/>
      <c r="KA294" s="33"/>
      <c r="KB294" s="33"/>
      <c r="KC294" s="33"/>
      <c r="KD294" s="33"/>
      <c r="KE294" s="33"/>
      <c r="KF294" s="33"/>
      <c r="KG294" s="33"/>
      <c r="KH294" s="33"/>
      <c r="KI294" s="33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  <c r="MZ294" s="33"/>
      <c r="NA294" s="33"/>
      <c r="NB294" s="33"/>
      <c r="NC294" s="33"/>
      <c r="ND294" s="33"/>
      <c r="NE294" s="33"/>
      <c r="NF294" s="33"/>
      <c r="NG294" s="33"/>
      <c r="NH294" s="33"/>
      <c r="NI294" s="33"/>
      <c r="NJ294" s="33"/>
      <c r="NK294" s="33"/>
      <c r="NL294" s="33"/>
      <c r="NM294" s="33"/>
      <c r="NN294" s="33"/>
      <c r="NO294" s="33"/>
      <c r="NP294" s="33"/>
      <c r="NQ294" s="33"/>
      <c r="NR294" s="33"/>
      <c r="NS294" s="33"/>
      <c r="NT294" s="33"/>
      <c r="NU294" s="33"/>
      <c r="NV294" s="33"/>
      <c r="NW294" s="33"/>
      <c r="NX294" s="33"/>
      <c r="NY294" s="33"/>
      <c r="NZ294" s="33"/>
      <c r="OA294" s="33"/>
      <c r="OB294" s="33"/>
      <c r="OC294" s="33"/>
      <c r="OD294" s="33"/>
      <c r="OE294" s="33"/>
      <c r="OF294" s="33"/>
      <c r="OG294" s="33"/>
      <c r="OH294" s="33"/>
      <c r="OI294" s="33"/>
      <c r="OJ294" s="33"/>
      <c r="OK294" s="33"/>
      <c r="OL294" s="33"/>
      <c r="OM294" s="33"/>
      <c r="ON294" s="33"/>
      <c r="OO294" s="33"/>
      <c r="OP294" s="33"/>
      <c r="OQ294" s="33"/>
      <c r="OR294" s="33"/>
      <c r="OS294" s="33"/>
      <c r="OT294" s="33"/>
      <c r="OU294" s="33"/>
      <c r="OV294" s="33"/>
      <c r="OW294" s="33"/>
      <c r="OX294" s="33"/>
      <c r="OY294" s="33"/>
      <c r="OZ294" s="33"/>
      <c r="PA294" s="33"/>
      <c r="PB294" s="33"/>
      <c r="PC294" s="33"/>
      <c r="PD294" s="33"/>
      <c r="PE294" s="33"/>
      <c r="PF294" s="33"/>
      <c r="PG294" s="33"/>
      <c r="PH294" s="33"/>
      <c r="PI294" s="33"/>
      <c r="PJ294" s="33"/>
      <c r="PK294" s="33"/>
      <c r="PL294" s="33"/>
      <c r="PM294" s="33"/>
      <c r="PN294" s="33"/>
      <c r="PO294" s="33"/>
      <c r="PP294" s="33"/>
      <c r="PQ294" s="33"/>
      <c r="PR294" s="33"/>
      <c r="PS294" s="33"/>
      <c r="PT294" s="33"/>
      <c r="PU294" s="33"/>
      <c r="PV294" s="33"/>
      <c r="PW294" s="33"/>
      <c r="PX294" s="33"/>
      <c r="PY294" s="33"/>
      <c r="PZ294" s="33"/>
      <c r="QA294" s="33"/>
      <c r="QB294" s="33"/>
      <c r="QC294" s="33"/>
      <c r="QD294" s="33"/>
      <c r="QE294" s="33"/>
      <c r="QF294" s="33"/>
      <c r="QG294" s="33"/>
      <c r="QH294" s="33"/>
      <c r="QI294" s="33"/>
      <c r="QJ294" s="33"/>
      <c r="QK294" s="33"/>
      <c r="QL294" s="33"/>
      <c r="QM294" s="33"/>
      <c r="QN294" s="33"/>
      <c r="QO294" s="33"/>
      <c r="QP294" s="33"/>
      <c r="QQ294" s="33"/>
      <c r="QR294" s="33"/>
      <c r="QS294" s="33"/>
      <c r="QT294" s="33"/>
      <c r="QU294" s="33"/>
      <c r="QV294" s="33"/>
      <c r="QW294" s="33"/>
      <c r="QX294" s="33"/>
      <c r="QY294" s="33"/>
      <c r="QZ294" s="33"/>
      <c r="RA294" s="33"/>
      <c r="RB294" s="33"/>
      <c r="RC294" s="33"/>
      <c r="RD294" s="33"/>
      <c r="RE294" s="33"/>
      <c r="RF294" s="33"/>
      <c r="RG294" s="33"/>
      <c r="RH294" s="33"/>
      <c r="RI294" s="33"/>
      <c r="RJ294" s="33"/>
      <c r="RK294" s="33"/>
      <c r="RL294" s="33"/>
      <c r="RM294" s="33"/>
      <c r="RN294" s="33"/>
      <c r="RO294" s="33"/>
      <c r="RP294" s="33"/>
      <c r="RQ294" s="33"/>
      <c r="RR294" s="33"/>
      <c r="RS294" s="33"/>
      <c r="RT294" s="33"/>
      <c r="RU294" s="33"/>
      <c r="RV294" s="33"/>
      <c r="RW294" s="33"/>
      <c r="RX294" s="33"/>
      <c r="RY294" s="33"/>
      <c r="RZ294" s="33"/>
      <c r="SA294" s="33"/>
      <c r="SB294" s="33"/>
      <c r="SC294" s="33"/>
      <c r="SD294" s="33"/>
      <c r="SE294" s="33"/>
      <c r="SF294" s="33"/>
      <c r="SG294" s="33"/>
      <c r="SH294" s="33"/>
      <c r="SI294" s="33"/>
      <c r="SJ294" s="33"/>
      <c r="SK294" s="33"/>
      <c r="SL294" s="33"/>
      <c r="SM294" s="33"/>
      <c r="SN294" s="33"/>
      <c r="SO294" s="33"/>
      <c r="SP294" s="33"/>
      <c r="SQ294" s="33"/>
      <c r="SR294" s="33"/>
      <c r="SS294" s="33"/>
      <c r="ST294" s="33"/>
      <c r="SU294" s="33"/>
      <c r="SV294" s="33"/>
      <c r="SW294" s="33"/>
      <c r="SX294" s="33"/>
      <c r="SY294" s="33"/>
      <c r="SZ294" s="33"/>
      <c r="TA294" s="33"/>
      <c r="TB294" s="33"/>
      <c r="TC294" s="33"/>
      <c r="TD294" s="33"/>
      <c r="TE294" s="33"/>
      <c r="TF294" s="33"/>
      <c r="TG294" s="33"/>
      <c r="TH294" s="33"/>
      <c r="TI294" s="33"/>
      <c r="TJ294" s="33"/>
      <c r="TK294" s="33"/>
      <c r="TL294" s="33"/>
      <c r="TM294" s="33"/>
      <c r="TN294" s="33"/>
      <c r="TO294" s="33"/>
      <c r="TP294" s="33"/>
      <c r="TQ294" s="33"/>
      <c r="TR294" s="33"/>
      <c r="TS294" s="33"/>
    </row>
    <row r="295" spans="1:539" s="34" customFormat="1" ht="25.5" customHeight="1" x14ac:dyDescent="0.25">
      <c r="A295" s="98"/>
      <c r="B295" s="111"/>
      <c r="C295" s="111"/>
      <c r="D295" s="85" t="s">
        <v>421</v>
      </c>
      <c r="E295" s="100">
        <f t="shared" ref="E295" si="170">E121+E244+E209</f>
        <v>0</v>
      </c>
      <c r="F295" s="100">
        <f t="shared" ref="F295:AB295" si="171">F121+F244+F209</f>
        <v>0</v>
      </c>
      <c r="G295" s="100">
        <f t="shared" si="171"/>
        <v>0</v>
      </c>
      <c r="H295" s="100">
        <f t="shared" si="171"/>
        <v>0</v>
      </c>
      <c r="I295" s="100">
        <f t="shared" si="171"/>
        <v>0</v>
      </c>
      <c r="J295" s="100">
        <f t="shared" si="171"/>
        <v>0</v>
      </c>
      <c r="K295" s="100">
        <f t="shared" si="171"/>
        <v>0</v>
      </c>
      <c r="L295" s="100">
        <f t="shared" si="171"/>
        <v>0</v>
      </c>
      <c r="M295" s="159"/>
      <c r="N295" s="100">
        <f t="shared" si="171"/>
        <v>127771665.12</v>
      </c>
      <c r="O295" s="100">
        <f t="shared" si="171"/>
        <v>127771665.12</v>
      </c>
      <c r="P295" s="100">
        <f t="shared" si="171"/>
        <v>0</v>
      </c>
      <c r="Q295" s="100">
        <f t="shared" si="171"/>
        <v>0</v>
      </c>
      <c r="R295" s="100">
        <f t="shared" si="171"/>
        <v>0</v>
      </c>
      <c r="S295" s="100">
        <f t="shared" si="171"/>
        <v>127771665.12</v>
      </c>
      <c r="T295" s="100">
        <f t="shared" si="171"/>
        <v>2343525.58</v>
      </c>
      <c r="U295" s="100">
        <f t="shared" si="171"/>
        <v>2343525.58</v>
      </c>
      <c r="V295" s="100">
        <f t="shared" si="171"/>
        <v>0</v>
      </c>
      <c r="W295" s="100">
        <f t="shared" si="171"/>
        <v>0</v>
      </c>
      <c r="X295" s="100">
        <f t="shared" si="171"/>
        <v>0</v>
      </c>
      <c r="Y295" s="100">
        <f t="shared" si="171"/>
        <v>0</v>
      </c>
      <c r="Z295" s="159">
        <f t="shared" si="158"/>
        <v>1.8341512398691984</v>
      </c>
      <c r="AA295" s="100">
        <f t="shared" si="171"/>
        <v>2343525.58</v>
      </c>
      <c r="AB295" s="100">
        <f t="shared" si="171"/>
        <v>127771665.12</v>
      </c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  <c r="IU295" s="33"/>
      <c r="IV295" s="33"/>
      <c r="IW295" s="33"/>
      <c r="IX295" s="33"/>
      <c r="IY295" s="33"/>
      <c r="IZ295" s="33"/>
      <c r="JA295" s="33"/>
      <c r="JB295" s="33"/>
      <c r="JC295" s="33"/>
      <c r="JD295" s="33"/>
      <c r="JE295" s="33"/>
      <c r="JF295" s="33"/>
      <c r="JG295" s="33"/>
      <c r="JH295" s="33"/>
      <c r="JI295" s="33"/>
      <c r="JJ295" s="33"/>
      <c r="JK295" s="33"/>
      <c r="JL295" s="33"/>
      <c r="JM295" s="33"/>
      <c r="JN295" s="33"/>
      <c r="JO295" s="33"/>
      <c r="JP295" s="33"/>
      <c r="JQ295" s="33"/>
      <c r="JR295" s="33"/>
      <c r="JS295" s="33"/>
      <c r="JT295" s="33"/>
      <c r="JU295" s="33"/>
      <c r="JV295" s="33"/>
      <c r="JW295" s="33"/>
      <c r="JX295" s="33"/>
      <c r="JY295" s="33"/>
      <c r="JZ295" s="33"/>
      <c r="KA295" s="33"/>
      <c r="KB295" s="33"/>
      <c r="KC295" s="33"/>
      <c r="KD295" s="33"/>
      <c r="KE295" s="33"/>
      <c r="KF295" s="33"/>
      <c r="KG295" s="33"/>
      <c r="KH295" s="33"/>
      <c r="KI295" s="33"/>
      <c r="KJ295" s="33"/>
      <c r="KK295" s="33"/>
      <c r="KL295" s="33"/>
      <c r="KM295" s="33"/>
      <c r="KN295" s="33"/>
      <c r="KO295" s="33"/>
      <c r="KP295" s="33"/>
      <c r="KQ295" s="33"/>
      <c r="KR295" s="33"/>
      <c r="KS295" s="33"/>
      <c r="KT295" s="33"/>
      <c r="KU295" s="33"/>
      <c r="KV295" s="33"/>
      <c r="KW295" s="33"/>
      <c r="KX295" s="33"/>
      <c r="KY295" s="33"/>
      <c r="KZ295" s="33"/>
      <c r="LA295" s="33"/>
      <c r="LB295" s="33"/>
      <c r="LC295" s="33"/>
      <c r="LD295" s="33"/>
      <c r="LE295" s="33"/>
      <c r="LF295" s="33"/>
      <c r="LG295" s="33"/>
      <c r="LH295" s="33"/>
      <c r="LI295" s="33"/>
      <c r="LJ295" s="33"/>
      <c r="LK295" s="33"/>
      <c r="LL295" s="33"/>
      <c r="LM295" s="33"/>
      <c r="LN295" s="33"/>
      <c r="LO295" s="33"/>
      <c r="LP295" s="33"/>
      <c r="LQ295" s="33"/>
      <c r="LR295" s="33"/>
      <c r="LS295" s="33"/>
      <c r="LT295" s="33"/>
      <c r="LU295" s="33"/>
      <c r="LV295" s="33"/>
      <c r="LW295" s="33"/>
      <c r="LX295" s="33"/>
      <c r="LY295" s="33"/>
      <c r="LZ295" s="33"/>
      <c r="MA295" s="33"/>
      <c r="MB295" s="33"/>
      <c r="MC295" s="33"/>
      <c r="MD295" s="33"/>
      <c r="ME295" s="33"/>
      <c r="MF295" s="33"/>
      <c r="MG295" s="33"/>
      <c r="MH295" s="33"/>
      <c r="MI295" s="33"/>
      <c r="MJ295" s="33"/>
      <c r="MK295" s="33"/>
      <c r="ML295" s="33"/>
      <c r="MM295" s="33"/>
      <c r="MN295" s="33"/>
      <c r="MO295" s="33"/>
      <c r="MP295" s="33"/>
      <c r="MQ295" s="33"/>
      <c r="MR295" s="33"/>
      <c r="MS295" s="33"/>
      <c r="MT295" s="33"/>
      <c r="MU295" s="33"/>
      <c r="MV295" s="33"/>
      <c r="MW295" s="33"/>
      <c r="MX295" s="33"/>
      <c r="MY295" s="33"/>
      <c r="MZ295" s="33"/>
      <c r="NA295" s="33"/>
      <c r="NB295" s="33"/>
      <c r="NC295" s="33"/>
      <c r="ND295" s="33"/>
      <c r="NE295" s="33"/>
      <c r="NF295" s="33"/>
      <c r="NG295" s="33"/>
      <c r="NH295" s="33"/>
      <c r="NI295" s="33"/>
      <c r="NJ295" s="33"/>
      <c r="NK295" s="33"/>
      <c r="NL295" s="33"/>
      <c r="NM295" s="33"/>
      <c r="NN295" s="33"/>
      <c r="NO295" s="33"/>
      <c r="NP295" s="33"/>
      <c r="NQ295" s="33"/>
      <c r="NR295" s="33"/>
      <c r="NS295" s="33"/>
      <c r="NT295" s="33"/>
      <c r="NU295" s="33"/>
      <c r="NV295" s="33"/>
      <c r="NW295" s="33"/>
      <c r="NX295" s="33"/>
      <c r="NY295" s="33"/>
      <c r="NZ295" s="33"/>
      <c r="OA295" s="33"/>
      <c r="OB295" s="33"/>
      <c r="OC295" s="33"/>
      <c r="OD295" s="33"/>
      <c r="OE295" s="33"/>
      <c r="OF295" s="33"/>
      <c r="OG295" s="33"/>
      <c r="OH295" s="33"/>
      <c r="OI295" s="33"/>
      <c r="OJ295" s="33"/>
      <c r="OK295" s="33"/>
      <c r="OL295" s="33"/>
      <c r="OM295" s="33"/>
      <c r="ON295" s="33"/>
      <c r="OO295" s="33"/>
      <c r="OP295" s="33"/>
      <c r="OQ295" s="33"/>
      <c r="OR295" s="33"/>
      <c r="OS295" s="33"/>
      <c r="OT295" s="33"/>
      <c r="OU295" s="33"/>
      <c r="OV295" s="33"/>
      <c r="OW295" s="33"/>
      <c r="OX295" s="33"/>
      <c r="OY295" s="33"/>
      <c r="OZ295" s="33"/>
      <c r="PA295" s="33"/>
      <c r="PB295" s="33"/>
      <c r="PC295" s="33"/>
      <c r="PD295" s="33"/>
      <c r="PE295" s="33"/>
      <c r="PF295" s="33"/>
      <c r="PG295" s="33"/>
      <c r="PH295" s="33"/>
      <c r="PI295" s="33"/>
      <c r="PJ295" s="33"/>
      <c r="PK295" s="33"/>
      <c r="PL295" s="33"/>
      <c r="PM295" s="33"/>
      <c r="PN295" s="33"/>
      <c r="PO295" s="33"/>
      <c r="PP295" s="33"/>
      <c r="PQ295" s="33"/>
      <c r="PR295" s="33"/>
      <c r="PS295" s="33"/>
      <c r="PT295" s="33"/>
      <c r="PU295" s="33"/>
      <c r="PV295" s="33"/>
      <c r="PW295" s="33"/>
      <c r="PX295" s="33"/>
      <c r="PY295" s="33"/>
      <c r="PZ295" s="33"/>
      <c r="QA295" s="33"/>
      <c r="QB295" s="33"/>
      <c r="QC295" s="33"/>
      <c r="QD295" s="33"/>
      <c r="QE295" s="33"/>
      <c r="QF295" s="33"/>
      <c r="QG295" s="33"/>
      <c r="QH295" s="33"/>
      <c r="QI295" s="33"/>
      <c r="QJ295" s="33"/>
      <c r="QK295" s="33"/>
      <c r="QL295" s="33"/>
      <c r="QM295" s="33"/>
      <c r="QN295" s="33"/>
      <c r="QO295" s="33"/>
      <c r="QP295" s="33"/>
      <c r="QQ295" s="33"/>
      <c r="QR295" s="33"/>
      <c r="QS295" s="33"/>
      <c r="QT295" s="33"/>
      <c r="QU295" s="33"/>
      <c r="QV295" s="33"/>
      <c r="QW295" s="33"/>
      <c r="QX295" s="33"/>
      <c r="QY295" s="33"/>
      <c r="QZ295" s="33"/>
      <c r="RA295" s="33"/>
      <c r="RB295" s="33"/>
      <c r="RC295" s="33"/>
      <c r="RD295" s="33"/>
      <c r="RE295" s="33"/>
      <c r="RF295" s="33"/>
      <c r="RG295" s="33"/>
      <c r="RH295" s="33"/>
      <c r="RI295" s="33"/>
      <c r="RJ295" s="33"/>
      <c r="RK295" s="33"/>
      <c r="RL295" s="33"/>
      <c r="RM295" s="33"/>
      <c r="RN295" s="33"/>
      <c r="RO295" s="33"/>
      <c r="RP295" s="33"/>
      <c r="RQ295" s="33"/>
      <c r="RR295" s="33"/>
      <c r="RS295" s="33"/>
      <c r="RT295" s="33"/>
      <c r="RU295" s="33"/>
      <c r="RV295" s="33"/>
      <c r="RW295" s="33"/>
      <c r="RX295" s="33"/>
      <c r="RY295" s="33"/>
      <c r="RZ295" s="33"/>
      <c r="SA295" s="33"/>
      <c r="SB295" s="33"/>
      <c r="SC295" s="33"/>
      <c r="SD295" s="33"/>
      <c r="SE295" s="33"/>
      <c r="SF295" s="33"/>
      <c r="SG295" s="33"/>
      <c r="SH295" s="33"/>
      <c r="SI295" s="33"/>
      <c r="SJ295" s="33"/>
      <c r="SK295" s="33"/>
      <c r="SL295" s="33"/>
      <c r="SM295" s="33"/>
      <c r="SN295" s="33"/>
      <c r="SO295" s="33"/>
      <c r="SP295" s="33"/>
      <c r="SQ295" s="33"/>
      <c r="SR295" s="33"/>
      <c r="SS295" s="33"/>
      <c r="ST295" s="33"/>
      <c r="SU295" s="33"/>
      <c r="SV295" s="33"/>
      <c r="SW295" s="33"/>
      <c r="SX295" s="33"/>
      <c r="SY295" s="33"/>
      <c r="SZ295" s="33"/>
      <c r="TA295" s="33"/>
      <c r="TB295" s="33"/>
      <c r="TC295" s="33"/>
      <c r="TD295" s="33"/>
      <c r="TE295" s="33"/>
      <c r="TF295" s="33"/>
      <c r="TG295" s="33"/>
      <c r="TH295" s="33"/>
      <c r="TI295" s="33"/>
      <c r="TJ295" s="33"/>
      <c r="TK295" s="33"/>
      <c r="TL295" s="33"/>
      <c r="TM295" s="33"/>
      <c r="TN295" s="33"/>
      <c r="TO295" s="33"/>
      <c r="TP295" s="33"/>
      <c r="TQ295" s="33"/>
      <c r="TR295" s="33"/>
      <c r="TS295" s="33"/>
    </row>
    <row r="296" spans="1:539" s="27" customFormat="1" ht="25.5" customHeight="1" x14ac:dyDescent="0.2">
      <c r="A296" s="68"/>
      <c r="B296" s="69"/>
      <c r="C296" s="70"/>
      <c r="D296" s="71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  <c r="TH296" s="32"/>
      <c r="TI296" s="32"/>
      <c r="TJ296" s="32"/>
      <c r="TK296" s="32"/>
      <c r="TL296" s="32"/>
      <c r="TM296" s="32"/>
      <c r="TN296" s="32"/>
      <c r="TO296" s="32"/>
      <c r="TP296" s="32"/>
      <c r="TQ296" s="32"/>
      <c r="TR296" s="32"/>
      <c r="TS296" s="32"/>
    </row>
    <row r="297" spans="1:539" s="27" customFormat="1" ht="25.5" customHeight="1" x14ac:dyDescent="0.2">
      <c r="A297" s="68"/>
      <c r="B297" s="69"/>
      <c r="C297" s="70"/>
      <c r="D297" s="71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  <c r="SQ297" s="32"/>
      <c r="SR297" s="32"/>
      <c r="SS297" s="32"/>
      <c r="ST297" s="32"/>
      <c r="SU297" s="32"/>
      <c r="SV297" s="32"/>
      <c r="SW297" s="32"/>
      <c r="SX297" s="32"/>
      <c r="SY297" s="32"/>
      <c r="SZ297" s="32"/>
      <c r="TA297" s="32"/>
      <c r="TB297" s="32"/>
      <c r="TC297" s="32"/>
      <c r="TD297" s="32"/>
      <c r="TE297" s="32"/>
      <c r="TF297" s="32"/>
      <c r="TG297" s="32"/>
      <c r="TH297" s="32"/>
      <c r="TI297" s="32"/>
      <c r="TJ297" s="32"/>
      <c r="TK297" s="32"/>
      <c r="TL297" s="32"/>
      <c r="TM297" s="32"/>
      <c r="TN297" s="32"/>
      <c r="TO297" s="32"/>
      <c r="TP297" s="32"/>
      <c r="TQ297" s="32"/>
      <c r="TR297" s="32"/>
      <c r="TS297" s="32"/>
    </row>
    <row r="298" spans="1:539" s="27" customFormat="1" ht="25.5" customHeight="1" x14ac:dyDescent="0.2">
      <c r="A298" s="68"/>
      <c r="B298" s="69"/>
      <c r="C298" s="70"/>
      <c r="D298" s="71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  <c r="TH298" s="32"/>
      <c r="TI298" s="32"/>
      <c r="TJ298" s="32"/>
      <c r="TK298" s="32"/>
      <c r="TL298" s="32"/>
      <c r="TM298" s="32"/>
      <c r="TN298" s="32"/>
      <c r="TO298" s="32"/>
      <c r="TP298" s="32"/>
      <c r="TQ298" s="32"/>
      <c r="TR298" s="32"/>
      <c r="TS298" s="32"/>
    </row>
    <row r="299" spans="1:539" s="27" customFormat="1" ht="25.5" customHeight="1" x14ac:dyDescent="0.2">
      <c r="A299" s="68"/>
      <c r="B299" s="69"/>
      <c r="C299" s="70"/>
      <c r="D299" s="71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  <c r="IU299" s="32"/>
      <c r="IV299" s="32"/>
      <c r="IW299" s="32"/>
      <c r="IX299" s="32"/>
      <c r="IY299" s="32"/>
      <c r="IZ299" s="32"/>
      <c r="JA299" s="32"/>
      <c r="JB299" s="32"/>
      <c r="JC299" s="32"/>
      <c r="JD299" s="32"/>
      <c r="JE299" s="32"/>
      <c r="JF299" s="32"/>
      <c r="JG299" s="32"/>
      <c r="JH299" s="32"/>
      <c r="JI299" s="32"/>
      <c r="JJ299" s="32"/>
      <c r="JK299" s="32"/>
      <c r="JL299" s="32"/>
      <c r="JM299" s="32"/>
      <c r="JN299" s="32"/>
      <c r="JO299" s="32"/>
      <c r="JP299" s="32"/>
      <c r="JQ299" s="32"/>
      <c r="JR299" s="32"/>
      <c r="JS299" s="32"/>
      <c r="JT299" s="32"/>
      <c r="JU299" s="32"/>
      <c r="JV299" s="32"/>
      <c r="JW299" s="32"/>
      <c r="JX299" s="32"/>
      <c r="JY299" s="32"/>
      <c r="JZ299" s="32"/>
      <c r="KA299" s="32"/>
      <c r="KB299" s="32"/>
      <c r="KC299" s="32"/>
      <c r="KD299" s="32"/>
      <c r="KE299" s="32"/>
      <c r="KF299" s="32"/>
      <c r="KG299" s="32"/>
      <c r="KH299" s="32"/>
      <c r="KI299" s="32"/>
      <c r="KJ299" s="32"/>
      <c r="KK299" s="32"/>
      <c r="KL299" s="32"/>
      <c r="KM299" s="32"/>
      <c r="KN299" s="32"/>
      <c r="KO299" s="32"/>
      <c r="KP299" s="32"/>
      <c r="KQ299" s="32"/>
      <c r="KR299" s="32"/>
      <c r="KS299" s="32"/>
      <c r="KT299" s="32"/>
      <c r="KU299" s="32"/>
      <c r="KV299" s="32"/>
      <c r="KW299" s="32"/>
      <c r="KX299" s="32"/>
      <c r="KY299" s="32"/>
      <c r="KZ299" s="32"/>
      <c r="LA299" s="32"/>
      <c r="LB299" s="32"/>
      <c r="LC299" s="32"/>
      <c r="LD299" s="32"/>
      <c r="LE299" s="32"/>
      <c r="LF299" s="32"/>
      <c r="LG299" s="32"/>
      <c r="LH299" s="32"/>
      <c r="LI299" s="32"/>
      <c r="LJ299" s="32"/>
      <c r="LK299" s="32"/>
      <c r="LL299" s="32"/>
      <c r="LM299" s="32"/>
      <c r="LN299" s="32"/>
      <c r="LO299" s="32"/>
      <c r="LP299" s="32"/>
      <c r="LQ299" s="32"/>
      <c r="LR299" s="32"/>
      <c r="LS299" s="32"/>
      <c r="LT299" s="32"/>
      <c r="LU299" s="32"/>
      <c r="LV299" s="32"/>
      <c r="LW299" s="32"/>
      <c r="LX299" s="32"/>
      <c r="LY299" s="32"/>
      <c r="LZ299" s="32"/>
      <c r="MA299" s="32"/>
      <c r="MB299" s="32"/>
      <c r="MC299" s="32"/>
      <c r="MD299" s="32"/>
      <c r="ME299" s="32"/>
      <c r="MF299" s="32"/>
      <c r="MG299" s="32"/>
      <c r="MH299" s="32"/>
      <c r="MI299" s="32"/>
      <c r="MJ299" s="32"/>
      <c r="MK299" s="32"/>
      <c r="ML299" s="32"/>
      <c r="MM299" s="32"/>
      <c r="MN299" s="32"/>
      <c r="MO299" s="32"/>
      <c r="MP299" s="32"/>
      <c r="MQ299" s="32"/>
      <c r="MR299" s="32"/>
      <c r="MS299" s="32"/>
      <c r="MT299" s="32"/>
      <c r="MU299" s="32"/>
      <c r="MV299" s="32"/>
      <c r="MW299" s="32"/>
      <c r="MX299" s="32"/>
      <c r="MY299" s="32"/>
      <c r="MZ299" s="32"/>
      <c r="NA299" s="32"/>
      <c r="NB299" s="32"/>
      <c r="NC299" s="32"/>
      <c r="ND299" s="32"/>
      <c r="NE299" s="32"/>
      <c r="NF299" s="32"/>
      <c r="NG299" s="32"/>
      <c r="NH299" s="32"/>
      <c r="NI299" s="32"/>
      <c r="NJ299" s="32"/>
      <c r="NK299" s="32"/>
      <c r="NL299" s="32"/>
      <c r="NM299" s="32"/>
      <c r="NN299" s="32"/>
      <c r="NO299" s="32"/>
      <c r="NP299" s="32"/>
      <c r="NQ299" s="32"/>
      <c r="NR299" s="32"/>
      <c r="NS299" s="32"/>
      <c r="NT299" s="32"/>
      <c r="NU299" s="32"/>
      <c r="NV299" s="32"/>
      <c r="NW299" s="32"/>
      <c r="NX299" s="32"/>
      <c r="NY299" s="32"/>
      <c r="NZ299" s="32"/>
      <c r="OA299" s="32"/>
      <c r="OB299" s="32"/>
      <c r="OC299" s="32"/>
      <c r="OD299" s="32"/>
      <c r="OE299" s="32"/>
      <c r="OF299" s="32"/>
      <c r="OG299" s="32"/>
      <c r="OH299" s="32"/>
      <c r="OI299" s="32"/>
      <c r="OJ299" s="32"/>
      <c r="OK299" s="32"/>
      <c r="OL299" s="32"/>
      <c r="OM299" s="32"/>
      <c r="ON299" s="32"/>
      <c r="OO299" s="32"/>
      <c r="OP299" s="32"/>
      <c r="OQ299" s="32"/>
      <c r="OR299" s="32"/>
      <c r="OS299" s="32"/>
      <c r="OT299" s="32"/>
      <c r="OU299" s="32"/>
      <c r="OV299" s="32"/>
      <c r="OW299" s="32"/>
      <c r="OX299" s="32"/>
      <c r="OY299" s="32"/>
      <c r="OZ299" s="32"/>
      <c r="PA299" s="32"/>
      <c r="PB299" s="32"/>
      <c r="PC299" s="32"/>
      <c r="PD299" s="32"/>
      <c r="PE299" s="32"/>
      <c r="PF299" s="32"/>
      <c r="PG299" s="32"/>
      <c r="PH299" s="32"/>
      <c r="PI299" s="32"/>
      <c r="PJ299" s="32"/>
      <c r="PK299" s="32"/>
      <c r="PL299" s="32"/>
      <c r="PM299" s="32"/>
      <c r="PN299" s="32"/>
      <c r="PO299" s="32"/>
      <c r="PP299" s="32"/>
      <c r="PQ299" s="32"/>
      <c r="PR299" s="32"/>
      <c r="PS299" s="32"/>
      <c r="PT299" s="32"/>
      <c r="PU299" s="32"/>
      <c r="PV299" s="32"/>
      <c r="PW299" s="32"/>
      <c r="PX299" s="32"/>
      <c r="PY299" s="32"/>
      <c r="PZ299" s="32"/>
      <c r="QA299" s="32"/>
      <c r="QB299" s="32"/>
      <c r="QC299" s="32"/>
      <c r="QD299" s="32"/>
      <c r="QE299" s="32"/>
      <c r="QF299" s="32"/>
      <c r="QG299" s="32"/>
      <c r="QH299" s="32"/>
      <c r="QI299" s="32"/>
      <c r="QJ299" s="32"/>
      <c r="QK299" s="32"/>
      <c r="QL299" s="32"/>
      <c r="QM299" s="32"/>
      <c r="QN299" s="32"/>
      <c r="QO299" s="32"/>
      <c r="QP299" s="32"/>
      <c r="QQ299" s="32"/>
      <c r="QR299" s="32"/>
      <c r="QS299" s="32"/>
      <c r="QT299" s="32"/>
      <c r="QU299" s="32"/>
      <c r="QV299" s="32"/>
      <c r="QW299" s="32"/>
      <c r="QX299" s="32"/>
      <c r="QY299" s="32"/>
      <c r="QZ299" s="32"/>
      <c r="RA299" s="32"/>
      <c r="RB299" s="32"/>
      <c r="RC299" s="32"/>
      <c r="RD299" s="32"/>
      <c r="RE299" s="32"/>
      <c r="RF299" s="32"/>
      <c r="RG299" s="32"/>
      <c r="RH299" s="32"/>
      <c r="RI299" s="32"/>
      <c r="RJ299" s="32"/>
      <c r="RK299" s="32"/>
      <c r="RL299" s="32"/>
      <c r="RM299" s="32"/>
      <c r="RN299" s="32"/>
      <c r="RO299" s="32"/>
      <c r="RP299" s="32"/>
      <c r="RQ299" s="32"/>
      <c r="RR299" s="32"/>
      <c r="RS299" s="32"/>
      <c r="RT299" s="32"/>
      <c r="RU299" s="32"/>
      <c r="RV299" s="32"/>
      <c r="RW299" s="32"/>
      <c r="RX299" s="32"/>
      <c r="RY299" s="32"/>
      <c r="RZ299" s="32"/>
      <c r="SA299" s="32"/>
      <c r="SB299" s="32"/>
      <c r="SC299" s="32"/>
      <c r="SD299" s="32"/>
      <c r="SE299" s="32"/>
      <c r="SF299" s="32"/>
      <c r="SG299" s="32"/>
      <c r="SH299" s="32"/>
      <c r="SI299" s="32"/>
      <c r="SJ299" s="32"/>
      <c r="SK299" s="32"/>
      <c r="SL299" s="32"/>
      <c r="SM299" s="32"/>
      <c r="SN299" s="32"/>
      <c r="SO299" s="32"/>
      <c r="SP299" s="32"/>
      <c r="SQ299" s="32"/>
      <c r="SR299" s="32"/>
      <c r="SS299" s="32"/>
      <c r="ST299" s="32"/>
      <c r="SU299" s="32"/>
      <c r="SV299" s="32"/>
      <c r="SW299" s="32"/>
      <c r="SX299" s="32"/>
      <c r="SY299" s="32"/>
      <c r="SZ299" s="32"/>
      <c r="TA299" s="32"/>
      <c r="TB299" s="32"/>
      <c r="TC299" s="32"/>
      <c r="TD299" s="32"/>
      <c r="TE299" s="32"/>
      <c r="TF299" s="32"/>
      <c r="TG299" s="32"/>
      <c r="TH299" s="32"/>
      <c r="TI299" s="32"/>
      <c r="TJ299" s="32"/>
      <c r="TK299" s="32"/>
      <c r="TL299" s="32"/>
      <c r="TM299" s="32"/>
      <c r="TN299" s="32"/>
      <c r="TO299" s="32"/>
      <c r="TP299" s="32"/>
      <c r="TQ299" s="32"/>
      <c r="TR299" s="32"/>
      <c r="TS299" s="32"/>
    </row>
    <row r="300" spans="1:539" s="27" customFormat="1" ht="25.5" customHeight="1" x14ac:dyDescent="0.2">
      <c r="A300" s="68"/>
      <c r="B300" s="69"/>
      <c r="C300" s="70"/>
      <c r="D300" s="71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  <c r="IU300" s="32"/>
      <c r="IV300" s="32"/>
      <c r="IW300" s="32"/>
      <c r="IX300" s="32"/>
      <c r="IY300" s="32"/>
      <c r="IZ300" s="32"/>
      <c r="JA300" s="32"/>
      <c r="JB300" s="32"/>
      <c r="JC300" s="32"/>
      <c r="JD300" s="32"/>
      <c r="JE300" s="32"/>
      <c r="JF300" s="32"/>
      <c r="JG300" s="32"/>
      <c r="JH300" s="32"/>
      <c r="JI300" s="32"/>
      <c r="JJ300" s="32"/>
      <c r="JK300" s="32"/>
      <c r="JL300" s="32"/>
      <c r="JM300" s="32"/>
      <c r="JN300" s="32"/>
      <c r="JO300" s="32"/>
      <c r="JP300" s="32"/>
      <c r="JQ300" s="32"/>
      <c r="JR300" s="32"/>
      <c r="JS300" s="32"/>
      <c r="JT300" s="32"/>
      <c r="JU300" s="32"/>
      <c r="JV300" s="32"/>
      <c r="JW300" s="32"/>
      <c r="JX300" s="32"/>
      <c r="JY300" s="32"/>
      <c r="JZ300" s="32"/>
      <c r="KA300" s="32"/>
      <c r="KB300" s="32"/>
      <c r="KC300" s="32"/>
      <c r="KD300" s="32"/>
      <c r="KE300" s="32"/>
      <c r="KF300" s="32"/>
      <c r="KG300" s="32"/>
      <c r="KH300" s="32"/>
      <c r="KI300" s="32"/>
      <c r="KJ300" s="32"/>
      <c r="KK300" s="32"/>
      <c r="KL300" s="32"/>
      <c r="KM300" s="32"/>
      <c r="KN300" s="32"/>
      <c r="KO300" s="32"/>
      <c r="KP300" s="32"/>
      <c r="KQ300" s="32"/>
      <c r="KR300" s="32"/>
      <c r="KS300" s="32"/>
      <c r="KT300" s="32"/>
      <c r="KU300" s="32"/>
      <c r="KV300" s="32"/>
      <c r="KW300" s="32"/>
      <c r="KX300" s="32"/>
      <c r="KY300" s="32"/>
      <c r="KZ300" s="32"/>
      <c r="LA300" s="32"/>
      <c r="LB300" s="32"/>
      <c r="LC300" s="32"/>
      <c r="LD300" s="32"/>
      <c r="LE300" s="32"/>
      <c r="LF300" s="32"/>
      <c r="LG300" s="32"/>
      <c r="LH300" s="32"/>
      <c r="LI300" s="32"/>
      <c r="LJ300" s="32"/>
      <c r="LK300" s="32"/>
      <c r="LL300" s="32"/>
      <c r="LM300" s="32"/>
      <c r="LN300" s="32"/>
      <c r="LO300" s="32"/>
      <c r="LP300" s="32"/>
      <c r="LQ300" s="32"/>
      <c r="LR300" s="32"/>
      <c r="LS300" s="32"/>
      <c r="LT300" s="32"/>
      <c r="LU300" s="32"/>
      <c r="LV300" s="32"/>
      <c r="LW300" s="32"/>
      <c r="LX300" s="32"/>
      <c r="LY300" s="32"/>
      <c r="LZ300" s="32"/>
      <c r="MA300" s="32"/>
      <c r="MB300" s="32"/>
      <c r="MC300" s="32"/>
      <c r="MD300" s="32"/>
      <c r="ME300" s="32"/>
      <c r="MF300" s="32"/>
      <c r="MG300" s="32"/>
      <c r="MH300" s="32"/>
      <c r="MI300" s="32"/>
      <c r="MJ300" s="32"/>
      <c r="MK300" s="32"/>
      <c r="ML300" s="32"/>
      <c r="MM300" s="32"/>
      <c r="MN300" s="32"/>
      <c r="MO300" s="32"/>
      <c r="MP300" s="32"/>
      <c r="MQ300" s="32"/>
      <c r="MR300" s="32"/>
      <c r="MS300" s="32"/>
      <c r="MT300" s="32"/>
      <c r="MU300" s="32"/>
      <c r="MV300" s="32"/>
      <c r="MW300" s="32"/>
      <c r="MX300" s="32"/>
      <c r="MY300" s="32"/>
      <c r="MZ300" s="32"/>
      <c r="NA300" s="32"/>
      <c r="NB300" s="32"/>
      <c r="NC300" s="32"/>
      <c r="ND300" s="32"/>
      <c r="NE300" s="32"/>
      <c r="NF300" s="32"/>
      <c r="NG300" s="32"/>
      <c r="NH300" s="32"/>
      <c r="NI300" s="32"/>
      <c r="NJ300" s="32"/>
      <c r="NK300" s="32"/>
      <c r="NL300" s="32"/>
      <c r="NM300" s="32"/>
      <c r="NN300" s="32"/>
      <c r="NO300" s="32"/>
      <c r="NP300" s="32"/>
      <c r="NQ300" s="32"/>
      <c r="NR300" s="32"/>
      <c r="NS300" s="32"/>
      <c r="NT300" s="32"/>
      <c r="NU300" s="32"/>
      <c r="NV300" s="32"/>
      <c r="NW300" s="32"/>
      <c r="NX300" s="32"/>
      <c r="NY300" s="32"/>
      <c r="NZ300" s="32"/>
      <c r="OA300" s="32"/>
      <c r="OB300" s="32"/>
      <c r="OC300" s="32"/>
      <c r="OD300" s="32"/>
      <c r="OE300" s="32"/>
      <c r="OF300" s="32"/>
      <c r="OG300" s="32"/>
      <c r="OH300" s="32"/>
      <c r="OI300" s="32"/>
      <c r="OJ300" s="32"/>
      <c r="OK300" s="32"/>
      <c r="OL300" s="32"/>
      <c r="OM300" s="32"/>
      <c r="ON300" s="32"/>
      <c r="OO300" s="32"/>
      <c r="OP300" s="32"/>
      <c r="OQ300" s="32"/>
      <c r="OR300" s="32"/>
      <c r="OS300" s="32"/>
      <c r="OT300" s="32"/>
      <c r="OU300" s="32"/>
      <c r="OV300" s="32"/>
      <c r="OW300" s="32"/>
      <c r="OX300" s="32"/>
      <c r="OY300" s="32"/>
      <c r="OZ300" s="32"/>
      <c r="PA300" s="32"/>
      <c r="PB300" s="32"/>
      <c r="PC300" s="32"/>
      <c r="PD300" s="32"/>
      <c r="PE300" s="32"/>
      <c r="PF300" s="32"/>
      <c r="PG300" s="32"/>
      <c r="PH300" s="32"/>
      <c r="PI300" s="32"/>
      <c r="PJ300" s="32"/>
      <c r="PK300" s="32"/>
      <c r="PL300" s="32"/>
      <c r="PM300" s="32"/>
      <c r="PN300" s="32"/>
      <c r="PO300" s="32"/>
      <c r="PP300" s="32"/>
      <c r="PQ300" s="32"/>
      <c r="PR300" s="32"/>
      <c r="PS300" s="32"/>
      <c r="PT300" s="32"/>
      <c r="PU300" s="32"/>
      <c r="PV300" s="32"/>
      <c r="PW300" s="32"/>
      <c r="PX300" s="32"/>
      <c r="PY300" s="32"/>
      <c r="PZ300" s="32"/>
      <c r="QA300" s="32"/>
      <c r="QB300" s="32"/>
      <c r="QC300" s="32"/>
      <c r="QD300" s="32"/>
      <c r="QE300" s="32"/>
      <c r="QF300" s="32"/>
      <c r="QG300" s="32"/>
      <c r="QH300" s="32"/>
      <c r="QI300" s="32"/>
      <c r="QJ300" s="32"/>
      <c r="QK300" s="32"/>
      <c r="QL300" s="32"/>
      <c r="QM300" s="32"/>
      <c r="QN300" s="32"/>
      <c r="QO300" s="32"/>
      <c r="QP300" s="32"/>
      <c r="QQ300" s="32"/>
      <c r="QR300" s="32"/>
      <c r="QS300" s="32"/>
      <c r="QT300" s="32"/>
      <c r="QU300" s="32"/>
      <c r="QV300" s="32"/>
      <c r="QW300" s="32"/>
      <c r="QX300" s="32"/>
      <c r="QY300" s="32"/>
      <c r="QZ300" s="32"/>
      <c r="RA300" s="32"/>
      <c r="RB300" s="32"/>
      <c r="RC300" s="32"/>
      <c r="RD300" s="32"/>
      <c r="RE300" s="32"/>
      <c r="RF300" s="32"/>
      <c r="RG300" s="32"/>
      <c r="RH300" s="32"/>
      <c r="RI300" s="32"/>
      <c r="RJ300" s="32"/>
      <c r="RK300" s="32"/>
      <c r="RL300" s="32"/>
      <c r="RM300" s="32"/>
      <c r="RN300" s="32"/>
      <c r="RO300" s="32"/>
      <c r="RP300" s="32"/>
      <c r="RQ300" s="32"/>
      <c r="RR300" s="32"/>
      <c r="RS300" s="32"/>
      <c r="RT300" s="32"/>
      <c r="RU300" s="32"/>
      <c r="RV300" s="32"/>
      <c r="RW300" s="32"/>
      <c r="RX300" s="32"/>
      <c r="RY300" s="32"/>
      <c r="RZ300" s="32"/>
      <c r="SA300" s="32"/>
      <c r="SB300" s="32"/>
      <c r="SC300" s="32"/>
      <c r="SD300" s="32"/>
      <c r="SE300" s="32"/>
      <c r="SF300" s="32"/>
      <c r="SG300" s="32"/>
      <c r="SH300" s="32"/>
      <c r="SI300" s="32"/>
      <c r="SJ300" s="32"/>
      <c r="SK300" s="32"/>
      <c r="SL300" s="32"/>
      <c r="SM300" s="32"/>
      <c r="SN300" s="32"/>
      <c r="SO300" s="32"/>
      <c r="SP300" s="32"/>
      <c r="SQ300" s="32"/>
      <c r="SR300" s="32"/>
      <c r="SS300" s="32"/>
      <c r="ST300" s="32"/>
      <c r="SU300" s="32"/>
      <c r="SV300" s="32"/>
      <c r="SW300" s="32"/>
      <c r="SX300" s="32"/>
      <c r="SY300" s="32"/>
      <c r="SZ300" s="32"/>
      <c r="TA300" s="32"/>
      <c r="TB300" s="32"/>
      <c r="TC300" s="32"/>
      <c r="TD300" s="32"/>
      <c r="TE300" s="32"/>
      <c r="TF300" s="32"/>
      <c r="TG300" s="32"/>
      <c r="TH300" s="32"/>
      <c r="TI300" s="32"/>
      <c r="TJ300" s="32"/>
      <c r="TK300" s="32"/>
      <c r="TL300" s="32"/>
      <c r="TM300" s="32"/>
      <c r="TN300" s="32"/>
      <c r="TO300" s="32"/>
      <c r="TP300" s="32"/>
      <c r="TQ300" s="32"/>
      <c r="TR300" s="32"/>
      <c r="TS300" s="32"/>
    </row>
    <row r="301" spans="1:539" s="27" customFormat="1" ht="29.25" customHeight="1" x14ac:dyDescent="0.2">
      <c r="A301" s="68"/>
      <c r="B301" s="69"/>
      <c r="C301" s="70"/>
      <c r="D301" s="71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  <c r="IT301" s="32"/>
      <c r="IU301" s="32"/>
      <c r="IV301" s="32"/>
      <c r="IW301" s="32"/>
      <c r="IX301" s="32"/>
      <c r="IY301" s="32"/>
      <c r="IZ301" s="32"/>
      <c r="JA301" s="32"/>
      <c r="JB301" s="32"/>
      <c r="JC301" s="32"/>
      <c r="JD301" s="32"/>
      <c r="JE301" s="32"/>
      <c r="JF301" s="32"/>
      <c r="JG301" s="32"/>
      <c r="JH301" s="32"/>
      <c r="JI301" s="32"/>
      <c r="JJ301" s="32"/>
      <c r="JK301" s="32"/>
      <c r="JL301" s="32"/>
      <c r="JM301" s="32"/>
      <c r="JN301" s="32"/>
      <c r="JO301" s="32"/>
      <c r="JP301" s="32"/>
      <c r="JQ301" s="32"/>
      <c r="JR301" s="32"/>
      <c r="JS301" s="32"/>
      <c r="JT301" s="32"/>
      <c r="JU301" s="32"/>
      <c r="JV301" s="32"/>
      <c r="JW301" s="32"/>
      <c r="JX301" s="32"/>
      <c r="JY301" s="32"/>
      <c r="JZ301" s="32"/>
      <c r="KA301" s="32"/>
      <c r="KB301" s="32"/>
      <c r="KC301" s="32"/>
      <c r="KD301" s="32"/>
      <c r="KE301" s="32"/>
      <c r="KF301" s="32"/>
      <c r="KG301" s="32"/>
      <c r="KH301" s="32"/>
      <c r="KI301" s="32"/>
      <c r="KJ301" s="32"/>
      <c r="KK301" s="32"/>
      <c r="KL301" s="32"/>
      <c r="KM301" s="32"/>
      <c r="KN301" s="32"/>
      <c r="KO301" s="32"/>
      <c r="KP301" s="32"/>
      <c r="KQ301" s="32"/>
      <c r="KR301" s="32"/>
      <c r="KS301" s="32"/>
      <c r="KT301" s="32"/>
      <c r="KU301" s="32"/>
      <c r="KV301" s="32"/>
      <c r="KW301" s="32"/>
      <c r="KX301" s="32"/>
      <c r="KY301" s="32"/>
      <c r="KZ301" s="32"/>
      <c r="LA301" s="32"/>
      <c r="LB301" s="32"/>
      <c r="LC301" s="32"/>
      <c r="LD301" s="32"/>
      <c r="LE301" s="32"/>
      <c r="LF301" s="32"/>
      <c r="LG301" s="32"/>
      <c r="LH301" s="32"/>
      <c r="LI301" s="32"/>
      <c r="LJ301" s="32"/>
      <c r="LK301" s="32"/>
      <c r="LL301" s="32"/>
      <c r="LM301" s="32"/>
      <c r="LN301" s="32"/>
      <c r="LO301" s="32"/>
      <c r="LP301" s="32"/>
      <c r="LQ301" s="32"/>
      <c r="LR301" s="32"/>
      <c r="LS301" s="32"/>
      <c r="LT301" s="32"/>
      <c r="LU301" s="32"/>
      <c r="LV301" s="32"/>
      <c r="LW301" s="32"/>
      <c r="LX301" s="32"/>
      <c r="LY301" s="32"/>
      <c r="LZ301" s="32"/>
      <c r="MA301" s="32"/>
      <c r="MB301" s="32"/>
      <c r="MC301" s="32"/>
      <c r="MD301" s="32"/>
      <c r="ME301" s="32"/>
      <c r="MF301" s="32"/>
      <c r="MG301" s="32"/>
      <c r="MH301" s="32"/>
      <c r="MI301" s="32"/>
      <c r="MJ301" s="32"/>
      <c r="MK301" s="32"/>
      <c r="ML301" s="32"/>
      <c r="MM301" s="32"/>
      <c r="MN301" s="32"/>
      <c r="MO301" s="32"/>
      <c r="MP301" s="32"/>
      <c r="MQ301" s="32"/>
      <c r="MR301" s="32"/>
      <c r="MS301" s="32"/>
      <c r="MT301" s="32"/>
      <c r="MU301" s="32"/>
      <c r="MV301" s="32"/>
      <c r="MW301" s="32"/>
      <c r="MX301" s="32"/>
      <c r="MY301" s="32"/>
      <c r="MZ301" s="32"/>
      <c r="NA301" s="32"/>
      <c r="NB301" s="32"/>
      <c r="NC301" s="32"/>
      <c r="ND301" s="32"/>
      <c r="NE301" s="32"/>
      <c r="NF301" s="32"/>
      <c r="NG301" s="32"/>
      <c r="NH301" s="32"/>
      <c r="NI301" s="32"/>
      <c r="NJ301" s="32"/>
      <c r="NK301" s="32"/>
      <c r="NL301" s="32"/>
      <c r="NM301" s="32"/>
      <c r="NN301" s="32"/>
      <c r="NO301" s="32"/>
      <c r="NP301" s="32"/>
      <c r="NQ301" s="32"/>
      <c r="NR301" s="32"/>
      <c r="NS301" s="32"/>
      <c r="NT301" s="32"/>
      <c r="NU301" s="32"/>
      <c r="NV301" s="32"/>
      <c r="NW301" s="32"/>
      <c r="NX301" s="32"/>
      <c r="NY301" s="32"/>
      <c r="NZ301" s="32"/>
      <c r="OA301" s="32"/>
      <c r="OB301" s="32"/>
      <c r="OC301" s="32"/>
      <c r="OD301" s="32"/>
      <c r="OE301" s="32"/>
      <c r="OF301" s="32"/>
      <c r="OG301" s="32"/>
      <c r="OH301" s="32"/>
      <c r="OI301" s="32"/>
      <c r="OJ301" s="32"/>
      <c r="OK301" s="32"/>
      <c r="OL301" s="32"/>
      <c r="OM301" s="32"/>
      <c r="ON301" s="32"/>
      <c r="OO301" s="32"/>
      <c r="OP301" s="32"/>
      <c r="OQ301" s="32"/>
      <c r="OR301" s="32"/>
      <c r="OS301" s="32"/>
      <c r="OT301" s="32"/>
      <c r="OU301" s="32"/>
      <c r="OV301" s="32"/>
      <c r="OW301" s="32"/>
      <c r="OX301" s="32"/>
      <c r="OY301" s="32"/>
      <c r="OZ301" s="32"/>
      <c r="PA301" s="32"/>
      <c r="PB301" s="32"/>
      <c r="PC301" s="32"/>
      <c r="PD301" s="32"/>
      <c r="PE301" s="32"/>
      <c r="PF301" s="32"/>
      <c r="PG301" s="32"/>
      <c r="PH301" s="32"/>
      <c r="PI301" s="32"/>
      <c r="PJ301" s="32"/>
      <c r="PK301" s="32"/>
      <c r="PL301" s="32"/>
      <c r="PM301" s="32"/>
      <c r="PN301" s="32"/>
      <c r="PO301" s="32"/>
      <c r="PP301" s="32"/>
      <c r="PQ301" s="32"/>
      <c r="PR301" s="32"/>
      <c r="PS301" s="32"/>
      <c r="PT301" s="32"/>
      <c r="PU301" s="32"/>
      <c r="PV301" s="32"/>
      <c r="PW301" s="32"/>
      <c r="PX301" s="32"/>
      <c r="PY301" s="32"/>
      <c r="PZ301" s="32"/>
      <c r="QA301" s="32"/>
      <c r="QB301" s="32"/>
      <c r="QC301" s="32"/>
      <c r="QD301" s="32"/>
      <c r="QE301" s="32"/>
      <c r="QF301" s="32"/>
      <c r="QG301" s="32"/>
      <c r="QH301" s="32"/>
      <c r="QI301" s="32"/>
      <c r="QJ301" s="32"/>
      <c r="QK301" s="32"/>
      <c r="QL301" s="32"/>
      <c r="QM301" s="32"/>
      <c r="QN301" s="32"/>
      <c r="QO301" s="32"/>
      <c r="QP301" s="32"/>
      <c r="QQ301" s="32"/>
      <c r="QR301" s="32"/>
      <c r="QS301" s="32"/>
      <c r="QT301" s="32"/>
      <c r="QU301" s="32"/>
      <c r="QV301" s="32"/>
      <c r="QW301" s="32"/>
      <c r="QX301" s="32"/>
      <c r="QY301" s="32"/>
      <c r="QZ301" s="32"/>
      <c r="RA301" s="32"/>
      <c r="RB301" s="32"/>
      <c r="RC301" s="32"/>
      <c r="RD301" s="32"/>
      <c r="RE301" s="32"/>
      <c r="RF301" s="32"/>
      <c r="RG301" s="32"/>
      <c r="RH301" s="32"/>
      <c r="RI301" s="32"/>
      <c r="RJ301" s="32"/>
      <c r="RK301" s="32"/>
      <c r="RL301" s="32"/>
      <c r="RM301" s="32"/>
      <c r="RN301" s="32"/>
      <c r="RO301" s="32"/>
      <c r="RP301" s="32"/>
      <c r="RQ301" s="32"/>
      <c r="RR301" s="32"/>
      <c r="RS301" s="32"/>
      <c r="RT301" s="32"/>
      <c r="RU301" s="32"/>
      <c r="RV301" s="32"/>
      <c r="RW301" s="32"/>
      <c r="RX301" s="32"/>
      <c r="RY301" s="32"/>
      <c r="RZ301" s="32"/>
      <c r="SA301" s="32"/>
      <c r="SB301" s="32"/>
      <c r="SC301" s="32"/>
      <c r="SD301" s="32"/>
      <c r="SE301" s="32"/>
      <c r="SF301" s="32"/>
      <c r="SG301" s="32"/>
      <c r="SH301" s="32"/>
      <c r="SI301" s="32"/>
      <c r="SJ301" s="32"/>
      <c r="SK301" s="32"/>
      <c r="SL301" s="32"/>
      <c r="SM301" s="32"/>
      <c r="SN301" s="32"/>
      <c r="SO301" s="32"/>
      <c r="SP301" s="32"/>
      <c r="SQ301" s="32"/>
      <c r="SR301" s="32"/>
      <c r="SS301" s="32"/>
      <c r="ST301" s="32"/>
      <c r="SU301" s="32"/>
      <c r="SV301" s="32"/>
      <c r="SW301" s="32"/>
      <c r="SX301" s="32"/>
      <c r="SY301" s="32"/>
      <c r="SZ301" s="32"/>
      <c r="TA301" s="32"/>
      <c r="TB301" s="32"/>
      <c r="TC301" s="32"/>
      <c r="TD301" s="32"/>
      <c r="TE301" s="32"/>
      <c r="TF301" s="32"/>
      <c r="TG301" s="32"/>
      <c r="TH301" s="32"/>
      <c r="TI301" s="32"/>
      <c r="TJ301" s="32"/>
      <c r="TK301" s="32"/>
      <c r="TL301" s="32"/>
      <c r="TM301" s="32"/>
      <c r="TN301" s="32"/>
      <c r="TO301" s="32"/>
      <c r="TP301" s="32"/>
      <c r="TQ301" s="32"/>
      <c r="TR301" s="32"/>
      <c r="TS301" s="32"/>
    </row>
    <row r="302" spans="1:539" s="172" customFormat="1" ht="39.75" customHeight="1" x14ac:dyDescent="0.6">
      <c r="A302" s="167" t="s">
        <v>475</v>
      </c>
      <c r="B302" s="168"/>
      <c r="C302" s="169"/>
      <c r="D302" s="170"/>
      <c r="E302" s="171"/>
      <c r="F302" s="170"/>
      <c r="G302" s="170"/>
      <c r="H302" s="170"/>
      <c r="I302" s="170"/>
      <c r="J302" s="170"/>
      <c r="K302" s="170"/>
      <c r="L302" s="170"/>
      <c r="M302" s="170"/>
      <c r="N302" s="170"/>
      <c r="Q302" s="170"/>
      <c r="S302" s="171"/>
      <c r="T302" s="171"/>
      <c r="U302" s="171"/>
      <c r="V302" s="171"/>
      <c r="W302" s="171"/>
      <c r="X302" s="171"/>
      <c r="Y302" s="170" t="s">
        <v>476</v>
      </c>
      <c r="Z302" s="170"/>
      <c r="AA302" s="171"/>
      <c r="AB302" s="171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3"/>
      <c r="AR302" s="173"/>
      <c r="AS302" s="173"/>
      <c r="AT302" s="173"/>
      <c r="AU302" s="173"/>
      <c r="AV302" s="173"/>
      <c r="AW302" s="173"/>
      <c r="AX302" s="173"/>
      <c r="AY302" s="173"/>
      <c r="AZ302" s="173"/>
      <c r="BA302" s="173"/>
      <c r="BB302" s="173"/>
      <c r="BC302" s="173"/>
      <c r="BD302" s="173"/>
      <c r="BE302" s="173"/>
      <c r="BF302" s="173"/>
      <c r="BG302" s="173"/>
      <c r="BH302" s="173"/>
      <c r="BI302" s="173"/>
      <c r="BJ302" s="173"/>
      <c r="BK302" s="173"/>
      <c r="BL302" s="173"/>
      <c r="BM302" s="173"/>
      <c r="BN302" s="173"/>
      <c r="BO302" s="173"/>
      <c r="BP302" s="173"/>
      <c r="BQ302" s="173"/>
      <c r="BR302" s="173"/>
      <c r="BS302" s="173"/>
      <c r="BT302" s="173"/>
      <c r="BU302" s="173"/>
      <c r="BV302" s="173"/>
      <c r="BW302" s="173"/>
      <c r="BX302" s="173"/>
      <c r="BY302" s="173"/>
      <c r="BZ302" s="173"/>
      <c r="CA302" s="173"/>
      <c r="CB302" s="173"/>
      <c r="CC302" s="173"/>
      <c r="CD302" s="173"/>
      <c r="CE302" s="173"/>
      <c r="CF302" s="173"/>
      <c r="CG302" s="173"/>
      <c r="CH302" s="173"/>
      <c r="CI302" s="173"/>
      <c r="CJ302" s="173"/>
      <c r="CK302" s="173"/>
      <c r="CL302" s="173"/>
      <c r="CM302" s="173"/>
      <c r="CN302" s="173"/>
      <c r="CO302" s="173"/>
      <c r="CP302" s="173"/>
      <c r="CQ302" s="173"/>
      <c r="CR302" s="173"/>
      <c r="CS302" s="173"/>
      <c r="CT302" s="173"/>
      <c r="CU302" s="173"/>
      <c r="CV302" s="173"/>
      <c r="CW302" s="173"/>
      <c r="CX302" s="173"/>
      <c r="CY302" s="173"/>
      <c r="CZ302" s="173"/>
      <c r="DA302" s="173"/>
      <c r="DB302" s="173"/>
      <c r="DC302" s="173"/>
      <c r="DD302" s="173"/>
      <c r="DE302" s="173"/>
      <c r="DF302" s="173"/>
      <c r="DG302" s="173"/>
      <c r="DH302" s="173"/>
      <c r="DI302" s="173"/>
      <c r="DJ302" s="173"/>
      <c r="DK302" s="173"/>
      <c r="DL302" s="173"/>
      <c r="DM302" s="173"/>
      <c r="DN302" s="173"/>
      <c r="DO302" s="173"/>
      <c r="DP302" s="173"/>
      <c r="DQ302" s="173"/>
      <c r="DR302" s="173"/>
      <c r="DS302" s="173"/>
      <c r="DT302" s="173"/>
      <c r="DU302" s="173"/>
      <c r="DV302" s="173"/>
      <c r="DW302" s="173"/>
      <c r="DX302" s="173"/>
      <c r="DY302" s="173"/>
      <c r="DZ302" s="173"/>
      <c r="EA302" s="173"/>
      <c r="EB302" s="173"/>
      <c r="EC302" s="173"/>
      <c r="ED302" s="173"/>
      <c r="EE302" s="173"/>
      <c r="EF302" s="173"/>
      <c r="EG302" s="173"/>
      <c r="EH302" s="173"/>
      <c r="EI302" s="173"/>
      <c r="EJ302" s="173"/>
      <c r="EK302" s="173"/>
      <c r="EL302" s="173"/>
      <c r="EM302" s="173"/>
      <c r="EN302" s="173"/>
      <c r="EO302" s="173"/>
      <c r="EP302" s="173"/>
      <c r="EQ302" s="173"/>
      <c r="ER302" s="173"/>
      <c r="ES302" s="173"/>
      <c r="ET302" s="173"/>
      <c r="EU302" s="173"/>
      <c r="EV302" s="173"/>
      <c r="EW302" s="173"/>
      <c r="EX302" s="173"/>
      <c r="EY302" s="173"/>
      <c r="EZ302" s="173"/>
      <c r="FA302" s="173"/>
      <c r="FB302" s="173"/>
      <c r="FC302" s="173"/>
      <c r="FD302" s="173"/>
      <c r="FE302" s="173"/>
      <c r="FF302" s="173"/>
      <c r="FG302" s="173"/>
      <c r="FH302" s="173"/>
      <c r="FI302" s="173"/>
      <c r="FJ302" s="173"/>
      <c r="FK302" s="173"/>
      <c r="FL302" s="173"/>
      <c r="FM302" s="173"/>
      <c r="FN302" s="173"/>
      <c r="FO302" s="173"/>
      <c r="FP302" s="173"/>
      <c r="FQ302" s="173"/>
      <c r="FR302" s="173"/>
      <c r="FS302" s="173"/>
      <c r="FT302" s="173"/>
      <c r="FU302" s="173"/>
      <c r="FV302" s="173"/>
      <c r="FW302" s="173"/>
      <c r="FX302" s="173"/>
      <c r="FY302" s="173"/>
      <c r="FZ302" s="173"/>
      <c r="GA302" s="173"/>
      <c r="GB302" s="173"/>
      <c r="GC302" s="173"/>
      <c r="GD302" s="173"/>
      <c r="GE302" s="173"/>
      <c r="GF302" s="173"/>
      <c r="GG302" s="173"/>
      <c r="GH302" s="173"/>
      <c r="GI302" s="173"/>
      <c r="GJ302" s="173"/>
      <c r="GK302" s="173"/>
      <c r="GL302" s="173"/>
      <c r="GM302" s="173"/>
      <c r="GN302" s="173"/>
      <c r="GO302" s="173"/>
      <c r="GP302" s="173"/>
      <c r="GQ302" s="173"/>
      <c r="GR302" s="173"/>
      <c r="GS302" s="173"/>
      <c r="GT302" s="173"/>
      <c r="GU302" s="173"/>
      <c r="GV302" s="173"/>
      <c r="GW302" s="173"/>
      <c r="GX302" s="173"/>
      <c r="GY302" s="173"/>
      <c r="GZ302" s="173"/>
      <c r="HA302" s="173"/>
      <c r="HB302" s="173"/>
      <c r="HC302" s="173"/>
      <c r="HD302" s="173"/>
      <c r="HE302" s="173"/>
      <c r="HF302" s="173"/>
      <c r="HG302" s="173"/>
      <c r="HH302" s="173"/>
      <c r="HI302" s="173"/>
      <c r="HJ302" s="173"/>
      <c r="HK302" s="173"/>
      <c r="HL302" s="173"/>
      <c r="HM302" s="173"/>
      <c r="HN302" s="173"/>
      <c r="HO302" s="173"/>
      <c r="HP302" s="173"/>
      <c r="HQ302" s="173"/>
      <c r="HR302" s="173"/>
      <c r="HS302" s="173"/>
      <c r="HT302" s="173"/>
      <c r="HU302" s="173"/>
      <c r="HV302" s="173"/>
      <c r="HW302" s="173"/>
      <c r="HX302" s="173"/>
      <c r="HY302" s="173"/>
      <c r="HZ302" s="173"/>
      <c r="IA302" s="173"/>
      <c r="IB302" s="173"/>
      <c r="IC302" s="173"/>
      <c r="ID302" s="173"/>
      <c r="IE302" s="173"/>
      <c r="IF302" s="173"/>
      <c r="IG302" s="173"/>
      <c r="IH302" s="173"/>
      <c r="II302" s="173"/>
      <c r="IJ302" s="173"/>
      <c r="IK302" s="173"/>
      <c r="IL302" s="173"/>
      <c r="IM302" s="173"/>
      <c r="IN302" s="173"/>
      <c r="IO302" s="173"/>
      <c r="IP302" s="173"/>
      <c r="IQ302" s="173"/>
      <c r="IR302" s="173"/>
      <c r="IS302" s="173"/>
      <c r="IT302" s="173"/>
      <c r="IU302" s="173"/>
      <c r="IV302" s="173"/>
      <c r="IW302" s="173"/>
      <c r="IX302" s="173"/>
      <c r="IY302" s="173"/>
      <c r="IZ302" s="173"/>
      <c r="JA302" s="173"/>
      <c r="JB302" s="173"/>
      <c r="JC302" s="173"/>
      <c r="JD302" s="173"/>
      <c r="JE302" s="173"/>
      <c r="JF302" s="173"/>
      <c r="JG302" s="173"/>
      <c r="JH302" s="173"/>
      <c r="JI302" s="173"/>
      <c r="JJ302" s="173"/>
      <c r="JK302" s="173"/>
      <c r="JL302" s="173"/>
      <c r="JM302" s="173"/>
      <c r="JN302" s="173"/>
      <c r="JO302" s="173"/>
      <c r="JP302" s="173"/>
      <c r="JQ302" s="173"/>
      <c r="JR302" s="173"/>
      <c r="JS302" s="173"/>
      <c r="JT302" s="173"/>
      <c r="JU302" s="173"/>
      <c r="JV302" s="173"/>
      <c r="JW302" s="173"/>
      <c r="JX302" s="173"/>
      <c r="JY302" s="173"/>
      <c r="JZ302" s="173"/>
      <c r="KA302" s="173"/>
      <c r="KB302" s="173"/>
      <c r="KC302" s="173"/>
      <c r="KD302" s="173"/>
      <c r="KE302" s="173"/>
      <c r="KF302" s="173"/>
      <c r="KG302" s="173"/>
      <c r="KH302" s="173"/>
      <c r="KI302" s="173"/>
      <c r="KJ302" s="173"/>
      <c r="KK302" s="173"/>
      <c r="KL302" s="173"/>
      <c r="KM302" s="173"/>
      <c r="KN302" s="173"/>
      <c r="KO302" s="173"/>
      <c r="KP302" s="173"/>
      <c r="KQ302" s="173"/>
      <c r="KR302" s="173"/>
      <c r="KS302" s="173"/>
      <c r="KT302" s="173"/>
      <c r="KU302" s="173"/>
      <c r="KV302" s="173"/>
      <c r="KW302" s="173"/>
      <c r="KX302" s="173"/>
      <c r="KY302" s="173"/>
      <c r="KZ302" s="173"/>
      <c r="LA302" s="173"/>
      <c r="LB302" s="173"/>
      <c r="LC302" s="173"/>
      <c r="LD302" s="173"/>
      <c r="LE302" s="173"/>
      <c r="LF302" s="173"/>
      <c r="LG302" s="173"/>
      <c r="LH302" s="173"/>
      <c r="LI302" s="173"/>
      <c r="LJ302" s="173"/>
      <c r="LK302" s="173"/>
      <c r="LL302" s="173"/>
      <c r="LM302" s="173"/>
      <c r="LN302" s="173"/>
      <c r="LO302" s="173"/>
      <c r="LP302" s="173"/>
      <c r="LQ302" s="173"/>
      <c r="LR302" s="173"/>
      <c r="LS302" s="173"/>
      <c r="LT302" s="173"/>
      <c r="LU302" s="173"/>
      <c r="LV302" s="173"/>
      <c r="LW302" s="173"/>
      <c r="LX302" s="173"/>
      <c r="LY302" s="173"/>
      <c r="LZ302" s="173"/>
      <c r="MA302" s="173"/>
      <c r="MB302" s="173"/>
      <c r="MC302" s="173"/>
      <c r="MD302" s="173"/>
      <c r="ME302" s="173"/>
      <c r="MF302" s="173"/>
      <c r="MG302" s="173"/>
      <c r="MH302" s="173"/>
      <c r="MI302" s="173"/>
      <c r="MJ302" s="173"/>
      <c r="MK302" s="173"/>
      <c r="ML302" s="173"/>
      <c r="MM302" s="173"/>
      <c r="MN302" s="173"/>
      <c r="MO302" s="173"/>
      <c r="MP302" s="173"/>
      <c r="MQ302" s="173"/>
      <c r="MR302" s="173"/>
      <c r="MS302" s="173"/>
      <c r="MT302" s="173"/>
      <c r="MU302" s="173"/>
      <c r="MV302" s="173"/>
      <c r="MW302" s="173"/>
      <c r="MX302" s="173"/>
      <c r="MY302" s="173"/>
      <c r="MZ302" s="173"/>
      <c r="NA302" s="173"/>
      <c r="NB302" s="173"/>
      <c r="NC302" s="173"/>
      <c r="ND302" s="173"/>
      <c r="NE302" s="173"/>
      <c r="NF302" s="173"/>
      <c r="NG302" s="173"/>
      <c r="NH302" s="173"/>
      <c r="NI302" s="173"/>
      <c r="NJ302" s="173"/>
      <c r="NK302" s="173"/>
      <c r="NL302" s="173"/>
      <c r="NM302" s="173"/>
      <c r="NN302" s="173"/>
      <c r="NO302" s="173"/>
      <c r="NP302" s="173"/>
      <c r="NQ302" s="173"/>
      <c r="NR302" s="173"/>
      <c r="NS302" s="173"/>
      <c r="NT302" s="173"/>
      <c r="NU302" s="173"/>
      <c r="NV302" s="173"/>
      <c r="NW302" s="173"/>
      <c r="NX302" s="173"/>
      <c r="NY302" s="173"/>
      <c r="NZ302" s="173"/>
      <c r="OA302" s="173"/>
      <c r="OB302" s="173"/>
      <c r="OC302" s="173"/>
      <c r="OD302" s="173"/>
      <c r="OE302" s="173"/>
      <c r="OF302" s="173"/>
      <c r="OG302" s="173"/>
      <c r="OH302" s="173"/>
      <c r="OI302" s="173"/>
      <c r="OJ302" s="173"/>
      <c r="OK302" s="173"/>
      <c r="OL302" s="173"/>
      <c r="OM302" s="173"/>
      <c r="ON302" s="173"/>
      <c r="OO302" s="173"/>
      <c r="OP302" s="173"/>
      <c r="OQ302" s="173"/>
      <c r="OR302" s="173"/>
      <c r="OS302" s="173"/>
      <c r="OT302" s="173"/>
      <c r="OU302" s="173"/>
      <c r="OV302" s="173"/>
      <c r="OW302" s="173"/>
      <c r="OX302" s="173"/>
      <c r="OY302" s="173"/>
      <c r="OZ302" s="173"/>
      <c r="PA302" s="173"/>
      <c r="PB302" s="173"/>
      <c r="PC302" s="173"/>
      <c r="PD302" s="173"/>
      <c r="PE302" s="173"/>
      <c r="PF302" s="173"/>
      <c r="PG302" s="173"/>
      <c r="PH302" s="173"/>
      <c r="PI302" s="173"/>
      <c r="PJ302" s="173"/>
      <c r="PK302" s="173"/>
      <c r="PL302" s="173"/>
      <c r="PM302" s="173"/>
      <c r="PN302" s="173"/>
      <c r="PO302" s="173"/>
      <c r="PP302" s="173"/>
      <c r="PQ302" s="173"/>
      <c r="PR302" s="173"/>
      <c r="PS302" s="173"/>
      <c r="PT302" s="173"/>
      <c r="PU302" s="173"/>
      <c r="PV302" s="173"/>
      <c r="PW302" s="173"/>
      <c r="PX302" s="173"/>
      <c r="PY302" s="173"/>
      <c r="PZ302" s="173"/>
      <c r="QA302" s="173"/>
      <c r="QB302" s="173"/>
      <c r="QC302" s="173"/>
      <c r="QD302" s="173"/>
      <c r="QE302" s="173"/>
      <c r="QF302" s="173"/>
      <c r="QG302" s="173"/>
      <c r="QH302" s="173"/>
      <c r="QI302" s="173"/>
      <c r="QJ302" s="173"/>
      <c r="QK302" s="173"/>
      <c r="QL302" s="173"/>
      <c r="QM302" s="173"/>
      <c r="QN302" s="173"/>
      <c r="QO302" s="173"/>
      <c r="QP302" s="173"/>
      <c r="QQ302" s="173"/>
      <c r="QR302" s="173"/>
      <c r="QS302" s="173"/>
      <c r="QT302" s="173"/>
      <c r="QU302" s="173"/>
      <c r="QV302" s="173"/>
      <c r="QW302" s="173"/>
      <c r="QX302" s="173"/>
      <c r="QY302" s="173"/>
      <c r="QZ302" s="173"/>
      <c r="RA302" s="173"/>
      <c r="RB302" s="173"/>
      <c r="RC302" s="173"/>
      <c r="RD302" s="173"/>
      <c r="RE302" s="173"/>
      <c r="RF302" s="173"/>
      <c r="RG302" s="173"/>
      <c r="RH302" s="173"/>
      <c r="RI302" s="173"/>
      <c r="RJ302" s="173"/>
      <c r="RK302" s="173"/>
      <c r="RL302" s="173"/>
      <c r="RM302" s="173"/>
      <c r="RN302" s="173"/>
      <c r="RO302" s="173"/>
      <c r="RP302" s="173"/>
      <c r="RQ302" s="173"/>
      <c r="RR302" s="173"/>
      <c r="RS302" s="173"/>
      <c r="RT302" s="173"/>
      <c r="RU302" s="173"/>
      <c r="RV302" s="173"/>
      <c r="RW302" s="173"/>
      <c r="RX302" s="173"/>
      <c r="RY302" s="173"/>
      <c r="RZ302" s="173"/>
      <c r="SA302" s="173"/>
      <c r="SB302" s="173"/>
      <c r="SC302" s="173"/>
      <c r="SD302" s="173"/>
      <c r="SE302" s="173"/>
      <c r="SF302" s="173"/>
      <c r="SG302" s="173"/>
      <c r="SH302" s="173"/>
      <c r="SI302" s="173"/>
      <c r="SJ302" s="173"/>
      <c r="SK302" s="173"/>
      <c r="SL302" s="173"/>
      <c r="SM302" s="173"/>
      <c r="SN302" s="173"/>
      <c r="SO302" s="173"/>
      <c r="SP302" s="173"/>
      <c r="SQ302" s="173"/>
      <c r="SR302" s="173"/>
      <c r="SS302" s="173"/>
      <c r="ST302" s="173"/>
      <c r="SU302" s="173"/>
      <c r="SV302" s="173"/>
      <c r="SW302" s="173"/>
      <c r="SX302" s="173"/>
      <c r="SY302" s="173"/>
      <c r="SZ302" s="173"/>
      <c r="TA302" s="173"/>
      <c r="TB302" s="173"/>
      <c r="TC302" s="173"/>
      <c r="TD302" s="173"/>
      <c r="TE302" s="173"/>
      <c r="TF302" s="173"/>
      <c r="TG302" s="173"/>
      <c r="TH302" s="173"/>
      <c r="TI302" s="173"/>
      <c r="TJ302" s="173"/>
      <c r="TK302" s="173"/>
      <c r="TL302" s="173"/>
      <c r="TM302" s="173"/>
      <c r="TN302" s="173"/>
      <c r="TO302" s="173"/>
      <c r="TP302" s="173"/>
      <c r="TQ302" s="173"/>
      <c r="TR302" s="173"/>
      <c r="TS302" s="173"/>
    </row>
    <row r="303" spans="1:539" s="28" customFormat="1" ht="20.25" customHeight="1" x14ac:dyDescent="0.25">
      <c r="A303" s="56"/>
      <c r="B303" s="62"/>
      <c r="C303" s="62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142"/>
    </row>
    <row r="304" spans="1:539" s="165" customFormat="1" ht="40.5" x14ac:dyDescent="0.55000000000000004">
      <c r="A304" s="175" t="s">
        <v>477</v>
      </c>
      <c r="B304" s="175"/>
      <c r="C304" s="175"/>
      <c r="D304" s="175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  <c r="AB304" s="176"/>
    </row>
    <row r="305" spans="1:28" s="165" customFormat="1" ht="39.75" customHeight="1" x14ac:dyDescent="0.55000000000000004">
      <c r="A305" s="193" t="s">
        <v>563</v>
      </c>
      <c r="B305" s="193"/>
      <c r="C305" s="193"/>
      <c r="D305" s="193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  <c r="AB305" s="176"/>
    </row>
    <row r="306" spans="1:28" s="130" customFormat="1" ht="26.25" x14ac:dyDescent="0.4">
      <c r="A306" s="131"/>
      <c r="B306" s="132"/>
      <c r="C306" s="132"/>
      <c r="D306" s="133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</row>
    <row r="307" spans="1:28" s="28" customFormat="1" x14ac:dyDescent="0.25">
      <c r="A307" s="56"/>
      <c r="B307" s="62"/>
      <c r="C307" s="62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 s="28" customFormat="1" x14ac:dyDescent="0.25">
      <c r="A308" s="56"/>
      <c r="B308" s="62"/>
      <c r="C308" s="62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 s="28" customFormat="1" x14ac:dyDescent="0.25">
      <c r="A309" s="56"/>
      <c r="B309" s="62"/>
      <c r="C309" s="62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142"/>
    </row>
    <row r="310" spans="1:28" s="28" customFormat="1" x14ac:dyDescent="0.25">
      <c r="A310" s="56"/>
      <c r="B310" s="62"/>
      <c r="C310" s="62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142"/>
    </row>
    <row r="311" spans="1:28" s="28" customFormat="1" x14ac:dyDescent="0.25">
      <c r="A311" s="56"/>
      <c r="B311" s="62"/>
      <c r="C311" s="62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142"/>
    </row>
    <row r="312" spans="1:28" s="28" customFormat="1" x14ac:dyDescent="0.25">
      <c r="A312" s="56"/>
      <c r="B312" s="62"/>
      <c r="C312" s="62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142"/>
    </row>
    <row r="313" spans="1:28" s="28" customFormat="1" x14ac:dyDescent="0.25">
      <c r="A313" s="56"/>
      <c r="B313" s="62"/>
      <c r="C313" s="62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142"/>
    </row>
    <row r="314" spans="1:28" s="28" customFormat="1" x14ac:dyDescent="0.25">
      <c r="A314" s="56"/>
      <c r="B314" s="62"/>
      <c r="C314" s="62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142"/>
    </row>
    <row r="315" spans="1:28" s="28" customForma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142"/>
    </row>
    <row r="316" spans="1:28" s="28" customFormat="1" x14ac:dyDescent="0.25">
      <c r="A316" s="56"/>
      <c r="B316" s="62"/>
      <c r="C316" s="62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142"/>
    </row>
    <row r="317" spans="1:28" s="28" customFormat="1" x14ac:dyDescent="0.25">
      <c r="A317" s="56"/>
      <c r="B317" s="62"/>
      <c r="C317" s="62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142"/>
    </row>
    <row r="318" spans="1:28" s="28" customFormat="1" x14ac:dyDescent="0.25">
      <c r="A318" s="56"/>
      <c r="B318" s="62"/>
      <c r="C318" s="62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142"/>
    </row>
    <row r="319" spans="1:28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142"/>
    </row>
    <row r="320" spans="1:28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142"/>
    </row>
    <row r="321" spans="1:28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142"/>
    </row>
    <row r="322" spans="1:28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142"/>
    </row>
    <row r="323" spans="1:28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142"/>
    </row>
    <row r="324" spans="1:28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142"/>
    </row>
    <row r="325" spans="1:28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142"/>
    </row>
    <row r="326" spans="1:28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142"/>
    </row>
    <row r="327" spans="1:28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142"/>
    </row>
    <row r="328" spans="1:28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142"/>
    </row>
    <row r="329" spans="1:28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142"/>
    </row>
    <row r="330" spans="1:28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142"/>
    </row>
    <row r="331" spans="1:28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142"/>
    </row>
    <row r="332" spans="1:28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142"/>
    </row>
    <row r="333" spans="1:28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142"/>
    </row>
    <row r="334" spans="1:28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142"/>
    </row>
    <row r="335" spans="1:28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142"/>
    </row>
    <row r="336" spans="1:28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142"/>
    </row>
    <row r="337" spans="1:28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142"/>
    </row>
    <row r="338" spans="1:28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142"/>
    </row>
    <row r="339" spans="1:28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142"/>
    </row>
    <row r="340" spans="1:28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142"/>
    </row>
    <row r="341" spans="1:28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142"/>
    </row>
    <row r="342" spans="1:28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142"/>
    </row>
    <row r="343" spans="1:28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142"/>
    </row>
    <row r="344" spans="1:28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142"/>
    </row>
    <row r="345" spans="1:28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142"/>
    </row>
    <row r="346" spans="1:28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142"/>
    </row>
    <row r="347" spans="1:28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142"/>
    </row>
    <row r="348" spans="1:28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142"/>
    </row>
    <row r="349" spans="1:28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142"/>
    </row>
    <row r="350" spans="1:28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142"/>
    </row>
    <row r="351" spans="1:28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142"/>
    </row>
    <row r="352" spans="1:28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142"/>
    </row>
    <row r="353" spans="1:28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142"/>
    </row>
    <row r="354" spans="1:28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142"/>
    </row>
    <row r="355" spans="1:28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142"/>
    </row>
    <row r="356" spans="1:28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142"/>
    </row>
    <row r="357" spans="1:28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142"/>
    </row>
    <row r="358" spans="1:28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142"/>
    </row>
    <row r="359" spans="1:28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142"/>
    </row>
    <row r="360" spans="1:28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142"/>
    </row>
    <row r="361" spans="1:28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142"/>
    </row>
    <row r="362" spans="1:28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142"/>
    </row>
    <row r="363" spans="1:28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142"/>
    </row>
    <row r="364" spans="1:28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142"/>
    </row>
    <row r="365" spans="1:28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142"/>
    </row>
    <row r="366" spans="1:28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142"/>
    </row>
    <row r="367" spans="1:28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142"/>
    </row>
    <row r="368" spans="1:28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142"/>
    </row>
    <row r="369" spans="1:28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142"/>
    </row>
    <row r="370" spans="1:28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142"/>
    </row>
    <row r="371" spans="1:28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142"/>
    </row>
    <row r="372" spans="1:28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142"/>
    </row>
    <row r="373" spans="1:28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142"/>
    </row>
    <row r="374" spans="1:28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142"/>
    </row>
    <row r="375" spans="1:28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142"/>
    </row>
    <row r="376" spans="1:28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142"/>
    </row>
    <row r="377" spans="1:28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142"/>
    </row>
    <row r="378" spans="1:28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142"/>
    </row>
    <row r="379" spans="1:28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142"/>
    </row>
    <row r="380" spans="1:28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142"/>
    </row>
    <row r="381" spans="1:28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142"/>
    </row>
    <row r="382" spans="1:28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142"/>
    </row>
    <row r="383" spans="1:28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142"/>
    </row>
    <row r="384" spans="1:28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142"/>
    </row>
    <row r="385" spans="1:28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142"/>
    </row>
    <row r="386" spans="1:28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142"/>
    </row>
    <row r="387" spans="1:28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142"/>
    </row>
    <row r="388" spans="1:28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142"/>
    </row>
    <row r="389" spans="1:28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142"/>
    </row>
    <row r="390" spans="1:28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142"/>
    </row>
    <row r="391" spans="1:28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142"/>
    </row>
    <row r="392" spans="1:28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142"/>
    </row>
    <row r="393" spans="1:28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142"/>
    </row>
    <row r="394" spans="1:28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142"/>
    </row>
    <row r="395" spans="1:28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142"/>
    </row>
    <row r="396" spans="1:28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142"/>
    </row>
    <row r="397" spans="1:28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142"/>
    </row>
    <row r="398" spans="1:28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142"/>
    </row>
    <row r="399" spans="1:28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142"/>
    </row>
    <row r="400" spans="1:28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142"/>
    </row>
    <row r="401" spans="1:28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142"/>
    </row>
    <row r="402" spans="1:28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142"/>
    </row>
    <row r="403" spans="1:28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142"/>
    </row>
    <row r="404" spans="1:28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142"/>
    </row>
    <row r="405" spans="1:28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142"/>
    </row>
    <row r="406" spans="1:28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142"/>
    </row>
    <row r="407" spans="1:28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142"/>
    </row>
    <row r="408" spans="1:28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142"/>
    </row>
    <row r="409" spans="1:28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142"/>
    </row>
    <row r="410" spans="1:28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142"/>
    </row>
    <row r="411" spans="1:28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142"/>
    </row>
    <row r="412" spans="1:28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142"/>
    </row>
    <row r="413" spans="1:28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142"/>
    </row>
    <row r="414" spans="1:28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142"/>
    </row>
    <row r="415" spans="1:28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142"/>
    </row>
    <row r="416" spans="1:28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142"/>
    </row>
    <row r="417" spans="1:28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142"/>
    </row>
    <row r="418" spans="1:28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142"/>
    </row>
    <row r="419" spans="1:28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142"/>
    </row>
    <row r="420" spans="1:28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142"/>
    </row>
    <row r="421" spans="1:28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142"/>
    </row>
    <row r="422" spans="1:28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142"/>
    </row>
    <row r="423" spans="1:28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142"/>
    </row>
    <row r="424" spans="1:28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142"/>
    </row>
    <row r="425" spans="1:28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142"/>
    </row>
    <row r="426" spans="1:28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142"/>
    </row>
    <row r="427" spans="1:28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142"/>
    </row>
    <row r="428" spans="1:28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142"/>
    </row>
    <row r="429" spans="1:28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142"/>
    </row>
    <row r="430" spans="1:28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142"/>
    </row>
    <row r="431" spans="1:28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142"/>
    </row>
    <row r="432" spans="1:28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142"/>
    </row>
    <row r="433" spans="1:28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142"/>
    </row>
    <row r="434" spans="1:28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142"/>
    </row>
    <row r="435" spans="1:28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142"/>
    </row>
    <row r="436" spans="1:28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142"/>
    </row>
    <row r="437" spans="1:28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142"/>
    </row>
    <row r="438" spans="1:28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142"/>
    </row>
    <row r="439" spans="1:28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142"/>
    </row>
    <row r="440" spans="1:28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142"/>
    </row>
    <row r="441" spans="1:28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142"/>
    </row>
    <row r="442" spans="1:28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142"/>
    </row>
    <row r="443" spans="1:28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142"/>
    </row>
    <row r="444" spans="1:28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142"/>
    </row>
    <row r="445" spans="1:28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142"/>
    </row>
    <row r="446" spans="1:28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142"/>
    </row>
    <row r="447" spans="1:28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142"/>
    </row>
    <row r="448" spans="1:28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142"/>
    </row>
    <row r="449" spans="1:28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142"/>
    </row>
    <row r="450" spans="1:28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142"/>
    </row>
    <row r="451" spans="1:28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142"/>
    </row>
    <row r="452" spans="1:28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142"/>
    </row>
    <row r="453" spans="1:28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142"/>
    </row>
    <row r="454" spans="1:28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142"/>
    </row>
    <row r="455" spans="1:28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142"/>
    </row>
    <row r="456" spans="1:28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142"/>
    </row>
    <row r="457" spans="1:28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142"/>
    </row>
    <row r="458" spans="1:28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142"/>
    </row>
    <row r="459" spans="1:28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142"/>
    </row>
    <row r="460" spans="1:28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142"/>
    </row>
    <row r="461" spans="1:28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142"/>
    </row>
    <row r="462" spans="1:28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142"/>
    </row>
    <row r="463" spans="1:28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142"/>
    </row>
    <row r="464" spans="1:28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142"/>
    </row>
    <row r="465" spans="1:28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142"/>
    </row>
    <row r="466" spans="1:28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142"/>
    </row>
    <row r="467" spans="1:28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142"/>
    </row>
    <row r="468" spans="1:28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142"/>
    </row>
    <row r="469" spans="1:28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142"/>
    </row>
    <row r="470" spans="1:28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142"/>
    </row>
    <row r="471" spans="1:28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142"/>
    </row>
    <row r="472" spans="1:28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142"/>
    </row>
    <row r="473" spans="1:28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142"/>
    </row>
    <row r="474" spans="1:28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142"/>
    </row>
    <row r="475" spans="1:28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142"/>
    </row>
    <row r="476" spans="1:28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142"/>
    </row>
    <row r="477" spans="1:28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142"/>
    </row>
    <row r="478" spans="1:28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142"/>
    </row>
    <row r="479" spans="1:28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142"/>
    </row>
    <row r="480" spans="1:28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142"/>
    </row>
    <row r="481" spans="1:28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142"/>
    </row>
    <row r="482" spans="1:28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142"/>
    </row>
    <row r="483" spans="1:28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142"/>
    </row>
    <row r="484" spans="1:28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142"/>
    </row>
    <row r="485" spans="1:28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142"/>
    </row>
    <row r="486" spans="1:28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142"/>
    </row>
    <row r="487" spans="1:28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142"/>
    </row>
    <row r="488" spans="1:28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142"/>
    </row>
    <row r="489" spans="1:28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142"/>
    </row>
    <row r="490" spans="1:28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142"/>
    </row>
    <row r="491" spans="1:28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142"/>
    </row>
    <row r="492" spans="1:28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142"/>
    </row>
    <row r="493" spans="1:28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142"/>
    </row>
    <row r="494" spans="1:28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142"/>
    </row>
    <row r="495" spans="1:28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142"/>
    </row>
    <row r="496" spans="1:28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142"/>
    </row>
    <row r="497" spans="1:28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142"/>
    </row>
    <row r="498" spans="1:28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142"/>
    </row>
    <row r="499" spans="1:28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142"/>
    </row>
    <row r="500" spans="1:28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142"/>
    </row>
    <row r="501" spans="1:28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142"/>
    </row>
    <row r="502" spans="1:28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142"/>
    </row>
    <row r="503" spans="1:28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142"/>
    </row>
    <row r="504" spans="1:28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142"/>
    </row>
    <row r="505" spans="1:28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142"/>
    </row>
    <row r="506" spans="1:28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142"/>
    </row>
    <row r="507" spans="1:28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142"/>
    </row>
    <row r="508" spans="1:28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142"/>
    </row>
    <row r="509" spans="1:28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142"/>
    </row>
    <row r="510" spans="1:28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142"/>
    </row>
    <row r="511" spans="1:28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142"/>
    </row>
    <row r="512" spans="1:28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142"/>
    </row>
    <row r="513" spans="1:28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142"/>
    </row>
    <row r="514" spans="1:28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142"/>
    </row>
    <row r="515" spans="1:28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142"/>
    </row>
    <row r="516" spans="1:28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142"/>
    </row>
    <row r="517" spans="1:28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142"/>
    </row>
    <row r="518" spans="1:28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142"/>
    </row>
    <row r="519" spans="1:28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142"/>
    </row>
    <row r="520" spans="1:28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142"/>
    </row>
    <row r="521" spans="1:28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142"/>
    </row>
    <row r="522" spans="1:28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142"/>
    </row>
    <row r="523" spans="1:28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142"/>
    </row>
    <row r="524" spans="1:28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142"/>
    </row>
    <row r="525" spans="1:28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142"/>
    </row>
    <row r="526" spans="1:28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142"/>
    </row>
    <row r="527" spans="1:28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142"/>
    </row>
    <row r="528" spans="1:28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142"/>
    </row>
    <row r="529" spans="1:28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142"/>
    </row>
    <row r="530" spans="1:28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142"/>
    </row>
    <row r="531" spans="1:28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142"/>
    </row>
    <row r="532" spans="1:28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142"/>
    </row>
    <row r="533" spans="1:28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142"/>
    </row>
    <row r="534" spans="1:28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142"/>
    </row>
    <row r="535" spans="1:28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142"/>
    </row>
    <row r="536" spans="1:28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142"/>
    </row>
    <row r="537" spans="1:28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142"/>
    </row>
    <row r="538" spans="1:28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142"/>
    </row>
    <row r="539" spans="1:28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142"/>
    </row>
    <row r="540" spans="1:28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142"/>
    </row>
    <row r="541" spans="1:28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142"/>
    </row>
    <row r="542" spans="1:28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142"/>
    </row>
    <row r="543" spans="1:28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142"/>
    </row>
    <row r="544" spans="1:28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142"/>
    </row>
    <row r="545" spans="1:28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142"/>
    </row>
    <row r="546" spans="1:28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142"/>
    </row>
    <row r="547" spans="1:28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142"/>
    </row>
    <row r="548" spans="1:28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142"/>
    </row>
    <row r="549" spans="1:28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142"/>
    </row>
    <row r="550" spans="1:28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142"/>
    </row>
    <row r="551" spans="1:28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142"/>
    </row>
    <row r="552" spans="1:28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142"/>
    </row>
    <row r="553" spans="1:28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142"/>
    </row>
    <row r="554" spans="1:28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142"/>
    </row>
    <row r="555" spans="1:28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142"/>
    </row>
    <row r="556" spans="1:28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142"/>
    </row>
    <row r="557" spans="1:28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142"/>
    </row>
    <row r="558" spans="1:28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142"/>
    </row>
    <row r="559" spans="1:28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142"/>
    </row>
    <row r="560" spans="1:28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142"/>
    </row>
    <row r="561" spans="1:28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142"/>
    </row>
    <row r="562" spans="1:28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142"/>
    </row>
    <row r="563" spans="1:28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142"/>
    </row>
    <row r="564" spans="1:28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142"/>
    </row>
    <row r="565" spans="1:28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142"/>
    </row>
    <row r="566" spans="1:28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142"/>
    </row>
    <row r="567" spans="1:28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142"/>
    </row>
    <row r="568" spans="1:28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142"/>
    </row>
    <row r="569" spans="1:28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142"/>
    </row>
    <row r="570" spans="1:28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142"/>
    </row>
    <row r="571" spans="1:28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142"/>
    </row>
    <row r="572" spans="1:28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142"/>
    </row>
    <row r="573" spans="1:28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142"/>
    </row>
    <row r="574" spans="1:28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142"/>
    </row>
    <row r="575" spans="1:28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142"/>
    </row>
    <row r="576" spans="1:28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142"/>
    </row>
    <row r="577" spans="1:28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142"/>
    </row>
    <row r="578" spans="1:28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142"/>
    </row>
    <row r="579" spans="1:28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142"/>
    </row>
    <row r="580" spans="1:28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142"/>
    </row>
    <row r="581" spans="1:28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142"/>
    </row>
    <row r="582" spans="1:28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142"/>
    </row>
    <row r="583" spans="1:28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142"/>
    </row>
    <row r="584" spans="1:28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142"/>
    </row>
    <row r="585" spans="1:28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142"/>
    </row>
    <row r="586" spans="1:28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142"/>
    </row>
    <row r="587" spans="1:28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142"/>
    </row>
    <row r="588" spans="1:28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142"/>
    </row>
    <row r="589" spans="1:28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142"/>
    </row>
    <row r="590" spans="1:28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142"/>
    </row>
    <row r="591" spans="1:28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142"/>
    </row>
    <row r="592" spans="1:28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142"/>
    </row>
    <row r="593" spans="1:28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142"/>
    </row>
    <row r="594" spans="1:28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142"/>
    </row>
    <row r="595" spans="1:28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142"/>
    </row>
    <row r="596" spans="1:28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142"/>
    </row>
    <row r="597" spans="1:28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142"/>
    </row>
    <row r="598" spans="1:28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142"/>
    </row>
    <row r="599" spans="1:28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142"/>
    </row>
    <row r="600" spans="1:28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142"/>
    </row>
    <row r="601" spans="1:28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142"/>
    </row>
    <row r="602" spans="1:28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142"/>
    </row>
    <row r="603" spans="1:28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142"/>
    </row>
    <row r="604" spans="1:28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142"/>
    </row>
    <row r="605" spans="1:28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142"/>
    </row>
    <row r="606" spans="1:28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142"/>
    </row>
    <row r="607" spans="1:28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142"/>
    </row>
    <row r="608" spans="1:28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142"/>
    </row>
    <row r="609" spans="1:28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142"/>
    </row>
    <row r="610" spans="1:28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142"/>
    </row>
    <row r="611" spans="1:28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142"/>
    </row>
    <row r="612" spans="1:28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142"/>
    </row>
    <row r="613" spans="1:28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142"/>
    </row>
    <row r="614" spans="1:28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142"/>
    </row>
    <row r="615" spans="1:28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142"/>
    </row>
    <row r="616" spans="1:28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142"/>
    </row>
    <row r="617" spans="1:28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142"/>
    </row>
    <row r="618" spans="1:28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142"/>
    </row>
    <row r="619" spans="1:28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142"/>
    </row>
    <row r="620" spans="1:28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142"/>
    </row>
    <row r="621" spans="1:28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142"/>
    </row>
    <row r="622" spans="1:28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142"/>
    </row>
    <row r="623" spans="1:28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142"/>
    </row>
    <row r="624" spans="1:28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142"/>
    </row>
    <row r="625" spans="1:28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142"/>
    </row>
    <row r="626" spans="1:28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142"/>
    </row>
    <row r="627" spans="1:28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142"/>
    </row>
    <row r="628" spans="1:28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142"/>
    </row>
    <row r="629" spans="1:28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142"/>
    </row>
    <row r="630" spans="1:28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142"/>
    </row>
    <row r="631" spans="1:28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142"/>
    </row>
    <row r="632" spans="1:28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142"/>
    </row>
    <row r="633" spans="1:28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142"/>
    </row>
    <row r="634" spans="1:28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142"/>
    </row>
    <row r="635" spans="1:28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142"/>
    </row>
    <row r="636" spans="1:28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142"/>
    </row>
    <row r="637" spans="1:28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142"/>
    </row>
    <row r="638" spans="1:28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142"/>
    </row>
    <row r="639" spans="1:28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142"/>
    </row>
    <row r="640" spans="1:28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142"/>
    </row>
    <row r="641" spans="1:28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142"/>
    </row>
    <row r="642" spans="1:28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142"/>
    </row>
    <row r="643" spans="1:28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142"/>
    </row>
    <row r="644" spans="1:28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142"/>
    </row>
    <row r="645" spans="1:28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142"/>
    </row>
    <row r="646" spans="1:28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142"/>
    </row>
    <row r="647" spans="1:28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142"/>
    </row>
    <row r="648" spans="1:28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142"/>
    </row>
    <row r="649" spans="1:28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142"/>
    </row>
    <row r="650" spans="1:28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142"/>
    </row>
    <row r="651" spans="1:28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142"/>
    </row>
    <row r="652" spans="1:28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142"/>
    </row>
    <row r="653" spans="1:28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142"/>
    </row>
    <row r="654" spans="1:28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142"/>
    </row>
    <row r="655" spans="1:28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142"/>
    </row>
    <row r="656" spans="1:28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142"/>
    </row>
    <row r="657" spans="1:28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142"/>
    </row>
    <row r="658" spans="1:28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142"/>
    </row>
    <row r="659" spans="1:28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142"/>
    </row>
    <row r="660" spans="1:28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142"/>
    </row>
    <row r="661" spans="1:28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142"/>
    </row>
    <row r="662" spans="1:28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142"/>
    </row>
    <row r="663" spans="1:28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142"/>
    </row>
    <row r="664" spans="1:28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142"/>
    </row>
    <row r="665" spans="1:28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142"/>
    </row>
    <row r="666" spans="1:28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142"/>
    </row>
    <row r="667" spans="1:28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142"/>
    </row>
    <row r="668" spans="1:28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142"/>
    </row>
    <row r="669" spans="1:28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142"/>
    </row>
    <row r="670" spans="1:28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142"/>
    </row>
    <row r="671" spans="1:28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142"/>
    </row>
    <row r="672" spans="1:28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142"/>
    </row>
    <row r="673" spans="1:28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142"/>
    </row>
    <row r="674" spans="1:28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142"/>
    </row>
    <row r="675" spans="1:28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142"/>
    </row>
    <row r="676" spans="1:28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142"/>
    </row>
    <row r="677" spans="1:28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142"/>
    </row>
    <row r="678" spans="1:28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142"/>
    </row>
    <row r="679" spans="1:28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142"/>
    </row>
    <row r="680" spans="1:28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142"/>
    </row>
    <row r="681" spans="1:28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142"/>
    </row>
    <row r="682" spans="1:28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142"/>
    </row>
    <row r="683" spans="1:28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142"/>
    </row>
    <row r="684" spans="1:28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142"/>
    </row>
    <row r="685" spans="1:28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142"/>
    </row>
    <row r="686" spans="1:28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142"/>
    </row>
    <row r="687" spans="1:28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142"/>
    </row>
    <row r="688" spans="1:28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142"/>
    </row>
    <row r="689" spans="1:28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142"/>
    </row>
    <row r="690" spans="1:28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142"/>
    </row>
    <row r="691" spans="1:28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142"/>
    </row>
    <row r="692" spans="1:28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142"/>
    </row>
    <row r="693" spans="1:28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142"/>
    </row>
    <row r="694" spans="1:28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142"/>
    </row>
    <row r="695" spans="1:28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142"/>
    </row>
    <row r="696" spans="1:28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142"/>
    </row>
    <row r="697" spans="1:28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142"/>
    </row>
    <row r="698" spans="1:28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142"/>
    </row>
    <row r="699" spans="1:28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142"/>
    </row>
    <row r="700" spans="1:28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142"/>
    </row>
    <row r="701" spans="1:28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142"/>
    </row>
    <row r="702" spans="1:28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142"/>
    </row>
    <row r="703" spans="1:28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142"/>
    </row>
    <row r="704" spans="1:28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142"/>
    </row>
    <row r="705" spans="1:28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142"/>
    </row>
    <row r="706" spans="1:28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142"/>
    </row>
    <row r="707" spans="1:28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142"/>
    </row>
    <row r="708" spans="1:28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142"/>
    </row>
    <row r="709" spans="1:28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142"/>
    </row>
    <row r="710" spans="1:28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142"/>
    </row>
    <row r="711" spans="1:28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142"/>
    </row>
    <row r="712" spans="1:28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142"/>
    </row>
    <row r="713" spans="1:28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142"/>
    </row>
    <row r="714" spans="1:28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142"/>
    </row>
    <row r="715" spans="1:28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142"/>
    </row>
    <row r="716" spans="1:28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142"/>
    </row>
    <row r="717" spans="1:28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142"/>
    </row>
    <row r="718" spans="1:28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142"/>
    </row>
    <row r="719" spans="1:28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142"/>
    </row>
    <row r="720" spans="1:28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142"/>
    </row>
    <row r="721" spans="1:28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142"/>
    </row>
    <row r="722" spans="1:28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142"/>
    </row>
    <row r="723" spans="1:28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142"/>
    </row>
    <row r="724" spans="1:28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142"/>
    </row>
    <row r="725" spans="1:28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142"/>
    </row>
    <row r="726" spans="1:28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142"/>
    </row>
    <row r="727" spans="1:28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142"/>
    </row>
    <row r="728" spans="1:28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142"/>
    </row>
    <row r="729" spans="1:28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142"/>
    </row>
    <row r="730" spans="1:28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142"/>
    </row>
    <row r="731" spans="1:28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142"/>
    </row>
    <row r="732" spans="1:28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142"/>
    </row>
    <row r="733" spans="1:28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142"/>
    </row>
    <row r="734" spans="1:28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142"/>
    </row>
    <row r="735" spans="1:28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142"/>
    </row>
    <row r="736" spans="1:28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142"/>
    </row>
    <row r="737" spans="1:28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142"/>
    </row>
    <row r="738" spans="1:28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142"/>
    </row>
    <row r="739" spans="1:28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142"/>
    </row>
    <row r="740" spans="1:28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142"/>
    </row>
    <row r="741" spans="1:28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142"/>
    </row>
    <row r="742" spans="1:28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142"/>
    </row>
    <row r="743" spans="1:28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142"/>
    </row>
    <row r="744" spans="1:28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142"/>
    </row>
    <row r="745" spans="1:28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142"/>
    </row>
    <row r="746" spans="1:28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142"/>
    </row>
    <row r="747" spans="1:28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142"/>
    </row>
    <row r="748" spans="1:28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142"/>
    </row>
    <row r="749" spans="1:28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142"/>
    </row>
    <row r="750" spans="1:28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142"/>
    </row>
    <row r="751" spans="1:28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142"/>
    </row>
    <row r="752" spans="1:28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142"/>
    </row>
    <row r="753" spans="1:28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142"/>
    </row>
    <row r="754" spans="1:28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142"/>
    </row>
    <row r="755" spans="1:28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142"/>
    </row>
    <row r="756" spans="1:28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142"/>
    </row>
    <row r="757" spans="1:28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142"/>
    </row>
    <row r="758" spans="1:28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142"/>
    </row>
    <row r="759" spans="1:28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142"/>
    </row>
    <row r="760" spans="1:28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142"/>
    </row>
    <row r="761" spans="1:28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142"/>
    </row>
    <row r="762" spans="1:28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142"/>
    </row>
    <row r="763" spans="1:28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142"/>
    </row>
    <row r="764" spans="1:28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142"/>
    </row>
    <row r="765" spans="1:28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142"/>
    </row>
    <row r="766" spans="1:28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142"/>
    </row>
    <row r="767" spans="1:28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142"/>
    </row>
    <row r="768" spans="1:28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142"/>
    </row>
    <row r="769" spans="1:28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142"/>
    </row>
    <row r="770" spans="1:28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142"/>
    </row>
    <row r="771" spans="1:28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142"/>
    </row>
    <row r="772" spans="1:28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142"/>
    </row>
    <row r="773" spans="1:28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142"/>
    </row>
    <row r="774" spans="1:28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142"/>
    </row>
    <row r="775" spans="1:28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142"/>
    </row>
    <row r="776" spans="1:28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142"/>
    </row>
    <row r="777" spans="1:28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142"/>
    </row>
    <row r="778" spans="1:28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142"/>
    </row>
    <row r="779" spans="1:28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142"/>
    </row>
    <row r="780" spans="1:28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142"/>
    </row>
    <row r="781" spans="1:28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142"/>
    </row>
    <row r="782" spans="1:28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142"/>
    </row>
    <row r="783" spans="1:28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142"/>
    </row>
    <row r="784" spans="1:28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142"/>
    </row>
    <row r="785" spans="1:28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142"/>
    </row>
    <row r="786" spans="1:28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142"/>
    </row>
    <row r="787" spans="1:28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142"/>
    </row>
    <row r="788" spans="1:28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142"/>
    </row>
    <row r="789" spans="1:28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142"/>
    </row>
    <row r="790" spans="1:28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142"/>
    </row>
    <row r="791" spans="1:28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142"/>
    </row>
    <row r="792" spans="1:28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142"/>
    </row>
    <row r="793" spans="1:28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142"/>
    </row>
    <row r="794" spans="1:28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142"/>
    </row>
    <row r="795" spans="1:28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142"/>
    </row>
    <row r="796" spans="1:28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142"/>
    </row>
    <row r="797" spans="1:28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142"/>
    </row>
    <row r="798" spans="1:28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142"/>
    </row>
    <row r="799" spans="1:28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142"/>
    </row>
    <row r="800" spans="1:28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142"/>
    </row>
    <row r="801" spans="1:28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142"/>
    </row>
    <row r="802" spans="1:28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142"/>
    </row>
    <row r="803" spans="1:28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142"/>
    </row>
    <row r="804" spans="1:28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142"/>
    </row>
    <row r="805" spans="1:28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142"/>
    </row>
    <row r="806" spans="1:28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142"/>
    </row>
    <row r="807" spans="1:28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142"/>
    </row>
    <row r="808" spans="1:28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142"/>
    </row>
    <row r="809" spans="1:28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142"/>
    </row>
    <row r="810" spans="1:28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142"/>
    </row>
    <row r="811" spans="1:28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142"/>
    </row>
    <row r="812" spans="1:28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142"/>
    </row>
    <row r="813" spans="1:28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142"/>
    </row>
    <row r="814" spans="1:28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142"/>
    </row>
    <row r="815" spans="1:28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142"/>
    </row>
    <row r="816" spans="1:28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142"/>
    </row>
    <row r="817" spans="1:28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142"/>
    </row>
    <row r="818" spans="1:28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142"/>
    </row>
    <row r="819" spans="1:28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142"/>
    </row>
    <row r="820" spans="1:28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142"/>
    </row>
    <row r="821" spans="1:28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142"/>
    </row>
    <row r="822" spans="1:28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142"/>
    </row>
    <row r="823" spans="1:28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142"/>
    </row>
    <row r="824" spans="1:28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142"/>
    </row>
    <row r="825" spans="1:28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142"/>
    </row>
    <row r="826" spans="1:28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142"/>
    </row>
    <row r="827" spans="1:28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142"/>
    </row>
    <row r="828" spans="1:28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142"/>
    </row>
    <row r="829" spans="1:28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142"/>
    </row>
    <row r="830" spans="1:28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142"/>
    </row>
    <row r="831" spans="1:28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142"/>
    </row>
    <row r="832" spans="1:28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142"/>
    </row>
    <row r="833" spans="1:28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142"/>
    </row>
    <row r="834" spans="1:28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142"/>
    </row>
    <row r="835" spans="1:28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142"/>
    </row>
    <row r="836" spans="1:28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142"/>
    </row>
    <row r="837" spans="1:28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142"/>
    </row>
    <row r="838" spans="1:28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142"/>
    </row>
    <row r="839" spans="1:28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142"/>
    </row>
    <row r="840" spans="1:28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142"/>
    </row>
    <row r="841" spans="1:28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142"/>
    </row>
    <row r="842" spans="1:28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142"/>
    </row>
    <row r="843" spans="1:28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142"/>
    </row>
    <row r="844" spans="1:28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142"/>
    </row>
    <row r="845" spans="1:28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142"/>
    </row>
    <row r="846" spans="1:28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142"/>
    </row>
    <row r="847" spans="1:28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142"/>
    </row>
    <row r="848" spans="1:28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142"/>
    </row>
    <row r="849" spans="1:28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142"/>
    </row>
    <row r="850" spans="1:28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142"/>
    </row>
    <row r="851" spans="1:28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142"/>
    </row>
    <row r="852" spans="1:28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142"/>
    </row>
    <row r="853" spans="1:28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142"/>
    </row>
    <row r="854" spans="1:28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142"/>
    </row>
    <row r="855" spans="1:28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142"/>
    </row>
    <row r="856" spans="1:28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142"/>
    </row>
    <row r="857" spans="1:28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142"/>
    </row>
    <row r="858" spans="1:28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142"/>
    </row>
    <row r="859" spans="1:28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142"/>
    </row>
    <row r="860" spans="1:28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142"/>
    </row>
    <row r="861" spans="1:28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142"/>
    </row>
    <row r="862" spans="1:28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142"/>
    </row>
    <row r="863" spans="1:28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142"/>
    </row>
    <row r="864" spans="1:28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142"/>
    </row>
    <row r="865" spans="1:28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142"/>
    </row>
    <row r="866" spans="1:28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142"/>
    </row>
    <row r="867" spans="1:28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142"/>
    </row>
    <row r="868" spans="1:28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142"/>
    </row>
    <row r="869" spans="1:28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142"/>
    </row>
    <row r="870" spans="1:28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142"/>
    </row>
    <row r="871" spans="1:28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142"/>
    </row>
    <row r="872" spans="1:28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142"/>
    </row>
    <row r="873" spans="1:28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142"/>
    </row>
    <row r="874" spans="1:28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142"/>
    </row>
    <row r="875" spans="1:28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142"/>
    </row>
    <row r="876" spans="1:28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142"/>
    </row>
    <row r="877" spans="1:28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142"/>
    </row>
    <row r="878" spans="1:28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142"/>
    </row>
    <row r="879" spans="1:28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142"/>
    </row>
    <row r="880" spans="1:28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142"/>
    </row>
    <row r="881" spans="1:28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142"/>
    </row>
    <row r="882" spans="1:28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142"/>
    </row>
    <row r="883" spans="1:28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142"/>
    </row>
    <row r="884" spans="1:28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142"/>
    </row>
    <row r="885" spans="1:28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142"/>
    </row>
    <row r="886" spans="1:28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142"/>
    </row>
    <row r="887" spans="1:28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142"/>
    </row>
    <row r="888" spans="1:28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142"/>
    </row>
    <row r="889" spans="1:28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142"/>
    </row>
    <row r="890" spans="1:28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142"/>
    </row>
    <row r="891" spans="1:28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142"/>
    </row>
    <row r="892" spans="1:28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142"/>
    </row>
    <row r="893" spans="1:28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142"/>
    </row>
    <row r="894" spans="1:28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142"/>
    </row>
    <row r="895" spans="1:28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142"/>
    </row>
    <row r="896" spans="1:28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142"/>
    </row>
    <row r="897" spans="1:28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142"/>
    </row>
    <row r="898" spans="1:28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142"/>
    </row>
    <row r="899" spans="1:28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142"/>
    </row>
    <row r="900" spans="1:28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142"/>
    </row>
    <row r="901" spans="1:28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142"/>
    </row>
    <row r="902" spans="1:28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142"/>
    </row>
    <row r="903" spans="1:28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142"/>
    </row>
    <row r="904" spans="1:28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142"/>
    </row>
    <row r="905" spans="1:28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142"/>
    </row>
    <row r="906" spans="1:28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142"/>
    </row>
    <row r="907" spans="1:28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142"/>
    </row>
    <row r="908" spans="1:28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142"/>
    </row>
    <row r="909" spans="1:28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142"/>
    </row>
    <row r="910" spans="1:28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142"/>
    </row>
    <row r="911" spans="1:28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142"/>
    </row>
    <row r="912" spans="1:28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142"/>
    </row>
    <row r="913" spans="1:28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142"/>
    </row>
    <row r="914" spans="1:28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142"/>
    </row>
    <row r="915" spans="1:28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142"/>
    </row>
    <row r="916" spans="1:28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142"/>
    </row>
    <row r="917" spans="1:28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142"/>
    </row>
    <row r="918" spans="1:28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142"/>
    </row>
    <row r="919" spans="1:28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142"/>
    </row>
    <row r="920" spans="1:28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142"/>
    </row>
    <row r="921" spans="1:28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142"/>
    </row>
    <row r="922" spans="1:28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142"/>
    </row>
    <row r="923" spans="1:28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142"/>
    </row>
    <row r="924" spans="1:28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142"/>
    </row>
    <row r="925" spans="1:28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142"/>
    </row>
    <row r="926" spans="1:28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142"/>
    </row>
    <row r="927" spans="1:28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142"/>
    </row>
    <row r="928" spans="1:28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142"/>
    </row>
    <row r="929" spans="1:28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142"/>
    </row>
    <row r="930" spans="1:28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142"/>
    </row>
    <row r="931" spans="1:28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142"/>
    </row>
    <row r="932" spans="1:28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142"/>
    </row>
    <row r="933" spans="1:28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142"/>
    </row>
    <row r="934" spans="1:28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142"/>
    </row>
    <row r="935" spans="1:28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142"/>
    </row>
    <row r="936" spans="1:28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142"/>
    </row>
    <row r="937" spans="1:28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142"/>
    </row>
    <row r="938" spans="1:28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142"/>
    </row>
    <row r="939" spans="1:28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142"/>
    </row>
    <row r="940" spans="1:28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142"/>
    </row>
    <row r="941" spans="1:28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142"/>
    </row>
    <row r="942" spans="1:28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142"/>
    </row>
    <row r="943" spans="1:28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142"/>
    </row>
    <row r="944" spans="1:28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142"/>
    </row>
    <row r="945" spans="1:28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142"/>
    </row>
    <row r="946" spans="1:28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142"/>
    </row>
    <row r="947" spans="1:28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142"/>
    </row>
    <row r="948" spans="1:28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142"/>
    </row>
    <row r="949" spans="1:28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142"/>
    </row>
    <row r="950" spans="1:28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142"/>
    </row>
    <row r="951" spans="1:28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142"/>
    </row>
    <row r="952" spans="1:28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142"/>
    </row>
    <row r="953" spans="1:28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142"/>
    </row>
    <row r="954" spans="1:28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142"/>
    </row>
    <row r="955" spans="1:28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142"/>
    </row>
    <row r="956" spans="1:28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142"/>
    </row>
    <row r="957" spans="1:28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142"/>
    </row>
    <row r="958" spans="1:28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142"/>
    </row>
    <row r="959" spans="1:28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142"/>
    </row>
    <row r="960" spans="1:28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142"/>
    </row>
    <row r="961" spans="1:28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142"/>
    </row>
    <row r="962" spans="1:28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142"/>
    </row>
    <row r="963" spans="1:28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142"/>
    </row>
    <row r="964" spans="1:28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142"/>
    </row>
    <row r="965" spans="1:28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142"/>
    </row>
    <row r="966" spans="1:28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142"/>
    </row>
    <row r="967" spans="1:28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142"/>
    </row>
    <row r="968" spans="1:28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142"/>
    </row>
    <row r="969" spans="1:28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142"/>
    </row>
    <row r="970" spans="1:28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142"/>
    </row>
    <row r="971" spans="1:28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142"/>
    </row>
    <row r="972" spans="1:28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142"/>
    </row>
    <row r="973" spans="1:28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142"/>
    </row>
    <row r="974" spans="1:28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142"/>
    </row>
    <row r="975" spans="1:28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142"/>
    </row>
    <row r="976" spans="1:28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142"/>
    </row>
    <row r="977" spans="1:28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142"/>
    </row>
    <row r="978" spans="1:28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142"/>
    </row>
    <row r="979" spans="1:28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142"/>
    </row>
    <row r="980" spans="1:28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142"/>
    </row>
    <row r="981" spans="1:28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142"/>
    </row>
    <row r="982" spans="1:28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142"/>
    </row>
    <row r="983" spans="1:28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142"/>
    </row>
    <row r="984" spans="1:28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142"/>
    </row>
    <row r="985" spans="1:28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142"/>
    </row>
    <row r="986" spans="1:28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142"/>
    </row>
    <row r="987" spans="1:28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142"/>
    </row>
    <row r="988" spans="1:28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142"/>
    </row>
    <row r="989" spans="1:28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142"/>
    </row>
    <row r="990" spans="1:28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142"/>
    </row>
    <row r="991" spans="1:28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142"/>
    </row>
    <row r="992" spans="1:28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142"/>
    </row>
    <row r="993" spans="1:28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142"/>
    </row>
    <row r="994" spans="1:28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142"/>
    </row>
    <row r="995" spans="1:28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142"/>
    </row>
    <row r="996" spans="1:28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142"/>
    </row>
    <row r="997" spans="1:28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142"/>
    </row>
    <row r="998" spans="1:28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142"/>
    </row>
    <row r="999" spans="1:28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142"/>
    </row>
    <row r="1000" spans="1:28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142"/>
    </row>
    <row r="1001" spans="1:28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142"/>
    </row>
    <row r="1002" spans="1:28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142"/>
    </row>
    <row r="1003" spans="1:28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142"/>
    </row>
    <row r="1004" spans="1:28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142"/>
    </row>
    <row r="1005" spans="1:28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142"/>
    </row>
    <row r="1006" spans="1:28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142"/>
    </row>
    <row r="1007" spans="1:28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142"/>
    </row>
    <row r="1008" spans="1:28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142"/>
    </row>
    <row r="1009" spans="1:28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142"/>
    </row>
    <row r="1010" spans="1:28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142"/>
    </row>
    <row r="1011" spans="1:28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142"/>
    </row>
    <row r="1012" spans="1:28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142"/>
    </row>
    <row r="1013" spans="1:28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142"/>
    </row>
    <row r="1014" spans="1:28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142"/>
    </row>
    <row r="1015" spans="1:28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142"/>
    </row>
    <row r="1016" spans="1:28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142"/>
    </row>
    <row r="1017" spans="1:28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142"/>
    </row>
    <row r="1018" spans="1:28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142"/>
    </row>
    <row r="1019" spans="1:28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142"/>
    </row>
    <row r="1020" spans="1:28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142"/>
    </row>
    <row r="1021" spans="1:28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142"/>
    </row>
    <row r="1022" spans="1:28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142"/>
    </row>
    <row r="1023" spans="1:28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142"/>
    </row>
    <row r="1024" spans="1:28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142"/>
    </row>
    <row r="1025" spans="1:28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142"/>
    </row>
    <row r="1026" spans="1:28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142"/>
    </row>
    <row r="1027" spans="1:28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142"/>
    </row>
    <row r="1028" spans="1:28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142"/>
    </row>
    <row r="1029" spans="1:28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142"/>
    </row>
    <row r="1030" spans="1:28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142"/>
    </row>
    <row r="1031" spans="1:28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142"/>
    </row>
    <row r="1032" spans="1:28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142"/>
    </row>
    <row r="1033" spans="1:28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142"/>
    </row>
    <row r="1034" spans="1:28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142"/>
    </row>
    <row r="1035" spans="1:28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142"/>
    </row>
    <row r="1036" spans="1:28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142"/>
    </row>
    <row r="1037" spans="1:28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142"/>
    </row>
    <row r="1038" spans="1:28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142"/>
    </row>
    <row r="1039" spans="1:28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142"/>
    </row>
    <row r="1040" spans="1:28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142"/>
    </row>
    <row r="1041" spans="1:28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142"/>
    </row>
    <row r="1042" spans="1:28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142"/>
    </row>
    <row r="1043" spans="1:28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142"/>
    </row>
    <row r="1044" spans="1:28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142"/>
    </row>
    <row r="1045" spans="1:28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142"/>
    </row>
    <row r="1046" spans="1:28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142"/>
    </row>
    <row r="1047" spans="1:28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142"/>
    </row>
    <row r="1048" spans="1:28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142"/>
    </row>
    <row r="1049" spans="1:28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142"/>
    </row>
    <row r="1050" spans="1:28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142"/>
    </row>
    <row r="1051" spans="1:28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142"/>
    </row>
    <row r="1052" spans="1:28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142"/>
    </row>
    <row r="1053" spans="1:28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142"/>
    </row>
    <row r="1054" spans="1:28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142"/>
    </row>
    <row r="1055" spans="1:28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142"/>
    </row>
    <row r="1056" spans="1:28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142"/>
    </row>
    <row r="1057" spans="1:28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142"/>
    </row>
    <row r="1058" spans="1:28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142"/>
    </row>
    <row r="1059" spans="1:28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142"/>
    </row>
    <row r="1060" spans="1:28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142"/>
    </row>
    <row r="1061" spans="1:28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142"/>
    </row>
    <row r="1062" spans="1:28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142"/>
    </row>
    <row r="1063" spans="1:28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142"/>
    </row>
    <row r="1064" spans="1:28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142"/>
    </row>
    <row r="1065" spans="1:28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142"/>
    </row>
    <row r="1066" spans="1:28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142"/>
    </row>
    <row r="1067" spans="1:28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142"/>
    </row>
    <row r="1068" spans="1:28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142"/>
    </row>
    <row r="1069" spans="1:28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142"/>
    </row>
    <row r="1070" spans="1:28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142"/>
    </row>
    <row r="1071" spans="1:28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142"/>
    </row>
    <row r="1072" spans="1:28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142"/>
    </row>
    <row r="1073" spans="1:28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142"/>
    </row>
    <row r="1074" spans="1:28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142"/>
    </row>
    <row r="1075" spans="1:28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142"/>
    </row>
    <row r="1076" spans="1:28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142"/>
    </row>
    <row r="1077" spans="1:28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142"/>
    </row>
    <row r="1078" spans="1:28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142"/>
    </row>
    <row r="1079" spans="1:28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142"/>
    </row>
    <row r="1080" spans="1:28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142"/>
    </row>
    <row r="1081" spans="1:28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142"/>
    </row>
    <row r="1082" spans="1:28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142"/>
    </row>
    <row r="1083" spans="1:28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142"/>
    </row>
    <row r="1084" spans="1:28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142"/>
    </row>
    <row r="1085" spans="1:28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142"/>
    </row>
    <row r="1086" spans="1:28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142"/>
    </row>
    <row r="1087" spans="1:28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142"/>
    </row>
    <row r="1088" spans="1:28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142"/>
    </row>
    <row r="1089" spans="1:28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142"/>
    </row>
    <row r="1090" spans="1:28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142"/>
    </row>
    <row r="1091" spans="1:28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142"/>
    </row>
    <row r="1092" spans="1:28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142"/>
    </row>
    <row r="1093" spans="1:28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142"/>
    </row>
    <row r="1094" spans="1:28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142"/>
    </row>
    <row r="1095" spans="1:28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142"/>
    </row>
    <row r="1096" spans="1:28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142"/>
    </row>
    <row r="1097" spans="1:28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142"/>
    </row>
    <row r="1098" spans="1:28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142"/>
    </row>
    <row r="1099" spans="1:28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142"/>
    </row>
    <row r="1100" spans="1:28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142"/>
    </row>
    <row r="1101" spans="1:28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142"/>
    </row>
    <row r="1102" spans="1:28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142"/>
    </row>
    <row r="1103" spans="1:28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142"/>
    </row>
    <row r="1104" spans="1:28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142"/>
    </row>
    <row r="1105" spans="1:28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142"/>
    </row>
    <row r="1106" spans="1:28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142"/>
    </row>
    <row r="1107" spans="1:28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142"/>
    </row>
    <row r="1108" spans="1:28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142"/>
    </row>
    <row r="1109" spans="1:28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142"/>
    </row>
    <row r="1110" spans="1:28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142"/>
    </row>
    <row r="1111" spans="1:28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142"/>
    </row>
    <row r="1112" spans="1:28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142"/>
    </row>
    <row r="1113" spans="1:28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142"/>
    </row>
    <row r="1114" spans="1:28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142"/>
    </row>
    <row r="1115" spans="1:28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142"/>
    </row>
    <row r="1116" spans="1:28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142"/>
    </row>
    <row r="1117" spans="1:28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142"/>
    </row>
    <row r="1118" spans="1:28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142"/>
    </row>
    <row r="1119" spans="1:28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142"/>
    </row>
    <row r="1120" spans="1:28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142"/>
    </row>
    <row r="1121" spans="1:28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142"/>
    </row>
    <row r="1122" spans="1:28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142"/>
    </row>
    <row r="1123" spans="1:28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142"/>
    </row>
    <row r="1124" spans="1:28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142"/>
    </row>
    <row r="1125" spans="1:28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142"/>
    </row>
    <row r="1126" spans="1:28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142"/>
    </row>
    <row r="1127" spans="1:28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142"/>
    </row>
    <row r="1128" spans="1:28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142"/>
    </row>
    <row r="1129" spans="1:28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142"/>
    </row>
    <row r="1130" spans="1:28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142"/>
    </row>
    <row r="1131" spans="1:28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142"/>
    </row>
    <row r="1132" spans="1:28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142"/>
    </row>
    <row r="1133" spans="1:28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142"/>
    </row>
    <row r="1134" spans="1:28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142"/>
    </row>
    <row r="1135" spans="1:28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142"/>
    </row>
    <row r="1136" spans="1:28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142"/>
    </row>
    <row r="1137" spans="1:28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142"/>
    </row>
    <row r="1138" spans="1:28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142"/>
    </row>
    <row r="1139" spans="1:28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142"/>
    </row>
    <row r="1140" spans="1:28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142"/>
    </row>
    <row r="1141" spans="1:28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142"/>
    </row>
    <row r="1142" spans="1:28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142"/>
    </row>
    <row r="1143" spans="1:28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142"/>
    </row>
    <row r="1144" spans="1:28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142"/>
    </row>
    <row r="1145" spans="1:28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142"/>
    </row>
    <row r="1146" spans="1:28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142"/>
    </row>
    <row r="1147" spans="1:28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142"/>
    </row>
    <row r="1148" spans="1:28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142"/>
    </row>
    <row r="1149" spans="1:28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142"/>
    </row>
    <row r="1150" spans="1:28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142"/>
    </row>
    <row r="1151" spans="1:28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142"/>
    </row>
    <row r="1152" spans="1:28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142"/>
    </row>
    <row r="1153" spans="1:28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142"/>
    </row>
    <row r="1154" spans="1:28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142"/>
    </row>
    <row r="1155" spans="1:28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142"/>
    </row>
    <row r="1156" spans="1:28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142"/>
    </row>
    <row r="1157" spans="1:28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142"/>
    </row>
    <row r="1158" spans="1:28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142"/>
    </row>
    <row r="1159" spans="1:28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142"/>
    </row>
    <row r="1160" spans="1:28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142"/>
    </row>
    <row r="1161" spans="1:28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142"/>
    </row>
    <row r="1162" spans="1:28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142"/>
    </row>
    <row r="1163" spans="1:28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142"/>
    </row>
    <row r="1164" spans="1:28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142"/>
    </row>
    <row r="1165" spans="1:28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142"/>
    </row>
    <row r="1166" spans="1:28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142"/>
    </row>
    <row r="1167" spans="1:28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142"/>
    </row>
    <row r="1168" spans="1:28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142"/>
    </row>
    <row r="1169" spans="1:28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142"/>
    </row>
    <row r="1170" spans="1:28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142"/>
    </row>
    <row r="1171" spans="1:28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142"/>
    </row>
    <row r="1172" spans="1:28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142"/>
    </row>
    <row r="1173" spans="1:28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142"/>
    </row>
    <row r="1174" spans="1:28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142"/>
    </row>
    <row r="1175" spans="1:28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142"/>
    </row>
    <row r="1176" spans="1:28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142"/>
    </row>
    <row r="1177" spans="1:28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142"/>
    </row>
    <row r="1178" spans="1:28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142"/>
    </row>
    <row r="1179" spans="1:28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142"/>
    </row>
    <row r="1180" spans="1:28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142"/>
    </row>
    <row r="1181" spans="1:28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142"/>
    </row>
    <row r="1182" spans="1:28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142"/>
    </row>
    <row r="1183" spans="1:28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142"/>
    </row>
    <row r="1184" spans="1:28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142"/>
    </row>
    <row r="1185" spans="1:28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142"/>
    </row>
    <row r="1186" spans="1:28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142"/>
    </row>
    <row r="1187" spans="1:28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142"/>
    </row>
    <row r="1188" spans="1:28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142"/>
    </row>
    <row r="1189" spans="1:28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142"/>
    </row>
    <row r="1190" spans="1:28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142"/>
    </row>
    <row r="1191" spans="1:28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142"/>
    </row>
    <row r="1192" spans="1:28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142"/>
    </row>
    <row r="1193" spans="1:28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142"/>
    </row>
    <row r="1194" spans="1:28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142"/>
    </row>
    <row r="1195" spans="1:28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142"/>
    </row>
    <row r="1196" spans="1:28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142"/>
    </row>
    <row r="1197" spans="1:28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142"/>
    </row>
    <row r="1198" spans="1:28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142"/>
    </row>
    <row r="1199" spans="1:28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142"/>
    </row>
    <row r="1200" spans="1:28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142"/>
    </row>
    <row r="1201" spans="1:28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142"/>
    </row>
    <row r="1202" spans="1:28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142"/>
    </row>
    <row r="1203" spans="1:28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142"/>
    </row>
    <row r="1204" spans="1:28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142"/>
    </row>
    <row r="1205" spans="1:28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142"/>
    </row>
    <row r="1206" spans="1:28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142"/>
    </row>
    <row r="1207" spans="1:28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142"/>
    </row>
    <row r="1208" spans="1:28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142"/>
    </row>
    <row r="1209" spans="1:28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142"/>
    </row>
    <row r="1210" spans="1:28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142"/>
    </row>
    <row r="1211" spans="1:28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142"/>
    </row>
    <row r="1212" spans="1:28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142"/>
    </row>
    <row r="1213" spans="1:28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142"/>
    </row>
    <row r="1214" spans="1:28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142"/>
    </row>
    <row r="1215" spans="1:28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142"/>
    </row>
    <row r="1216" spans="1:28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142"/>
    </row>
    <row r="1217" spans="1:28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142"/>
    </row>
    <row r="1218" spans="1:28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142"/>
    </row>
    <row r="1219" spans="1:28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142"/>
    </row>
    <row r="1220" spans="1:28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142"/>
    </row>
    <row r="1221" spans="1:28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142"/>
    </row>
    <row r="1222" spans="1:28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142"/>
    </row>
    <row r="1223" spans="1:28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142"/>
    </row>
    <row r="1224" spans="1:28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142"/>
    </row>
    <row r="1225" spans="1:28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142"/>
    </row>
    <row r="1226" spans="1:28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142"/>
    </row>
    <row r="1227" spans="1:28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142"/>
    </row>
    <row r="1228" spans="1:28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142"/>
    </row>
    <row r="1229" spans="1:28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142"/>
    </row>
    <row r="1230" spans="1:28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142"/>
    </row>
    <row r="1231" spans="1:28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142"/>
    </row>
    <row r="1232" spans="1:28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142"/>
    </row>
    <row r="1233" spans="1:28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142"/>
    </row>
    <row r="1234" spans="1:28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142"/>
    </row>
    <row r="1235" spans="1:28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142"/>
    </row>
    <row r="1236" spans="1:28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142"/>
    </row>
    <row r="1237" spans="1:28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142"/>
    </row>
    <row r="1238" spans="1:28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142"/>
    </row>
    <row r="1239" spans="1:28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142"/>
    </row>
    <row r="1240" spans="1:28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142"/>
    </row>
    <row r="1241" spans="1:28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142"/>
    </row>
    <row r="1242" spans="1:28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142"/>
    </row>
    <row r="1243" spans="1:28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142"/>
    </row>
    <row r="1244" spans="1:28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142"/>
    </row>
    <row r="1245" spans="1:28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142"/>
    </row>
    <row r="1246" spans="1:28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142"/>
    </row>
    <row r="1247" spans="1:28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142"/>
    </row>
    <row r="1248" spans="1:28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142"/>
    </row>
    <row r="1249" spans="1:28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142"/>
    </row>
    <row r="1250" spans="1:28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142"/>
    </row>
    <row r="1251" spans="1:28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142"/>
    </row>
    <row r="1252" spans="1:28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142"/>
    </row>
    <row r="1253" spans="1:28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142"/>
    </row>
    <row r="1254" spans="1:28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142"/>
    </row>
    <row r="1255" spans="1:28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142"/>
    </row>
    <row r="1256" spans="1:28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142"/>
    </row>
    <row r="1257" spans="1:28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142"/>
    </row>
    <row r="1258" spans="1:28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142"/>
    </row>
    <row r="1259" spans="1:28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142"/>
    </row>
    <row r="1260" spans="1:28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142"/>
    </row>
    <row r="1261" spans="1:28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142"/>
    </row>
    <row r="1262" spans="1:28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142"/>
    </row>
    <row r="1263" spans="1:28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142"/>
    </row>
    <row r="1264" spans="1:28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142"/>
    </row>
    <row r="1265" spans="1:28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142"/>
    </row>
    <row r="1266" spans="1:28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142"/>
    </row>
    <row r="1267" spans="1:28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142"/>
    </row>
    <row r="1268" spans="1:28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142"/>
    </row>
    <row r="1269" spans="1:28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142"/>
    </row>
    <row r="1270" spans="1:28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142"/>
    </row>
    <row r="1271" spans="1:28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142"/>
    </row>
    <row r="1272" spans="1:28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142"/>
    </row>
    <row r="1273" spans="1:28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142"/>
    </row>
    <row r="1274" spans="1:28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142"/>
    </row>
    <row r="1275" spans="1:28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142"/>
    </row>
    <row r="1276" spans="1:28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142"/>
    </row>
    <row r="1277" spans="1:28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142"/>
    </row>
    <row r="1278" spans="1:28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142"/>
    </row>
    <row r="1279" spans="1:28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142"/>
    </row>
    <row r="1280" spans="1:28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142"/>
    </row>
    <row r="1281" spans="1:28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142"/>
    </row>
    <row r="1282" spans="1:28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142"/>
    </row>
    <row r="1283" spans="1:28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142"/>
    </row>
    <row r="1284" spans="1:28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142"/>
    </row>
    <row r="1285" spans="1:28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142"/>
    </row>
    <row r="1286" spans="1:28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142"/>
    </row>
    <row r="1287" spans="1:28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142"/>
    </row>
    <row r="1288" spans="1:28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142"/>
    </row>
    <row r="1289" spans="1:28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142"/>
    </row>
    <row r="1290" spans="1:28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142"/>
    </row>
    <row r="1291" spans="1:28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142"/>
    </row>
    <row r="1292" spans="1:28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142"/>
    </row>
    <row r="1293" spans="1:28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142"/>
    </row>
    <row r="1294" spans="1:28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142"/>
    </row>
    <row r="1295" spans="1:28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142"/>
    </row>
    <row r="1296" spans="1:28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142"/>
    </row>
    <row r="1297" spans="1:28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142"/>
    </row>
    <row r="1298" spans="1:28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142"/>
    </row>
    <row r="1299" spans="1:28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142"/>
    </row>
    <row r="1300" spans="1:28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142"/>
    </row>
    <row r="1301" spans="1:28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142"/>
    </row>
    <row r="1302" spans="1:28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142"/>
    </row>
    <row r="1303" spans="1:28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142"/>
    </row>
    <row r="1304" spans="1:28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142"/>
    </row>
    <row r="1305" spans="1:28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142"/>
    </row>
    <row r="1306" spans="1:28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142"/>
    </row>
    <row r="1307" spans="1:28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142"/>
    </row>
    <row r="1308" spans="1:28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142"/>
    </row>
    <row r="1309" spans="1:28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142"/>
    </row>
    <row r="1310" spans="1:28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142"/>
    </row>
    <row r="1311" spans="1:28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142"/>
    </row>
    <row r="1312" spans="1:28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142"/>
    </row>
    <row r="1313" spans="1:28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142"/>
    </row>
    <row r="1314" spans="1:28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142"/>
    </row>
    <row r="1315" spans="1:28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142"/>
    </row>
    <row r="1316" spans="1:28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142"/>
    </row>
    <row r="1317" spans="1:28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142"/>
    </row>
    <row r="1318" spans="1:28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142"/>
    </row>
    <row r="1319" spans="1:28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142"/>
    </row>
    <row r="1320" spans="1:28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142"/>
    </row>
    <row r="1321" spans="1:28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142"/>
    </row>
    <row r="1322" spans="1:28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142"/>
    </row>
    <row r="1323" spans="1:28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142"/>
    </row>
    <row r="1324" spans="1:28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142"/>
    </row>
    <row r="1325" spans="1:28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142"/>
    </row>
    <row r="1326" spans="1:28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142"/>
    </row>
    <row r="1327" spans="1:28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142"/>
    </row>
    <row r="1328" spans="1:28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142"/>
    </row>
    <row r="1329" spans="1:28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142"/>
    </row>
    <row r="1330" spans="1:28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142"/>
    </row>
    <row r="1331" spans="1:28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142"/>
    </row>
    <row r="1332" spans="1:28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142"/>
    </row>
    <row r="1333" spans="1:28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142"/>
    </row>
    <row r="1334" spans="1:28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142"/>
    </row>
    <row r="1335" spans="1:28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142"/>
    </row>
    <row r="1336" spans="1:28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142"/>
    </row>
    <row r="1337" spans="1:28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142"/>
    </row>
    <row r="1338" spans="1:28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142"/>
    </row>
    <row r="1339" spans="1:28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142"/>
    </row>
    <row r="1340" spans="1:28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142"/>
    </row>
    <row r="1341" spans="1:28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142"/>
    </row>
    <row r="1342" spans="1:28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142"/>
    </row>
    <row r="1343" spans="1:28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142"/>
    </row>
    <row r="1344" spans="1:28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142"/>
    </row>
    <row r="1345" spans="1:28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142"/>
    </row>
    <row r="1346" spans="1:28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142"/>
    </row>
    <row r="1347" spans="1:28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142"/>
    </row>
    <row r="1348" spans="1:28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142"/>
    </row>
    <row r="1349" spans="1:28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142"/>
    </row>
    <row r="1350" spans="1:28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142"/>
    </row>
    <row r="1351" spans="1:28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142"/>
    </row>
    <row r="1352" spans="1:28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142"/>
    </row>
    <row r="1353" spans="1:28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142"/>
    </row>
    <row r="1354" spans="1:28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142"/>
    </row>
    <row r="1355" spans="1:28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142"/>
    </row>
    <row r="1356" spans="1:28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142"/>
    </row>
    <row r="1357" spans="1:28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142"/>
    </row>
    <row r="1358" spans="1:28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142"/>
    </row>
    <row r="1359" spans="1:28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142"/>
    </row>
    <row r="1360" spans="1:28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142"/>
    </row>
    <row r="1361" spans="1:28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142"/>
    </row>
    <row r="1362" spans="1:28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142"/>
    </row>
    <row r="1363" spans="1:28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142"/>
    </row>
    <row r="1364" spans="1:28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142"/>
    </row>
    <row r="1365" spans="1:28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142"/>
    </row>
    <row r="1366" spans="1:28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142"/>
    </row>
    <row r="1367" spans="1:28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142"/>
    </row>
    <row r="1368" spans="1:28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142"/>
    </row>
    <row r="1369" spans="1:28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142"/>
    </row>
    <row r="1370" spans="1:28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142"/>
    </row>
    <row r="1371" spans="1:28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142"/>
    </row>
    <row r="1372" spans="1:28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142"/>
    </row>
    <row r="1373" spans="1:28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142"/>
    </row>
    <row r="1374" spans="1:28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142"/>
    </row>
    <row r="1375" spans="1:28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142"/>
    </row>
    <row r="1376" spans="1:28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142"/>
    </row>
    <row r="1377" spans="1:28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142"/>
    </row>
    <row r="1378" spans="1:28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142"/>
    </row>
    <row r="1379" spans="1:28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142"/>
    </row>
    <row r="1380" spans="1:28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142"/>
    </row>
    <row r="1381" spans="1:28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142"/>
    </row>
    <row r="1382" spans="1:28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142"/>
    </row>
    <row r="1383" spans="1:28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142"/>
    </row>
    <row r="1384" spans="1:28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142"/>
    </row>
    <row r="1385" spans="1:28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142"/>
    </row>
    <row r="1386" spans="1:28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142"/>
    </row>
    <row r="1387" spans="1:28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142"/>
    </row>
    <row r="1388" spans="1:28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142"/>
    </row>
    <row r="1389" spans="1:28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142"/>
    </row>
    <row r="1390" spans="1:28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142"/>
    </row>
    <row r="1391" spans="1:28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142"/>
    </row>
    <row r="1392" spans="1:28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142"/>
    </row>
    <row r="1393" spans="1:28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142"/>
    </row>
    <row r="1394" spans="1:28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142"/>
    </row>
    <row r="1395" spans="1:28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142"/>
    </row>
    <row r="1396" spans="1:28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142"/>
    </row>
    <row r="1397" spans="1:28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142"/>
    </row>
    <row r="1398" spans="1:28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142"/>
    </row>
    <row r="1399" spans="1:28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142"/>
    </row>
    <row r="1400" spans="1:28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142"/>
    </row>
    <row r="1401" spans="1:28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142"/>
    </row>
    <row r="1402" spans="1:28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142"/>
    </row>
    <row r="1403" spans="1:28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142"/>
    </row>
    <row r="1404" spans="1:28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142"/>
    </row>
    <row r="1405" spans="1:28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142"/>
    </row>
    <row r="1406" spans="1:28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142"/>
    </row>
    <row r="1407" spans="1:28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142"/>
    </row>
    <row r="1408" spans="1:28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142"/>
    </row>
    <row r="1409" spans="1:28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142"/>
    </row>
    <row r="1410" spans="1:28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142"/>
    </row>
    <row r="1411" spans="1:28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142"/>
    </row>
    <row r="1412" spans="1:28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142"/>
    </row>
    <row r="1413" spans="1:28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142"/>
    </row>
    <row r="1414" spans="1:28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142"/>
    </row>
    <row r="1415" spans="1:28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142"/>
    </row>
    <row r="1416" spans="1:28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142"/>
    </row>
    <row r="1417" spans="1:28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142"/>
    </row>
    <row r="1418" spans="1:28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142"/>
    </row>
    <row r="1419" spans="1:28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142"/>
    </row>
    <row r="1420" spans="1:28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142"/>
    </row>
    <row r="1421" spans="1:28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142"/>
    </row>
    <row r="1422" spans="1:28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142"/>
    </row>
    <row r="1423" spans="1:28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142"/>
    </row>
    <row r="1424" spans="1:28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142"/>
    </row>
    <row r="1425" spans="1:28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142"/>
    </row>
    <row r="1426" spans="1:28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142"/>
    </row>
    <row r="1427" spans="1:28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142"/>
    </row>
    <row r="1428" spans="1:28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142"/>
    </row>
    <row r="1429" spans="1:28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142"/>
    </row>
    <row r="1430" spans="1:28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142"/>
    </row>
    <row r="1431" spans="1:28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142"/>
    </row>
    <row r="1432" spans="1:28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142"/>
    </row>
    <row r="1433" spans="1:28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142"/>
    </row>
    <row r="1434" spans="1:28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142"/>
    </row>
    <row r="1435" spans="1:28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142"/>
    </row>
    <row r="1436" spans="1:28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142"/>
    </row>
    <row r="1437" spans="1:28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142"/>
    </row>
    <row r="1438" spans="1:28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142"/>
    </row>
    <row r="1439" spans="1:28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142"/>
    </row>
    <row r="1440" spans="1:28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142"/>
    </row>
    <row r="1441" spans="1:28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142"/>
    </row>
    <row r="1442" spans="1:28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142"/>
    </row>
    <row r="1443" spans="1:28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142"/>
    </row>
    <row r="1444" spans="1:28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142"/>
    </row>
    <row r="1445" spans="1:28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142"/>
    </row>
    <row r="1446" spans="1:28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142"/>
    </row>
    <row r="1447" spans="1:28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142"/>
    </row>
    <row r="1448" spans="1:28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142"/>
    </row>
    <row r="1449" spans="1:28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142"/>
    </row>
    <row r="1450" spans="1:28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142"/>
    </row>
    <row r="1451" spans="1:28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142"/>
    </row>
    <row r="1452" spans="1:28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142"/>
    </row>
    <row r="1453" spans="1:28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142"/>
    </row>
    <row r="1454" spans="1:28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142"/>
    </row>
    <row r="1455" spans="1:28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142"/>
    </row>
    <row r="1456" spans="1:28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142"/>
    </row>
    <row r="1457" spans="1:28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142"/>
    </row>
    <row r="1458" spans="1:28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142"/>
    </row>
    <row r="1459" spans="1:28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142"/>
    </row>
    <row r="1460" spans="1:28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142"/>
    </row>
    <row r="1461" spans="1:28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142"/>
    </row>
    <row r="1462" spans="1:28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142"/>
    </row>
    <row r="1463" spans="1:28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142"/>
    </row>
    <row r="1464" spans="1:28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142"/>
    </row>
    <row r="1465" spans="1:28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142"/>
    </row>
    <row r="1466" spans="1:28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142"/>
    </row>
    <row r="1467" spans="1:28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142"/>
    </row>
    <row r="1468" spans="1:28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142"/>
    </row>
    <row r="1469" spans="1:28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142"/>
    </row>
    <row r="1470" spans="1:28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142"/>
    </row>
    <row r="1471" spans="1:28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142"/>
    </row>
    <row r="1472" spans="1:28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142"/>
    </row>
    <row r="1473" spans="1:28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142"/>
    </row>
    <row r="1474" spans="1:28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142"/>
    </row>
    <row r="1475" spans="1:28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142"/>
    </row>
    <row r="1476" spans="1:28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142"/>
    </row>
    <row r="1477" spans="1:28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142"/>
    </row>
    <row r="1478" spans="1:28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142"/>
    </row>
    <row r="1479" spans="1:28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142"/>
    </row>
    <row r="1480" spans="1:28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142"/>
    </row>
    <row r="1481" spans="1:28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142"/>
    </row>
    <row r="1482" spans="1:28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142"/>
    </row>
    <row r="1483" spans="1:28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142"/>
    </row>
    <row r="1484" spans="1:28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142"/>
    </row>
    <row r="1485" spans="1:28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142"/>
    </row>
    <row r="1486" spans="1:28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142"/>
    </row>
    <row r="1487" spans="1:28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142"/>
    </row>
    <row r="1488" spans="1:28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142"/>
    </row>
    <row r="1489" spans="1:28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142"/>
    </row>
    <row r="1490" spans="1:28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142"/>
    </row>
    <row r="1491" spans="1:28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142"/>
    </row>
    <row r="1492" spans="1:28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142"/>
    </row>
    <row r="1493" spans="1:28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142"/>
    </row>
    <row r="1494" spans="1:28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142"/>
    </row>
    <row r="1495" spans="1:28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142"/>
    </row>
    <row r="1496" spans="1:28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142"/>
    </row>
    <row r="1497" spans="1:28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142"/>
    </row>
    <row r="1498" spans="1:28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142"/>
    </row>
    <row r="1499" spans="1:28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142"/>
    </row>
    <row r="1500" spans="1:28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142"/>
    </row>
    <row r="1501" spans="1:28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142"/>
    </row>
    <row r="1502" spans="1:28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142"/>
    </row>
    <row r="1503" spans="1:28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142"/>
    </row>
    <row r="1504" spans="1:28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142"/>
    </row>
    <row r="1505" spans="1:28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142"/>
    </row>
    <row r="1506" spans="1:28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142"/>
    </row>
    <row r="1507" spans="1:28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142"/>
    </row>
    <row r="1508" spans="1:28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142"/>
    </row>
    <row r="1509" spans="1:28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142"/>
    </row>
    <row r="1510" spans="1:28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142"/>
    </row>
    <row r="1511" spans="1:28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142"/>
    </row>
    <row r="1512" spans="1:28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142"/>
    </row>
    <row r="1513" spans="1:28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142"/>
    </row>
    <row r="1514" spans="1:28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142"/>
    </row>
    <row r="1515" spans="1:28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142"/>
    </row>
    <row r="1516" spans="1:28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142"/>
    </row>
    <row r="1517" spans="1:28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142"/>
    </row>
    <row r="1518" spans="1:28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142"/>
    </row>
    <row r="1519" spans="1:28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142"/>
    </row>
    <row r="1520" spans="1:28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142"/>
    </row>
    <row r="1521" spans="1:28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142"/>
    </row>
    <row r="1522" spans="1:28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142"/>
    </row>
    <row r="1523" spans="1:28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142"/>
    </row>
    <row r="1524" spans="1:28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142"/>
    </row>
    <row r="1525" spans="1:28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142"/>
    </row>
    <row r="1526" spans="1:28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142"/>
    </row>
    <row r="1527" spans="1:28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142"/>
    </row>
    <row r="1528" spans="1:28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142"/>
    </row>
    <row r="1529" spans="1:28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142"/>
    </row>
    <row r="1530" spans="1:28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142"/>
    </row>
    <row r="1531" spans="1:28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142"/>
    </row>
    <row r="1532" spans="1:28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142"/>
    </row>
    <row r="1533" spans="1:28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142"/>
    </row>
    <row r="1534" spans="1:28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142"/>
    </row>
    <row r="1535" spans="1:28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142"/>
    </row>
    <row r="1536" spans="1:28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142"/>
    </row>
    <row r="1537" spans="1:28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142"/>
    </row>
    <row r="1538" spans="1:28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142"/>
    </row>
    <row r="1539" spans="1:28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142"/>
    </row>
    <row r="1540" spans="1:28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142"/>
    </row>
    <row r="1541" spans="1:28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142"/>
    </row>
    <row r="1542" spans="1:28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142"/>
    </row>
    <row r="1543" spans="1:28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142"/>
    </row>
    <row r="1544" spans="1:28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142"/>
    </row>
    <row r="1545" spans="1:28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142"/>
    </row>
    <row r="1546" spans="1:28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142"/>
    </row>
    <row r="1547" spans="1:28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142"/>
    </row>
    <row r="1548" spans="1:28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142"/>
    </row>
    <row r="1549" spans="1:28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142"/>
    </row>
    <row r="1550" spans="1:28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142"/>
    </row>
    <row r="1551" spans="1:28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142"/>
    </row>
    <row r="1552" spans="1:28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142"/>
    </row>
    <row r="1553" spans="1:28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142"/>
    </row>
    <row r="1554" spans="1:28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142"/>
    </row>
    <row r="1555" spans="1:28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142"/>
    </row>
    <row r="1556" spans="1:28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142"/>
    </row>
    <row r="1557" spans="1:28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142"/>
    </row>
    <row r="1558" spans="1:28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142"/>
    </row>
    <row r="1559" spans="1:28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142"/>
    </row>
    <row r="1560" spans="1:28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142"/>
    </row>
    <row r="1561" spans="1:28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142"/>
    </row>
    <row r="1562" spans="1:28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142"/>
    </row>
    <row r="1563" spans="1:28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142"/>
    </row>
    <row r="1564" spans="1:28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142"/>
    </row>
    <row r="1565" spans="1:28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142"/>
    </row>
    <row r="1566" spans="1:28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142"/>
    </row>
    <row r="1567" spans="1:28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142"/>
    </row>
    <row r="1568" spans="1:28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142"/>
    </row>
    <row r="1569" spans="1:28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142"/>
    </row>
    <row r="1570" spans="1:28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142"/>
    </row>
    <row r="1571" spans="1:28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142"/>
    </row>
    <row r="1572" spans="1:28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142"/>
    </row>
    <row r="1573" spans="1:28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142"/>
    </row>
    <row r="1574" spans="1:28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142"/>
    </row>
    <row r="1575" spans="1:28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142"/>
    </row>
    <row r="1576" spans="1:28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142"/>
    </row>
    <row r="1577" spans="1:28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142"/>
    </row>
    <row r="1578" spans="1:28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142"/>
    </row>
    <row r="1579" spans="1:28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142"/>
    </row>
    <row r="1580" spans="1:28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142"/>
    </row>
    <row r="1581" spans="1:28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142"/>
    </row>
    <row r="1582" spans="1:28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142"/>
    </row>
    <row r="1583" spans="1:28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142"/>
    </row>
    <row r="1584" spans="1:28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142"/>
    </row>
    <row r="1585" spans="1:28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142"/>
    </row>
    <row r="1586" spans="1:28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142"/>
    </row>
    <row r="1587" spans="1:28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142"/>
    </row>
    <row r="1588" spans="1:28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142"/>
    </row>
    <row r="1589" spans="1:28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142"/>
    </row>
    <row r="1590" spans="1:28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142"/>
    </row>
    <row r="1591" spans="1:28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142"/>
    </row>
    <row r="1592" spans="1:28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142"/>
    </row>
    <row r="1593" spans="1:28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142"/>
    </row>
    <row r="1594" spans="1:28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142"/>
    </row>
    <row r="1595" spans="1:28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142"/>
    </row>
    <row r="1596" spans="1:28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142"/>
    </row>
    <row r="1597" spans="1:28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142"/>
    </row>
    <row r="1598" spans="1:28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142"/>
    </row>
    <row r="1599" spans="1:28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142"/>
    </row>
    <row r="1600" spans="1:28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142"/>
    </row>
    <row r="1601" spans="1:28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142"/>
    </row>
    <row r="1602" spans="1:28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142"/>
    </row>
    <row r="1603" spans="1:28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142"/>
    </row>
    <row r="1604" spans="1:28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142"/>
    </row>
    <row r="1605" spans="1:28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142"/>
    </row>
    <row r="1606" spans="1:28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142"/>
    </row>
    <row r="1607" spans="1:28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142"/>
    </row>
    <row r="1608" spans="1:28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142"/>
    </row>
    <row r="1609" spans="1:28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142"/>
    </row>
    <row r="1610" spans="1:28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142"/>
    </row>
    <row r="1611" spans="1:28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142"/>
    </row>
    <row r="1612" spans="1:28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142"/>
    </row>
    <row r="1613" spans="1:28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142"/>
    </row>
    <row r="1614" spans="1:28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142"/>
    </row>
    <row r="1615" spans="1:28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142"/>
    </row>
    <row r="1616" spans="1:28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142"/>
    </row>
    <row r="1617" spans="1:28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142"/>
    </row>
    <row r="1618" spans="1:28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142"/>
    </row>
    <row r="1619" spans="1:28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142"/>
    </row>
    <row r="1620" spans="1:28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142"/>
    </row>
    <row r="1621" spans="1:28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142"/>
    </row>
    <row r="1622" spans="1:28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142"/>
    </row>
    <row r="1623" spans="1:28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142"/>
    </row>
    <row r="1624" spans="1:28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142"/>
    </row>
    <row r="1625" spans="1:28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142"/>
    </row>
    <row r="1626" spans="1:28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142"/>
    </row>
    <row r="1627" spans="1:28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142"/>
    </row>
    <row r="1628" spans="1:28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142"/>
    </row>
    <row r="1629" spans="1:28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142"/>
    </row>
    <row r="1630" spans="1:28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142"/>
    </row>
    <row r="1631" spans="1:28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142"/>
    </row>
    <row r="1632" spans="1:28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142"/>
    </row>
    <row r="1633" spans="1:28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142"/>
    </row>
    <row r="1634" spans="1:28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142"/>
    </row>
    <row r="1635" spans="1:28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142"/>
    </row>
    <row r="1636" spans="1:28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142"/>
    </row>
    <row r="1637" spans="1:28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142"/>
    </row>
    <row r="1638" spans="1:28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142"/>
    </row>
    <row r="1639" spans="1:28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142"/>
    </row>
    <row r="1640" spans="1:28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142"/>
    </row>
    <row r="1641" spans="1:28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142"/>
    </row>
    <row r="1642" spans="1:28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142"/>
    </row>
    <row r="1643" spans="1:28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142"/>
    </row>
    <row r="1644" spans="1:28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142"/>
    </row>
    <row r="1645" spans="1:28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142"/>
    </row>
    <row r="1646" spans="1:28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142"/>
    </row>
    <row r="1647" spans="1:28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142"/>
    </row>
    <row r="1648" spans="1:28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142"/>
    </row>
    <row r="1649" spans="1:28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142"/>
    </row>
    <row r="1650" spans="1:28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142"/>
    </row>
    <row r="1651" spans="1:28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142"/>
    </row>
    <row r="1652" spans="1:28" s="28" customFormat="1" x14ac:dyDescent="0.25">
      <c r="A1652" s="56"/>
      <c r="B1652" s="62"/>
      <c r="C1652" s="62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142"/>
    </row>
    <row r="1653" spans="1:28" s="28" customFormat="1" x14ac:dyDescent="0.25">
      <c r="A1653" s="56"/>
      <c r="B1653" s="62"/>
      <c r="C1653" s="62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142"/>
    </row>
    <row r="1654" spans="1:28" s="28" customFormat="1" x14ac:dyDescent="0.25">
      <c r="A1654" s="56"/>
      <c r="B1654" s="62"/>
      <c r="C1654" s="62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142"/>
    </row>
    <row r="1655" spans="1:28" s="28" customFormat="1" x14ac:dyDescent="0.25">
      <c r="A1655" s="56"/>
      <c r="B1655" s="62"/>
      <c r="C1655" s="62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142"/>
    </row>
    <row r="1656" spans="1:28" s="28" customFormat="1" x14ac:dyDescent="0.25">
      <c r="A1656" s="56"/>
      <c r="B1656" s="62"/>
      <c r="C1656" s="62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142"/>
    </row>
    <row r="1657" spans="1:28" s="28" customFormat="1" x14ac:dyDescent="0.25">
      <c r="A1657" s="56"/>
      <c r="B1657" s="62"/>
      <c r="C1657" s="62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142"/>
    </row>
    <row r="1658" spans="1:28" s="28" customFormat="1" x14ac:dyDescent="0.25">
      <c r="A1658" s="56"/>
      <c r="B1658" s="62"/>
      <c r="C1658" s="62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142"/>
    </row>
    <row r="1659" spans="1:28" s="28" customFormat="1" x14ac:dyDescent="0.25">
      <c r="A1659" s="56"/>
      <c r="B1659" s="62"/>
      <c r="C1659" s="62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142"/>
    </row>
    <row r="1660" spans="1:28" s="28" customFormat="1" x14ac:dyDescent="0.25">
      <c r="A1660" s="56"/>
      <c r="B1660" s="62"/>
      <c r="C1660" s="62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142"/>
    </row>
    <row r="1661" spans="1:28" s="28" customFormat="1" x14ac:dyDescent="0.25">
      <c r="A1661" s="56"/>
      <c r="B1661" s="62"/>
      <c r="C1661" s="62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142"/>
    </row>
    <row r="1662" spans="1:28" s="28" customFormat="1" x14ac:dyDescent="0.25">
      <c r="A1662" s="56"/>
      <c r="B1662" s="62"/>
      <c r="C1662" s="62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142"/>
    </row>
    <row r="1663" spans="1:28" s="28" customFormat="1" x14ac:dyDescent="0.25">
      <c r="A1663" s="56"/>
      <c r="B1663" s="62"/>
      <c r="C1663" s="62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142"/>
    </row>
    <row r="1664" spans="1:28" s="28" customFormat="1" x14ac:dyDescent="0.25">
      <c r="A1664" s="56"/>
      <c r="B1664" s="62"/>
      <c r="C1664" s="62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142"/>
    </row>
    <row r="1665" spans="1:28" s="28" customFormat="1" x14ac:dyDescent="0.25">
      <c r="A1665" s="56"/>
      <c r="B1665" s="62"/>
      <c r="C1665" s="62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142"/>
    </row>
    <row r="1666" spans="1:28" s="28" customFormat="1" x14ac:dyDescent="0.25">
      <c r="A1666" s="56"/>
      <c r="B1666" s="62"/>
      <c r="C1666" s="62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142"/>
    </row>
    <row r="1667" spans="1:28" s="28" customFormat="1" x14ac:dyDescent="0.25">
      <c r="A1667" s="56"/>
      <c r="B1667" s="62"/>
      <c r="C1667" s="62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142"/>
    </row>
    <row r="1668" spans="1:28" s="28" customFormat="1" x14ac:dyDescent="0.25">
      <c r="A1668" s="56"/>
      <c r="B1668" s="62"/>
      <c r="C1668" s="62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142"/>
    </row>
    <row r="1669" spans="1:28" s="28" customFormat="1" x14ac:dyDescent="0.25">
      <c r="A1669" s="56"/>
      <c r="B1669" s="62"/>
      <c r="C1669" s="62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142"/>
    </row>
    <row r="1670" spans="1:28" s="28" customFormat="1" x14ac:dyDescent="0.25">
      <c r="A1670" s="56"/>
      <c r="B1670" s="62"/>
      <c r="C1670" s="62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142"/>
    </row>
    <row r="1671" spans="1:28" s="28" customFormat="1" x14ac:dyDescent="0.25">
      <c r="A1671" s="56"/>
      <c r="B1671" s="62"/>
      <c r="C1671" s="62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142"/>
    </row>
    <row r="1672" spans="1:28" s="28" customFormat="1" x14ac:dyDescent="0.25">
      <c r="A1672" s="56"/>
      <c r="B1672" s="62"/>
      <c r="C1672" s="62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142"/>
    </row>
    <row r="1673" spans="1:28" s="28" customFormat="1" x14ac:dyDescent="0.25">
      <c r="A1673" s="56"/>
      <c r="B1673" s="62"/>
      <c r="C1673" s="62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142"/>
    </row>
    <row r="1674" spans="1:28" s="28" customFormat="1" x14ac:dyDescent="0.25">
      <c r="A1674" s="56"/>
      <c r="B1674" s="62"/>
      <c r="C1674" s="62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142"/>
    </row>
    <row r="1675" spans="1:28" s="28" customFormat="1" x14ac:dyDescent="0.25">
      <c r="A1675" s="56"/>
      <c r="B1675" s="62"/>
      <c r="C1675" s="62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142"/>
    </row>
    <row r="1676" spans="1:28" s="28" customFormat="1" x14ac:dyDescent="0.25">
      <c r="A1676" s="56"/>
      <c r="B1676" s="62"/>
      <c r="C1676" s="62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142"/>
    </row>
    <row r="1677" spans="1:28" s="28" customFormat="1" x14ac:dyDescent="0.25">
      <c r="A1677" s="56"/>
      <c r="B1677" s="62"/>
      <c r="C1677" s="62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142"/>
    </row>
  </sheetData>
  <mergeCells count="37">
    <mergeCell ref="A10:AB10"/>
    <mergeCell ref="A14:A17"/>
    <mergeCell ref="C14:C17"/>
    <mergeCell ref="B14:B17"/>
    <mergeCell ref="D14:D17"/>
    <mergeCell ref="G16:H16"/>
    <mergeCell ref="I16:I17"/>
    <mergeCell ref="AB14:AB17"/>
    <mergeCell ref="N16:N17"/>
    <mergeCell ref="O16:O17"/>
    <mergeCell ref="E16:E17"/>
    <mergeCell ref="F16:F17"/>
    <mergeCell ref="P16:P17"/>
    <mergeCell ref="Q16:R16"/>
    <mergeCell ref="S16:S17"/>
    <mergeCell ref="Z13:AA13"/>
    <mergeCell ref="E15:I15"/>
    <mergeCell ref="J15:L15"/>
    <mergeCell ref="J16:J17"/>
    <mergeCell ref="K16:L16"/>
    <mergeCell ref="A305:D305"/>
    <mergeCell ref="M14:M17"/>
    <mergeCell ref="Z14:Z17"/>
    <mergeCell ref="N14:Y14"/>
    <mergeCell ref="AA14:AA17"/>
    <mergeCell ref="T1:X1"/>
    <mergeCell ref="T3:AB3"/>
    <mergeCell ref="N15:S15"/>
    <mergeCell ref="T15:Y15"/>
    <mergeCell ref="T16:T17"/>
    <mergeCell ref="U16:U17"/>
    <mergeCell ref="V16:V17"/>
    <mergeCell ref="W16:X16"/>
    <mergeCell ref="Y16:Y17"/>
    <mergeCell ref="A11:AA11"/>
    <mergeCell ref="A12:AA12"/>
    <mergeCell ref="E14:L14"/>
  </mergeCells>
  <phoneticPr fontId="3" type="noConversion"/>
  <printOptions horizontalCentered="1"/>
  <pageMargins left="0.19685039370078741" right="0" top="0.78740157480314965" bottom="0.59055118110236227" header="0.59055118110236227" footer="0.31496062992125984"/>
  <pageSetup paperSize="9" scale="33" fitToHeight="100" orientation="landscape" useFirstPageNumber="1" r:id="rId1"/>
  <headerFooter scaleWithDoc="0" alignWithMargins="0">
    <oddHeader xml:space="preserve">&amp;R
</oddHeader>
    <oddFooter>&amp;R&amp;8Сторінка &amp;P</oddFooter>
  </headerFooter>
  <rowBreaks count="3" manualBreakCount="3">
    <brk id="35" max="24" man="1"/>
    <brk id="61" max="24" man="1"/>
    <brk id="29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D241"/>
  <sheetViews>
    <sheetView showGridLines="0" showZeros="0" view="pageBreakPreview" topLeftCell="K1" zoomScale="73" zoomScaleNormal="87" zoomScaleSheetLayoutView="73" workbookViewId="0">
      <selection activeCell="L7" sqref="L7"/>
    </sheetView>
  </sheetViews>
  <sheetFormatPr defaultColWidth="9.1640625" defaultRowHeight="15.75" x14ac:dyDescent="0.25"/>
  <cols>
    <col min="1" max="1" width="19.1640625" style="5" customWidth="1"/>
    <col min="2" max="2" width="23" style="1" hidden="1" customWidth="1"/>
    <col min="3" max="3" width="69" style="10" customWidth="1"/>
    <col min="4" max="4" width="20.5" style="4" customWidth="1"/>
    <col min="5" max="5" width="22.6640625" style="4" hidden="1" customWidth="1"/>
    <col min="6" max="6" width="20.6640625" style="4" customWidth="1"/>
    <col min="7" max="7" width="18.5" style="4" customWidth="1"/>
    <col min="8" max="8" width="17.5" style="4" hidden="1" customWidth="1"/>
    <col min="9" max="9" width="20.33203125" style="4" customWidth="1"/>
    <col min="10" max="10" width="19.5" style="4" customWidth="1"/>
    <col min="11" max="11" width="17" style="4" customWidth="1"/>
    <col min="12" max="12" width="13.1640625" style="4" customWidth="1"/>
    <col min="13" max="13" width="18.6640625" style="4" customWidth="1"/>
    <col min="14" max="14" width="18.83203125" style="4" customWidth="1"/>
    <col min="15" max="15" width="18.1640625" style="4" customWidth="1"/>
    <col min="16" max="16" width="17" style="4" customWidth="1"/>
    <col min="17" max="17" width="17.1640625" style="4" customWidth="1"/>
    <col min="18" max="18" width="21.83203125" style="4" customWidth="1"/>
    <col min="19" max="19" width="18.5" style="4" customWidth="1"/>
    <col min="20" max="20" width="20" style="4" customWidth="1"/>
    <col min="21" max="23" width="18.83203125" style="4" customWidth="1"/>
    <col min="24" max="24" width="20.5" style="4" customWidth="1"/>
    <col min="25" max="25" width="13.6640625" style="4" customWidth="1"/>
    <col min="26" max="26" width="20.6640625" style="4" customWidth="1"/>
    <col min="27" max="27" width="20.5" style="4" hidden="1" customWidth="1"/>
    <col min="28" max="16384" width="9.1640625" style="4"/>
  </cols>
  <sheetData>
    <row r="1" spans="1:27" ht="37.5" customHeight="1" x14ac:dyDescent="0.55000000000000004">
      <c r="M1" s="146"/>
      <c r="N1" s="146"/>
      <c r="O1" s="146"/>
      <c r="P1" s="146"/>
      <c r="Q1" s="146"/>
      <c r="R1" s="188" t="s">
        <v>591</v>
      </c>
      <c r="S1" s="188"/>
      <c r="T1" s="188"/>
      <c r="U1" s="188"/>
      <c r="V1" s="188"/>
      <c r="W1" s="161"/>
      <c r="X1" s="162"/>
      <c r="Y1" s="162"/>
      <c r="Z1" s="162"/>
      <c r="AA1" s="153"/>
    </row>
    <row r="2" spans="1:27" ht="37.5" customHeight="1" x14ac:dyDescent="0.55000000000000004">
      <c r="M2" s="147"/>
      <c r="N2" s="147"/>
      <c r="O2" s="147"/>
      <c r="P2" s="147"/>
      <c r="Q2" s="147"/>
      <c r="R2" s="163" t="s">
        <v>570</v>
      </c>
      <c r="S2" s="163"/>
      <c r="T2" s="163"/>
      <c r="U2" s="163"/>
      <c r="V2" s="163"/>
      <c r="W2" s="163"/>
      <c r="X2" s="162"/>
      <c r="Y2" s="162"/>
      <c r="Z2" s="162"/>
      <c r="AA2" s="153"/>
    </row>
    <row r="3" spans="1:27" ht="36" customHeight="1" x14ac:dyDescent="0.55000000000000004">
      <c r="M3" s="155"/>
      <c r="N3" s="155"/>
      <c r="O3" s="155"/>
      <c r="P3" s="155"/>
      <c r="Q3" s="155"/>
      <c r="R3" s="189" t="s">
        <v>582</v>
      </c>
      <c r="S3" s="189"/>
      <c r="T3" s="189"/>
      <c r="U3" s="189"/>
      <c r="V3" s="189"/>
      <c r="W3" s="189"/>
      <c r="X3" s="189"/>
      <c r="Y3" s="189"/>
      <c r="Z3" s="189"/>
      <c r="AA3" s="150"/>
    </row>
    <row r="4" spans="1:27" ht="37.5" customHeight="1" x14ac:dyDescent="0.55000000000000004">
      <c r="M4" s="149"/>
      <c r="N4" s="149"/>
      <c r="O4" s="149"/>
      <c r="P4" s="149"/>
      <c r="Q4" s="149"/>
      <c r="R4" s="164" t="s">
        <v>569</v>
      </c>
      <c r="S4" s="164"/>
      <c r="T4" s="164"/>
      <c r="U4" s="164"/>
      <c r="V4" s="164"/>
      <c r="W4" s="164"/>
      <c r="X4" s="162"/>
      <c r="Y4" s="162"/>
      <c r="Z4" s="162"/>
      <c r="AA4" s="153"/>
    </row>
    <row r="5" spans="1:27" ht="37.5" customHeight="1" x14ac:dyDescent="0.55000000000000004">
      <c r="M5" s="149"/>
      <c r="N5" s="149"/>
      <c r="O5" s="149"/>
      <c r="P5" s="149"/>
      <c r="Q5" s="148"/>
      <c r="R5" s="164" t="s">
        <v>571</v>
      </c>
      <c r="S5" s="164"/>
      <c r="T5" s="164"/>
      <c r="U5" s="164"/>
      <c r="V5" s="165"/>
      <c r="W5" s="164"/>
      <c r="X5" s="162"/>
      <c r="Y5" s="162"/>
      <c r="Z5" s="162"/>
      <c r="AA5" s="153"/>
    </row>
    <row r="6" spans="1:27" ht="40.5" customHeight="1" x14ac:dyDescent="0.55000000000000004">
      <c r="M6" s="149"/>
      <c r="N6" s="149"/>
      <c r="O6" s="149"/>
      <c r="P6" s="149"/>
      <c r="Q6" s="148"/>
      <c r="R6" s="164" t="s">
        <v>579</v>
      </c>
      <c r="S6" s="164"/>
      <c r="T6" s="164"/>
      <c r="U6" s="164"/>
      <c r="V6" s="165"/>
      <c r="W6" s="164"/>
      <c r="X6" s="162"/>
      <c r="Y6" s="162"/>
      <c r="Z6" s="162"/>
      <c r="AA6" s="153"/>
    </row>
    <row r="7" spans="1:27" ht="29.25" customHeight="1" x14ac:dyDescent="0.4"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</row>
    <row r="8" spans="1:27" ht="29.25" customHeight="1" x14ac:dyDescent="0.4"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1:27" ht="29.25" customHeight="1" x14ac:dyDescent="0.25"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90" customHeight="1" x14ac:dyDescent="0.25">
      <c r="A10" s="202" t="s">
        <v>574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156"/>
      <c r="Z10" s="154"/>
      <c r="AA10" s="154"/>
    </row>
    <row r="11" spans="1:27" ht="23.25" customHeight="1" x14ac:dyDescent="0.25">
      <c r="A11" s="203" t="s">
        <v>586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58"/>
    </row>
    <row r="12" spans="1:27" ht="30.75" x14ac:dyDescent="0.25">
      <c r="A12" s="192" t="s">
        <v>527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58"/>
    </row>
    <row r="13" spans="1:27" ht="30.75" x14ac:dyDescent="0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58"/>
    </row>
    <row r="14" spans="1:27" s="17" customFormat="1" ht="24" customHeight="1" x14ac:dyDescent="0.4">
      <c r="A14" s="14"/>
      <c r="B14" s="15"/>
      <c r="C14" s="16"/>
      <c r="Y14" s="198" t="s">
        <v>360</v>
      </c>
      <c r="Z14" s="198"/>
    </row>
    <row r="15" spans="1:27" s="52" customFormat="1" ht="21.75" customHeight="1" x14ac:dyDescent="0.25">
      <c r="A15" s="204" t="s">
        <v>339</v>
      </c>
      <c r="B15" s="204" t="s">
        <v>329</v>
      </c>
      <c r="C15" s="204" t="s">
        <v>341</v>
      </c>
      <c r="D15" s="182" t="s">
        <v>226</v>
      </c>
      <c r="E15" s="183"/>
      <c r="F15" s="183"/>
      <c r="G15" s="183"/>
      <c r="H15" s="183"/>
      <c r="I15" s="183"/>
      <c r="J15" s="183"/>
      <c r="K15" s="184"/>
      <c r="L15" s="179" t="s">
        <v>577</v>
      </c>
      <c r="M15" s="182" t="s">
        <v>227</v>
      </c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4"/>
      <c r="Y15" s="179" t="s">
        <v>577</v>
      </c>
      <c r="Z15" s="199" t="s">
        <v>228</v>
      </c>
      <c r="AA15" s="197" t="s">
        <v>228</v>
      </c>
    </row>
    <row r="16" spans="1:27" s="52" customFormat="1" ht="69" customHeight="1" x14ac:dyDescent="0.25">
      <c r="A16" s="204"/>
      <c r="B16" s="204"/>
      <c r="C16" s="204"/>
      <c r="D16" s="182" t="s">
        <v>572</v>
      </c>
      <c r="E16" s="183"/>
      <c r="F16" s="183"/>
      <c r="G16" s="183"/>
      <c r="H16" s="184"/>
      <c r="I16" s="182" t="s">
        <v>573</v>
      </c>
      <c r="J16" s="183"/>
      <c r="K16" s="184"/>
      <c r="L16" s="180"/>
      <c r="M16" s="182" t="s">
        <v>572</v>
      </c>
      <c r="N16" s="183"/>
      <c r="O16" s="183"/>
      <c r="P16" s="183"/>
      <c r="Q16" s="183"/>
      <c r="R16" s="184"/>
      <c r="S16" s="182" t="s">
        <v>573</v>
      </c>
      <c r="T16" s="183"/>
      <c r="U16" s="183"/>
      <c r="V16" s="183"/>
      <c r="W16" s="183"/>
      <c r="X16" s="184"/>
      <c r="Y16" s="180"/>
      <c r="Z16" s="200"/>
      <c r="AA16" s="197"/>
    </row>
    <row r="17" spans="1:27" s="52" customFormat="1" ht="29.25" customHeight="1" x14ac:dyDescent="0.25">
      <c r="A17" s="204"/>
      <c r="B17" s="204"/>
      <c r="C17" s="204"/>
      <c r="D17" s="190" t="s">
        <v>330</v>
      </c>
      <c r="E17" s="190" t="s">
        <v>229</v>
      </c>
      <c r="F17" s="190" t="s">
        <v>230</v>
      </c>
      <c r="G17" s="190"/>
      <c r="H17" s="190" t="s">
        <v>231</v>
      </c>
      <c r="I17" s="190" t="s">
        <v>330</v>
      </c>
      <c r="J17" s="190" t="s">
        <v>230</v>
      </c>
      <c r="K17" s="190"/>
      <c r="L17" s="180"/>
      <c r="M17" s="190" t="s">
        <v>330</v>
      </c>
      <c r="N17" s="190" t="s">
        <v>331</v>
      </c>
      <c r="O17" s="190" t="s">
        <v>229</v>
      </c>
      <c r="P17" s="190" t="s">
        <v>230</v>
      </c>
      <c r="Q17" s="190"/>
      <c r="R17" s="190" t="s">
        <v>231</v>
      </c>
      <c r="S17" s="190" t="s">
        <v>330</v>
      </c>
      <c r="T17" s="190" t="s">
        <v>331</v>
      </c>
      <c r="U17" s="190" t="s">
        <v>229</v>
      </c>
      <c r="V17" s="190" t="s">
        <v>230</v>
      </c>
      <c r="W17" s="190"/>
      <c r="X17" s="190" t="s">
        <v>231</v>
      </c>
      <c r="Y17" s="180"/>
      <c r="Z17" s="200"/>
      <c r="AA17" s="197"/>
    </row>
    <row r="18" spans="1:27" s="52" customFormat="1" ht="117" x14ac:dyDescent="0.25">
      <c r="A18" s="204"/>
      <c r="B18" s="204"/>
      <c r="C18" s="204"/>
      <c r="D18" s="190"/>
      <c r="E18" s="190"/>
      <c r="F18" s="166" t="s">
        <v>232</v>
      </c>
      <c r="G18" s="166" t="s">
        <v>233</v>
      </c>
      <c r="H18" s="190"/>
      <c r="I18" s="190"/>
      <c r="J18" s="166" t="s">
        <v>232</v>
      </c>
      <c r="K18" s="166" t="s">
        <v>233</v>
      </c>
      <c r="L18" s="181"/>
      <c r="M18" s="190"/>
      <c r="N18" s="190"/>
      <c r="O18" s="190"/>
      <c r="P18" s="166" t="s">
        <v>232</v>
      </c>
      <c r="Q18" s="166" t="s">
        <v>233</v>
      </c>
      <c r="R18" s="190"/>
      <c r="S18" s="190"/>
      <c r="T18" s="190"/>
      <c r="U18" s="190"/>
      <c r="V18" s="166" t="s">
        <v>232</v>
      </c>
      <c r="W18" s="166" t="s">
        <v>233</v>
      </c>
      <c r="X18" s="190"/>
      <c r="Y18" s="181"/>
      <c r="Z18" s="201"/>
      <c r="AA18" s="197"/>
    </row>
    <row r="19" spans="1:27" s="52" customFormat="1" ht="21" customHeight="1" x14ac:dyDescent="0.25">
      <c r="A19" s="7" t="s">
        <v>44</v>
      </c>
      <c r="B19" s="8"/>
      <c r="C19" s="9" t="s">
        <v>45</v>
      </c>
      <c r="D19" s="48">
        <f>D21+D22+D23+D24</f>
        <v>261260809</v>
      </c>
      <c r="E19" s="48">
        <f t="shared" ref="E19:AA19" si="0">E21+E22+E23+E24</f>
        <v>261260809</v>
      </c>
      <c r="F19" s="48">
        <f t="shared" si="0"/>
        <v>197271700</v>
      </c>
      <c r="G19" s="48">
        <f t="shared" si="0"/>
        <v>4257209</v>
      </c>
      <c r="H19" s="48">
        <f t="shared" si="0"/>
        <v>0</v>
      </c>
      <c r="I19" s="48">
        <f t="shared" si="0"/>
        <v>124713491.25</v>
      </c>
      <c r="J19" s="48">
        <f t="shared" si="0"/>
        <v>95981732.549999982</v>
      </c>
      <c r="K19" s="48">
        <f t="shared" si="0"/>
        <v>2492433.4099999997</v>
      </c>
      <c r="L19" s="158">
        <f>I19/D19*100</f>
        <v>47.735246525245202</v>
      </c>
      <c r="M19" s="48">
        <f t="shared" si="0"/>
        <v>2588000</v>
      </c>
      <c r="N19" s="48">
        <f t="shared" si="0"/>
        <v>688000</v>
      </c>
      <c r="O19" s="48">
        <f t="shared" si="0"/>
        <v>1900000</v>
      </c>
      <c r="P19" s="48">
        <f t="shared" si="0"/>
        <v>1332000</v>
      </c>
      <c r="Q19" s="48">
        <f t="shared" si="0"/>
        <v>71500</v>
      </c>
      <c r="R19" s="48">
        <f t="shared" si="0"/>
        <v>688000</v>
      </c>
      <c r="S19" s="48">
        <f t="shared" si="0"/>
        <v>2958331.8500000006</v>
      </c>
      <c r="T19" s="48">
        <f t="shared" si="0"/>
        <v>598000</v>
      </c>
      <c r="U19" s="48">
        <f t="shared" si="0"/>
        <v>1811789.6900000002</v>
      </c>
      <c r="V19" s="48">
        <f t="shared" si="0"/>
        <v>945860.4</v>
      </c>
      <c r="W19" s="48">
        <f t="shared" si="0"/>
        <v>54607.199999999997</v>
      </c>
      <c r="X19" s="48">
        <f t="shared" si="0"/>
        <v>1146542.1600000001</v>
      </c>
      <c r="Y19" s="158">
        <f>S19/M19*100</f>
        <v>114.30957689335398</v>
      </c>
      <c r="Z19" s="48">
        <f t="shared" si="0"/>
        <v>127671823.09999999</v>
      </c>
      <c r="AA19" s="48">
        <f t="shared" si="0"/>
        <v>263848809</v>
      </c>
    </row>
    <row r="20" spans="1:27" s="52" customFormat="1" ht="61.5" hidden="1" customHeight="1" x14ac:dyDescent="0.25">
      <c r="A20" s="7"/>
      <c r="B20" s="8"/>
      <c r="C20" s="9" t="s">
        <v>442</v>
      </c>
      <c r="D20" s="48">
        <f>D25</f>
        <v>0</v>
      </c>
      <c r="E20" s="48">
        <f t="shared" ref="E20:AA20" si="1">E25</f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158" t="e">
        <f t="shared" ref="L20:L83" si="2">I20/D20*100</f>
        <v>#DIV/0!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48">
        <f t="shared" si="1"/>
        <v>0</v>
      </c>
      <c r="V20" s="48">
        <f t="shared" si="1"/>
        <v>0</v>
      </c>
      <c r="W20" s="48">
        <f t="shared" si="1"/>
        <v>0</v>
      </c>
      <c r="X20" s="48">
        <f t="shared" si="1"/>
        <v>0</v>
      </c>
      <c r="Y20" s="158" t="e">
        <f t="shared" ref="Y20:Y83" si="3">S20/M20*100</f>
        <v>#DIV/0!</v>
      </c>
      <c r="Z20" s="48">
        <f t="shared" si="1"/>
        <v>0</v>
      </c>
      <c r="AA20" s="48">
        <f t="shared" si="1"/>
        <v>0</v>
      </c>
    </row>
    <row r="21" spans="1:27" ht="37.5" customHeight="1" x14ac:dyDescent="0.25">
      <c r="A21" s="37" t="s">
        <v>121</v>
      </c>
      <c r="B21" s="37" t="s">
        <v>47</v>
      </c>
      <c r="C21" s="6" t="s">
        <v>502</v>
      </c>
      <c r="D21" s="49">
        <f>'дод 2'!E22+'дод 2'!E75+'дод 2'!E122+'дод 2'!E152+'дод 2'!E187+'дод 2'!E194+'дод 2'!E210+'дод 2'!E241+'дод 2'!E245+'дод 2'!E263+'дод 2'!E270+'дод 2'!E273+'дод 2'!E284+'дод 2'!E281</f>
        <v>259625309</v>
      </c>
      <c r="E21" s="49">
        <f>'дод 2'!F22+'дод 2'!F75+'дод 2'!F122+'дод 2'!F152+'дод 2'!F187+'дод 2'!F194+'дод 2'!F210+'дод 2'!F241+'дод 2'!F245+'дод 2'!F263+'дод 2'!F270+'дод 2'!F273+'дод 2'!F284+'дод 2'!F281</f>
        <v>259625309</v>
      </c>
      <c r="F21" s="49">
        <f>'дод 2'!G22+'дод 2'!G75+'дод 2'!G122+'дод 2'!G152+'дод 2'!G187+'дод 2'!G194+'дод 2'!G210+'дод 2'!G241+'дод 2'!G245+'дод 2'!G263+'дод 2'!G270+'дод 2'!G273+'дод 2'!G284+'дод 2'!G281</f>
        <v>197271700</v>
      </c>
      <c r="G21" s="49">
        <f>'дод 2'!H22+'дод 2'!H75+'дод 2'!H122+'дод 2'!H152+'дод 2'!H187+'дод 2'!H194+'дод 2'!H210+'дод 2'!H241+'дод 2'!H245+'дод 2'!H263+'дод 2'!H270+'дод 2'!H273+'дод 2'!H284+'дод 2'!H281</f>
        <v>4257209</v>
      </c>
      <c r="H21" s="49">
        <f>'дод 2'!I22+'дод 2'!I75+'дод 2'!I122+'дод 2'!I152+'дод 2'!I187+'дод 2'!I194+'дод 2'!I210+'дод 2'!I241+'дод 2'!I245+'дод 2'!I263+'дод 2'!I270+'дод 2'!I273+'дод 2'!I284+'дод 2'!I281</f>
        <v>0</v>
      </c>
      <c r="I21" s="49">
        <f>'дод 2'!J22+'дод 2'!J75+'дод 2'!J122+'дод 2'!J152+'дод 2'!J187+'дод 2'!J194+'дод 2'!J210+'дод 2'!J241+'дод 2'!J245+'дод 2'!J263+'дод 2'!J270+'дод 2'!J273+'дод 2'!J284+'дод 2'!J281</f>
        <v>124559890.39</v>
      </c>
      <c r="J21" s="49">
        <f>'дод 2'!K22+'дод 2'!K75+'дод 2'!K122+'дод 2'!K152+'дод 2'!K187+'дод 2'!K194+'дод 2'!K210+'дод 2'!K241+'дод 2'!K245+'дод 2'!K263+'дод 2'!K270+'дод 2'!K273+'дод 2'!K284+'дод 2'!K281</f>
        <v>95981732.549999982</v>
      </c>
      <c r="K21" s="49">
        <f>'дод 2'!L22+'дод 2'!L75+'дод 2'!L122+'дод 2'!L152+'дод 2'!L187+'дод 2'!L194+'дод 2'!L210+'дод 2'!L241+'дод 2'!L245+'дод 2'!L263+'дод 2'!L270+'дод 2'!L273+'дод 2'!L284+'дод 2'!L281</f>
        <v>2492433.4099999997</v>
      </c>
      <c r="L21" s="158">
        <f t="shared" si="2"/>
        <v>47.976790425312501</v>
      </c>
      <c r="M21" s="49">
        <f>'дод 2'!N22+'дод 2'!N75+'дод 2'!N122+'дод 2'!N152+'дод 2'!N187+'дод 2'!N194+'дод 2'!N210+'дод 2'!N241+'дод 2'!N245+'дод 2'!N263+'дод 2'!N270+'дод 2'!N273+'дод 2'!N284+'дод 2'!N281</f>
        <v>2588000</v>
      </c>
      <c r="N21" s="49">
        <f>'дод 2'!O22+'дод 2'!O75+'дод 2'!O122+'дод 2'!O152+'дод 2'!O187+'дод 2'!O194+'дод 2'!O210+'дод 2'!O241+'дод 2'!O245+'дод 2'!O263+'дод 2'!O270+'дод 2'!O273+'дод 2'!O284+'дод 2'!O281</f>
        <v>688000</v>
      </c>
      <c r="O21" s="49">
        <f>'дод 2'!P22+'дод 2'!P75+'дод 2'!P122+'дод 2'!P152+'дод 2'!P187+'дод 2'!P194+'дод 2'!P210+'дод 2'!P241+'дод 2'!P245+'дод 2'!P263+'дод 2'!P270+'дод 2'!P273+'дод 2'!P284+'дод 2'!P281</f>
        <v>1900000</v>
      </c>
      <c r="P21" s="49">
        <f>'дод 2'!Q22+'дод 2'!Q75+'дод 2'!Q122+'дод 2'!Q152+'дод 2'!Q187+'дод 2'!Q194+'дод 2'!Q210+'дод 2'!Q241+'дод 2'!Q245+'дод 2'!Q263+'дод 2'!Q270+'дод 2'!Q273+'дод 2'!Q284+'дод 2'!Q281</f>
        <v>1332000</v>
      </c>
      <c r="Q21" s="49">
        <f>'дод 2'!R22+'дод 2'!R75+'дод 2'!R122+'дод 2'!R152+'дод 2'!R187+'дод 2'!R194+'дод 2'!R210+'дод 2'!R241+'дод 2'!R245+'дод 2'!R263+'дод 2'!R270+'дод 2'!R273+'дод 2'!R284+'дод 2'!R281</f>
        <v>71500</v>
      </c>
      <c r="R21" s="49">
        <f>'дод 2'!S22+'дод 2'!S75+'дод 2'!S122+'дод 2'!S152+'дод 2'!S187+'дод 2'!S194+'дод 2'!S210+'дод 2'!S241+'дод 2'!S245+'дод 2'!S263+'дод 2'!S270+'дод 2'!S273+'дод 2'!S284+'дод 2'!S281</f>
        <v>688000</v>
      </c>
      <c r="S21" s="49">
        <f>'дод 2'!T22+'дод 2'!T75+'дод 2'!T122+'дод 2'!T152+'дод 2'!T187+'дод 2'!T194+'дод 2'!T210+'дод 2'!T241+'дод 2'!T245+'дод 2'!T263+'дод 2'!T270+'дод 2'!T273+'дод 2'!T284+'дод 2'!T281</f>
        <v>2958331.8500000006</v>
      </c>
      <c r="T21" s="49">
        <f>'дод 2'!U22+'дод 2'!U75+'дод 2'!U122+'дод 2'!U152+'дод 2'!U187+'дод 2'!U194+'дод 2'!U210+'дод 2'!U241+'дод 2'!U245+'дод 2'!U263+'дод 2'!U270+'дод 2'!U273+'дод 2'!U284+'дод 2'!U281</f>
        <v>598000</v>
      </c>
      <c r="U21" s="49">
        <f>'дод 2'!V22+'дод 2'!V75+'дод 2'!V122+'дод 2'!V152+'дод 2'!V187+'дод 2'!V194+'дод 2'!V210+'дод 2'!V241+'дод 2'!V245+'дод 2'!V263+'дод 2'!V270+'дод 2'!V273+'дод 2'!V284+'дод 2'!V281</f>
        <v>1811789.6900000002</v>
      </c>
      <c r="V21" s="49">
        <f>'дод 2'!W22+'дод 2'!W75+'дод 2'!W122+'дод 2'!W152+'дод 2'!W187+'дод 2'!W194+'дод 2'!W210+'дод 2'!W241+'дод 2'!W245+'дод 2'!W263+'дод 2'!W270+'дод 2'!W273+'дод 2'!W284+'дод 2'!W281</f>
        <v>945860.4</v>
      </c>
      <c r="W21" s="49">
        <f>'дод 2'!X22+'дод 2'!X75+'дод 2'!X122+'дод 2'!X152+'дод 2'!X187+'дод 2'!X194+'дод 2'!X210+'дод 2'!X241+'дод 2'!X245+'дод 2'!X263+'дод 2'!X270+'дод 2'!X273+'дод 2'!X284+'дод 2'!X281</f>
        <v>54607.199999999997</v>
      </c>
      <c r="X21" s="49">
        <f>'дод 2'!Y22+'дод 2'!Y75+'дод 2'!Y122+'дод 2'!Y152+'дод 2'!Y187+'дод 2'!Y194+'дод 2'!Y210+'дод 2'!Y241+'дод 2'!Y245+'дод 2'!Y263+'дод 2'!Y270+'дод 2'!Y273+'дод 2'!Y284+'дод 2'!Y281</f>
        <v>1146542.1600000001</v>
      </c>
      <c r="Y21" s="158">
        <f t="shared" si="3"/>
        <v>114.30957689335398</v>
      </c>
      <c r="Z21" s="49">
        <f>'дод 2'!AA22+'дод 2'!AA75+'дод 2'!AA122+'дод 2'!AA152+'дод 2'!AA187+'дод 2'!AA194+'дод 2'!AA210+'дод 2'!AA241+'дод 2'!AA245+'дод 2'!AA263+'дод 2'!AA270+'дод 2'!AA273+'дод 2'!AA284+'дод 2'!AA281</f>
        <v>127518222.23999999</v>
      </c>
      <c r="AA21" s="49">
        <f>'дод 2'!AB22+'дод 2'!AB75+'дод 2'!AB122+'дод 2'!AB152+'дод 2'!AB187+'дод 2'!AB194+'дод 2'!AB210+'дод 2'!AB241+'дод 2'!AB245+'дод 2'!AB263+'дод 2'!AB270+'дод 2'!AB273+'дод 2'!AB284+'дод 2'!AB281</f>
        <v>262213309</v>
      </c>
    </row>
    <row r="22" spans="1:27" ht="33" customHeight="1" x14ac:dyDescent="0.25">
      <c r="A22" s="59" t="s">
        <v>92</v>
      </c>
      <c r="B22" s="59" t="s">
        <v>464</v>
      </c>
      <c r="C22" s="6" t="s">
        <v>455</v>
      </c>
      <c r="D22" s="49">
        <f>'дод 2'!E23</f>
        <v>200000</v>
      </c>
      <c r="E22" s="49">
        <f>'дод 2'!F23</f>
        <v>200000</v>
      </c>
      <c r="F22" s="49">
        <f>'дод 2'!G23</f>
        <v>0</v>
      </c>
      <c r="G22" s="49">
        <f>'дод 2'!H23</f>
        <v>0</v>
      </c>
      <c r="H22" s="49">
        <f>'дод 2'!I23</f>
        <v>0</v>
      </c>
      <c r="I22" s="49">
        <f>'дод 2'!J23</f>
        <v>0</v>
      </c>
      <c r="J22" s="49">
        <f>'дод 2'!K23</f>
        <v>0</v>
      </c>
      <c r="K22" s="49">
        <f>'дод 2'!L23</f>
        <v>0</v>
      </c>
      <c r="L22" s="158">
        <f t="shared" si="2"/>
        <v>0</v>
      </c>
      <c r="M22" s="49">
        <f>'дод 2'!N23</f>
        <v>0</v>
      </c>
      <c r="N22" s="49">
        <f>'дод 2'!O23</f>
        <v>0</v>
      </c>
      <c r="O22" s="49">
        <f>'дод 2'!P23</f>
        <v>0</v>
      </c>
      <c r="P22" s="49">
        <f>'дод 2'!Q23</f>
        <v>0</v>
      </c>
      <c r="Q22" s="49">
        <f>'дод 2'!R23</f>
        <v>0</v>
      </c>
      <c r="R22" s="49">
        <f>'дод 2'!S23</f>
        <v>0</v>
      </c>
      <c r="S22" s="49">
        <f>'дод 2'!T23</f>
        <v>0</v>
      </c>
      <c r="T22" s="49">
        <f>'дод 2'!U23</f>
        <v>0</v>
      </c>
      <c r="U22" s="49">
        <f>'дод 2'!V23</f>
        <v>0</v>
      </c>
      <c r="V22" s="49">
        <f>'дод 2'!W23</f>
        <v>0</v>
      </c>
      <c r="W22" s="49">
        <f>'дод 2'!X23</f>
        <v>0</v>
      </c>
      <c r="X22" s="49">
        <f>'дод 2'!Y23</f>
        <v>0</v>
      </c>
      <c r="Y22" s="158"/>
      <c r="Z22" s="49">
        <f>'дод 2'!AA23</f>
        <v>0</v>
      </c>
      <c r="AA22" s="49">
        <f>'дод 2'!AB23</f>
        <v>200000</v>
      </c>
    </row>
    <row r="23" spans="1:27" ht="22.5" customHeight="1" x14ac:dyDescent="0.25">
      <c r="A23" s="37" t="s">
        <v>46</v>
      </c>
      <c r="B23" s="37" t="s">
        <v>95</v>
      </c>
      <c r="C23" s="6" t="s">
        <v>244</v>
      </c>
      <c r="D23" s="49">
        <f>'дод 2'!E24+'дод 2'!E153+'дод 2'!E211</f>
        <v>1435500</v>
      </c>
      <c r="E23" s="49">
        <f>'дод 2'!F24+'дод 2'!F153+'дод 2'!F211</f>
        <v>1435500</v>
      </c>
      <c r="F23" s="49">
        <f>'дод 2'!G24+'дод 2'!G153+'дод 2'!G211</f>
        <v>0</v>
      </c>
      <c r="G23" s="49">
        <f>'дод 2'!H24+'дод 2'!H153+'дод 2'!H211</f>
        <v>0</v>
      </c>
      <c r="H23" s="49">
        <f>'дод 2'!I24+'дод 2'!I153+'дод 2'!I211</f>
        <v>0</v>
      </c>
      <c r="I23" s="49">
        <f>'дод 2'!J24+'дод 2'!J153+'дод 2'!J211</f>
        <v>153600.85999999999</v>
      </c>
      <c r="J23" s="49">
        <f>'дод 2'!K24+'дод 2'!K153+'дод 2'!K211</f>
        <v>0</v>
      </c>
      <c r="K23" s="49">
        <f>'дод 2'!L24+'дод 2'!L153+'дод 2'!L211</f>
        <v>0</v>
      </c>
      <c r="L23" s="158">
        <f t="shared" si="2"/>
        <v>10.700164402647161</v>
      </c>
      <c r="M23" s="49">
        <f>'дод 2'!N24+'дод 2'!N153+'дод 2'!N211</f>
        <v>0</v>
      </c>
      <c r="N23" s="49">
        <f>'дод 2'!O24+'дод 2'!O153+'дод 2'!O211</f>
        <v>0</v>
      </c>
      <c r="O23" s="49">
        <f>'дод 2'!P24+'дод 2'!P153+'дод 2'!P211</f>
        <v>0</v>
      </c>
      <c r="P23" s="49">
        <f>'дод 2'!Q24+'дод 2'!Q153+'дод 2'!Q211</f>
        <v>0</v>
      </c>
      <c r="Q23" s="49">
        <f>'дод 2'!R24+'дод 2'!R153+'дод 2'!R211</f>
        <v>0</v>
      </c>
      <c r="R23" s="49">
        <f>'дод 2'!S24+'дод 2'!S153+'дод 2'!S211</f>
        <v>0</v>
      </c>
      <c r="S23" s="49">
        <f>'дод 2'!T24+'дод 2'!T153+'дод 2'!T211</f>
        <v>0</v>
      </c>
      <c r="T23" s="49">
        <f>'дод 2'!U24+'дод 2'!U153+'дод 2'!U211</f>
        <v>0</v>
      </c>
      <c r="U23" s="49">
        <f>'дод 2'!V24+'дод 2'!V153+'дод 2'!V211</f>
        <v>0</v>
      </c>
      <c r="V23" s="49">
        <f>'дод 2'!W24+'дод 2'!W153+'дод 2'!W211</f>
        <v>0</v>
      </c>
      <c r="W23" s="49">
        <f>'дод 2'!X24+'дод 2'!X153+'дод 2'!X211</f>
        <v>0</v>
      </c>
      <c r="X23" s="49">
        <f>'дод 2'!Y24+'дод 2'!Y153+'дод 2'!Y211</f>
        <v>0</v>
      </c>
      <c r="Y23" s="158"/>
      <c r="Z23" s="49">
        <f>'дод 2'!AA24+'дод 2'!AA153+'дод 2'!AA211</f>
        <v>153600.85999999999</v>
      </c>
      <c r="AA23" s="49">
        <f>'дод 2'!AB24+'дод 2'!AB153+'дод 2'!AB211</f>
        <v>1435500</v>
      </c>
    </row>
    <row r="24" spans="1:27" ht="27" hidden="1" customHeight="1" x14ac:dyDescent="0.25">
      <c r="A24" s="59" t="s">
        <v>438</v>
      </c>
      <c r="B24" s="59" t="s">
        <v>121</v>
      </c>
      <c r="C24" s="6" t="s">
        <v>439</v>
      </c>
      <c r="D24" s="49">
        <f>'дод 2'!E25</f>
        <v>0</v>
      </c>
      <c r="E24" s="49">
        <f>'дод 2'!F25</f>
        <v>0</v>
      </c>
      <c r="F24" s="49">
        <f>'дод 2'!G25</f>
        <v>0</v>
      </c>
      <c r="G24" s="49">
        <f>'дод 2'!H25</f>
        <v>0</v>
      </c>
      <c r="H24" s="49">
        <f>'дод 2'!I25</f>
        <v>0</v>
      </c>
      <c r="I24" s="49">
        <f>'дод 2'!J25</f>
        <v>0</v>
      </c>
      <c r="J24" s="49">
        <f>'дод 2'!K25</f>
        <v>0</v>
      </c>
      <c r="K24" s="49">
        <f>'дод 2'!L25</f>
        <v>0</v>
      </c>
      <c r="L24" s="158" t="e">
        <f t="shared" si="2"/>
        <v>#DIV/0!</v>
      </c>
      <c r="M24" s="49">
        <f>'дод 2'!N25</f>
        <v>0</v>
      </c>
      <c r="N24" s="49">
        <f>'дод 2'!O25</f>
        <v>0</v>
      </c>
      <c r="O24" s="49">
        <f>'дод 2'!P25</f>
        <v>0</v>
      </c>
      <c r="P24" s="49">
        <f>'дод 2'!Q25</f>
        <v>0</v>
      </c>
      <c r="Q24" s="49">
        <f>'дод 2'!R25</f>
        <v>0</v>
      </c>
      <c r="R24" s="49">
        <f>'дод 2'!S25</f>
        <v>0</v>
      </c>
      <c r="S24" s="49">
        <f>'дод 2'!T25</f>
        <v>0</v>
      </c>
      <c r="T24" s="49">
        <f>'дод 2'!U25</f>
        <v>0</v>
      </c>
      <c r="U24" s="49">
        <f>'дод 2'!V25</f>
        <v>0</v>
      </c>
      <c r="V24" s="49">
        <f>'дод 2'!W25</f>
        <v>0</v>
      </c>
      <c r="W24" s="49">
        <f>'дод 2'!X25</f>
        <v>0</v>
      </c>
      <c r="X24" s="49">
        <f>'дод 2'!Y25</f>
        <v>0</v>
      </c>
      <c r="Y24" s="158" t="e">
        <f t="shared" si="3"/>
        <v>#DIV/0!</v>
      </c>
      <c r="Z24" s="49">
        <f>'дод 2'!AA25</f>
        <v>0</v>
      </c>
      <c r="AA24" s="49">
        <f>'дод 2'!AB25</f>
        <v>0</v>
      </c>
    </row>
    <row r="25" spans="1:27" s="54" customFormat="1" ht="63" hidden="1" customHeight="1" x14ac:dyDescent="0.25">
      <c r="A25" s="80"/>
      <c r="B25" s="90"/>
      <c r="C25" s="81" t="s">
        <v>442</v>
      </c>
      <c r="D25" s="82">
        <f>'дод 2'!E26</f>
        <v>0</v>
      </c>
      <c r="E25" s="82">
        <f>'дод 2'!F26</f>
        <v>0</v>
      </c>
      <c r="F25" s="82">
        <f>'дод 2'!G26</f>
        <v>0</v>
      </c>
      <c r="G25" s="82">
        <f>'дод 2'!H26</f>
        <v>0</v>
      </c>
      <c r="H25" s="82">
        <f>'дод 2'!I26</f>
        <v>0</v>
      </c>
      <c r="I25" s="82">
        <f>'дод 2'!J26</f>
        <v>0</v>
      </c>
      <c r="J25" s="82">
        <f>'дод 2'!K26</f>
        <v>0</v>
      </c>
      <c r="K25" s="82">
        <f>'дод 2'!L26</f>
        <v>0</v>
      </c>
      <c r="L25" s="158" t="e">
        <f t="shared" si="2"/>
        <v>#DIV/0!</v>
      </c>
      <c r="M25" s="82">
        <f>'дод 2'!N26</f>
        <v>0</v>
      </c>
      <c r="N25" s="82">
        <f>'дод 2'!O26</f>
        <v>0</v>
      </c>
      <c r="O25" s="82">
        <f>'дод 2'!P26</f>
        <v>0</v>
      </c>
      <c r="P25" s="82">
        <f>'дод 2'!Q26</f>
        <v>0</v>
      </c>
      <c r="Q25" s="82">
        <f>'дод 2'!R26</f>
        <v>0</v>
      </c>
      <c r="R25" s="82">
        <f>'дод 2'!S26</f>
        <v>0</v>
      </c>
      <c r="S25" s="82">
        <f>'дод 2'!T26</f>
        <v>0</v>
      </c>
      <c r="T25" s="82">
        <f>'дод 2'!U26</f>
        <v>0</v>
      </c>
      <c r="U25" s="82">
        <f>'дод 2'!V26</f>
        <v>0</v>
      </c>
      <c r="V25" s="82">
        <f>'дод 2'!W26</f>
        <v>0</v>
      </c>
      <c r="W25" s="82">
        <f>'дод 2'!X26</f>
        <v>0</v>
      </c>
      <c r="X25" s="82">
        <f>'дод 2'!Y26</f>
        <v>0</v>
      </c>
      <c r="Y25" s="158" t="e">
        <f t="shared" si="3"/>
        <v>#DIV/0!</v>
      </c>
      <c r="Z25" s="82">
        <f>'дод 2'!AA26</f>
        <v>0</v>
      </c>
      <c r="AA25" s="82">
        <f>'дод 2'!AB26</f>
        <v>0</v>
      </c>
    </row>
    <row r="26" spans="1:27" s="52" customFormat="1" ht="18.75" customHeight="1" x14ac:dyDescent="0.25">
      <c r="A26" s="38" t="s">
        <v>48</v>
      </c>
      <c r="B26" s="39"/>
      <c r="C26" s="9" t="s">
        <v>405</v>
      </c>
      <c r="D26" s="48">
        <f>D35+D37+D44+D46+D49+D51+D54+D56+D57+D58+D59+D60+D61+D63+D64+D66</f>
        <v>1106484432.23</v>
      </c>
      <c r="E26" s="48">
        <f t="shared" ref="E26:AA26" si="4">E35+E37+E44+E46+E49+E51+E54+E56+E57+E58+E59+E60+E61+E63+E64+E66</f>
        <v>1106484432.23</v>
      </c>
      <c r="F26" s="48">
        <f t="shared" si="4"/>
        <v>810172830</v>
      </c>
      <c r="G26" s="48">
        <f t="shared" si="4"/>
        <v>57096650</v>
      </c>
      <c r="H26" s="48">
        <f t="shared" si="4"/>
        <v>0</v>
      </c>
      <c r="I26" s="48">
        <f t="shared" si="4"/>
        <v>597011313.2900002</v>
      </c>
      <c r="J26" s="48">
        <f t="shared" si="4"/>
        <v>437638980.14999992</v>
      </c>
      <c r="K26" s="48">
        <f t="shared" si="4"/>
        <v>38272092.630000003</v>
      </c>
      <c r="L26" s="158">
        <f t="shared" si="2"/>
        <v>53.955690283575727</v>
      </c>
      <c r="M26" s="48">
        <f t="shared" si="4"/>
        <v>45456974.18</v>
      </c>
      <c r="N26" s="48">
        <f t="shared" si="4"/>
        <v>5837374.1799999997</v>
      </c>
      <c r="O26" s="48">
        <f t="shared" si="4"/>
        <v>39616470</v>
      </c>
      <c r="P26" s="48">
        <f t="shared" si="4"/>
        <v>4494964</v>
      </c>
      <c r="Q26" s="48">
        <f t="shared" si="4"/>
        <v>139890</v>
      </c>
      <c r="R26" s="48">
        <f t="shared" si="4"/>
        <v>5840504.1799999997</v>
      </c>
      <c r="S26" s="48">
        <f t="shared" si="4"/>
        <v>18120616.849999998</v>
      </c>
      <c r="T26" s="48">
        <f t="shared" si="4"/>
        <v>284452.5</v>
      </c>
      <c r="U26" s="48">
        <f t="shared" si="4"/>
        <v>17434198.049999997</v>
      </c>
      <c r="V26" s="48">
        <f t="shared" si="4"/>
        <v>3121045.65</v>
      </c>
      <c r="W26" s="48">
        <f t="shared" si="4"/>
        <v>49646.52</v>
      </c>
      <c r="X26" s="48">
        <f t="shared" si="4"/>
        <v>686418.8</v>
      </c>
      <c r="Y26" s="158">
        <f t="shared" si="3"/>
        <v>39.863227099644135</v>
      </c>
      <c r="Z26" s="48">
        <f t="shared" si="4"/>
        <v>615131930.14000022</v>
      </c>
      <c r="AA26" s="48">
        <f t="shared" si="4"/>
        <v>1151941406.4099998</v>
      </c>
    </row>
    <row r="27" spans="1:27" s="53" customFormat="1" ht="31.5" x14ac:dyDescent="0.25">
      <c r="A27" s="73"/>
      <c r="B27" s="76"/>
      <c r="C27" s="77" t="s">
        <v>391</v>
      </c>
      <c r="D27" s="78">
        <f>D47+D50</f>
        <v>482448000</v>
      </c>
      <c r="E27" s="78">
        <f t="shared" ref="E27:AA27" si="5">E47+E50</f>
        <v>482448000</v>
      </c>
      <c r="F27" s="78">
        <f t="shared" si="5"/>
        <v>396066000</v>
      </c>
      <c r="G27" s="78">
        <f t="shared" si="5"/>
        <v>0</v>
      </c>
      <c r="H27" s="78">
        <f t="shared" si="5"/>
        <v>0</v>
      </c>
      <c r="I27" s="78">
        <f t="shared" si="5"/>
        <v>273999127.12</v>
      </c>
      <c r="J27" s="78">
        <f t="shared" si="5"/>
        <v>224936034.97</v>
      </c>
      <c r="K27" s="78">
        <f t="shared" si="5"/>
        <v>0</v>
      </c>
      <c r="L27" s="158">
        <f t="shared" si="2"/>
        <v>56.793504609823231</v>
      </c>
      <c r="M27" s="78">
        <f t="shared" si="5"/>
        <v>0</v>
      </c>
      <c r="N27" s="78">
        <f t="shared" si="5"/>
        <v>0</v>
      </c>
      <c r="O27" s="78">
        <f t="shared" si="5"/>
        <v>0</v>
      </c>
      <c r="P27" s="78">
        <f t="shared" si="5"/>
        <v>0</v>
      </c>
      <c r="Q27" s="78">
        <f t="shared" si="5"/>
        <v>0</v>
      </c>
      <c r="R27" s="78">
        <f t="shared" si="5"/>
        <v>0</v>
      </c>
      <c r="S27" s="78">
        <f t="shared" si="5"/>
        <v>0</v>
      </c>
      <c r="T27" s="78">
        <f t="shared" si="5"/>
        <v>0</v>
      </c>
      <c r="U27" s="78">
        <f t="shared" si="5"/>
        <v>0</v>
      </c>
      <c r="V27" s="78">
        <f t="shared" si="5"/>
        <v>0</v>
      </c>
      <c r="W27" s="78">
        <f t="shared" si="5"/>
        <v>0</v>
      </c>
      <c r="X27" s="78">
        <f t="shared" si="5"/>
        <v>0</v>
      </c>
      <c r="Y27" s="158"/>
      <c r="Z27" s="78">
        <f t="shared" si="5"/>
        <v>273999127.12</v>
      </c>
      <c r="AA27" s="78">
        <f t="shared" si="5"/>
        <v>482448000</v>
      </c>
    </row>
    <row r="28" spans="1:27" s="53" customFormat="1" ht="47.25" x14ac:dyDescent="0.25">
      <c r="A28" s="73"/>
      <c r="B28" s="76"/>
      <c r="C28" s="79" t="s">
        <v>554</v>
      </c>
      <c r="D28" s="78">
        <f>D52</f>
        <v>0</v>
      </c>
      <c r="E28" s="78">
        <f t="shared" ref="E28:AA28" si="6">E52</f>
        <v>0</v>
      </c>
      <c r="F28" s="78">
        <f t="shared" si="6"/>
        <v>0</v>
      </c>
      <c r="G28" s="78">
        <f t="shared" si="6"/>
        <v>0</v>
      </c>
      <c r="H28" s="78">
        <f t="shared" si="6"/>
        <v>0</v>
      </c>
      <c r="I28" s="78">
        <f t="shared" si="6"/>
        <v>0</v>
      </c>
      <c r="J28" s="78">
        <f t="shared" si="6"/>
        <v>0</v>
      </c>
      <c r="K28" s="78">
        <f t="shared" si="6"/>
        <v>0</v>
      </c>
      <c r="L28" s="158"/>
      <c r="M28" s="78">
        <f t="shared" si="6"/>
        <v>0</v>
      </c>
      <c r="N28" s="78">
        <f t="shared" si="6"/>
        <v>0</v>
      </c>
      <c r="O28" s="78">
        <f t="shared" si="6"/>
        <v>0</v>
      </c>
      <c r="P28" s="78">
        <f t="shared" si="6"/>
        <v>0</v>
      </c>
      <c r="Q28" s="78">
        <f t="shared" si="6"/>
        <v>0</v>
      </c>
      <c r="R28" s="78">
        <f t="shared" si="6"/>
        <v>0</v>
      </c>
      <c r="S28" s="78">
        <f t="shared" si="6"/>
        <v>0</v>
      </c>
      <c r="T28" s="78">
        <f t="shared" si="6"/>
        <v>0</v>
      </c>
      <c r="U28" s="78">
        <f t="shared" si="6"/>
        <v>0</v>
      </c>
      <c r="V28" s="78">
        <f t="shared" si="6"/>
        <v>0</v>
      </c>
      <c r="W28" s="78">
        <f t="shared" si="6"/>
        <v>0</v>
      </c>
      <c r="X28" s="78">
        <f t="shared" si="6"/>
        <v>0</v>
      </c>
      <c r="Y28" s="158"/>
      <c r="Z28" s="78">
        <f t="shared" si="6"/>
        <v>0</v>
      </c>
      <c r="AA28" s="78">
        <f t="shared" si="6"/>
        <v>0</v>
      </c>
    </row>
    <row r="29" spans="1:27" s="53" customFormat="1" ht="47.25" x14ac:dyDescent="0.25">
      <c r="A29" s="73"/>
      <c r="B29" s="76"/>
      <c r="C29" s="77" t="s">
        <v>386</v>
      </c>
      <c r="D29" s="78">
        <f>D48+D62</f>
        <v>3578416</v>
      </c>
      <c r="E29" s="78">
        <f t="shared" ref="E29:AA29" si="7">E48+E62</f>
        <v>3578416</v>
      </c>
      <c r="F29" s="78">
        <f t="shared" si="7"/>
        <v>1228720</v>
      </c>
      <c r="G29" s="78">
        <f t="shared" si="7"/>
        <v>0</v>
      </c>
      <c r="H29" s="78">
        <f t="shared" si="7"/>
        <v>0</v>
      </c>
      <c r="I29" s="78">
        <f t="shared" si="7"/>
        <v>1592634.97</v>
      </c>
      <c r="J29" s="78">
        <f t="shared" si="7"/>
        <v>337880.74</v>
      </c>
      <c r="K29" s="78">
        <f t="shared" si="7"/>
        <v>0</v>
      </c>
      <c r="L29" s="158">
        <f t="shared" si="2"/>
        <v>44.506702686328254</v>
      </c>
      <c r="M29" s="78">
        <f t="shared" si="7"/>
        <v>0</v>
      </c>
      <c r="N29" s="78">
        <f t="shared" si="7"/>
        <v>0</v>
      </c>
      <c r="O29" s="78">
        <f t="shared" si="7"/>
        <v>0</v>
      </c>
      <c r="P29" s="78">
        <f t="shared" si="7"/>
        <v>0</v>
      </c>
      <c r="Q29" s="78">
        <f t="shared" si="7"/>
        <v>0</v>
      </c>
      <c r="R29" s="78">
        <f t="shared" si="7"/>
        <v>0</v>
      </c>
      <c r="S29" s="78">
        <f t="shared" si="7"/>
        <v>0</v>
      </c>
      <c r="T29" s="78">
        <f t="shared" si="7"/>
        <v>0</v>
      </c>
      <c r="U29" s="78">
        <f t="shared" si="7"/>
        <v>0</v>
      </c>
      <c r="V29" s="78">
        <f t="shared" si="7"/>
        <v>0</v>
      </c>
      <c r="W29" s="78">
        <f t="shared" si="7"/>
        <v>0</v>
      </c>
      <c r="X29" s="78">
        <f t="shared" si="7"/>
        <v>0</v>
      </c>
      <c r="Y29" s="158"/>
      <c r="Z29" s="78">
        <f t="shared" si="7"/>
        <v>1592634.97</v>
      </c>
      <c r="AA29" s="78">
        <f t="shared" si="7"/>
        <v>3578416</v>
      </c>
    </row>
    <row r="30" spans="1:27" s="53" customFormat="1" ht="47.25" hidden="1" customHeight="1" x14ac:dyDescent="0.25">
      <c r="A30" s="73"/>
      <c r="B30" s="76"/>
      <c r="C30" s="77" t="s">
        <v>388</v>
      </c>
      <c r="D30" s="78"/>
      <c r="E30" s="78"/>
      <c r="F30" s="78"/>
      <c r="G30" s="78"/>
      <c r="H30" s="78"/>
      <c r="I30" s="78"/>
      <c r="J30" s="78"/>
      <c r="K30" s="78"/>
      <c r="L30" s="158" t="e">
        <f t="shared" si="2"/>
        <v>#DIV/0!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158" t="e">
        <f t="shared" si="3"/>
        <v>#DIV/0!</v>
      </c>
      <c r="Z30" s="78"/>
      <c r="AA30" s="78"/>
    </row>
    <row r="31" spans="1:27" s="53" customFormat="1" ht="63" x14ac:dyDescent="0.25">
      <c r="A31" s="73"/>
      <c r="B31" s="76"/>
      <c r="C31" s="79" t="s">
        <v>385</v>
      </c>
      <c r="D31" s="78">
        <f>D65</f>
        <v>2586117</v>
      </c>
      <c r="E31" s="78">
        <f t="shared" ref="E31:AA31" si="8">E65</f>
        <v>2586117</v>
      </c>
      <c r="F31" s="78">
        <f t="shared" si="8"/>
        <v>1459720</v>
      </c>
      <c r="G31" s="78">
        <f t="shared" si="8"/>
        <v>0</v>
      </c>
      <c r="H31" s="78">
        <f t="shared" si="8"/>
        <v>0</v>
      </c>
      <c r="I31" s="78">
        <f t="shared" si="8"/>
        <v>623951.56999999995</v>
      </c>
      <c r="J31" s="78">
        <f t="shared" si="8"/>
        <v>382356.7</v>
      </c>
      <c r="K31" s="78">
        <f t="shared" si="8"/>
        <v>0</v>
      </c>
      <c r="L31" s="158">
        <f t="shared" si="2"/>
        <v>24.12696602667242</v>
      </c>
      <c r="M31" s="78">
        <f t="shared" si="8"/>
        <v>98583</v>
      </c>
      <c r="N31" s="78">
        <f t="shared" si="8"/>
        <v>98583</v>
      </c>
      <c r="O31" s="78">
        <f t="shared" si="8"/>
        <v>0</v>
      </c>
      <c r="P31" s="78">
        <f t="shared" si="8"/>
        <v>0</v>
      </c>
      <c r="Q31" s="78">
        <f t="shared" si="8"/>
        <v>0</v>
      </c>
      <c r="R31" s="78">
        <f t="shared" si="8"/>
        <v>98583</v>
      </c>
      <c r="S31" s="78">
        <f t="shared" si="8"/>
        <v>0</v>
      </c>
      <c r="T31" s="78">
        <f t="shared" si="8"/>
        <v>0</v>
      </c>
      <c r="U31" s="78">
        <f t="shared" si="8"/>
        <v>0</v>
      </c>
      <c r="V31" s="78">
        <f t="shared" si="8"/>
        <v>0</v>
      </c>
      <c r="W31" s="78">
        <f t="shared" si="8"/>
        <v>0</v>
      </c>
      <c r="X31" s="78">
        <f t="shared" si="8"/>
        <v>0</v>
      </c>
      <c r="Y31" s="158">
        <f t="shared" si="3"/>
        <v>0</v>
      </c>
      <c r="Z31" s="78">
        <f t="shared" si="8"/>
        <v>623951.56999999995</v>
      </c>
      <c r="AA31" s="78">
        <f t="shared" si="8"/>
        <v>2684700</v>
      </c>
    </row>
    <row r="32" spans="1:27" s="53" customFormat="1" ht="63" hidden="1" customHeight="1" x14ac:dyDescent="0.25">
      <c r="A32" s="73"/>
      <c r="B32" s="76"/>
      <c r="C32" s="77" t="s">
        <v>387</v>
      </c>
      <c r="D32" s="78"/>
      <c r="E32" s="78"/>
      <c r="F32" s="78"/>
      <c r="G32" s="78"/>
      <c r="H32" s="78"/>
      <c r="I32" s="78"/>
      <c r="J32" s="78"/>
      <c r="K32" s="78"/>
      <c r="L32" s="158" t="e">
        <f t="shared" si="2"/>
        <v>#DIV/0!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158" t="e">
        <f t="shared" si="3"/>
        <v>#DIV/0!</v>
      </c>
      <c r="Z32" s="78"/>
      <c r="AA32" s="78"/>
    </row>
    <row r="33" spans="1:27" s="53" customFormat="1" ht="63" x14ac:dyDescent="0.25">
      <c r="A33" s="73"/>
      <c r="B33" s="73"/>
      <c r="C33" s="79" t="s">
        <v>534</v>
      </c>
      <c r="D33" s="78">
        <f>D67</f>
        <v>1174231</v>
      </c>
      <c r="E33" s="78">
        <f t="shared" ref="E33:AA33" si="9">E67</f>
        <v>1174231</v>
      </c>
      <c r="F33" s="78">
        <f t="shared" si="9"/>
        <v>962484</v>
      </c>
      <c r="G33" s="78">
        <f t="shared" si="9"/>
        <v>0</v>
      </c>
      <c r="H33" s="78">
        <f t="shared" si="9"/>
        <v>0</v>
      </c>
      <c r="I33" s="78">
        <f t="shared" si="9"/>
        <v>665359.34</v>
      </c>
      <c r="J33" s="78">
        <f t="shared" si="9"/>
        <v>545375.52</v>
      </c>
      <c r="K33" s="78">
        <f t="shared" si="9"/>
        <v>0</v>
      </c>
      <c r="L33" s="158">
        <f t="shared" si="2"/>
        <v>56.663411202736079</v>
      </c>
      <c r="M33" s="78">
        <f t="shared" si="9"/>
        <v>0</v>
      </c>
      <c r="N33" s="78">
        <f t="shared" si="9"/>
        <v>0</v>
      </c>
      <c r="O33" s="78">
        <f t="shared" si="9"/>
        <v>0</v>
      </c>
      <c r="P33" s="78">
        <f t="shared" si="9"/>
        <v>0</v>
      </c>
      <c r="Q33" s="78">
        <f t="shared" si="9"/>
        <v>0</v>
      </c>
      <c r="R33" s="78">
        <f t="shared" si="9"/>
        <v>0</v>
      </c>
      <c r="S33" s="78">
        <f t="shared" si="9"/>
        <v>0</v>
      </c>
      <c r="T33" s="78">
        <f t="shared" si="9"/>
        <v>0</v>
      </c>
      <c r="U33" s="78">
        <f t="shared" si="9"/>
        <v>0</v>
      </c>
      <c r="V33" s="78">
        <f t="shared" si="9"/>
        <v>0</v>
      </c>
      <c r="W33" s="78">
        <f t="shared" si="9"/>
        <v>0</v>
      </c>
      <c r="X33" s="78">
        <f t="shared" si="9"/>
        <v>0</v>
      </c>
      <c r="Y33" s="158"/>
      <c r="Z33" s="78">
        <f t="shared" si="9"/>
        <v>665359.34</v>
      </c>
      <c r="AA33" s="78">
        <f t="shared" si="9"/>
        <v>1174231</v>
      </c>
    </row>
    <row r="34" spans="1:27" s="53" customFormat="1" ht="31.5" x14ac:dyDescent="0.25">
      <c r="A34" s="73"/>
      <c r="B34" s="73"/>
      <c r="C34" s="79" t="s">
        <v>551</v>
      </c>
      <c r="D34" s="78">
        <f>D53+D55</f>
        <v>704981.6</v>
      </c>
      <c r="E34" s="78">
        <f t="shared" ref="E34:AA34" si="10">E53+E55</f>
        <v>704981.6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78">
        <f t="shared" si="10"/>
        <v>164446</v>
      </c>
      <c r="J34" s="78">
        <f t="shared" si="10"/>
        <v>0</v>
      </c>
      <c r="K34" s="78">
        <f t="shared" si="10"/>
        <v>0</v>
      </c>
      <c r="L34" s="158">
        <f t="shared" si="2"/>
        <v>23.326282558296558</v>
      </c>
      <c r="M34" s="78">
        <f t="shared" si="10"/>
        <v>4392761.18</v>
      </c>
      <c r="N34" s="78">
        <f t="shared" si="10"/>
        <v>4392761.18</v>
      </c>
      <c r="O34" s="78">
        <f t="shared" si="10"/>
        <v>0</v>
      </c>
      <c r="P34" s="78">
        <f t="shared" si="10"/>
        <v>0</v>
      </c>
      <c r="Q34" s="78">
        <f t="shared" si="10"/>
        <v>0</v>
      </c>
      <c r="R34" s="78">
        <f t="shared" si="10"/>
        <v>4392761.18</v>
      </c>
      <c r="S34" s="78">
        <f t="shared" si="10"/>
        <v>0</v>
      </c>
      <c r="T34" s="78">
        <f t="shared" si="10"/>
        <v>0</v>
      </c>
      <c r="U34" s="78">
        <f t="shared" si="10"/>
        <v>0</v>
      </c>
      <c r="V34" s="78">
        <f t="shared" si="10"/>
        <v>0</v>
      </c>
      <c r="W34" s="78">
        <f t="shared" si="10"/>
        <v>0</v>
      </c>
      <c r="X34" s="78">
        <f t="shared" si="10"/>
        <v>0</v>
      </c>
      <c r="Y34" s="158">
        <f t="shared" si="3"/>
        <v>0</v>
      </c>
      <c r="Z34" s="78">
        <f t="shared" si="10"/>
        <v>164446</v>
      </c>
      <c r="AA34" s="78">
        <f t="shared" si="10"/>
        <v>5097742.7799999993</v>
      </c>
    </row>
    <row r="35" spans="1:27" ht="17.25" customHeight="1" x14ac:dyDescent="0.25">
      <c r="A35" s="37" t="s">
        <v>49</v>
      </c>
      <c r="B35" s="37" t="s">
        <v>50</v>
      </c>
      <c r="C35" s="6" t="s">
        <v>511</v>
      </c>
      <c r="D35" s="49">
        <f>'дод 2'!E76</f>
        <v>291999086.63</v>
      </c>
      <c r="E35" s="49">
        <f>'дод 2'!F76</f>
        <v>291999086.63</v>
      </c>
      <c r="F35" s="49">
        <f>'дод 2'!G76</f>
        <v>205054200</v>
      </c>
      <c r="G35" s="49">
        <f>'дод 2'!H76</f>
        <v>21914800</v>
      </c>
      <c r="H35" s="49">
        <f>'дод 2'!I76</f>
        <v>0</v>
      </c>
      <c r="I35" s="49">
        <f>'дод 2'!J76</f>
        <v>150287348.18000001</v>
      </c>
      <c r="J35" s="49">
        <f>'дод 2'!K76</f>
        <v>103721952.05</v>
      </c>
      <c r="K35" s="49">
        <f>'дод 2'!L76</f>
        <v>14755294</v>
      </c>
      <c r="L35" s="158">
        <f t="shared" si="2"/>
        <v>51.468430916851872</v>
      </c>
      <c r="M35" s="49">
        <f>'дод 2'!N76</f>
        <v>12282180</v>
      </c>
      <c r="N35" s="49">
        <f>'дод 2'!O76</f>
        <v>522480</v>
      </c>
      <c r="O35" s="49">
        <f>'дод 2'!P76</f>
        <v>11759700</v>
      </c>
      <c r="P35" s="49">
        <f>'дод 2'!Q76</f>
        <v>0</v>
      </c>
      <c r="Q35" s="49">
        <f>'дод 2'!R76</f>
        <v>0</v>
      </c>
      <c r="R35" s="49">
        <f>'дод 2'!S76</f>
        <v>522480</v>
      </c>
      <c r="S35" s="49">
        <f>'дод 2'!T76</f>
        <v>7101454.2199999997</v>
      </c>
      <c r="T35" s="49">
        <f>'дод 2'!U76</f>
        <v>0</v>
      </c>
      <c r="U35" s="49">
        <f>'дод 2'!V76</f>
        <v>7071254.2199999997</v>
      </c>
      <c r="V35" s="49">
        <f>'дод 2'!W76</f>
        <v>0</v>
      </c>
      <c r="W35" s="49">
        <f>'дод 2'!X76</f>
        <v>0</v>
      </c>
      <c r="X35" s="49">
        <f>'дод 2'!Y76</f>
        <v>30200</v>
      </c>
      <c r="Y35" s="158">
        <f t="shared" si="3"/>
        <v>57.819167444215921</v>
      </c>
      <c r="Z35" s="49">
        <f>'дод 2'!AA76</f>
        <v>157388802.40000001</v>
      </c>
      <c r="AA35" s="49">
        <f>'дод 2'!AB76</f>
        <v>304281266.63</v>
      </c>
    </row>
    <row r="36" spans="1:27" s="54" customFormat="1" ht="47.25" hidden="1" customHeight="1" x14ac:dyDescent="0.25">
      <c r="A36" s="80"/>
      <c r="B36" s="80"/>
      <c r="C36" s="81" t="s">
        <v>385</v>
      </c>
      <c r="D36" s="82"/>
      <c r="E36" s="82"/>
      <c r="F36" s="82"/>
      <c r="G36" s="82"/>
      <c r="H36" s="82"/>
      <c r="I36" s="82"/>
      <c r="J36" s="82"/>
      <c r="K36" s="82"/>
      <c r="L36" s="158" t="e">
        <f t="shared" si="2"/>
        <v>#DIV/0!</v>
      </c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158" t="e">
        <f t="shared" si="3"/>
        <v>#DIV/0!</v>
      </c>
      <c r="Z36" s="82"/>
      <c r="AA36" s="82"/>
    </row>
    <row r="37" spans="1:27" ht="38.25" customHeight="1" x14ac:dyDescent="0.25">
      <c r="A37" s="37">
        <v>1021</v>
      </c>
      <c r="B37" s="37" t="s">
        <v>52</v>
      </c>
      <c r="C37" s="61" t="s">
        <v>479</v>
      </c>
      <c r="D37" s="49">
        <f>'дод 2'!E77</f>
        <v>210272250</v>
      </c>
      <c r="E37" s="49">
        <f>'дод 2'!F77</f>
        <v>210272250</v>
      </c>
      <c r="F37" s="49">
        <f>'дод 2'!G77</f>
        <v>119662706</v>
      </c>
      <c r="G37" s="49">
        <f>'дод 2'!H77</f>
        <v>30342200</v>
      </c>
      <c r="H37" s="49">
        <f>'дод 2'!I77</f>
        <v>0</v>
      </c>
      <c r="I37" s="49">
        <f>'дод 2'!J77</f>
        <v>107173361.34</v>
      </c>
      <c r="J37" s="49">
        <f>'дод 2'!K77</f>
        <v>60280491.799999997</v>
      </c>
      <c r="K37" s="49">
        <f>'дод 2'!L77</f>
        <v>20012577.940000001</v>
      </c>
      <c r="L37" s="158">
        <f t="shared" si="2"/>
        <v>50.968856489622382</v>
      </c>
      <c r="M37" s="49">
        <f>'дод 2'!N77</f>
        <v>25611850</v>
      </c>
      <c r="N37" s="49">
        <f>'дод 2'!O77</f>
        <v>481050</v>
      </c>
      <c r="O37" s="49">
        <f>'дод 2'!P77</f>
        <v>25130800</v>
      </c>
      <c r="P37" s="49">
        <f>'дод 2'!Q77</f>
        <v>2268060</v>
      </c>
      <c r="Q37" s="49">
        <f>'дод 2'!R77</f>
        <v>139890</v>
      </c>
      <c r="R37" s="49">
        <f>'дод 2'!S77</f>
        <v>481050</v>
      </c>
      <c r="S37" s="49">
        <f>'дод 2'!T77</f>
        <v>8138183.8499999996</v>
      </c>
      <c r="T37" s="49">
        <f>'дод 2'!U77</f>
        <v>24071.5</v>
      </c>
      <c r="U37" s="49">
        <f>'дод 2'!V77</f>
        <v>7794331.3399999999</v>
      </c>
      <c r="V37" s="49">
        <f>'дод 2'!W77</f>
        <v>1224957.45</v>
      </c>
      <c r="W37" s="49">
        <f>'дод 2'!X77</f>
        <v>49646.52</v>
      </c>
      <c r="X37" s="49">
        <f>'дод 2'!Y77</f>
        <v>343852.51</v>
      </c>
      <c r="Y37" s="158">
        <f t="shared" si="3"/>
        <v>31.775072280994927</v>
      </c>
      <c r="Z37" s="49">
        <f>'дод 2'!AA77</f>
        <v>115311545.19</v>
      </c>
      <c r="AA37" s="49">
        <f>'дод 2'!AB77</f>
        <v>235884100</v>
      </c>
    </row>
    <row r="38" spans="1:27" s="54" customFormat="1" ht="63" hidden="1" customHeight="1" x14ac:dyDescent="0.25">
      <c r="A38" s="80"/>
      <c r="B38" s="80"/>
      <c r="C38" s="81" t="s">
        <v>389</v>
      </c>
      <c r="D38" s="82"/>
      <c r="E38" s="82"/>
      <c r="F38" s="82"/>
      <c r="G38" s="82"/>
      <c r="H38" s="82"/>
      <c r="I38" s="82"/>
      <c r="J38" s="82"/>
      <c r="K38" s="82"/>
      <c r="L38" s="158" t="e">
        <f t="shared" si="2"/>
        <v>#DIV/0!</v>
      </c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158" t="e">
        <f t="shared" si="3"/>
        <v>#DIV/0!</v>
      </c>
      <c r="Z38" s="82"/>
      <c r="AA38" s="82"/>
    </row>
    <row r="39" spans="1:27" s="54" customFormat="1" ht="47.25" hidden="1" customHeight="1" x14ac:dyDescent="0.25">
      <c r="A39" s="80"/>
      <c r="B39" s="80"/>
      <c r="C39" s="81" t="s">
        <v>386</v>
      </c>
      <c r="D39" s="82"/>
      <c r="E39" s="82"/>
      <c r="F39" s="82"/>
      <c r="G39" s="82"/>
      <c r="H39" s="82"/>
      <c r="I39" s="82"/>
      <c r="J39" s="82"/>
      <c r="K39" s="82"/>
      <c r="L39" s="158" t="e">
        <f t="shared" si="2"/>
        <v>#DIV/0!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158" t="e">
        <f t="shared" si="3"/>
        <v>#DIV/0!</v>
      </c>
      <c r="Z39" s="82"/>
      <c r="AA39" s="82"/>
    </row>
    <row r="40" spans="1:27" s="54" customFormat="1" ht="47.25" hidden="1" customHeight="1" x14ac:dyDescent="0.25">
      <c r="A40" s="80"/>
      <c r="B40" s="80"/>
      <c r="C40" s="81" t="s">
        <v>388</v>
      </c>
      <c r="D40" s="82"/>
      <c r="E40" s="82"/>
      <c r="F40" s="82"/>
      <c r="G40" s="82"/>
      <c r="H40" s="82"/>
      <c r="I40" s="82"/>
      <c r="J40" s="82"/>
      <c r="K40" s="82"/>
      <c r="L40" s="158" t="e">
        <f t="shared" si="2"/>
        <v>#DIV/0!</v>
      </c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58" t="e">
        <f t="shared" si="3"/>
        <v>#DIV/0!</v>
      </c>
      <c r="Z40" s="82"/>
      <c r="AA40" s="82"/>
    </row>
    <row r="41" spans="1:27" s="54" customFormat="1" ht="47.25" hidden="1" customHeight="1" x14ac:dyDescent="0.25">
      <c r="A41" s="80"/>
      <c r="B41" s="80"/>
      <c r="C41" s="81" t="s">
        <v>385</v>
      </c>
      <c r="D41" s="82"/>
      <c r="E41" s="82"/>
      <c r="F41" s="82"/>
      <c r="G41" s="82"/>
      <c r="H41" s="82"/>
      <c r="I41" s="82"/>
      <c r="J41" s="82"/>
      <c r="K41" s="82"/>
      <c r="L41" s="158" t="e">
        <f t="shared" si="2"/>
        <v>#DIV/0!</v>
      </c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158" t="e">
        <f t="shared" si="3"/>
        <v>#DIV/0!</v>
      </c>
      <c r="Z41" s="82"/>
      <c r="AA41" s="82"/>
    </row>
    <row r="42" spans="1:27" s="54" customFormat="1" ht="31.5" hidden="1" customHeight="1" x14ac:dyDescent="0.25">
      <c r="A42" s="80"/>
      <c r="B42" s="80"/>
      <c r="C42" s="81" t="s">
        <v>391</v>
      </c>
      <c r="D42" s="82"/>
      <c r="E42" s="82"/>
      <c r="F42" s="82"/>
      <c r="G42" s="82"/>
      <c r="H42" s="82"/>
      <c r="I42" s="82"/>
      <c r="J42" s="82"/>
      <c r="K42" s="82"/>
      <c r="L42" s="158" t="e">
        <f t="shared" si="2"/>
        <v>#DIV/0!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58" t="e">
        <f t="shared" si="3"/>
        <v>#DIV/0!</v>
      </c>
      <c r="Z42" s="82"/>
      <c r="AA42" s="82"/>
    </row>
    <row r="43" spans="1:27" s="54" customFormat="1" ht="63" hidden="1" customHeight="1" x14ac:dyDescent="0.25">
      <c r="A43" s="80"/>
      <c r="B43" s="80"/>
      <c r="C43" s="81" t="s">
        <v>387</v>
      </c>
      <c r="D43" s="82"/>
      <c r="E43" s="82"/>
      <c r="F43" s="82"/>
      <c r="G43" s="82"/>
      <c r="H43" s="82"/>
      <c r="I43" s="82"/>
      <c r="J43" s="82"/>
      <c r="K43" s="82"/>
      <c r="L43" s="158" t="e">
        <f t="shared" si="2"/>
        <v>#DIV/0!</v>
      </c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158" t="e">
        <f t="shared" si="3"/>
        <v>#DIV/0!</v>
      </c>
      <c r="Z43" s="82"/>
      <c r="AA43" s="82"/>
    </row>
    <row r="44" spans="1:27" ht="59.25" customHeight="1" x14ac:dyDescent="0.25">
      <c r="A44" s="37">
        <v>1022</v>
      </c>
      <c r="B44" s="60" t="s">
        <v>56</v>
      </c>
      <c r="C44" s="36" t="s">
        <v>481</v>
      </c>
      <c r="D44" s="49">
        <f>'дод 2'!E78</f>
        <v>13959400</v>
      </c>
      <c r="E44" s="49">
        <f>'дод 2'!F78</f>
        <v>13959400</v>
      </c>
      <c r="F44" s="49">
        <f>'дод 2'!G78</f>
        <v>8830500</v>
      </c>
      <c r="G44" s="49">
        <f>'дод 2'!H78</f>
        <v>1210000</v>
      </c>
      <c r="H44" s="49">
        <f>'дод 2'!I78</f>
        <v>0</v>
      </c>
      <c r="I44" s="49">
        <f>'дод 2'!J78</f>
        <v>7341990.1299999999</v>
      </c>
      <c r="J44" s="49">
        <f>'дод 2'!K78</f>
        <v>4630061.6100000003</v>
      </c>
      <c r="K44" s="49">
        <f>'дод 2'!L78</f>
        <v>923850.7</v>
      </c>
      <c r="L44" s="158">
        <f t="shared" si="2"/>
        <v>52.595313050704185</v>
      </c>
      <c r="M44" s="49">
        <f>'дод 2'!N78</f>
        <v>180000</v>
      </c>
      <c r="N44" s="49">
        <f>'дод 2'!O78</f>
        <v>180000</v>
      </c>
      <c r="O44" s="49">
        <f>'дод 2'!P78</f>
        <v>0</v>
      </c>
      <c r="P44" s="49">
        <f>'дод 2'!Q78</f>
        <v>0</v>
      </c>
      <c r="Q44" s="49">
        <f>'дод 2'!R78</f>
        <v>0</v>
      </c>
      <c r="R44" s="49">
        <f>'дод 2'!S78</f>
        <v>180000</v>
      </c>
      <c r="S44" s="49">
        <f>'дод 2'!T78</f>
        <v>48268.979999999996</v>
      </c>
      <c r="T44" s="49">
        <f>'дод 2'!U78</f>
        <v>0</v>
      </c>
      <c r="U44" s="49">
        <f>'дод 2'!V78</f>
        <v>22477.59</v>
      </c>
      <c r="V44" s="49">
        <f>'дод 2'!W78</f>
        <v>0</v>
      </c>
      <c r="W44" s="49">
        <f>'дод 2'!X78</f>
        <v>0</v>
      </c>
      <c r="X44" s="49">
        <f>'дод 2'!Y78</f>
        <v>25791.39</v>
      </c>
      <c r="Y44" s="158">
        <f t="shared" si="3"/>
        <v>26.816099999999999</v>
      </c>
      <c r="Z44" s="49">
        <f>'дод 2'!AA78</f>
        <v>7390259.1100000003</v>
      </c>
      <c r="AA44" s="49">
        <f>'дод 2'!AB78</f>
        <v>14139400</v>
      </c>
    </row>
    <row r="45" spans="1:27" ht="63" hidden="1" customHeight="1" x14ac:dyDescent="0.25">
      <c r="A45" s="37"/>
      <c r="B45" s="37"/>
      <c r="C45" s="81" t="s">
        <v>389</v>
      </c>
      <c r="D45" s="49" t="e">
        <f>'дод 2'!#REF!</f>
        <v>#REF!</v>
      </c>
      <c r="E45" s="49" t="e">
        <f>'дод 2'!#REF!</f>
        <v>#REF!</v>
      </c>
      <c r="F45" s="49" t="e">
        <f>'дод 2'!#REF!</f>
        <v>#REF!</v>
      </c>
      <c r="G45" s="49" t="e">
        <f>'дод 2'!#REF!</f>
        <v>#REF!</v>
      </c>
      <c r="H45" s="49" t="e">
        <f>'дод 2'!#REF!</f>
        <v>#REF!</v>
      </c>
      <c r="I45" s="49" t="e">
        <f>'дод 2'!#REF!</f>
        <v>#REF!</v>
      </c>
      <c r="J45" s="49" t="e">
        <f>'дод 2'!#REF!</f>
        <v>#REF!</v>
      </c>
      <c r="K45" s="49" t="e">
        <f>'дод 2'!#REF!</f>
        <v>#REF!</v>
      </c>
      <c r="L45" s="158" t="e">
        <f t="shared" si="2"/>
        <v>#REF!</v>
      </c>
      <c r="M45" s="49" t="e">
        <f>'дод 2'!#REF!</f>
        <v>#REF!</v>
      </c>
      <c r="N45" s="49" t="e">
        <f>'дод 2'!#REF!</f>
        <v>#REF!</v>
      </c>
      <c r="O45" s="49" t="e">
        <f>'дод 2'!#REF!</f>
        <v>#REF!</v>
      </c>
      <c r="P45" s="49" t="e">
        <f>'дод 2'!#REF!</f>
        <v>#REF!</v>
      </c>
      <c r="Q45" s="49" t="e">
        <f>'дод 2'!#REF!</f>
        <v>#REF!</v>
      </c>
      <c r="R45" s="49" t="e">
        <f>'дод 2'!#REF!</f>
        <v>#REF!</v>
      </c>
      <c r="S45" s="49" t="e">
        <f>'дод 2'!#REF!</f>
        <v>#REF!</v>
      </c>
      <c r="T45" s="49" t="e">
        <f>'дод 2'!#REF!</f>
        <v>#REF!</v>
      </c>
      <c r="U45" s="49" t="e">
        <f>'дод 2'!#REF!</f>
        <v>#REF!</v>
      </c>
      <c r="V45" s="49" t="e">
        <f>'дод 2'!#REF!</f>
        <v>#REF!</v>
      </c>
      <c r="W45" s="49" t="e">
        <f>'дод 2'!#REF!</f>
        <v>#REF!</v>
      </c>
      <c r="X45" s="49" t="e">
        <f>'дод 2'!#REF!</f>
        <v>#REF!</v>
      </c>
      <c r="Y45" s="158" t="e">
        <f t="shared" si="3"/>
        <v>#REF!</v>
      </c>
      <c r="Z45" s="49" t="e">
        <f>'дод 2'!#REF!</f>
        <v>#REF!</v>
      </c>
      <c r="AA45" s="49" t="e">
        <f>'дод 2'!#REF!</f>
        <v>#REF!</v>
      </c>
    </row>
    <row r="46" spans="1:27" s="54" customFormat="1" ht="35.25" customHeight="1" x14ac:dyDescent="0.25">
      <c r="A46" s="95">
        <v>1031</v>
      </c>
      <c r="B46" s="60" t="s">
        <v>52</v>
      </c>
      <c r="C46" s="61" t="s">
        <v>512</v>
      </c>
      <c r="D46" s="49">
        <f>'дод 2'!E79</f>
        <v>468962880</v>
      </c>
      <c r="E46" s="49">
        <f>'дод 2'!F79</f>
        <v>468962880</v>
      </c>
      <c r="F46" s="49">
        <f>'дод 2'!G79</f>
        <v>383296900</v>
      </c>
      <c r="G46" s="49">
        <f>'дод 2'!H79</f>
        <v>0</v>
      </c>
      <c r="H46" s="49">
        <f>'дод 2'!I79</f>
        <v>0</v>
      </c>
      <c r="I46" s="49">
        <f>'дод 2'!J79</f>
        <v>266552018.59</v>
      </c>
      <c r="J46" s="49">
        <f>'дод 2'!K79</f>
        <v>217859004.69999999</v>
      </c>
      <c r="K46" s="49">
        <f>'дод 2'!L79</f>
        <v>0</v>
      </c>
      <c r="L46" s="158">
        <f t="shared" si="2"/>
        <v>56.838617715329619</v>
      </c>
      <c r="M46" s="49">
        <f>'дод 2'!N79</f>
        <v>0</v>
      </c>
      <c r="N46" s="49">
        <f>'дод 2'!O79</f>
        <v>0</v>
      </c>
      <c r="O46" s="49">
        <f>'дод 2'!P79</f>
        <v>0</v>
      </c>
      <c r="P46" s="49">
        <f>'дод 2'!Q79</f>
        <v>0</v>
      </c>
      <c r="Q46" s="49">
        <f>'дод 2'!R79</f>
        <v>0</v>
      </c>
      <c r="R46" s="49">
        <f>'дод 2'!S79</f>
        <v>0</v>
      </c>
      <c r="S46" s="49">
        <f>'дод 2'!T79</f>
        <v>0</v>
      </c>
      <c r="T46" s="49">
        <f>'дод 2'!U79</f>
        <v>0</v>
      </c>
      <c r="U46" s="49">
        <f>'дод 2'!V79</f>
        <v>0</v>
      </c>
      <c r="V46" s="49">
        <f>'дод 2'!W79</f>
        <v>0</v>
      </c>
      <c r="W46" s="49">
        <f>'дод 2'!X79</f>
        <v>0</v>
      </c>
      <c r="X46" s="49">
        <f>'дод 2'!Y79</f>
        <v>0</v>
      </c>
      <c r="Y46" s="158"/>
      <c r="Z46" s="49">
        <f>'дод 2'!AA79</f>
        <v>266552018.59</v>
      </c>
      <c r="AA46" s="49">
        <f>'дод 2'!AB79</f>
        <v>468962880</v>
      </c>
    </row>
    <row r="47" spans="1:27" s="54" customFormat="1" ht="31.5" x14ac:dyDescent="0.25">
      <c r="A47" s="80"/>
      <c r="B47" s="80"/>
      <c r="C47" s="89" t="s">
        <v>391</v>
      </c>
      <c r="D47" s="82">
        <f>'дод 2'!E80</f>
        <v>466883500</v>
      </c>
      <c r="E47" s="82">
        <f>'дод 2'!F80</f>
        <v>466883500</v>
      </c>
      <c r="F47" s="82">
        <f>'дод 2'!G80</f>
        <v>383296900</v>
      </c>
      <c r="G47" s="82">
        <f>'дод 2'!H80</f>
        <v>0</v>
      </c>
      <c r="H47" s="82">
        <f>'дод 2'!I80</f>
        <v>0</v>
      </c>
      <c r="I47" s="82">
        <f>'дод 2'!J80</f>
        <v>265372493.59</v>
      </c>
      <c r="J47" s="82">
        <f>'дод 2'!K80</f>
        <v>217859004.69999999</v>
      </c>
      <c r="K47" s="82">
        <f>'дод 2'!L80</f>
        <v>0</v>
      </c>
      <c r="L47" s="158">
        <f t="shared" si="2"/>
        <v>56.839124447533486</v>
      </c>
      <c r="M47" s="82">
        <f>'дод 2'!N80</f>
        <v>0</v>
      </c>
      <c r="N47" s="82">
        <f>'дод 2'!O80</f>
        <v>0</v>
      </c>
      <c r="O47" s="82">
        <f>'дод 2'!P80</f>
        <v>0</v>
      </c>
      <c r="P47" s="82">
        <f>'дод 2'!Q80</f>
        <v>0</v>
      </c>
      <c r="Q47" s="82">
        <f>'дод 2'!R80</f>
        <v>0</v>
      </c>
      <c r="R47" s="82">
        <f>'дод 2'!S80</f>
        <v>0</v>
      </c>
      <c r="S47" s="82">
        <f>'дод 2'!T80</f>
        <v>0</v>
      </c>
      <c r="T47" s="82">
        <f>'дод 2'!U80</f>
        <v>0</v>
      </c>
      <c r="U47" s="82">
        <f>'дод 2'!V80</f>
        <v>0</v>
      </c>
      <c r="V47" s="82">
        <f>'дод 2'!W80</f>
        <v>0</v>
      </c>
      <c r="W47" s="82">
        <f>'дод 2'!X80</f>
        <v>0</v>
      </c>
      <c r="X47" s="82">
        <f>'дод 2'!Y80</f>
        <v>0</v>
      </c>
      <c r="Y47" s="158"/>
      <c r="Z47" s="82">
        <f>'дод 2'!AA80</f>
        <v>265372493.59</v>
      </c>
      <c r="AA47" s="82">
        <f>'дод 2'!AB80</f>
        <v>466883500</v>
      </c>
    </row>
    <row r="48" spans="1:27" ht="50.25" customHeight="1" x14ac:dyDescent="0.25">
      <c r="A48" s="37"/>
      <c r="B48" s="37"/>
      <c r="C48" s="89" t="s">
        <v>386</v>
      </c>
      <c r="D48" s="82">
        <f>'дод 2'!E81</f>
        <v>2079380</v>
      </c>
      <c r="E48" s="82">
        <f>'дод 2'!F81</f>
        <v>2079380</v>
      </c>
      <c r="F48" s="82">
        <f>'дод 2'!G81</f>
        <v>0</v>
      </c>
      <c r="G48" s="82">
        <f>'дод 2'!H81</f>
        <v>0</v>
      </c>
      <c r="H48" s="82">
        <f>'дод 2'!I81</f>
        <v>0</v>
      </c>
      <c r="I48" s="82">
        <f>'дод 2'!J81</f>
        <v>1179525</v>
      </c>
      <c r="J48" s="82">
        <f>'дод 2'!K81</f>
        <v>0</v>
      </c>
      <c r="K48" s="82">
        <f>'дод 2'!L81</f>
        <v>0</v>
      </c>
      <c r="L48" s="158">
        <f t="shared" si="2"/>
        <v>56.724841058392407</v>
      </c>
      <c r="M48" s="82">
        <f>'дод 2'!N81</f>
        <v>0</v>
      </c>
      <c r="N48" s="82">
        <f>'дод 2'!O81</f>
        <v>0</v>
      </c>
      <c r="O48" s="82">
        <f>'дод 2'!P81</f>
        <v>0</v>
      </c>
      <c r="P48" s="82">
        <f>'дод 2'!Q81</f>
        <v>0</v>
      </c>
      <c r="Q48" s="82">
        <f>'дод 2'!R81</f>
        <v>0</v>
      </c>
      <c r="R48" s="82">
        <f>'дод 2'!S81</f>
        <v>0</v>
      </c>
      <c r="S48" s="82">
        <f>'дод 2'!T81</f>
        <v>0</v>
      </c>
      <c r="T48" s="82">
        <f>'дод 2'!U81</f>
        <v>0</v>
      </c>
      <c r="U48" s="82">
        <f>'дод 2'!V81</f>
        <v>0</v>
      </c>
      <c r="V48" s="82">
        <f>'дод 2'!W81</f>
        <v>0</v>
      </c>
      <c r="W48" s="82">
        <f>'дод 2'!X81</f>
        <v>0</v>
      </c>
      <c r="X48" s="82">
        <f>'дод 2'!Y81</f>
        <v>0</v>
      </c>
      <c r="Y48" s="158"/>
      <c r="Z48" s="82">
        <f>'дод 2'!AA81</f>
        <v>1179525</v>
      </c>
      <c r="AA48" s="82">
        <f>'дод 2'!AB81</f>
        <v>2079380</v>
      </c>
    </row>
    <row r="49" spans="1:27" ht="63.75" customHeight="1" x14ac:dyDescent="0.25">
      <c r="A49" s="60" t="s">
        <v>484</v>
      </c>
      <c r="B49" s="60" t="s">
        <v>56</v>
      </c>
      <c r="C49" s="61" t="s">
        <v>513</v>
      </c>
      <c r="D49" s="49">
        <f>'дод 2'!E82</f>
        <v>15564500</v>
      </c>
      <c r="E49" s="49">
        <f>'дод 2'!F82</f>
        <v>15564500</v>
      </c>
      <c r="F49" s="49">
        <f>'дод 2'!G82</f>
        <v>12769100</v>
      </c>
      <c r="G49" s="49">
        <f>'дод 2'!H82</f>
        <v>0</v>
      </c>
      <c r="H49" s="49">
        <f>'дод 2'!I82</f>
        <v>0</v>
      </c>
      <c r="I49" s="49">
        <f>'дод 2'!J82</f>
        <v>8626633.5299999993</v>
      </c>
      <c r="J49" s="49">
        <f>'дод 2'!K82</f>
        <v>7077030.2699999996</v>
      </c>
      <c r="K49" s="49">
        <f>'дод 2'!L82</f>
        <v>0</v>
      </c>
      <c r="L49" s="158">
        <f t="shared" si="2"/>
        <v>55.425060425969349</v>
      </c>
      <c r="M49" s="49">
        <f>'дод 2'!N82</f>
        <v>0</v>
      </c>
      <c r="N49" s="49">
        <f>'дод 2'!O82</f>
        <v>0</v>
      </c>
      <c r="O49" s="49">
        <f>'дод 2'!P82</f>
        <v>0</v>
      </c>
      <c r="P49" s="49">
        <f>'дод 2'!Q82</f>
        <v>0</v>
      </c>
      <c r="Q49" s="49">
        <f>'дод 2'!R82</f>
        <v>0</v>
      </c>
      <c r="R49" s="49">
        <f>'дод 2'!S82</f>
        <v>0</v>
      </c>
      <c r="S49" s="49">
        <f>'дод 2'!T82</f>
        <v>0</v>
      </c>
      <c r="T49" s="49">
        <f>'дод 2'!U82</f>
        <v>0</v>
      </c>
      <c r="U49" s="49">
        <f>'дод 2'!V82</f>
        <v>0</v>
      </c>
      <c r="V49" s="49">
        <f>'дод 2'!W82</f>
        <v>0</v>
      </c>
      <c r="W49" s="49">
        <f>'дод 2'!X82</f>
        <v>0</v>
      </c>
      <c r="X49" s="49">
        <f>'дод 2'!Y82</f>
        <v>0</v>
      </c>
      <c r="Y49" s="158"/>
      <c r="Z49" s="49">
        <f>'дод 2'!AA82</f>
        <v>8626633.5299999993</v>
      </c>
      <c r="AA49" s="49">
        <f>'дод 2'!AB82</f>
        <v>15564500</v>
      </c>
    </row>
    <row r="50" spans="1:27" ht="31.5" x14ac:dyDescent="0.25">
      <c r="A50" s="37"/>
      <c r="B50" s="37"/>
      <c r="C50" s="89" t="s">
        <v>391</v>
      </c>
      <c r="D50" s="82">
        <f>'дод 2'!E83</f>
        <v>15564500</v>
      </c>
      <c r="E50" s="82">
        <f>'дод 2'!F83</f>
        <v>15564500</v>
      </c>
      <c r="F50" s="82">
        <f>'дод 2'!G83</f>
        <v>12769100</v>
      </c>
      <c r="G50" s="82">
        <f>'дод 2'!H83</f>
        <v>0</v>
      </c>
      <c r="H50" s="82">
        <f>'дод 2'!I83</f>
        <v>0</v>
      </c>
      <c r="I50" s="82">
        <f>'дод 2'!J83</f>
        <v>8626633.5299999993</v>
      </c>
      <c r="J50" s="82">
        <f>'дод 2'!K83</f>
        <v>7077030.2699999996</v>
      </c>
      <c r="K50" s="82">
        <f>'дод 2'!L83</f>
        <v>0</v>
      </c>
      <c r="L50" s="158">
        <f t="shared" si="2"/>
        <v>55.425060425969349</v>
      </c>
      <c r="M50" s="82">
        <f>'дод 2'!N83</f>
        <v>0</v>
      </c>
      <c r="N50" s="82">
        <f>'дод 2'!O83</f>
        <v>0</v>
      </c>
      <c r="O50" s="82">
        <f>'дод 2'!P83</f>
        <v>0</v>
      </c>
      <c r="P50" s="82">
        <f>'дод 2'!Q83</f>
        <v>0</v>
      </c>
      <c r="Q50" s="82">
        <f>'дод 2'!R83</f>
        <v>0</v>
      </c>
      <c r="R50" s="82">
        <f>'дод 2'!S83</f>
        <v>0</v>
      </c>
      <c r="S50" s="82">
        <f>'дод 2'!T83</f>
        <v>0</v>
      </c>
      <c r="T50" s="82">
        <f>'дод 2'!U83</f>
        <v>0</v>
      </c>
      <c r="U50" s="82">
        <f>'дод 2'!V83</f>
        <v>0</v>
      </c>
      <c r="V50" s="82">
        <f>'дод 2'!W83</f>
        <v>0</v>
      </c>
      <c r="W50" s="82">
        <f>'дод 2'!X83</f>
        <v>0</v>
      </c>
      <c r="X50" s="82">
        <f>'дод 2'!Y83</f>
        <v>0</v>
      </c>
      <c r="Y50" s="158"/>
      <c r="Z50" s="82">
        <f>'дод 2'!AA83</f>
        <v>8626633.5299999993</v>
      </c>
      <c r="AA50" s="82">
        <f>'дод 2'!AB83</f>
        <v>15564500</v>
      </c>
    </row>
    <row r="51" spans="1:27" ht="31.5" x14ac:dyDescent="0.25">
      <c r="A51" s="37">
        <v>1061</v>
      </c>
      <c r="B51" s="60" t="s">
        <v>52</v>
      </c>
      <c r="C51" s="36" t="s">
        <v>543</v>
      </c>
      <c r="D51" s="49">
        <f>'дод 2'!E84</f>
        <v>664981.6</v>
      </c>
      <c r="E51" s="49">
        <f>'дод 2'!F84</f>
        <v>664981.6</v>
      </c>
      <c r="F51" s="49">
        <f>'дод 2'!G84</f>
        <v>0</v>
      </c>
      <c r="G51" s="49">
        <f>'дод 2'!H84</f>
        <v>0</v>
      </c>
      <c r="H51" s="49">
        <f>'дод 2'!I84</f>
        <v>0</v>
      </c>
      <c r="I51" s="49">
        <f>'дод 2'!J84</f>
        <v>124446</v>
      </c>
      <c r="J51" s="49">
        <f>'дод 2'!K84</f>
        <v>0</v>
      </c>
      <c r="K51" s="49">
        <f>'дод 2'!L84</f>
        <v>0</v>
      </c>
      <c r="L51" s="158">
        <f t="shared" si="2"/>
        <v>18.714202017018216</v>
      </c>
      <c r="M51" s="49">
        <f>'дод 2'!N84</f>
        <v>4392761.18</v>
      </c>
      <c r="N51" s="49">
        <f>'дод 2'!O84</f>
        <v>4392761.18</v>
      </c>
      <c r="O51" s="49">
        <f>'дод 2'!P84</f>
        <v>0</v>
      </c>
      <c r="P51" s="49">
        <f>'дод 2'!Q84</f>
        <v>0</v>
      </c>
      <c r="Q51" s="49">
        <f>'дод 2'!R84</f>
        <v>0</v>
      </c>
      <c r="R51" s="49">
        <f>'дод 2'!S84</f>
        <v>4392761.18</v>
      </c>
      <c r="S51" s="49">
        <f>'дод 2'!T84</f>
        <v>260381</v>
      </c>
      <c r="T51" s="49">
        <f>'дод 2'!U84</f>
        <v>260381</v>
      </c>
      <c r="U51" s="49">
        <f>'дод 2'!V84</f>
        <v>0</v>
      </c>
      <c r="V51" s="49">
        <f>'дод 2'!W84</f>
        <v>0</v>
      </c>
      <c r="W51" s="49">
        <f>'дод 2'!X84</f>
        <v>0</v>
      </c>
      <c r="X51" s="49">
        <f>'дод 2'!Y84</f>
        <v>260381</v>
      </c>
      <c r="Y51" s="158">
        <f t="shared" si="3"/>
        <v>5.9275018452061632</v>
      </c>
      <c r="Z51" s="49">
        <f>'дод 2'!AA84</f>
        <v>384827</v>
      </c>
      <c r="AA51" s="49">
        <f>'дод 2'!AB84</f>
        <v>5057742.7799999993</v>
      </c>
    </row>
    <row r="52" spans="1:27" ht="48.75" hidden="1" customHeight="1" x14ac:dyDescent="0.25">
      <c r="A52" s="37"/>
      <c r="B52" s="60"/>
      <c r="C52" s="89"/>
      <c r="D52" s="82">
        <f>'дод 2'!E85</f>
        <v>0</v>
      </c>
      <c r="E52" s="82">
        <f>'дод 2'!F85</f>
        <v>0</v>
      </c>
      <c r="F52" s="82">
        <f>'дод 2'!G85</f>
        <v>0</v>
      </c>
      <c r="G52" s="82">
        <f>'дод 2'!H85</f>
        <v>0</v>
      </c>
      <c r="H52" s="82">
        <f>'дод 2'!I85</f>
        <v>0</v>
      </c>
      <c r="I52" s="82">
        <f>'дод 2'!J85</f>
        <v>0</v>
      </c>
      <c r="J52" s="82">
        <f>'дод 2'!K85</f>
        <v>0</v>
      </c>
      <c r="K52" s="82">
        <f>'дод 2'!L85</f>
        <v>0</v>
      </c>
      <c r="L52" s="158" t="e">
        <f t="shared" si="2"/>
        <v>#DIV/0!</v>
      </c>
      <c r="M52" s="82">
        <f>'дод 2'!N85</f>
        <v>0</v>
      </c>
      <c r="N52" s="82">
        <f>'дод 2'!O85</f>
        <v>0</v>
      </c>
      <c r="O52" s="82">
        <f>'дод 2'!P85</f>
        <v>0</v>
      </c>
      <c r="P52" s="82">
        <f>'дод 2'!Q85</f>
        <v>0</v>
      </c>
      <c r="Q52" s="82">
        <f>'дод 2'!R85</f>
        <v>0</v>
      </c>
      <c r="R52" s="82">
        <f>'дод 2'!S85</f>
        <v>0</v>
      </c>
      <c r="S52" s="82">
        <f>'дод 2'!T85</f>
        <v>0</v>
      </c>
      <c r="T52" s="82">
        <f>'дод 2'!U85</f>
        <v>0</v>
      </c>
      <c r="U52" s="82">
        <f>'дод 2'!V85</f>
        <v>0</v>
      </c>
      <c r="V52" s="82">
        <f>'дод 2'!W85</f>
        <v>0</v>
      </c>
      <c r="W52" s="82">
        <f>'дод 2'!X85</f>
        <v>0</v>
      </c>
      <c r="X52" s="82">
        <f>'дод 2'!Y85</f>
        <v>0</v>
      </c>
      <c r="Y52" s="158" t="e">
        <f t="shared" si="3"/>
        <v>#DIV/0!</v>
      </c>
      <c r="Z52" s="82">
        <f>'дод 2'!AA85</f>
        <v>0</v>
      </c>
      <c r="AA52" s="82">
        <f>'дод 2'!AB85</f>
        <v>0</v>
      </c>
    </row>
    <row r="53" spans="1:27" s="54" customFormat="1" ht="32.25" customHeight="1" x14ac:dyDescent="0.25">
      <c r="A53" s="80"/>
      <c r="B53" s="86"/>
      <c r="C53" s="89" t="s">
        <v>551</v>
      </c>
      <c r="D53" s="82">
        <f>'дод 2'!E86</f>
        <v>664981.6</v>
      </c>
      <c r="E53" s="82">
        <f>'дод 2'!F86</f>
        <v>664981.6</v>
      </c>
      <c r="F53" s="82">
        <f>'дод 2'!G86</f>
        <v>0</v>
      </c>
      <c r="G53" s="82">
        <f>'дод 2'!H86</f>
        <v>0</v>
      </c>
      <c r="H53" s="82">
        <f>'дод 2'!I86</f>
        <v>0</v>
      </c>
      <c r="I53" s="82">
        <f>'дод 2'!J86</f>
        <v>124446</v>
      </c>
      <c r="J53" s="82">
        <f>'дод 2'!K86</f>
        <v>0</v>
      </c>
      <c r="K53" s="82">
        <f>'дод 2'!L86</f>
        <v>0</v>
      </c>
      <c r="L53" s="158">
        <f t="shared" si="2"/>
        <v>18.714202017018216</v>
      </c>
      <c r="M53" s="82">
        <f>'дод 2'!N86</f>
        <v>4392761.18</v>
      </c>
      <c r="N53" s="82">
        <f>'дод 2'!O86</f>
        <v>4392761.18</v>
      </c>
      <c r="O53" s="82">
        <f>'дод 2'!P86</f>
        <v>0</v>
      </c>
      <c r="P53" s="82">
        <f>'дод 2'!Q86</f>
        <v>0</v>
      </c>
      <c r="Q53" s="82">
        <f>'дод 2'!R86</f>
        <v>0</v>
      </c>
      <c r="R53" s="82">
        <f>'дод 2'!S86</f>
        <v>4392761.18</v>
      </c>
      <c r="S53" s="82">
        <f>'дод 2'!T86</f>
        <v>0</v>
      </c>
      <c r="T53" s="82">
        <f>'дод 2'!U86</f>
        <v>0</v>
      </c>
      <c r="U53" s="82">
        <f>'дод 2'!V86</f>
        <v>0</v>
      </c>
      <c r="V53" s="82">
        <f>'дод 2'!W86</f>
        <v>0</v>
      </c>
      <c r="W53" s="82">
        <f>'дод 2'!X86</f>
        <v>0</v>
      </c>
      <c r="X53" s="82">
        <f>'дод 2'!Y86</f>
        <v>0</v>
      </c>
      <c r="Y53" s="158">
        <f t="shared" si="3"/>
        <v>0</v>
      </c>
      <c r="Z53" s="82">
        <f>'дод 2'!AA86</f>
        <v>124446</v>
      </c>
      <c r="AA53" s="82">
        <f>'дод 2'!AB86</f>
        <v>5057742.7799999993</v>
      </c>
    </row>
    <row r="54" spans="1:27" s="54" customFormat="1" ht="63" x14ac:dyDescent="0.25">
      <c r="A54" s="37">
        <v>1062</v>
      </c>
      <c r="B54" s="60" t="s">
        <v>56</v>
      </c>
      <c r="C54" s="61" t="s">
        <v>513</v>
      </c>
      <c r="D54" s="49">
        <f>'дод 2'!E87</f>
        <v>40000</v>
      </c>
      <c r="E54" s="49">
        <f>'дод 2'!F87</f>
        <v>40000</v>
      </c>
      <c r="F54" s="49">
        <f>'дод 2'!G87</f>
        <v>0</v>
      </c>
      <c r="G54" s="49">
        <f>'дод 2'!H87</f>
        <v>0</v>
      </c>
      <c r="H54" s="49">
        <f>'дод 2'!I87</f>
        <v>0</v>
      </c>
      <c r="I54" s="49">
        <f>'дод 2'!J87</f>
        <v>40000</v>
      </c>
      <c r="J54" s="49">
        <f>'дод 2'!K87</f>
        <v>0</v>
      </c>
      <c r="K54" s="49">
        <f>'дод 2'!L87</f>
        <v>0</v>
      </c>
      <c r="L54" s="158">
        <f t="shared" si="2"/>
        <v>100</v>
      </c>
      <c r="M54" s="49">
        <f>'дод 2'!N87</f>
        <v>0</v>
      </c>
      <c r="N54" s="49">
        <f>'дод 2'!O87</f>
        <v>0</v>
      </c>
      <c r="O54" s="49">
        <f>'дод 2'!P87</f>
        <v>0</v>
      </c>
      <c r="P54" s="49">
        <f>'дод 2'!Q87</f>
        <v>0</v>
      </c>
      <c r="Q54" s="49">
        <f>'дод 2'!R87</f>
        <v>0</v>
      </c>
      <c r="R54" s="49">
        <f>'дод 2'!S87</f>
        <v>0</v>
      </c>
      <c r="S54" s="49">
        <f>'дод 2'!T87</f>
        <v>0</v>
      </c>
      <c r="T54" s="49">
        <f>'дод 2'!U87</f>
        <v>0</v>
      </c>
      <c r="U54" s="49">
        <f>'дод 2'!V87</f>
        <v>0</v>
      </c>
      <c r="V54" s="49">
        <f>'дод 2'!W87</f>
        <v>0</v>
      </c>
      <c r="W54" s="49">
        <f>'дод 2'!X87</f>
        <v>0</v>
      </c>
      <c r="X54" s="49">
        <f>'дод 2'!Y87</f>
        <v>0</v>
      </c>
      <c r="Y54" s="158"/>
      <c r="Z54" s="49">
        <f>'дод 2'!AA87</f>
        <v>40000</v>
      </c>
      <c r="AA54" s="49">
        <f>'дод 2'!AB87</f>
        <v>40000</v>
      </c>
    </row>
    <row r="55" spans="1:27" s="54" customFormat="1" ht="32.25" customHeight="1" x14ac:dyDescent="0.25">
      <c r="A55" s="80"/>
      <c r="B55" s="86"/>
      <c r="C55" s="89" t="s">
        <v>551</v>
      </c>
      <c r="D55" s="82">
        <f>'дод 2'!E88</f>
        <v>40000</v>
      </c>
      <c r="E55" s="82">
        <f>'дод 2'!F88</f>
        <v>40000</v>
      </c>
      <c r="F55" s="82">
        <f>'дод 2'!G88</f>
        <v>0</v>
      </c>
      <c r="G55" s="82">
        <f>'дод 2'!H88</f>
        <v>0</v>
      </c>
      <c r="H55" s="82">
        <f>'дод 2'!I88</f>
        <v>0</v>
      </c>
      <c r="I55" s="82">
        <f>'дод 2'!J88</f>
        <v>40000</v>
      </c>
      <c r="J55" s="82">
        <f>'дод 2'!K88</f>
        <v>0</v>
      </c>
      <c r="K55" s="82">
        <f>'дод 2'!L88</f>
        <v>0</v>
      </c>
      <c r="L55" s="158">
        <f t="shared" si="2"/>
        <v>100</v>
      </c>
      <c r="M55" s="82">
        <f>'дод 2'!N88</f>
        <v>0</v>
      </c>
      <c r="N55" s="82">
        <f>'дод 2'!O88</f>
        <v>0</v>
      </c>
      <c r="O55" s="82">
        <f>'дод 2'!P88</f>
        <v>0</v>
      </c>
      <c r="P55" s="82">
        <f>'дод 2'!Q88</f>
        <v>0</v>
      </c>
      <c r="Q55" s="82">
        <f>'дод 2'!R88</f>
        <v>0</v>
      </c>
      <c r="R55" s="82">
        <f>'дод 2'!S88</f>
        <v>0</v>
      </c>
      <c r="S55" s="82">
        <f>'дод 2'!T88</f>
        <v>0</v>
      </c>
      <c r="T55" s="82">
        <f>'дод 2'!U88</f>
        <v>0</v>
      </c>
      <c r="U55" s="82">
        <f>'дод 2'!V88</f>
        <v>0</v>
      </c>
      <c r="V55" s="82">
        <f>'дод 2'!W88</f>
        <v>0</v>
      </c>
      <c r="W55" s="82">
        <f>'дод 2'!X88</f>
        <v>0</v>
      </c>
      <c r="X55" s="82">
        <f>'дод 2'!Y88</f>
        <v>0</v>
      </c>
      <c r="Y55" s="158"/>
      <c r="Z55" s="82">
        <f>'дод 2'!AA88</f>
        <v>40000</v>
      </c>
      <c r="AA55" s="82">
        <f>'дод 2'!AB88</f>
        <v>40000</v>
      </c>
    </row>
    <row r="56" spans="1:27" s="54" customFormat="1" ht="38.25" customHeight="1" x14ac:dyDescent="0.25">
      <c r="A56" s="60" t="s">
        <v>55</v>
      </c>
      <c r="B56" s="60" t="s">
        <v>58</v>
      </c>
      <c r="C56" s="61" t="s">
        <v>367</v>
      </c>
      <c r="D56" s="49">
        <f>'дод 2'!E89</f>
        <v>34592700</v>
      </c>
      <c r="E56" s="49">
        <f>'дод 2'!F89</f>
        <v>34592700</v>
      </c>
      <c r="F56" s="49">
        <f>'дод 2'!G89</f>
        <v>25836800</v>
      </c>
      <c r="G56" s="49">
        <f>'дод 2'!H89</f>
        <v>2353200</v>
      </c>
      <c r="H56" s="49">
        <f>'дод 2'!I89</f>
        <v>0</v>
      </c>
      <c r="I56" s="49">
        <f>'дод 2'!J89</f>
        <v>18347843.739999998</v>
      </c>
      <c r="J56" s="49">
        <f>'дод 2'!K89</f>
        <v>13501918.68</v>
      </c>
      <c r="K56" s="49">
        <f>'дод 2'!L89</f>
        <v>1802575.08</v>
      </c>
      <c r="L56" s="158">
        <f t="shared" si="2"/>
        <v>53.039640560002546</v>
      </c>
      <c r="M56" s="49">
        <f>'дод 2'!N89</f>
        <v>112500</v>
      </c>
      <c r="N56" s="49">
        <f>'дод 2'!O89</f>
        <v>112500</v>
      </c>
      <c r="O56" s="49">
        <f>'дод 2'!P89</f>
        <v>0</v>
      </c>
      <c r="P56" s="49">
        <f>'дод 2'!Q89</f>
        <v>0</v>
      </c>
      <c r="Q56" s="49">
        <f>'дод 2'!R89</f>
        <v>0</v>
      </c>
      <c r="R56" s="49">
        <f>'дод 2'!S89</f>
        <v>112500</v>
      </c>
      <c r="S56" s="49">
        <f>'дод 2'!T89</f>
        <v>100909.83</v>
      </c>
      <c r="T56" s="49">
        <f>'дод 2'!U89</f>
        <v>0</v>
      </c>
      <c r="U56" s="49">
        <f>'дод 2'!V89</f>
        <v>100909.83</v>
      </c>
      <c r="V56" s="49">
        <f>'дод 2'!W89</f>
        <v>0</v>
      </c>
      <c r="W56" s="49">
        <f>'дод 2'!X89</f>
        <v>0</v>
      </c>
      <c r="X56" s="49">
        <f>'дод 2'!Y89</f>
        <v>0</v>
      </c>
      <c r="Y56" s="158">
        <f t="shared" si="3"/>
        <v>89.697626666666665</v>
      </c>
      <c r="Z56" s="49">
        <f>'дод 2'!AA89</f>
        <v>18448753.569999997</v>
      </c>
      <c r="AA56" s="49">
        <f>'дод 2'!AB89</f>
        <v>34705200</v>
      </c>
    </row>
    <row r="57" spans="1:27" s="54" customFormat="1" ht="16.5" customHeight="1" x14ac:dyDescent="0.25">
      <c r="A57" s="95">
        <v>1080</v>
      </c>
      <c r="B57" s="60" t="s">
        <v>58</v>
      </c>
      <c r="C57" s="61" t="s">
        <v>518</v>
      </c>
      <c r="D57" s="49">
        <f>'дод 2'!E195</f>
        <v>50782500</v>
      </c>
      <c r="E57" s="49">
        <f>'дод 2'!F195</f>
        <v>50782500</v>
      </c>
      <c r="F57" s="49">
        <f>'дод 2'!G195</f>
        <v>40594000</v>
      </c>
      <c r="G57" s="49">
        <f>'дод 2'!H195</f>
        <v>612300</v>
      </c>
      <c r="H57" s="49">
        <f>'дод 2'!I195</f>
        <v>0</v>
      </c>
      <c r="I57" s="49">
        <f>'дод 2'!J195</f>
        <v>29923637.350000001</v>
      </c>
      <c r="J57" s="49">
        <f>'дод 2'!K195</f>
        <v>24124447.59</v>
      </c>
      <c r="K57" s="49">
        <f>'дод 2'!L195</f>
        <v>464961.4</v>
      </c>
      <c r="L57" s="158">
        <f t="shared" si="2"/>
        <v>58.925096932998578</v>
      </c>
      <c r="M57" s="49">
        <f>'дод 2'!N195</f>
        <v>2729100</v>
      </c>
      <c r="N57" s="49">
        <f>'дод 2'!O195</f>
        <v>0</v>
      </c>
      <c r="O57" s="49">
        <f>'дод 2'!P195</f>
        <v>2725970</v>
      </c>
      <c r="P57" s="49">
        <f>'дод 2'!Q195</f>
        <v>2226904</v>
      </c>
      <c r="Q57" s="49">
        <f>'дод 2'!R195</f>
        <v>0</v>
      </c>
      <c r="R57" s="49">
        <f>'дод 2'!S195</f>
        <v>3130</v>
      </c>
      <c r="S57" s="49">
        <f>'дод 2'!T195</f>
        <v>2350707.5699999998</v>
      </c>
      <c r="T57" s="49">
        <f>'дод 2'!U195</f>
        <v>0</v>
      </c>
      <c r="U57" s="49">
        <f>'дод 2'!V195</f>
        <v>2324513.67</v>
      </c>
      <c r="V57" s="49">
        <f>'дод 2'!W195</f>
        <v>1896088.2</v>
      </c>
      <c r="W57" s="49">
        <f>'дод 2'!X195</f>
        <v>0</v>
      </c>
      <c r="X57" s="49">
        <f>'дод 2'!Y195</f>
        <v>26193.9</v>
      </c>
      <c r="Y57" s="158">
        <f t="shared" si="3"/>
        <v>86.134900516653829</v>
      </c>
      <c r="Z57" s="49">
        <f>'дод 2'!AA195</f>
        <v>32274344.920000002</v>
      </c>
      <c r="AA57" s="49">
        <f>'дод 2'!AB195</f>
        <v>53511600</v>
      </c>
    </row>
    <row r="58" spans="1:27" s="54" customFormat="1" ht="21" customHeight="1" x14ac:dyDescent="0.25">
      <c r="A58" s="60" t="s">
        <v>487</v>
      </c>
      <c r="B58" s="60" t="s">
        <v>59</v>
      </c>
      <c r="C58" s="36" t="s">
        <v>519</v>
      </c>
      <c r="D58" s="49">
        <f>'дод 2'!E90</f>
        <v>11329130</v>
      </c>
      <c r="E58" s="49">
        <f>'дод 2'!F90</f>
        <v>11329130</v>
      </c>
      <c r="F58" s="49">
        <f>'дод 2'!G90</f>
        <v>8331500</v>
      </c>
      <c r="G58" s="49">
        <f>'дод 2'!H90</f>
        <v>527130</v>
      </c>
      <c r="H58" s="49">
        <f>'дод 2'!I90</f>
        <v>0</v>
      </c>
      <c r="I58" s="49">
        <f>'дод 2'!J90</f>
        <v>5554052</v>
      </c>
      <c r="J58" s="49">
        <f>'дод 2'!K90</f>
        <v>4219264.32</v>
      </c>
      <c r="K58" s="49">
        <f>'дод 2'!L90</f>
        <v>236246.7</v>
      </c>
      <c r="L58" s="158">
        <f t="shared" si="2"/>
        <v>49.024523507100717</v>
      </c>
      <c r="M58" s="49">
        <f>'дод 2'!N90</f>
        <v>0</v>
      </c>
      <c r="N58" s="49">
        <f>'дод 2'!O90</f>
        <v>0</v>
      </c>
      <c r="O58" s="49">
        <f>'дод 2'!P90</f>
        <v>0</v>
      </c>
      <c r="P58" s="49">
        <f>'дод 2'!Q90</f>
        <v>0</v>
      </c>
      <c r="Q58" s="49">
        <f>'дод 2'!R90</f>
        <v>0</v>
      </c>
      <c r="R58" s="49">
        <f>'дод 2'!S90</f>
        <v>0</v>
      </c>
      <c r="S58" s="49">
        <f>'дод 2'!T90</f>
        <v>119231.4</v>
      </c>
      <c r="T58" s="49">
        <f>'дод 2'!U90</f>
        <v>0</v>
      </c>
      <c r="U58" s="49">
        <f>'дод 2'!V90</f>
        <v>119231.4</v>
      </c>
      <c r="V58" s="49">
        <f>'дод 2'!W90</f>
        <v>0</v>
      </c>
      <c r="W58" s="49">
        <f>'дод 2'!X90</f>
        <v>0</v>
      </c>
      <c r="X58" s="49">
        <f>'дод 2'!Y90</f>
        <v>0</v>
      </c>
      <c r="Y58" s="158"/>
      <c r="Z58" s="49">
        <f>'дод 2'!AA90</f>
        <v>5673283.4000000004</v>
      </c>
      <c r="AA58" s="49">
        <f>'дод 2'!AB90</f>
        <v>11329130</v>
      </c>
    </row>
    <row r="59" spans="1:27" x14ac:dyDescent="0.25">
      <c r="A59" s="60" t="s">
        <v>489</v>
      </c>
      <c r="B59" s="60" t="s">
        <v>59</v>
      </c>
      <c r="C59" s="36" t="s">
        <v>283</v>
      </c>
      <c r="D59" s="49">
        <f>'дод 2'!E91</f>
        <v>113000</v>
      </c>
      <c r="E59" s="49">
        <f>'дод 2'!F91</f>
        <v>113000</v>
      </c>
      <c r="F59" s="49">
        <f>'дод 2'!G91</f>
        <v>0</v>
      </c>
      <c r="G59" s="49">
        <f>'дод 2'!H91</f>
        <v>0</v>
      </c>
      <c r="H59" s="49">
        <f>'дод 2'!I91</f>
        <v>0</v>
      </c>
      <c r="I59" s="49">
        <f>'дод 2'!J91</f>
        <v>54000</v>
      </c>
      <c r="J59" s="49">
        <f>'дод 2'!K91</f>
        <v>0</v>
      </c>
      <c r="K59" s="49">
        <f>'дод 2'!L91</f>
        <v>0</v>
      </c>
      <c r="L59" s="158">
        <f t="shared" si="2"/>
        <v>47.787610619469028</v>
      </c>
      <c r="M59" s="49">
        <f>'дод 2'!N91</f>
        <v>0</v>
      </c>
      <c r="N59" s="49">
        <f>'дод 2'!O91</f>
        <v>0</v>
      </c>
      <c r="O59" s="49">
        <f>'дод 2'!P91</f>
        <v>0</v>
      </c>
      <c r="P59" s="49">
        <f>'дод 2'!Q91</f>
        <v>0</v>
      </c>
      <c r="Q59" s="49">
        <f>'дод 2'!R91</f>
        <v>0</v>
      </c>
      <c r="R59" s="49">
        <f>'дод 2'!S91</f>
        <v>0</v>
      </c>
      <c r="S59" s="49">
        <f>'дод 2'!T91</f>
        <v>0</v>
      </c>
      <c r="T59" s="49">
        <f>'дод 2'!U91</f>
        <v>0</v>
      </c>
      <c r="U59" s="49">
        <f>'дод 2'!V91</f>
        <v>0</v>
      </c>
      <c r="V59" s="49">
        <f>'дод 2'!W91</f>
        <v>0</v>
      </c>
      <c r="W59" s="49">
        <f>'дод 2'!X91</f>
        <v>0</v>
      </c>
      <c r="X59" s="49">
        <f>'дод 2'!Y91</f>
        <v>0</v>
      </c>
      <c r="Y59" s="158"/>
      <c r="Z59" s="49">
        <f>'дод 2'!AA91</f>
        <v>54000</v>
      </c>
      <c r="AA59" s="49">
        <f>'дод 2'!AB91</f>
        <v>113000</v>
      </c>
    </row>
    <row r="60" spans="1:27" ht="31.5" x14ac:dyDescent="0.25">
      <c r="A60" s="60" t="s">
        <v>491</v>
      </c>
      <c r="B60" s="60" t="s">
        <v>59</v>
      </c>
      <c r="C60" s="61" t="s">
        <v>492</v>
      </c>
      <c r="D60" s="49">
        <f>'дод 2'!E92</f>
        <v>431850</v>
      </c>
      <c r="E60" s="49">
        <f>'дод 2'!F92</f>
        <v>431850</v>
      </c>
      <c r="F60" s="49">
        <f>'дод 2'!G92</f>
        <v>266200</v>
      </c>
      <c r="G60" s="49">
        <f>'дод 2'!H92</f>
        <v>52650</v>
      </c>
      <c r="H60" s="49">
        <f>'дод 2'!I92</f>
        <v>0</v>
      </c>
      <c r="I60" s="49">
        <f>'дод 2'!J92</f>
        <v>50342.720000000001</v>
      </c>
      <c r="J60" s="49">
        <f>'дод 2'!K92</f>
        <v>0</v>
      </c>
      <c r="K60" s="49">
        <f>'дод 2'!L92</f>
        <v>33942.47</v>
      </c>
      <c r="L60" s="158">
        <f t="shared" si="2"/>
        <v>11.657455134884797</v>
      </c>
      <c r="M60" s="49">
        <f>'дод 2'!N92</f>
        <v>0</v>
      </c>
      <c r="N60" s="49">
        <f>'дод 2'!O92</f>
        <v>0</v>
      </c>
      <c r="O60" s="49">
        <f>'дод 2'!P92</f>
        <v>0</v>
      </c>
      <c r="P60" s="49">
        <f>'дод 2'!Q92</f>
        <v>0</v>
      </c>
      <c r="Q60" s="49">
        <f>'дод 2'!R92</f>
        <v>0</v>
      </c>
      <c r="R60" s="49">
        <f>'дод 2'!S92</f>
        <v>0</v>
      </c>
      <c r="S60" s="49">
        <f>'дод 2'!T92</f>
        <v>0</v>
      </c>
      <c r="T60" s="49">
        <f>'дод 2'!U92</f>
        <v>0</v>
      </c>
      <c r="U60" s="49">
        <f>'дод 2'!V92</f>
        <v>0</v>
      </c>
      <c r="V60" s="49">
        <f>'дод 2'!W92</f>
        <v>0</v>
      </c>
      <c r="W60" s="49">
        <f>'дод 2'!X92</f>
        <v>0</v>
      </c>
      <c r="X60" s="49">
        <f>'дод 2'!Y92</f>
        <v>0</v>
      </c>
      <c r="Y60" s="158"/>
      <c r="Z60" s="49">
        <f>'дод 2'!AA92</f>
        <v>50342.720000000001</v>
      </c>
      <c r="AA60" s="49">
        <f>'дод 2'!AB92</f>
        <v>431850</v>
      </c>
    </row>
    <row r="61" spans="1:27" ht="36.75" customHeight="1" x14ac:dyDescent="0.25">
      <c r="A61" s="60" t="s">
        <v>494</v>
      </c>
      <c r="B61" s="60" t="s">
        <v>59</v>
      </c>
      <c r="C61" s="61" t="s">
        <v>520</v>
      </c>
      <c r="D61" s="49">
        <f>'дод 2'!E93</f>
        <v>1499036</v>
      </c>
      <c r="E61" s="49">
        <f>'дод 2'!F93</f>
        <v>1499036</v>
      </c>
      <c r="F61" s="49">
        <f>'дод 2'!G93</f>
        <v>1228720</v>
      </c>
      <c r="G61" s="49">
        <f>'дод 2'!H93</f>
        <v>0</v>
      </c>
      <c r="H61" s="49">
        <f>'дод 2'!I93</f>
        <v>0</v>
      </c>
      <c r="I61" s="49">
        <f>'дод 2'!J93</f>
        <v>413109.97</v>
      </c>
      <c r="J61" s="49">
        <f>'дод 2'!K93</f>
        <v>337880.74</v>
      </c>
      <c r="K61" s="49">
        <f>'дод 2'!L93</f>
        <v>0</v>
      </c>
      <c r="L61" s="158">
        <f t="shared" si="2"/>
        <v>27.558375515998279</v>
      </c>
      <c r="M61" s="49">
        <f>'дод 2'!N93</f>
        <v>0</v>
      </c>
      <c r="N61" s="49">
        <f>'дод 2'!O93</f>
        <v>0</v>
      </c>
      <c r="O61" s="49">
        <f>'дод 2'!P93</f>
        <v>0</v>
      </c>
      <c r="P61" s="49">
        <f>'дод 2'!Q93</f>
        <v>0</v>
      </c>
      <c r="Q61" s="49">
        <f>'дод 2'!R93</f>
        <v>0</v>
      </c>
      <c r="R61" s="49">
        <f>'дод 2'!S93</f>
        <v>0</v>
      </c>
      <c r="S61" s="49">
        <f>'дод 2'!T93</f>
        <v>0</v>
      </c>
      <c r="T61" s="49">
        <f>'дод 2'!U93</f>
        <v>0</v>
      </c>
      <c r="U61" s="49">
        <f>'дод 2'!V93</f>
        <v>0</v>
      </c>
      <c r="V61" s="49">
        <f>'дод 2'!W93</f>
        <v>0</v>
      </c>
      <c r="W61" s="49">
        <f>'дод 2'!X93</f>
        <v>0</v>
      </c>
      <c r="X61" s="49">
        <f>'дод 2'!Y93</f>
        <v>0</v>
      </c>
      <c r="Y61" s="158"/>
      <c r="Z61" s="49">
        <f>'дод 2'!AA93</f>
        <v>413109.97</v>
      </c>
      <c r="AA61" s="49">
        <f>'дод 2'!AB93</f>
        <v>1499036</v>
      </c>
    </row>
    <row r="62" spans="1:27" ht="49.5" customHeight="1" x14ac:dyDescent="0.25">
      <c r="A62" s="37"/>
      <c r="B62" s="37"/>
      <c r="C62" s="89" t="s">
        <v>386</v>
      </c>
      <c r="D62" s="82">
        <f>'дод 2'!E94</f>
        <v>1499036</v>
      </c>
      <c r="E62" s="82">
        <f>'дод 2'!F94</f>
        <v>1499036</v>
      </c>
      <c r="F62" s="82">
        <f>'дод 2'!G94</f>
        <v>1228720</v>
      </c>
      <c r="G62" s="82">
        <f>'дод 2'!H94</f>
        <v>0</v>
      </c>
      <c r="H62" s="82">
        <f>'дод 2'!I94</f>
        <v>0</v>
      </c>
      <c r="I62" s="82">
        <f>'дод 2'!J94</f>
        <v>413109.97</v>
      </c>
      <c r="J62" s="82">
        <f>'дод 2'!K94</f>
        <v>337880.74</v>
      </c>
      <c r="K62" s="82">
        <f>'дод 2'!L94</f>
        <v>0</v>
      </c>
      <c r="L62" s="158">
        <f t="shared" si="2"/>
        <v>27.558375515998279</v>
      </c>
      <c r="M62" s="82">
        <f>'дод 2'!N94</f>
        <v>0</v>
      </c>
      <c r="N62" s="82">
        <f>'дод 2'!O94</f>
        <v>0</v>
      </c>
      <c r="O62" s="82">
        <f>'дод 2'!P94</f>
        <v>0</v>
      </c>
      <c r="P62" s="82">
        <f>'дод 2'!Q94</f>
        <v>0</v>
      </c>
      <c r="Q62" s="82">
        <f>'дод 2'!R94</f>
        <v>0</v>
      </c>
      <c r="R62" s="82">
        <f>'дод 2'!S94</f>
        <v>0</v>
      </c>
      <c r="S62" s="82">
        <f>'дод 2'!T94</f>
        <v>0</v>
      </c>
      <c r="T62" s="82">
        <f>'дод 2'!U94</f>
        <v>0</v>
      </c>
      <c r="U62" s="82">
        <f>'дод 2'!V94</f>
        <v>0</v>
      </c>
      <c r="V62" s="82">
        <f>'дод 2'!W94</f>
        <v>0</v>
      </c>
      <c r="W62" s="82">
        <f>'дод 2'!X94</f>
        <v>0</v>
      </c>
      <c r="X62" s="82">
        <f>'дод 2'!Y94</f>
        <v>0</v>
      </c>
      <c r="Y62" s="158"/>
      <c r="Z62" s="82">
        <f>'дод 2'!AA94</f>
        <v>413109.97</v>
      </c>
      <c r="AA62" s="82">
        <f>'дод 2'!AB94</f>
        <v>1499036</v>
      </c>
    </row>
    <row r="63" spans="1:27" s="54" customFormat="1" ht="31.5" x14ac:dyDescent="0.25">
      <c r="A63" s="60" t="s">
        <v>496</v>
      </c>
      <c r="B63" s="60" t="str">
        <f>'дод 5'!A21</f>
        <v>0160</v>
      </c>
      <c r="C63" s="61" t="s">
        <v>497</v>
      </c>
      <c r="D63" s="49">
        <f>'дод 2'!E95</f>
        <v>2512770</v>
      </c>
      <c r="E63" s="49">
        <f>'дод 2'!F95</f>
        <v>2512770</v>
      </c>
      <c r="F63" s="49">
        <f>'дод 2'!G95</f>
        <v>1880000</v>
      </c>
      <c r="G63" s="49">
        <f>'дод 2'!H95</f>
        <v>84370</v>
      </c>
      <c r="H63" s="49">
        <f>'дод 2'!I95</f>
        <v>0</v>
      </c>
      <c r="I63" s="49">
        <f>'дод 2'!J95</f>
        <v>1233218.83</v>
      </c>
      <c r="J63" s="49">
        <f>'дод 2'!K95</f>
        <v>959196.17</v>
      </c>
      <c r="K63" s="49">
        <f>'дод 2'!L95</f>
        <v>42644.34</v>
      </c>
      <c r="L63" s="158">
        <f t="shared" si="2"/>
        <v>49.078062456969803</v>
      </c>
      <c r="M63" s="49">
        <f>'дод 2'!N95</f>
        <v>50000</v>
      </c>
      <c r="N63" s="49">
        <f>'дод 2'!O95</f>
        <v>50000</v>
      </c>
      <c r="O63" s="49">
        <f>'дод 2'!P95</f>
        <v>0</v>
      </c>
      <c r="P63" s="49">
        <f>'дод 2'!Q95</f>
        <v>0</v>
      </c>
      <c r="Q63" s="49">
        <f>'дод 2'!R95</f>
        <v>0</v>
      </c>
      <c r="R63" s="49">
        <f>'дод 2'!S95</f>
        <v>50000</v>
      </c>
      <c r="S63" s="49">
        <f>'дод 2'!T95</f>
        <v>1480</v>
      </c>
      <c r="T63" s="49">
        <f>'дод 2'!U95</f>
        <v>0</v>
      </c>
      <c r="U63" s="49">
        <f>'дод 2'!V95</f>
        <v>1480</v>
      </c>
      <c r="V63" s="49">
        <f>'дод 2'!W95</f>
        <v>0</v>
      </c>
      <c r="W63" s="49">
        <f>'дод 2'!X95</f>
        <v>0</v>
      </c>
      <c r="X63" s="49">
        <f>'дод 2'!Y95</f>
        <v>0</v>
      </c>
      <c r="Y63" s="158">
        <f t="shared" si="3"/>
        <v>2.96</v>
      </c>
      <c r="Z63" s="49">
        <f>'дод 2'!AA95</f>
        <v>1234698.83</v>
      </c>
      <c r="AA63" s="49">
        <f>'дод 2'!AB95</f>
        <v>2562770</v>
      </c>
    </row>
    <row r="64" spans="1:27" s="54" customFormat="1" ht="63" x14ac:dyDescent="0.25">
      <c r="A64" s="60" t="s">
        <v>499</v>
      </c>
      <c r="B64" s="60" t="s">
        <v>59</v>
      </c>
      <c r="C64" s="96" t="s">
        <v>521</v>
      </c>
      <c r="D64" s="49">
        <f>'дод 2'!E96</f>
        <v>2586117</v>
      </c>
      <c r="E64" s="49">
        <f>'дод 2'!F96</f>
        <v>2586117</v>
      </c>
      <c r="F64" s="49">
        <f>'дод 2'!G96</f>
        <v>1459720</v>
      </c>
      <c r="G64" s="49">
        <f>'дод 2'!H96</f>
        <v>0</v>
      </c>
      <c r="H64" s="49">
        <f>'дод 2'!I96</f>
        <v>0</v>
      </c>
      <c r="I64" s="49">
        <f>'дод 2'!J96</f>
        <v>623951.56999999995</v>
      </c>
      <c r="J64" s="49">
        <f>'дод 2'!K96</f>
        <v>382356.7</v>
      </c>
      <c r="K64" s="49">
        <f>'дод 2'!L96</f>
        <v>0</v>
      </c>
      <c r="L64" s="158">
        <f t="shared" si="2"/>
        <v>24.12696602667242</v>
      </c>
      <c r="M64" s="49">
        <f>'дод 2'!N96</f>
        <v>98583</v>
      </c>
      <c r="N64" s="49">
        <f>'дод 2'!O96</f>
        <v>98583</v>
      </c>
      <c r="O64" s="49">
        <f>'дод 2'!P96</f>
        <v>0</v>
      </c>
      <c r="P64" s="49">
        <f>'дод 2'!Q96</f>
        <v>0</v>
      </c>
      <c r="Q64" s="49">
        <f>'дод 2'!R96</f>
        <v>0</v>
      </c>
      <c r="R64" s="49">
        <f>'дод 2'!S96</f>
        <v>98583</v>
      </c>
      <c r="S64" s="49">
        <f>'дод 2'!T96</f>
        <v>0</v>
      </c>
      <c r="T64" s="49">
        <f>'дод 2'!U96</f>
        <v>0</v>
      </c>
      <c r="U64" s="49">
        <f>'дод 2'!V96</f>
        <v>0</v>
      </c>
      <c r="V64" s="49">
        <f>'дод 2'!W96</f>
        <v>0</v>
      </c>
      <c r="W64" s="49">
        <f>'дод 2'!X96</f>
        <v>0</v>
      </c>
      <c r="X64" s="49">
        <f>'дод 2'!Y96</f>
        <v>0</v>
      </c>
      <c r="Y64" s="158">
        <f t="shared" si="3"/>
        <v>0</v>
      </c>
      <c r="Z64" s="49">
        <f>'дод 2'!AA96</f>
        <v>623951.56999999995</v>
      </c>
      <c r="AA64" s="49">
        <f>'дод 2'!AB96</f>
        <v>2684700</v>
      </c>
    </row>
    <row r="65" spans="1:27" s="54" customFormat="1" ht="47.25" x14ac:dyDescent="0.25">
      <c r="A65" s="60"/>
      <c r="B65" s="60"/>
      <c r="C65" s="89" t="s">
        <v>385</v>
      </c>
      <c r="D65" s="82">
        <f>'дод 2'!E97</f>
        <v>2586117</v>
      </c>
      <c r="E65" s="82">
        <f>'дод 2'!F97</f>
        <v>2586117</v>
      </c>
      <c r="F65" s="82">
        <f>'дод 2'!G97</f>
        <v>1459720</v>
      </c>
      <c r="G65" s="82">
        <f>'дод 2'!H97</f>
        <v>0</v>
      </c>
      <c r="H65" s="82">
        <f>'дод 2'!I97</f>
        <v>0</v>
      </c>
      <c r="I65" s="82">
        <f>'дод 2'!J97</f>
        <v>623951.56999999995</v>
      </c>
      <c r="J65" s="82">
        <f>'дод 2'!K97</f>
        <v>382356.7</v>
      </c>
      <c r="K65" s="82">
        <f>'дод 2'!L97</f>
        <v>0</v>
      </c>
      <c r="L65" s="158">
        <f t="shared" si="2"/>
        <v>24.12696602667242</v>
      </c>
      <c r="M65" s="82">
        <f>'дод 2'!N97</f>
        <v>98583</v>
      </c>
      <c r="N65" s="82">
        <f>'дод 2'!O97</f>
        <v>98583</v>
      </c>
      <c r="O65" s="82">
        <f>'дод 2'!P97</f>
        <v>0</v>
      </c>
      <c r="P65" s="82">
        <f>'дод 2'!Q97</f>
        <v>0</v>
      </c>
      <c r="Q65" s="82">
        <f>'дод 2'!R97</f>
        <v>0</v>
      </c>
      <c r="R65" s="82">
        <f>'дод 2'!S97</f>
        <v>98583</v>
      </c>
      <c r="S65" s="82">
        <f>'дод 2'!T97</f>
        <v>0</v>
      </c>
      <c r="T65" s="82">
        <f>'дод 2'!U97</f>
        <v>0</v>
      </c>
      <c r="U65" s="82">
        <f>'дод 2'!V97</f>
        <v>0</v>
      </c>
      <c r="V65" s="82">
        <f>'дод 2'!W97</f>
        <v>0</v>
      </c>
      <c r="W65" s="82">
        <f>'дод 2'!X97</f>
        <v>0</v>
      </c>
      <c r="X65" s="82">
        <f>'дод 2'!Y97</f>
        <v>0</v>
      </c>
      <c r="Y65" s="158">
        <f t="shared" si="3"/>
        <v>0</v>
      </c>
      <c r="Z65" s="82">
        <f>'дод 2'!AA97</f>
        <v>623951.56999999995</v>
      </c>
      <c r="AA65" s="82">
        <f>'дод 2'!AB97</f>
        <v>2684700</v>
      </c>
    </row>
    <row r="66" spans="1:27" s="54" customFormat="1" ht="63" x14ac:dyDescent="0.25">
      <c r="A66" s="60" t="s">
        <v>535</v>
      </c>
      <c r="B66" s="60" t="s">
        <v>59</v>
      </c>
      <c r="C66" s="36" t="s">
        <v>533</v>
      </c>
      <c r="D66" s="49">
        <f>'дод 2'!E98</f>
        <v>1174231</v>
      </c>
      <c r="E66" s="49">
        <f>'дод 2'!F98</f>
        <v>1174231</v>
      </c>
      <c r="F66" s="49">
        <f>'дод 2'!G98</f>
        <v>962484</v>
      </c>
      <c r="G66" s="49">
        <f>'дод 2'!H98</f>
        <v>0</v>
      </c>
      <c r="H66" s="49">
        <f>'дод 2'!I98</f>
        <v>0</v>
      </c>
      <c r="I66" s="49">
        <f>'дод 2'!J98</f>
        <v>665359.34</v>
      </c>
      <c r="J66" s="49">
        <f>'дод 2'!K98</f>
        <v>545375.52</v>
      </c>
      <c r="K66" s="49">
        <f>'дод 2'!L98</f>
        <v>0</v>
      </c>
      <c r="L66" s="158">
        <f t="shared" si="2"/>
        <v>56.663411202736079</v>
      </c>
      <c r="M66" s="49">
        <f>'дод 2'!N98</f>
        <v>0</v>
      </c>
      <c r="N66" s="49">
        <f>'дод 2'!O98</f>
        <v>0</v>
      </c>
      <c r="O66" s="49">
        <f>'дод 2'!P98</f>
        <v>0</v>
      </c>
      <c r="P66" s="49">
        <f>'дод 2'!Q98</f>
        <v>0</v>
      </c>
      <c r="Q66" s="49">
        <f>'дод 2'!R98</f>
        <v>0</v>
      </c>
      <c r="R66" s="49">
        <f>'дод 2'!S98</f>
        <v>0</v>
      </c>
      <c r="S66" s="49">
        <f>'дод 2'!T98</f>
        <v>0</v>
      </c>
      <c r="T66" s="49">
        <f>'дод 2'!U98</f>
        <v>0</v>
      </c>
      <c r="U66" s="49">
        <f>'дод 2'!V98</f>
        <v>0</v>
      </c>
      <c r="V66" s="49">
        <f>'дод 2'!W98</f>
        <v>0</v>
      </c>
      <c r="W66" s="49">
        <f>'дод 2'!X98</f>
        <v>0</v>
      </c>
      <c r="X66" s="49">
        <f>'дод 2'!Y98</f>
        <v>0</v>
      </c>
      <c r="Y66" s="158"/>
      <c r="Z66" s="49">
        <f>'дод 2'!AA98</f>
        <v>665359.34</v>
      </c>
      <c r="AA66" s="49">
        <f>'дод 2'!AB98</f>
        <v>1174231</v>
      </c>
    </row>
    <row r="67" spans="1:27" s="54" customFormat="1" ht="63" x14ac:dyDescent="0.25">
      <c r="A67" s="60"/>
      <c r="B67" s="60"/>
      <c r="C67" s="89" t="s">
        <v>534</v>
      </c>
      <c r="D67" s="82">
        <f>'дод 2'!E99</f>
        <v>1174231</v>
      </c>
      <c r="E67" s="82">
        <f>'дод 2'!F99</f>
        <v>1174231</v>
      </c>
      <c r="F67" s="82">
        <f>'дод 2'!G99</f>
        <v>962484</v>
      </c>
      <c r="G67" s="82">
        <f>'дод 2'!H99</f>
        <v>0</v>
      </c>
      <c r="H67" s="82">
        <f>'дод 2'!I99</f>
        <v>0</v>
      </c>
      <c r="I67" s="82">
        <f>'дод 2'!J99</f>
        <v>665359.34</v>
      </c>
      <c r="J67" s="82">
        <f>'дод 2'!K99</f>
        <v>545375.52</v>
      </c>
      <c r="K67" s="82">
        <f>'дод 2'!L99</f>
        <v>0</v>
      </c>
      <c r="L67" s="158">
        <f t="shared" si="2"/>
        <v>56.663411202736079</v>
      </c>
      <c r="M67" s="82">
        <f>'дод 2'!N99</f>
        <v>0</v>
      </c>
      <c r="N67" s="82">
        <f>'дод 2'!O99</f>
        <v>0</v>
      </c>
      <c r="O67" s="82">
        <f>'дод 2'!P99</f>
        <v>0</v>
      </c>
      <c r="P67" s="82">
        <f>'дод 2'!Q99</f>
        <v>0</v>
      </c>
      <c r="Q67" s="82">
        <f>'дод 2'!R99</f>
        <v>0</v>
      </c>
      <c r="R67" s="82">
        <f>'дод 2'!S99</f>
        <v>0</v>
      </c>
      <c r="S67" s="82">
        <f>'дод 2'!T99</f>
        <v>0</v>
      </c>
      <c r="T67" s="82">
        <f>'дод 2'!U99</f>
        <v>0</v>
      </c>
      <c r="U67" s="82">
        <f>'дод 2'!V99</f>
        <v>0</v>
      </c>
      <c r="V67" s="82">
        <f>'дод 2'!W99</f>
        <v>0</v>
      </c>
      <c r="W67" s="82">
        <f>'дод 2'!X99</f>
        <v>0</v>
      </c>
      <c r="X67" s="82">
        <f>'дод 2'!Y99</f>
        <v>0</v>
      </c>
      <c r="Y67" s="158"/>
      <c r="Z67" s="82">
        <f>'дод 2'!AA99</f>
        <v>665359.34</v>
      </c>
      <c r="AA67" s="82">
        <f>'дод 2'!AB99</f>
        <v>1174231</v>
      </c>
    </row>
    <row r="68" spans="1:27" s="52" customFormat="1" ht="19.5" customHeight="1" x14ac:dyDescent="0.25">
      <c r="A68" s="38" t="s">
        <v>60</v>
      </c>
      <c r="B68" s="39"/>
      <c r="C68" s="9" t="s">
        <v>536</v>
      </c>
      <c r="D68" s="48">
        <f>D73+D78+D80+D82+D84+D87+D88+D77</f>
        <v>78553121</v>
      </c>
      <c r="E68" s="48">
        <f t="shared" ref="E68:AA68" si="11">E73+E78+E80+E82+E84+E87+E88+E77</f>
        <v>78553121</v>
      </c>
      <c r="F68" s="48">
        <f t="shared" si="11"/>
        <v>2387600</v>
      </c>
      <c r="G68" s="48">
        <f t="shared" si="11"/>
        <v>48700</v>
      </c>
      <c r="H68" s="48">
        <f t="shared" si="11"/>
        <v>0</v>
      </c>
      <c r="I68" s="48">
        <f t="shared" si="11"/>
        <v>42299149.840000004</v>
      </c>
      <c r="J68" s="48">
        <f t="shared" si="11"/>
        <v>1193683.19</v>
      </c>
      <c r="K68" s="48">
        <f t="shared" si="11"/>
        <v>30815.53</v>
      </c>
      <c r="L68" s="158">
        <f t="shared" si="2"/>
        <v>53.847828452290273</v>
      </c>
      <c r="M68" s="48">
        <f t="shared" si="11"/>
        <v>66742036.82</v>
      </c>
      <c r="N68" s="48">
        <f t="shared" si="11"/>
        <v>66742036.82</v>
      </c>
      <c r="O68" s="48">
        <f t="shared" si="11"/>
        <v>0</v>
      </c>
      <c r="P68" s="48">
        <f t="shared" si="11"/>
        <v>0</v>
      </c>
      <c r="Q68" s="48">
        <f t="shared" si="11"/>
        <v>0</v>
      </c>
      <c r="R68" s="48">
        <f t="shared" si="11"/>
        <v>66742036.82</v>
      </c>
      <c r="S68" s="48">
        <f t="shared" si="11"/>
        <v>59583275.619999997</v>
      </c>
      <c r="T68" s="48">
        <f t="shared" si="11"/>
        <v>59562113.299999997</v>
      </c>
      <c r="U68" s="48">
        <f t="shared" si="11"/>
        <v>21162.32</v>
      </c>
      <c r="V68" s="48">
        <f t="shared" si="11"/>
        <v>0</v>
      </c>
      <c r="W68" s="48">
        <f t="shared" si="11"/>
        <v>0</v>
      </c>
      <c r="X68" s="48">
        <f t="shared" si="11"/>
        <v>59562113.299999997</v>
      </c>
      <c r="Y68" s="158">
        <f t="shared" si="3"/>
        <v>89.273984521469089</v>
      </c>
      <c r="Z68" s="48">
        <f t="shared" si="11"/>
        <v>101882425.46000001</v>
      </c>
      <c r="AA68" s="48">
        <f t="shared" si="11"/>
        <v>145295157.81999999</v>
      </c>
    </row>
    <row r="69" spans="1:27" s="53" customFormat="1" ht="31.5" hidden="1" customHeight="1" x14ac:dyDescent="0.25">
      <c r="A69" s="73"/>
      <c r="B69" s="76"/>
      <c r="C69" s="77" t="s">
        <v>392</v>
      </c>
      <c r="D69" s="78">
        <f>D74+D79+D81</f>
        <v>0</v>
      </c>
      <c r="E69" s="78">
        <f t="shared" ref="E69:AA69" si="12">E74+E79+E81</f>
        <v>0</v>
      </c>
      <c r="F69" s="78">
        <f t="shared" si="12"/>
        <v>0</v>
      </c>
      <c r="G69" s="78">
        <f t="shared" si="12"/>
        <v>0</v>
      </c>
      <c r="H69" s="78">
        <f t="shared" si="12"/>
        <v>0</v>
      </c>
      <c r="I69" s="78">
        <f t="shared" si="12"/>
        <v>0</v>
      </c>
      <c r="J69" s="78">
        <f t="shared" si="12"/>
        <v>0</v>
      </c>
      <c r="K69" s="78">
        <f t="shared" si="12"/>
        <v>0</v>
      </c>
      <c r="L69" s="158" t="e">
        <f t="shared" si="2"/>
        <v>#DIV/0!</v>
      </c>
      <c r="M69" s="78">
        <f t="shared" si="12"/>
        <v>0</v>
      </c>
      <c r="N69" s="78">
        <f t="shared" si="12"/>
        <v>0</v>
      </c>
      <c r="O69" s="78">
        <f t="shared" si="12"/>
        <v>0</v>
      </c>
      <c r="P69" s="78">
        <f t="shared" si="12"/>
        <v>0</v>
      </c>
      <c r="Q69" s="78">
        <f t="shared" si="12"/>
        <v>0</v>
      </c>
      <c r="R69" s="78">
        <f t="shared" si="12"/>
        <v>0</v>
      </c>
      <c r="S69" s="78">
        <f t="shared" si="12"/>
        <v>0</v>
      </c>
      <c r="T69" s="78">
        <f t="shared" si="12"/>
        <v>0</v>
      </c>
      <c r="U69" s="78">
        <f t="shared" si="12"/>
        <v>0</v>
      </c>
      <c r="V69" s="78">
        <f t="shared" si="12"/>
        <v>0</v>
      </c>
      <c r="W69" s="78">
        <f t="shared" si="12"/>
        <v>0</v>
      </c>
      <c r="X69" s="78">
        <f t="shared" si="12"/>
        <v>0</v>
      </c>
      <c r="Y69" s="158" t="e">
        <f t="shared" si="3"/>
        <v>#DIV/0!</v>
      </c>
      <c r="Z69" s="78">
        <f t="shared" si="12"/>
        <v>0</v>
      </c>
      <c r="AA69" s="78">
        <f t="shared" si="12"/>
        <v>0</v>
      </c>
    </row>
    <row r="70" spans="1:27" s="53" customFormat="1" ht="47.25" hidden="1" customHeight="1" x14ac:dyDescent="0.25">
      <c r="A70" s="73"/>
      <c r="B70" s="76"/>
      <c r="C70" s="77" t="s">
        <v>393</v>
      </c>
      <c r="D70" s="78">
        <f>D75+D85</f>
        <v>0</v>
      </c>
      <c r="E70" s="78">
        <f t="shared" ref="E70:AA70" si="13">E75+E85</f>
        <v>0</v>
      </c>
      <c r="F70" s="78">
        <f t="shared" si="13"/>
        <v>0</v>
      </c>
      <c r="G70" s="78">
        <f t="shared" si="13"/>
        <v>0</v>
      </c>
      <c r="H70" s="78">
        <f t="shared" si="13"/>
        <v>0</v>
      </c>
      <c r="I70" s="78">
        <f t="shared" si="13"/>
        <v>0</v>
      </c>
      <c r="J70" s="78">
        <f t="shared" si="13"/>
        <v>0</v>
      </c>
      <c r="K70" s="78">
        <f t="shared" si="13"/>
        <v>0</v>
      </c>
      <c r="L70" s="158" t="e">
        <f t="shared" si="2"/>
        <v>#DIV/0!</v>
      </c>
      <c r="M70" s="78">
        <f t="shared" si="13"/>
        <v>0</v>
      </c>
      <c r="N70" s="78">
        <f t="shared" si="13"/>
        <v>0</v>
      </c>
      <c r="O70" s="78">
        <f t="shared" si="13"/>
        <v>0</v>
      </c>
      <c r="P70" s="78">
        <f t="shared" si="13"/>
        <v>0</v>
      </c>
      <c r="Q70" s="78">
        <f t="shared" si="13"/>
        <v>0</v>
      </c>
      <c r="R70" s="78">
        <f t="shared" si="13"/>
        <v>0</v>
      </c>
      <c r="S70" s="78">
        <f t="shared" si="13"/>
        <v>0</v>
      </c>
      <c r="T70" s="78">
        <f t="shared" si="13"/>
        <v>0</v>
      </c>
      <c r="U70" s="78">
        <f t="shared" si="13"/>
        <v>0</v>
      </c>
      <c r="V70" s="78">
        <f t="shared" si="13"/>
        <v>0</v>
      </c>
      <c r="W70" s="78">
        <f t="shared" si="13"/>
        <v>0</v>
      </c>
      <c r="X70" s="78">
        <f t="shared" si="13"/>
        <v>0</v>
      </c>
      <c r="Y70" s="158" t="e">
        <f t="shared" si="3"/>
        <v>#DIV/0!</v>
      </c>
      <c r="Z70" s="78">
        <f t="shared" si="13"/>
        <v>0</v>
      </c>
      <c r="AA70" s="78">
        <f t="shared" si="13"/>
        <v>0</v>
      </c>
    </row>
    <row r="71" spans="1:27" s="53" customFormat="1" ht="63" x14ac:dyDescent="0.25">
      <c r="A71" s="73"/>
      <c r="B71" s="76"/>
      <c r="C71" s="77" t="s">
        <v>394</v>
      </c>
      <c r="D71" s="78">
        <f>D83+D86</f>
        <v>7670800</v>
      </c>
      <c r="E71" s="78">
        <f t="shared" ref="E71:AA71" si="14">E83+E86</f>
        <v>7670800</v>
      </c>
      <c r="F71" s="78">
        <f t="shared" si="14"/>
        <v>0</v>
      </c>
      <c r="G71" s="78">
        <f t="shared" si="14"/>
        <v>0</v>
      </c>
      <c r="H71" s="78">
        <f t="shared" si="14"/>
        <v>0</v>
      </c>
      <c r="I71" s="78">
        <f t="shared" si="14"/>
        <v>6076703.3700000001</v>
      </c>
      <c r="J71" s="78">
        <f t="shared" si="14"/>
        <v>0</v>
      </c>
      <c r="K71" s="78">
        <f t="shared" si="14"/>
        <v>0</v>
      </c>
      <c r="L71" s="158">
        <f t="shared" si="2"/>
        <v>79.218639124993487</v>
      </c>
      <c r="M71" s="78">
        <f t="shared" si="14"/>
        <v>0</v>
      </c>
      <c r="N71" s="78">
        <f t="shared" si="14"/>
        <v>0</v>
      </c>
      <c r="O71" s="78">
        <f t="shared" si="14"/>
        <v>0</v>
      </c>
      <c r="P71" s="78">
        <f t="shared" si="14"/>
        <v>0</v>
      </c>
      <c r="Q71" s="78">
        <f t="shared" si="14"/>
        <v>0</v>
      </c>
      <c r="R71" s="78">
        <f t="shared" si="14"/>
        <v>0</v>
      </c>
      <c r="S71" s="78">
        <f t="shared" si="14"/>
        <v>0</v>
      </c>
      <c r="T71" s="78">
        <f t="shared" si="14"/>
        <v>0</v>
      </c>
      <c r="U71" s="78">
        <f t="shared" si="14"/>
        <v>0</v>
      </c>
      <c r="V71" s="78">
        <f t="shared" si="14"/>
        <v>0</v>
      </c>
      <c r="W71" s="78">
        <f t="shared" si="14"/>
        <v>0</v>
      </c>
      <c r="X71" s="78">
        <f t="shared" si="14"/>
        <v>0</v>
      </c>
      <c r="Y71" s="158"/>
      <c r="Z71" s="78">
        <f t="shared" si="14"/>
        <v>6076703.3700000001</v>
      </c>
      <c r="AA71" s="78">
        <f t="shared" si="14"/>
        <v>7670800</v>
      </c>
    </row>
    <row r="72" spans="1:27" s="53" customFormat="1" hidden="1" x14ac:dyDescent="0.25">
      <c r="A72" s="73"/>
      <c r="B72" s="76"/>
      <c r="C72" s="77" t="s">
        <v>395</v>
      </c>
      <c r="D72" s="78">
        <f>D76</f>
        <v>0</v>
      </c>
      <c r="E72" s="78">
        <f t="shared" ref="E72:AA72" si="15">E76</f>
        <v>0</v>
      </c>
      <c r="F72" s="78">
        <f t="shared" si="15"/>
        <v>0</v>
      </c>
      <c r="G72" s="78">
        <f t="shared" si="15"/>
        <v>0</v>
      </c>
      <c r="H72" s="78">
        <f t="shared" si="15"/>
        <v>0</v>
      </c>
      <c r="I72" s="78">
        <f t="shared" si="15"/>
        <v>0</v>
      </c>
      <c r="J72" s="78">
        <f t="shared" si="15"/>
        <v>0</v>
      </c>
      <c r="K72" s="78">
        <f t="shared" si="15"/>
        <v>0</v>
      </c>
      <c r="L72" s="158" t="e">
        <f t="shared" si="2"/>
        <v>#DIV/0!</v>
      </c>
      <c r="M72" s="78">
        <f t="shared" si="15"/>
        <v>0</v>
      </c>
      <c r="N72" s="78">
        <f t="shared" si="15"/>
        <v>0</v>
      </c>
      <c r="O72" s="78">
        <f t="shared" si="15"/>
        <v>0</v>
      </c>
      <c r="P72" s="78">
        <f t="shared" si="15"/>
        <v>0</v>
      </c>
      <c r="Q72" s="78">
        <f t="shared" si="15"/>
        <v>0</v>
      </c>
      <c r="R72" s="78">
        <f t="shared" si="15"/>
        <v>0</v>
      </c>
      <c r="S72" s="78">
        <f t="shared" si="15"/>
        <v>0</v>
      </c>
      <c r="T72" s="78">
        <f t="shared" si="15"/>
        <v>0</v>
      </c>
      <c r="U72" s="78">
        <f t="shared" si="15"/>
        <v>0</v>
      </c>
      <c r="V72" s="78">
        <f t="shared" si="15"/>
        <v>0</v>
      </c>
      <c r="W72" s="78">
        <f t="shared" si="15"/>
        <v>0</v>
      </c>
      <c r="X72" s="78">
        <f t="shared" si="15"/>
        <v>0</v>
      </c>
      <c r="Y72" s="158" t="e">
        <f t="shared" si="3"/>
        <v>#DIV/0!</v>
      </c>
      <c r="Z72" s="78">
        <f t="shared" si="15"/>
        <v>0</v>
      </c>
      <c r="AA72" s="78">
        <f t="shared" si="15"/>
        <v>0</v>
      </c>
    </row>
    <row r="73" spans="1:27" ht="27.75" customHeight="1" x14ac:dyDescent="0.25">
      <c r="A73" s="37" t="s">
        <v>61</v>
      </c>
      <c r="B73" s="37" t="s">
        <v>62</v>
      </c>
      <c r="C73" s="6" t="s">
        <v>466</v>
      </c>
      <c r="D73" s="49">
        <f>'дод 2'!E123</f>
        <v>34393521</v>
      </c>
      <c r="E73" s="49">
        <f>'дод 2'!F123</f>
        <v>34393521</v>
      </c>
      <c r="F73" s="49">
        <f>'дод 2'!G123</f>
        <v>0</v>
      </c>
      <c r="G73" s="49">
        <f>'дод 2'!H123</f>
        <v>0</v>
      </c>
      <c r="H73" s="49">
        <f>'дод 2'!I123</f>
        <v>0</v>
      </c>
      <c r="I73" s="49">
        <f>'дод 2'!J123</f>
        <v>18852579.190000001</v>
      </c>
      <c r="J73" s="49">
        <f>'дод 2'!K123</f>
        <v>0</v>
      </c>
      <c r="K73" s="49">
        <f>'дод 2'!L123</f>
        <v>0</v>
      </c>
      <c r="L73" s="158">
        <f t="shared" si="2"/>
        <v>54.814333170482897</v>
      </c>
      <c r="M73" s="49">
        <f>'дод 2'!N123</f>
        <v>38610682.82</v>
      </c>
      <c r="N73" s="49">
        <f>'дод 2'!O123</f>
        <v>38610682.82</v>
      </c>
      <c r="O73" s="49">
        <f>'дод 2'!P123</f>
        <v>0</v>
      </c>
      <c r="P73" s="49">
        <f>'дод 2'!Q123</f>
        <v>0</v>
      </c>
      <c r="Q73" s="49">
        <f>'дод 2'!R123</f>
        <v>0</v>
      </c>
      <c r="R73" s="49">
        <f>'дод 2'!S123</f>
        <v>38610682.82</v>
      </c>
      <c r="S73" s="49">
        <f>'дод 2'!T123</f>
        <v>37283260</v>
      </c>
      <c r="T73" s="49">
        <f>'дод 2'!U123</f>
        <v>37283260</v>
      </c>
      <c r="U73" s="49">
        <f>'дод 2'!V123</f>
        <v>0</v>
      </c>
      <c r="V73" s="49">
        <f>'дод 2'!W123</f>
        <v>0</v>
      </c>
      <c r="W73" s="49">
        <f>'дод 2'!X123</f>
        <v>0</v>
      </c>
      <c r="X73" s="49">
        <f>'дод 2'!Y123</f>
        <v>37283260</v>
      </c>
      <c r="Y73" s="158">
        <f t="shared" si="3"/>
        <v>96.562032258822398</v>
      </c>
      <c r="Z73" s="49">
        <f>'дод 2'!AA123</f>
        <v>56135839.189999998</v>
      </c>
      <c r="AA73" s="49">
        <f>'дод 2'!AB123</f>
        <v>73004203.819999993</v>
      </c>
    </row>
    <row r="74" spans="1:27" s="54" customFormat="1" ht="31.5" hidden="1" customHeight="1" x14ac:dyDescent="0.25">
      <c r="A74" s="80"/>
      <c r="B74" s="80"/>
      <c r="C74" s="81" t="s">
        <v>392</v>
      </c>
      <c r="D74" s="82">
        <f>'дод 2'!E124</f>
        <v>0</v>
      </c>
      <c r="E74" s="82">
        <f>'дод 2'!F124</f>
        <v>0</v>
      </c>
      <c r="F74" s="82">
        <f>'дод 2'!G124</f>
        <v>0</v>
      </c>
      <c r="G74" s="82">
        <f>'дод 2'!H124</f>
        <v>0</v>
      </c>
      <c r="H74" s="82">
        <f>'дод 2'!I124</f>
        <v>0</v>
      </c>
      <c r="I74" s="82">
        <f>'дод 2'!J124</f>
        <v>0</v>
      </c>
      <c r="J74" s="82">
        <f>'дод 2'!K124</f>
        <v>0</v>
      </c>
      <c r="K74" s="82">
        <f>'дод 2'!L124</f>
        <v>0</v>
      </c>
      <c r="L74" s="158" t="e">
        <f t="shared" si="2"/>
        <v>#DIV/0!</v>
      </c>
      <c r="M74" s="82">
        <f>'дод 2'!N124</f>
        <v>0</v>
      </c>
      <c r="N74" s="82">
        <f>'дод 2'!O124</f>
        <v>0</v>
      </c>
      <c r="O74" s="82">
        <f>'дод 2'!P124</f>
        <v>0</v>
      </c>
      <c r="P74" s="82">
        <f>'дод 2'!Q124</f>
        <v>0</v>
      </c>
      <c r="Q74" s="82">
        <f>'дод 2'!R124</f>
        <v>0</v>
      </c>
      <c r="R74" s="82">
        <f>'дод 2'!S124</f>
        <v>0</v>
      </c>
      <c r="S74" s="82">
        <f>'дод 2'!T124</f>
        <v>0</v>
      </c>
      <c r="T74" s="82">
        <f>'дод 2'!U124</f>
        <v>0</v>
      </c>
      <c r="U74" s="82">
        <f>'дод 2'!V124</f>
        <v>0</v>
      </c>
      <c r="V74" s="82">
        <f>'дод 2'!W124</f>
        <v>0</v>
      </c>
      <c r="W74" s="82">
        <f>'дод 2'!X124</f>
        <v>0</v>
      </c>
      <c r="X74" s="82">
        <f>'дод 2'!Y124</f>
        <v>0</v>
      </c>
      <c r="Y74" s="158" t="e">
        <f t="shared" si="3"/>
        <v>#DIV/0!</v>
      </c>
      <c r="Z74" s="82">
        <f>'дод 2'!AA124</f>
        <v>0</v>
      </c>
      <c r="AA74" s="82">
        <f>'дод 2'!AB124</f>
        <v>0</v>
      </c>
    </row>
    <row r="75" spans="1:27" s="54" customFormat="1" ht="47.25" hidden="1" customHeight="1" x14ac:dyDescent="0.25">
      <c r="A75" s="80"/>
      <c r="B75" s="80"/>
      <c r="C75" s="81" t="s">
        <v>393</v>
      </c>
      <c r="D75" s="82">
        <f>'дод 2'!E125</f>
        <v>0</v>
      </c>
      <c r="E75" s="82">
        <f>'дод 2'!F125</f>
        <v>0</v>
      </c>
      <c r="F75" s="82">
        <f>'дод 2'!G125</f>
        <v>0</v>
      </c>
      <c r="G75" s="82">
        <f>'дод 2'!H125</f>
        <v>0</v>
      </c>
      <c r="H75" s="82">
        <f>'дод 2'!I125</f>
        <v>0</v>
      </c>
      <c r="I75" s="82">
        <f>'дод 2'!J125</f>
        <v>0</v>
      </c>
      <c r="J75" s="82">
        <f>'дод 2'!K125</f>
        <v>0</v>
      </c>
      <c r="K75" s="82">
        <f>'дод 2'!L125</f>
        <v>0</v>
      </c>
      <c r="L75" s="158" t="e">
        <f t="shared" si="2"/>
        <v>#DIV/0!</v>
      </c>
      <c r="M75" s="82">
        <f>'дод 2'!N125</f>
        <v>0</v>
      </c>
      <c r="N75" s="82">
        <f>'дод 2'!O125</f>
        <v>0</v>
      </c>
      <c r="O75" s="82">
        <f>'дод 2'!P125</f>
        <v>0</v>
      </c>
      <c r="P75" s="82">
        <f>'дод 2'!Q125</f>
        <v>0</v>
      </c>
      <c r="Q75" s="82">
        <f>'дод 2'!R125</f>
        <v>0</v>
      </c>
      <c r="R75" s="82">
        <f>'дод 2'!S125</f>
        <v>0</v>
      </c>
      <c r="S75" s="82">
        <f>'дод 2'!T125</f>
        <v>0</v>
      </c>
      <c r="T75" s="82">
        <f>'дод 2'!U125</f>
        <v>0</v>
      </c>
      <c r="U75" s="82">
        <f>'дод 2'!V125</f>
        <v>0</v>
      </c>
      <c r="V75" s="82">
        <f>'дод 2'!W125</f>
        <v>0</v>
      </c>
      <c r="W75" s="82">
        <f>'дод 2'!X125</f>
        <v>0</v>
      </c>
      <c r="X75" s="82">
        <f>'дод 2'!Y125</f>
        <v>0</v>
      </c>
      <c r="Y75" s="158" t="e">
        <f t="shared" si="3"/>
        <v>#DIV/0!</v>
      </c>
      <c r="Z75" s="82">
        <f>'дод 2'!AA125</f>
        <v>0</v>
      </c>
      <c r="AA75" s="82">
        <f>'дод 2'!AB125</f>
        <v>0</v>
      </c>
    </row>
    <row r="76" spans="1:27" s="54" customFormat="1" ht="15.75" hidden="1" customHeight="1" x14ac:dyDescent="0.25">
      <c r="A76" s="80"/>
      <c r="B76" s="80"/>
      <c r="C76" s="81" t="s">
        <v>395</v>
      </c>
      <c r="D76" s="82">
        <f>'дод 2'!E126</f>
        <v>0</v>
      </c>
      <c r="E76" s="82">
        <f>'дод 2'!F126</f>
        <v>0</v>
      </c>
      <c r="F76" s="82">
        <f>'дод 2'!G126</f>
        <v>0</v>
      </c>
      <c r="G76" s="82">
        <f>'дод 2'!H126</f>
        <v>0</v>
      </c>
      <c r="H76" s="82">
        <f>'дод 2'!I126</f>
        <v>0</v>
      </c>
      <c r="I76" s="82">
        <f>'дод 2'!J126</f>
        <v>0</v>
      </c>
      <c r="J76" s="82">
        <f>'дод 2'!K126</f>
        <v>0</v>
      </c>
      <c r="K76" s="82">
        <f>'дод 2'!L126</f>
        <v>0</v>
      </c>
      <c r="L76" s="158" t="e">
        <f t="shared" si="2"/>
        <v>#DIV/0!</v>
      </c>
      <c r="M76" s="82">
        <f>'дод 2'!N126</f>
        <v>0</v>
      </c>
      <c r="N76" s="82">
        <f>'дод 2'!O126</f>
        <v>0</v>
      </c>
      <c r="O76" s="82">
        <f>'дод 2'!P126</f>
        <v>0</v>
      </c>
      <c r="P76" s="82">
        <f>'дод 2'!Q126</f>
        <v>0</v>
      </c>
      <c r="Q76" s="82">
        <f>'дод 2'!R126</f>
        <v>0</v>
      </c>
      <c r="R76" s="82">
        <f>'дод 2'!S126</f>
        <v>0</v>
      </c>
      <c r="S76" s="82">
        <f>'дод 2'!T126</f>
        <v>0</v>
      </c>
      <c r="T76" s="82">
        <f>'дод 2'!U126</f>
        <v>0</v>
      </c>
      <c r="U76" s="82">
        <f>'дод 2'!V126</f>
        <v>0</v>
      </c>
      <c r="V76" s="82">
        <f>'дод 2'!W126</f>
        <v>0</v>
      </c>
      <c r="W76" s="82">
        <f>'дод 2'!X126</f>
        <v>0</v>
      </c>
      <c r="X76" s="82">
        <f>'дод 2'!Y126</f>
        <v>0</v>
      </c>
      <c r="Y76" s="158" t="e">
        <f t="shared" si="3"/>
        <v>#DIV/0!</v>
      </c>
      <c r="Z76" s="82">
        <f>'дод 2'!AA126</f>
        <v>0</v>
      </c>
      <c r="AA76" s="82">
        <f>'дод 2'!AB126</f>
        <v>0</v>
      </c>
    </row>
    <row r="77" spans="1:27" ht="24" hidden="1" customHeight="1" x14ac:dyDescent="0.25">
      <c r="A77" s="37">
        <v>2020</v>
      </c>
      <c r="B77" s="59" t="s">
        <v>452</v>
      </c>
      <c r="C77" s="6" t="s">
        <v>453</v>
      </c>
      <c r="D77" s="49">
        <f>'дод 2'!E127</f>
        <v>0</v>
      </c>
      <c r="E77" s="49">
        <f>'дод 2'!F127</f>
        <v>0</v>
      </c>
      <c r="F77" s="49">
        <f>'дод 2'!G127</f>
        <v>0</v>
      </c>
      <c r="G77" s="49">
        <f>'дод 2'!H127</f>
        <v>0</v>
      </c>
      <c r="H77" s="49">
        <f>'дод 2'!I127</f>
        <v>0</v>
      </c>
      <c r="I77" s="49">
        <f>'дод 2'!J127</f>
        <v>0</v>
      </c>
      <c r="J77" s="49">
        <f>'дод 2'!K127</f>
        <v>0</v>
      </c>
      <c r="K77" s="49">
        <f>'дод 2'!L127</f>
        <v>0</v>
      </c>
      <c r="L77" s="158" t="e">
        <f t="shared" si="2"/>
        <v>#DIV/0!</v>
      </c>
      <c r="M77" s="49">
        <f>'дод 2'!N127</f>
        <v>0</v>
      </c>
      <c r="N77" s="49">
        <f>'дод 2'!O127</f>
        <v>0</v>
      </c>
      <c r="O77" s="49">
        <f>'дод 2'!P127</f>
        <v>0</v>
      </c>
      <c r="P77" s="49">
        <f>'дод 2'!Q127</f>
        <v>0</v>
      </c>
      <c r="Q77" s="49">
        <f>'дод 2'!R127</f>
        <v>0</v>
      </c>
      <c r="R77" s="49">
        <f>'дод 2'!S127</f>
        <v>0</v>
      </c>
      <c r="S77" s="49">
        <f>'дод 2'!T127</f>
        <v>0</v>
      </c>
      <c r="T77" s="49">
        <f>'дод 2'!U127</f>
        <v>0</v>
      </c>
      <c r="U77" s="49">
        <f>'дод 2'!V127</f>
        <v>0</v>
      </c>
      <c r="V77" s="49">
        <f>'дод 2'!W127</f>
        <v>0</v>
      </c>
      <c r="W77" s="49">
        <f>'дод 2'!X127</f>
        <v>0</v>
      </c>
      <c r="X77" s="49">
        <f>'дод 2'!Y127</f>
        <v>0</v>
      </c>
      <c r="Y77" s="158" t="e">
        <f t="shared" si="3"/>
        <v>#DIV/0!</v>
      </c>
      <c r="Z77" s="49">
        <f>'дод 2'!AA127</f>
        <v>0</v>
      </c>
      <c r="AA77" s="49">
        <f>'дод 2'!AB127</f>
        <v>0</v>
      </c>
    </row>
    <row r="78" spans="1:27" ht="36.75" customHeight="1" x14ac:dyDescent="0.25">
      <c r="A78" s="37" t="s">
        <v>122</v>
      </c>
      <c r="B78" s="37" t="s">
        <v>63</v>
      </c>
      <c r="C78" s="6" t="s">
        <v>467</v>
      </c>
      <c r="D78" s="49">
        <f>'дод 2'!E128</f>
        <v>3317600</v>
      </c>
      <c r="E78" s="49">
        <f>'дод 2'!F128</f>
        <v>3317600</v>
      </c>
      <c r="F78" s="49">
        <f>'дод 2'!G128</f>
        <v>0</v>
      </c>
      <c r="G78" s="49">
        <f>'дод 2'!H128</f>
        <v>0</v>
      </c>
      <c r="H78" s="49">
        <f>'дод 2'!I128</f>
        <v>0</v>
      </c>
      <c r="I78" s="49">
        <f>'дод 2'!J128</f>
        <v>2168340.08</v>
      </c>
      <c r="J78" s="49">
        <f>'дод 2'!K128</f>
        <v>0</v>
      </c>
      <c r="K78" s="49">
        <f>'дод 2'!L128</f>
        <v>0</v>
      </c>
      <c r="L78" s="158">
        <f t="shared" si="2"/>
        <v>65.358695442488539</v>
      </c>
      <c r="M78" s="49">
        <f>'дод 2'!N128</f>
        <v>5100000</v>
      </c>
      <c r="N78" s="49">
        <f>'дод 2'!O128</f>
        <v>5100000</v>
      </c>
      <c r="O78" s="49">
        <f>'дод 2'!P128</f>
        <v>0</v>
      </c>
      <c r="P78" s="49">
        <f>'дод 2'!Q128</f>
        <v>0</v>
      </c>
      <c r="Q78" s="49">
        <f>'дод 2'!R128</f>
        <v>0</v>
      </c>
      <c r="R78" s="49">
        <f>'дод 2'!S128</f>
        <v>5100000</v>
      </c>
      <c r="S78" s="49">
        <f>'дод 2'!T128</f>
        <v>5092999.3</v>
      </c>
      <c r="T78" s="49">
        <f>'дод 2'!U128</f>
        <v>5092999.3</v>
      </c>
      <c r="U78" s="49">
        <f>'дод 2'!V128</f>
        <v>0</v>
      </c>
      <c r="V78" s="49">
        <f>'дод 2'!W128</f>
        <v>0</v>
      </c>
      <c r="W78" s="49">
        <f>'дод 2'!X128</f>
        <v>0</v>
      </c>
      <c r="X78" s="49">
        <f>'дод 2'!Y128</f>
        <v>5092999.3</v>
      </c>
      <c r="Y78" s="158">
        <f t="shared" si="3"/>
        <v>99.862731372549021</v>
      </c>
      <c r="Z78" s="49">
        <f>'дод 2'!AA128</f>
        <v>7261339.3799999999</v>
      </c>
      <c r="AA78" s="49">
        <f>'дод 2'!AB128</f>
        <v>8417600</v>
      </c>
    </row>
    <row r="79" spans="1:27" s="54" customFormat="1" ht="31.5" hidden="1" customHeight="1" x14ac:dyDescent="0.25">
      <c r="A79" s="80"/>
      <c r="B79" s="80"/>
      <c r="C79" s="81" t="s">
        <v>392</v>
      </c>
      <c r="D79" s="82">
        <f>'дод 2'!E129</f>
        <v>0</v>
      </c>
      <c r="E79" s="82">
        <f>'дод 2'!F129</f>
        <v>0</v>
      </c>
      <c r="F79" s="82">
        <f>'дод 2'!G129</f>
        <v>0</v>
      </c>
      <c r="G79" s="82">
        <f>'дод 2'!H129</f>
        <v>0</v>
      </c>
      <c r="H79" s="82">
        <f>'дод 2'!I129</f>
        <v>0</v>
      </c>
      <c r="I79" s="82">
        <f>'дод 2'!J129</f>
        <v>0</v>
      </c>
      <c r="J79" s="82">
        <f>'дод 2'!K129</f>
        <v>0</v>
      </c>
      <c r="K79" s="82">
        <f>'дод 2'!L129</f>
        <v>0</v>
      </c>
      <c r="L79" s="158" t="e">
        <f t="shared" si="2"/>
        <v>#DIV/0!</v>
      </c>
      <c r="M79" s="82">
        <f>'дод 2'!N129</f>
        <v>0</v>
      </c>
      <c r="N79" s="82">
        <f>'дод 2'!O129</f>
        <v>0</v>
      </c>
      <c r="O79" s="82">
        <f>'дод 2'!P129</f>
        <v>0</v>
      </c>
      <c r="P79" s="82">
        <f>'дод 2'!Q129</f>
        <v>0</v>
      </c>
      <c r="Q79" s="82">
        <f>'дод 2'!R129</f>
        <v>0</v>
      </c>
      <c r="R79" s="82">
        <f>'дод 2'!S129</f>
        <v>0</v>
      </c>
      <c r="S79" s="82">
        <f>'дод 2'!T129</f>
        <v>0</v>
      </c>
      <c r="T79" s="82">
        <f>'дод 2'!U129</f>
        <v>0</v>
      </c>
      <c r="U79" s="82">
        <f>'дод 2'!V129</f>
        <v>0</v>
      </c>
      <c r="V79" s="82">
        <f>'дод 2'!W129</f>
        <v>0</v>
      </c>
      <c r="W79" s="82">
        <f>'дод 2'!X129</f>
        <v>0</v>
      </c>
      <c r="X79" s="82">
        <f>'дод 2'!Y129</f>
        <v>0</v>
      </c>
      <c r="Y79" s="158" t="e">
        <f t="shared" si="3"/>
        <v>#DIV/0!</v>
      </c>
      <c r="Z79" s="82">
        <f>'дод 2'!AA129</f>
        <v>0</v>
      </c>
      <c r="AA79" s="82">
        <f>'дод 2'!AB129</f>
        <v>0</v>
      </c>
    </row>
    <row r="80" spans="1:27" ht="19.5" customHeight="1" x14ac:dyDescent="0.25">
      <c r="A80" s="37" t="s">
        <v>123</v>
      </c>
      <c r="B80" s="37" t="s">
        <v>64</v>
      </c>
      <c r="C80" s="6" t="s">
        <v>468</v>
      </c>
      <c r="D80" s="49">
        <f>'дод 2'!E130</f>
        <v>7602100</v>
      </c>
      <c r="E80" s="49">
        <f>'дод 2'!F130</f>
        <v>7602100</v>
      </c>
      <c r="F80" s="49">
        <f>'дод 2'!G130</f>
        <v>0</v>
      </c>
      <c r="G80" s="49">
        <f>'дод 2'!H130</f>
        <v>0</v>
      </c>
      <c r="H80" s="49">
        <f>'дод 2'!I130</f>
        <v>0</v>
      </c>
      <c r="I80" s="49">
        <f>'дод 2'!J130</f>
        <v>3728593.49</v>
      </c>
      <c r="J80" s="49">
        <f>'дод 2'!K130</f>
        <v>0</v>
      </c>
      <c r="K80" s="49">
        <f>'дод 2'!L130</f>
        <v>0</v>
      </c>
      <c r="L80" s="158">
        <f t="shared" si="2"/>
        <v>49.046888228252719</v>
      </c>
      <c r="M80" s="49">
        <f>'дод 2'!N130</f>
        <v>0</v>
      </c>
      <c r="N80" s="49">
        <f>'дод 2'!O130</f>
        <v>0</v>
      </c>
      <c r="O80" s="49">
        <f>'дод 2'!P130</f>
        <v>0</v>
      </c>
      <c r="P80" s="49">
        <f>'дод 2'!Q130</f>
        <v>0</v>
      </c>
      <c r="Q80" s="49">
        <f>'дод 2'!R130</f>
        <v>0</v>
      </c>
      <c r="R80" s="49">
        <f>'дод 2'!S130</f>
        <v>0</v>
      </c>
      <c r="S80" s="49">
        <f>'дод 2'!T130</f>
        <v>0</v>
      </c>
      <c r="T80" s="49">
        <f>'дод 2'!U130</f>
        <v>0</v>
      </c>
      <c r="U80" s="49">
        <f>'дод 2'!V130</f>
        <v>0</v>
      </c>
      <c r="V80" s="49">
        <f>'дод 2'!W130</f>
        <v>0</v>
      </c>
      <c r="W80" s="49">
        <f>'дод 2'!X130</f>
        <v>0</v>
      </c>
      <c r="X80" s="49">
        <f>'дод 2'!Y130</f>
        <v>0</v>
      </c>
      <c r="Y80" s="158"/>
      <c r="Z80" s="49">
        <f>'дод 2'!AA130</f>
        <v>3728593.49</v>
      </c>
      <c r="AA80" s="49">
        <f>'дод 2'!AB130</f>
        <v>7602100</v>
      </c>
    </row>
    <row r="81" spans="1:27" s="54" customFormat="1" ht="31.5" hidden="1" customHeight="1" x14ac:dyDescent="0.25">
      <c r="A81" s="80"/>
      <c r="B81" s="80"/>
      <c r="C81" s="81" t="s">
        <v>392</v>
      </c>
      <c r="D81" s="82">
        <f>'дод 2'!E131</f>
        <v>0</v>
      </c>
      <c r="E81" s="82">
        <f>'дод 2'!F131</f>
        <v>0</v>
      </c>
      <c r="F81" s="82">
        <f>'дод 2'!G131</f>
        <v>0</v>
      </c>
      <c r="G81" s="82">
        <f>'дод 2'!H131</f>
        <v>0</v>
      </c>
      <c r="H81" s="82">
        <f>'дод 2'!I131</f>
        <v>0</v>
      </c>
      <c r="I81" s="82">
        <f>'дод 2'!J131</f>
        <v>0</v>
      </c>
      <c r="J81" s="82">
        <f>'дод 2'!K131</f>
        <v>0</v>
      </c>
      <c r="K81" s="82">
        <f>'дод 2'!L131</f>
        <v>0</v>
      </c>
      <c r="L81" s="158" t="e">
        <f t="shared" si="2"/>
        <v>#DIV/0!</v>
      </c>
      <c r="M81" s="82">
        <f>'дод 2'!N131</f>
        <v>0</v>
      </c>
      <c r="N81" s="82">
        <f>'дод 2'!O131</f>
        <v>0</v>
      </c>
      <c r="O81" s="82">
        <f>'дод 2'!P131</f>
        <v>0</v>
      </c>
      <c r="P81" s="82">
        <f>'дод 2'!Q131</f>
        <v>0</v>
      </c>
      <c r="Q81" s="82">
        <f>'дод 2'!R131</f>
        <v>0</v>
      </c>
      <c r="R81" s="82">
        <f>'дод 2'!S131</f>
        <v>0</v>
      </c>
      <c r="S81" s="82">
        <f>'дод 2'!T131</f>
        <v>0</v>
      </c>
      <c r="T81" s="82">
        <f>'дод 2'!U131</f>
        <v>0</v>
      </c>
      <c r="U81" s="82">
        <f>'дод 2'!V131</f>
        <v>0</v>
      </c>
      <c r="V81" s="82">
        <f>'дод 2'!W131</f>
        <v>0</v>
      </c>
      <c r="W81" s="82">
        <f>'дод 2'!X131</f>
        <v>0</v>
      </c>
      <c r="X81" s="82">
        <f>'дод 2'!Y131</f>
        <v>0</v>
      </c>
      <c r="Y81" s="158" t="e">
        <f t="shared" si="3"/>
        <v>#DIV/0!</v>
      </c>
      <c r="Z81" s="82">
        <f>'дод 2'!AA131</f>
        <v>0</v>
      </c>
      <c r="AA81" s="82">
        <f>'дод 2'!AB131</f>
        <v>0</v>
      </c>
    </row>
    <row r="82" spans="1:27" ht="48.75" customHeight="1" x14ac:dyDescent="0.25">
      <c r="A82" s="37" t="s">
        <v>124</v>
      </c>
      <c r="B82" s="37" t="s">
        <v>315</v>
      </c>
      <c r="C82" s="6" t="s">
        <v>469</v>
      </c>
      <c r="D82" s="49">
        <f>'дод 2'!E132</f>
        <v>2736000</v>
      </c>
      <c r="E82" s="49">
        <f>'дод 2'!F132</f>
        <v>2736000</v>
      </c>
      <c r="F82" s="49">
        <f>'дод 2'!G132</f>
        <v>0</v>
      </c>
      <c r="G82" s="49">
        <f>'дод 2'!H132</f>
        <v>0</v>
      </c>
      <c r="H82" s="49">
        <f>'дод 2'!I132</f>
        <v>0</v>
      </c>
      <c r="I82" s="49">
        <f>'дод 2'!J132</f>
        <v>1509821.05</v>
      </c>
      <c r="J82" s="49">
        <f>'дод 2'!K132</f>
        <v>0</v>
      </c>
      <c r="K82" s="49">
        <f>'дод 2'!L132</f>
        <v>0</v>
      </c>
      <c r="L82" s="158">
        <f t="shared" si="2"/>
        <v>55.183517909356731</v>
      </c>
      <c r="M82" s="49">
        <f>'дод 2'!N132</f>
        <v>0</v>
      </c>
      <c r="N82" s="49">
        <f>'дод 2'!O132</f>
        <v>0</v>
      </c>
      <c r="O82" s="49">
        <f>'дод 2'!P132</f>
        <v>0</v>
      </c>
      <c r="P82" s="49">
        <f>'дод 2'!Q132</f>
        <v>0</v>
      </c>
      <c r="Q82" s="49">
        <f>'дод 2'!R132</f>
        <v>0</v>
      </c>
      <c r="R82" s="49">
        <f>'дод 2'!S132</f>
        <v>0</v>
      </c>
      <c r="S82" s="49">
        <f>'дод 2'!T132</f>
        <v>0</v>
      </c>
      <c r="T82" s="49">
        <f>'дод 2'!U132</f>
        <v>0</v>
      </c>
      <c r="U82" s="49">
        <f>'дод 2'!V132</f>
        <v>0</v>
      </c>
      <c r="V82" s="49">
        <f>'дод 2'!W132</f>
        <v>0</v>
      </c>
      <c r="W82" s="49">
        <f>'дод 2'!X132</f>
        <v>0</v>
      </c>
      <c r="X82" s="49">
        <f>'дод 2'!Y132</f>
        <v>0</v>
      </c>
      <c r="Y82" s="158"/>
      <c r="Z82" s="49">
        <f>'дод 2'!AA132</f>
        <v>1509821.05</v>
      </c>
      <c r="AA82" s="49">
        <f>'дод 2'!AB132</f>
        <v>2736000</v>
      </c>
    </row>
    <row r="83" spans="1:27" s="54" customFormat="1" ht="47.25" hidden="1" customHeight="1" x14ac:dyDescent="0.25">
      <c r="A83" s="80"/>
      <c r="B83" s="80"/>
      <c r="C83" s="83" t="s">
        <v>394</v>
      </c>
      <c r="D83" s="82">
        <f>'дод 2'!E133</f>
        <v>0</v>
      </c>
      <c r="E83" s="82">
        <f>'дод 2'!F133</f>
        <v>0</v>
      </c>
      <c r="F83" s="82">
        <f>'дод 2'!G133</f>
        <v>0</v>
      </c>
      <c r="G83" s="82">
        <f>'дод 2'!H133</f>
        <v>0</v>
      </c>
      <c r="H83" s="82">
        <f>'дод 2'!I133</f>
        <v>0</v>
      </c>
      <c r="I83" s="82">
        <f>'дод 2'!J133</f>
        <v>0</v>
      </c>
      <c r="J83" s="82">
        <f>'дод 2'!K133</f>
        <v>0</v>
      </c>
      <c r="K83" s="82">
        <f>'дод 2'!L133</f>
        <v>0</v>
      </c>
      <c r="L83" s="158" t="e">
        <f t="shared" si="2"/>
        <v>#DIV/0!</v>
      </c>
      <c r="M83" s="82">
        <f>'дод 2'!N133</f>
        <v>0</v>
      </c>
      <c r="N83" s="82">
        <f>'дод 2'!O133</f>
        <v>0</v>
      </c>
      <c r="O83" s="82">
        <f>'дод 2'!P133</f>
        <v>0</v>
      </c>
      <c r="P83" s="82">
        <f>'дод 2'!Q133</f>
        <v>0</v>
      </c>
      <c r="Q83" s="82">
        <f>'дод 2'!R133</f>
        <v>0</v>
      </c>
      <c r="R83" s="82">
        <f>'дод 2'!S133</f>
        <v>0</v>
      </c>
      <c r="S83" s="82">
        <f>'дод 2'!T133</f>
        <v>0</v>
      </c>
      <c r="T83" s="82">
        <f>'дод 2'!U133</f>
        <v>0</v>
      </c>
      <c r="U83" s="82">
        <f>'дод 2'!V133</f>
        <v>0</v>
      </c>
      <c r="V83" s="82">
        <f>'дод 2'!W133</f>
        <v>0</v>
      </c>
      <c r="W83" s="82">
        <f>'дод 2'!X133</f>
        <v>0</v>
      </c>
      <c r="X83" s="82">
        <f>'дод 2'!Y133</f>
        <v>0</v>
      </c>
      <c r="Y83" s="158" t="e">
        <f t="shared" si="3"/>
        <v>#DIV/0!</v>
      </c>
      <c r="Z83" s="82">
        <f>'дод 2'!AA133</f>
        <v>0</v>
      </c>
      <c r="AA83" s="82">
        <f>'дод 2'!AB133</f>
        <v>0</v>
      </c>
    </row>
    <row r="84" spans="1:27" ht="31.5" x14ac:dyDescent="0.25">
      <c r="A84" s="40">
        <v>2144</v>
      </c>
      <c r="B84" s="37" t="s">
        <v>65</v>
      </c>
      <c r="C84" s="6" t="s">
        <v>406</v>
      </c>
      <c r="D84" s="49">
        <f>'дод 2'!E134</f>
        <v>7670800</v>
      </c>
      <c r="E84" s="49">
        <f>'дод 2'!F134</f>
        <v>7670800</v>
      </c>
      <c r="F84" s="49">
        <f>'дод 2'!G134</f>
        <v>0</v>
      </c>
      <c r="G84" s="49">
        <f>'дод 2'!H134</f>
        <v>0</v>
      </c>
      <c r="H84" s="49">
        <f>'дод 2'!I134</f>
        <v>0</v>
      </c>
      <c r="I84" s="49">
        <f>'дод 2'!J134</f>
        <v>6076703.3700000001</v>
      </c>
      <c r="J84" s="49">
        <f>'дод 2'!K134</f>
        <v>0</v>
      </c>
      <c r="K84" s="49">
        <f>'дод 2'!L134</f>
        <v>0</v>
      </c>
      <c r="L84" s="158">
        <f t="shared" ref="L84:L145" si="16">I84/D84*100</f>
        <v>79.218639124993487</v>
      </c>
      <c r="M84" s="49">
        <f>'дод 2'!N134</f>
        <v>0</v>
      </c>
      <c r="N84" s="49">
        <f>'дод 2'!O134</f>
        <v>0</v>
      </c>
      <c r="O84" s="49">
        <f>'дод 2'!P134</f>
        <v>0</v>
      </c>
      <c r="P84" s="49">
        <f>'дод 2'!Q134</f>
        <v>0</v>
      </c>
      <c r="Q84" s="49">
        <f>'дод 2'!R134</f>
        <v>0</v>
      </c>
      <c r="R84" s="49">
        <f>'дод 2'!S134</f>
        <v>0</v>
      </c>
      <c r="S84" s="49">
        <f>'дод 2'!T134</f>
        <v>0</v>
      </c>
      <c r="T84" s="49">
        <f>'дод 2'!U134</f>
        <v>0</v>
      </c>
      <c r="U84" s="49">
        <f>'дод 2'!V134</f>
        <v>0</v>
      </c>
      <c r="V84" s="49">
        <f>'дод 2'!W134</f>
        <v>0</v>
      </c>
      <c r="W84" s="49">
        <f>'дод 2'!X134</f>
        <v>0</v>
      </c>
      <c r="X84" s="49">
        <f>'дод 2'!Y134</f>
        <v>0</v>
      </c>
      <c r="Y84" s="158"/>
      <c r="Z84" s="49">
        <f>'дод 2'!AA134</f>
        <v>6076703.3700000001</v>
      </c>
      <c r="AA84" s="49">
        <f>'дод 2'!AB134</f>
        <v>7670800</v>
      </c>
    </row>
    <row r="85" spans="1:27" s="54" customFormat="1" ht="47.25" hidden="1" customHeight="1" x14ac:dyDescent="0.25">
      <c r="A85" s="84"/>
      <c r="B85" s="80"/>
      <c r="C85" s="81" t="s">
        <v>393</v>
      </c>
      <c r="D85" s="82">
        <f>'дод 2'!E135</f>
        <v>0</v>
      </c>
      <c r="E85" s="82">
        <f>'дод 2'!F135</f>
        <v>0</v>
      </c>
      <c r="F85" s="82">
        <f>'дод 2'!G135</f>
        <v>0</v>
      </c>
      <c r="G85" s="82">
        <f>'дод 2'!H135</f>
        <v>0</v>
      </c>
      <c r="H85" s="82">
        <f>'дод 2'!I135</f>
        <v>0</v>
      </c>
      <c r="I85" s="82">
        <f>'дод 2'!J135</f>
        <v>0</v>
      </c>
      <c r="J85" s="82">
        <f>'дод 2'!K135</f>
        <v>0</v>
      </c>
      <c r="K85" s="82">
        <f>'дод 2'!L135</f>
        <v>0</v>
      </c>
      <c r="L85" s="158" t="e">
        <f t="shared" si="16"/>
        <v>#DIV/0!</v>
      </c>
      <c r="M85" s="82">
        <f>'дод 2'!N135</f>
        <v>0</v>
      </c>
      <c r="N85" s="82">
        <f>'дод 2'!O135</f>
        <v>0</v>
      </c>
      <c r="O85" s="82">
        <f>'дод 2'!P135</f>
        <v>0</v>
      </c>
      <c r="P85" s="82">
        <f>'дод 2'!Q135</f>
        <v>0</v>
      </c>
      <c r="Q85" s="82">
        <f>'дод 2'!R135</f>
        <v>0</v>
      </c>
      <c r="R85" s="82">
        <f>'дод 2'!S135</f>
        <v>0</v>
      </c>
      <c r="S85" s="82">
        <f>'дод 2'!T135</f>
        <v>0</v>
      </c>
      <c r="T85" s="82">
        <f>'дод 2'!U135</f>
        <v>0</v>
      </c>
      <c r="U85" s="82">
        <f>'дод 2'!V135</f>
        <v>0</v>
      </c>
      <c r="V85" s="82">
        <f>'дод 2'!W135</f>
        <v>0</v>
      </c>
      <c r="W85" s="82">
        <f>'дод 2'!X135</f>
        <v>0</v>
      </c>
      <c r="X85" s="82">
        <f>'дод 2'!Y135</f>
        <v>0</v>
      </c>
      <c r="Y85" s="158"/>
      <c r="Z85" s="82">
        <f>'дод 2'!AA135</f>
        <v>0</v>
      </c>
      <c r="AA85" s="82">
        <f>'дод 2'!AB135</f>
        <v>0</v>
      </c>
    </row>
    <row r="86" spans="1:27" s="54" customFormat="1" ht="47.25" x14ac:dyDescent="0.25">
      <c r="A86" s="84"/>
      <c r="B86" s="80"/>
      <c r="C86" s="81" t="s">
        <v>394</v>
      </c>
      <c r="D86" s="82">
        <f>'дод 2'!E136</f>
        <v>7670800</v>
      </c>
      <c r="E86" s="82">
        <f>'дод 2'!F136</f>
        <v>7670800</v>
      </c>
      <c r="F86" s="82">
        <f>'дод 2'!G136</f>
        <v>0</v>
      </c>
      <c r="G86" s="82">
        <f>'дод 2'!H136</f>
        <v>0</v>
      </c>
      <c r="H86" s="82">
        <f>'дод 2'!I136</f>
        <v>0</v>
      </c>
      <c r="I86" s="82">
        <f>'дод 2'!J136</f>
        <v>6076703.3700000001</v>
      </c>
      <c r="J86" s="82">
        <f>'дод 2'!K136</f>
        <v>0</v>
      </c>
      <c r="K86" s="82">
        <f>'дод 2'!L136</f>
        <v>0</v>
      </c>
      <c r="L86" s="158">
        <f t="shared" si="16"/>
        <v>79.218639124993487</v>
      </c>
      <c r="M86" s="82">
        <f>'дод 2'!N136</f>
        <v>0</v>
      </c>
      <c r="N86" s="82">
        <f>'дод 2'!O136</f>
        <v>0</v>
      </c>
      <c r="O86" s="82">
        <f>'дод 2'!P136</f>
        <v>0</v>
      </c>
      <c r="P86" s="82">
        <f>'дод 2'!Q136</f>
        <v>0</v>
      </c>
      <c r="Q86" s="82">
        <f>'дод 2'!R136</f>
        <v>0</v>
      </c>
      <c r="R86" s="82">
        <f>'дод 2'!S136</f>
        <v>0</v>
      </c>
      <c r="S86" s="82">
        <f>'дод 2'!T136</f>
        <v>0</v>
      </c>
      <c r="T86" s="82">
        <f>'дод 2'!U136</f>
        <v>0</v>
      </c>
      <c r="U86" s="82">
        <f>'дод 2'!V136</f>
        <v>0</v>
      </c>
      <c r="V86" s="82">
        <f>'дод 2'!W136</f>
        <v>0</v>
      </c>
      <c r="W86" s="82">
        <f>'дод 2'!X136</f>
        <v>0</v>
      </c>
      <c r="X86" s="82">
        <f>'дод 2'!Y136</f>
        <v>0</v>
      </c>
      <c r="Y86" s="158"/>
      <c r="Z86" s="82">
        <f>'дод 2'!AA136</f>
        <v>6076703.3700000001</v>
      </c>
      <c r="AA86" s="82">
        <f>'дод 2'!AB136</f>
        <v>7670800</v>
      </c>
    </row>
    <row r="87" spans="1:27" ht="33.75" customHeight="1" x14ac:dyDescent="0.25">
      <c r="A87" s="37" t="s">
        <v>284</v>
      </c>
      <c r="B87" s="37" t="s">
        <v>65</v>
      </c>
      <c r="C87" s="3" t="s">
        <v>286</v>
      </c>
      <c r="D87" s="49">
        <f>'дод 2'!E137</f>
        <v>3049300</v>
      </c>
      <c r="E87" s="49">
        <f>'дод 2'!F137</f>
        <v>3049300</v>
      </c>
      <c r="F87" s="49">
        <f>'дод 2'!G137</f>
        <v>2387600</v>
      </c>
      <c r="G87" s="49">
        <f>'дод 2'!H137</f>
        <v>48700</v>
      </c>
      <c r="H87" s="49">
        <f>'дод 2'!I137</f>
        <v>0</v>
      </c>
      <c r="I87" s="49">
        <f>'дод 2'!J137</f>
        <v>1509456.75</v>
      </c>
      <c r="J87" s="49">
        <f>'дод 2'!K137</f>
        <v>1193683.19</v>
      </c>
      <c r="K87" s="49">
        <f>'дод 2'!L137</f>
        <v>30815.53</v>
      </c>
      <c r="L87" s="158">
        <f t="shared" si="16"/>
        <v>49.501746302430064</v>
      </c>
      <c r="M87" s="49">
        <f>'дод 2'!N137</f>
        <v>0</v>
      </c>
      <c r="N87" s="49">
        <f>'дод 2'!O137</f>
        <v>0</v>
      </c>
      <c r="O87" s="49">
        <f>'дод 2'!P137</f>
        <v>0</v>
      </c>
      <c r="P87" s="49">
        <f>'дод 2'!Q137</f>
        <v>0</v>
      </c>
      <c r="Q87" s="49">
        <f>'дод 2'!R137</f>
        <v>0</v>
      </c>
      <c r="R87" s="49">
        <f>'дод 2'!S137</f>
        <v>0</v>
      </c>
      <c r="S87" s="49">
        <f>'дод 2'!T137</f>
        <v>125</v>
      </c>
      <c r="T87" s="49">
        <f>'дод 2'!U137</f>
        <v>0</v>
      </c>
      <c r="U87" s="49">
        <f>'дод 2'!V137</f>
        <v>125</v>
      </c>
      <c r="V87" s="49">
        <f>'дод 2'!W137</f>
        <v>0</v>
      </c>
      <c r="W87" s="49">
        <f>'дод 2'!X137</f>
        <v>0</v>
      </c>
      <c r="X87" s="49">
        <f>'дод 2'!Y137</f>
        <v>0</v>
      </c>
      <c r="Y87" s="158"/>
      <c r="Z87" s="49">
        <f>'дод 2'!AA137</f>
        <v>1509581.75</v>
      </c>
      <c r="AA87" s="49">
        <f>'дод 2'!AB137</f>
        <v>3049300</v>
      </c>
    </row>
    <row r="88" spans="1:27" ht="21.75" customHeight="1" x14ac:dyDescent="0.25">
      <c r="A88" s="37" t="s">
        <v>285</v>
      </c>
      <c r="B88" s="37" t="s">
        <v>65</v>
      </c>
      <c r="C88" s="3" t="s">
        <v>287</v>
      </c>
      <c r="D88" s="49">
        <f>'дод 2'!E138</f>
        <v>19783800</v>
      </c>
      <c r="E88" s="49">
        <f>'дод 2'!F138</f>
        <v>19783800</v>
      </c>
      <c r="F88" s="49">
        <f>'дод 2'!G138</f>
        <v>0</v>
      </c>
      <c r="G88" s="49">
        <f>'дод 2'!H138</f>
        <v>0</v>
      </c>
      <c r="H88" s="49">
        <f>'дод 2'!I138</f>
        <v>0</v>
      </c>
      <c r="I88" s="49">
        <f>'дод 2'!J138</f>
        <v>8453655.9100000001</v>
      </c>
      <c r="J88" s="49">
        <f>'дод 2'!K138</f>
        <v>0</v>
      </c>
      <c r="K88" s="49">
        <f>'дод 2'!L138</f>
        <v>0</v>
      </c>
      <c r="L88" s="158">
        <f t="shared" si="16"/>
        <v>42.730192935634207</v>
      </c>
      <c r="M88" s="49">
        <f>'дод 2'!N138</f>
        <v>23031354</v>
      </c>
      <c r="N88" s="49">
        <f>'дод 2'!O138</f>
        <v>23031354</v>
      </c>
      <c r="O88" s="49">
        <f>'дод 2'!P138</f>
        <v>0</v>
      </c>
      <c r="P88" s="49">
        <f>'дод 2'!Q138</f>
        <v>0</v>
      </c>
      <c r="Q88" s="49">
        <f>'дод 2'!R138</f>
        <v>0</v>
      </c>
      <c r="R88" s="49">
        <f>'дод 2'!S138</f>
        <v>23031354</v>
      </c>
      <c r="S88" s="49">
        <f>'дод 2'!T138</f>
        <v>17206891.32</v>
      </c>
      <c r="T88" s="49">
        <f>'дод 2'!U138</f>
        <v>17185854</v>
      </c>
      <c r="U88" s="49">
        <f>'дод 2'!V138</f>
        <v>21037.32</v>
      </c>
      <c r="V88" s="49">
        <f>'дод 2'!W138</f>
        <v>0</v>
      </c>
      <c r="W88" s="49">
        <f>'дод 2'!X138</f>
        <v>0</v>
      </c>
      <c r="X88" s="49">
        <f>'дод 2'!Y138</f>
        <v>17185854</v>
      </c>
      <c r="Y88" s="158">
        <f t="shared" ref="Y88:Y147" si="17">S88/M88*100</f>
        <v>74.710723998250387</v>
      </c>
      <c r="Z88" s="49">
        <f>'дод 2'!AA138</f>
        <v>25660547.23</v>
      </c>
      <c r="AA88" s="49">
        <f>'дод 2'!AB138</f>
        <v>42815154</v>
      </c>
    </row>
    <row r="89" spans="1:27" s="52" customFormat="1" ht="33" customHeight="1" x14ac:dyDescent="0.25">
      <c r="A89" s="38" t="s">
        <v>66</v>
      </c>
      <c r="B89" s="41"/>
      <c r="C89" s="2" t="s">
        <v>522</v>
      </c>
      <c r="D89" s="48">
        <f>D93+D94+D95+D97+D98+D99+D101+D103+D104+D105+D106+D107+D108+D109+D110+D112+D114+D115+D116+D117+D118+D123+D124</f>
        <v>147200679.35000002</v>
      </c>
      <c r="E89" s="48">
        <f t="shared" ref="E89:AA89" si="18">E93+E94+E95+E97+E98+E99+E101+E103+E104+E105+E106+E107+E108+E109+E110+E112+E114+E115+E116+E117+E118+E123+E124</f>
        <v>147200679.35000002</v>
      </c>
      <c r="F89" s="48">
        <f t="shared" si="18"/>
        <v>21152900</v>
      </c>
      <c r="G89" s="48">
        <f t="shared" si="18"/>
        <v>704230</v>
      </c>
      <c r="H89" s="48">
        <f t="shared" si="18"/>
        <v>0</v>
      </c>
      <c r="I89" s="48">
        <f t="shared" si="18"/>
        <v>47276411.750000007</v>
      </c>
      <c r="J89" s="48">
        <f t="shared" si="18"/>
        <v>10203509.140000001</v>
      </c>
      <c r="K89" s="48">
        <f t="shared" si="18"/>
        <v>447778.68000000005</v>
      </c>
      <c r="L89" s="158">
        <f t="shared" si="16"/>
        <v>32.116979322894679</v>
      </c>
      <c r="M89" s="48">
        <f t="shared" si="18"/>
        <v>302200</v>
      </c>
      <c r="N89" s="48">
        <f t="shared" si="18"/>
        <v>206000</v>
      </c>
      <c r="O89" s="48">
        <f t="shared" si="18"/>
        <v>96200</v>
      </c>
      <c r="P89" s="48">
        <f t="shared" si="18"/>
        <v>75000</v>
      </c>
      <c r="Q89" s="48">
        <f t="shared" si="18"/>
        <v>0</v>
      </c>
      <c r="R89" s="48">
        <f t="shared" si="18"/>
        <v>206000</v>
      </c>
      <c r="S89" s="48">
        <f t="shared" si="18"/>
        <v>387960.14999999997</v>
      </c>
      <c r="T89" s="48">
        <f t="shared" si="18"/>
        <v>0</v>
      </c>
      <c r="U89" s="48">
        <f t="shared" si="18"/>
        <v>387960.14999999997</v>
      </c>
      <c r="V89" s="48">
        <f t="shared" si="18"/>
        <v>18476.419999999998</v>
      </c>
      <c r="W89" s="48">
        <f t="shared" si="18"/>
        <v>0</v>
      </c>
      <c r="X89" s="48">
        <f t="shared" si="18"/>
        <v>0</v>
      </c>
      <c r="Y89" s="158">
        <f t="shared" si="17"/>
        <v>128.37860688285903</v>
      </c>
      <c r="Z89" s="48">
        <f t="shared" si="18"/>
        <v>47664371.900000013</v>
      </c>
      <c r="AA89" s="48">
        <f t="shared" si="18"/>
        <v>147502879.35000002</v>
      </c>
    </row>
    <row r="90" spans="1:27" s="53" customFormat="1" ht="262.5" hidden="1" customHeight="1" x14ac:dyDescent="0.25">
      <c r="A90" s="73"/>
      <c r="B90" s="74"/>
      <c r="C90" s="77" t="s">
        <v>448</v>
      </c>
      <c r="D90" s="78">
        <f>D120</f>
        <v>0</v>
      </c>
      <c r="E90" s="78">
        <f t="shared" ref="E90:AA90" si="19">E120</f>
        <v>0</v>
      </c>
      <c r="F90" s="78">
        <f t="shared" si="19"/>
        <v>0</v>
      </c>
      <c r="G90" s="78">
        <f t="shared" si="19"/>
        <v>0</v>
      </c>
      <c r="H90" s="78">
        <f t="shared" si="19"/>
        <v>0</v>
      </c>
      <c r="I90" s="78">
        <f t="shared" si="19"/>
        <v>0</v>
      </c>
      <c r="J90" s="78">
        <f t="shared" si="19"/>
        <v>0</v>
      </c>
      <c r="K90" s="78">
        <f t="shared" si="19"/>
        <v>0</v>
      </c>
      <c r="L90" s="158" t="e">
        <f t="shared" si="16"/>
        <v>#DIV/0!</v>
      </c>
      <c r="M90" s="78">
        <f t="shared" si="19"/>
        <v>0</v>
      </c>
      <c r="N90" s="78">
        <f t="shared" si="19"/>
        <v>0</v>
      </c>
      <c r="O90" s="78">
        <f t="shared" si="19"/>
        <v>0</v>
      </c>
      <c r="P90" s="78">
        <f t="shared" si="19"/>
        <v>0</v>
      </c>
      <c r="Q90" s="78">
        <f t="shared" si="19"/>
        <v>0</v>
      </c>
      <c r="R90" s="78">
        <f t="shared" si="19"/>
        <v>0</v>
      </c>
      <c r="S90" s="78">
        <f t="shared" si="19"/>
        <v>0</v>
      </c>
      <c r="T90" s="78">
        <f t="shared" si="19"/>
        <v>0</v>
      </c>
      <c r="U90" s="78">
        <f t="shared" si="19"/>
        <v>0</v>
      </c>
      <c r="V90" s="78">
        <f t="shared" si="19"/>
        <v>0</v>
      </c>
      <c r="W90" s="78">
        <f t="shared" si="19"/>
        <v>0</v>
      </c>
      <c r="X90" s="78">
        <f t="shared" si="19"/>
        <v>0</v>
      </c>
      <c r="Y90" s="158" t="e">
        <f t="shared" si="17"/>
        <v>#DIV/0!</v>
      </c>
      <c r="Z90" s="78">
        <f t="shared" si="19"/>
        <v>0</v>
      </c>
      <c r="AA90" s="78">
        <f t="shared" si="19"/>
        <v>0</v>
      </c>
    </row>
    <row r="91" spans="1:27" s="53" customFormat="1" ht="231" hidden="1" customHeight="1" x14ac:dyDescent="0.25">
      <c r="A91" s="73"/>
      <c r="B91" s="74"/>
      <c r="C91" s="77" t="s">
        <v>447</v>
      </c>
      <c r="D91" s="78">
        <f>D122</f>
        <v>0</v>
      </c>
      <c r="E91" s="78">
        <f t="shared" ref="E91:AA91" si="20">E122</f>
        <v>0</v>
      </c>
      <c r="F91" s="78">
        <f t="shared" si="20"/>
        <v>0</v>
      </c>
      <c r="G91" s="78">
        <f t="shared" si="20"/>
        <v>0</v>
      </c>
      <c r="H91" s="78">
        <f t="shared" si="20"/>
        <v>0</v>
      </c>
      <c r="I91" s="78">
        <f t="shared" si="20"/>
        <v>0</v>
      </c>
      <c r="J91" s="78">
        <f t="shared" si="20"/>
        <v>0</v>
      </c>
      <c r="K91" s="78">
        <f t="shared" si="20"/>
        <v>0</v>
      </c>
      <c r="L91" s="158" t="e">
        <f t="shared" si="16"/>
        <v>#DIV/0!</v>
      </c>
      <c r="M91" s="78">
        <f t="shared" si="20"/>
        <v>0</v>
      </c>
      <c r="N91" s="78">
        <f t="shared" si="20"/>
        <v>0</v>
      </c>
      <c r="O91" s="78">
        <f t="shared" si="20"/>
        <v>0</v>
      </c>
      <c r="P91" s="78">
        <f t="shared" si="20"/>
        <v>0</v>
      </c>
      <c r="Q91" s="78">
        <f t="shared" si="20"/>
        <v>0</v>
      </c>
      <c r="R91" s="78">
        <f t="shared" si="20"/>
        <v>0</v>
      </c>
      <c r="S91" s="78">
        <f t="shared" si="20"/>
        <v>0</v>
      </c>
      <c r="T91" s="78">
        <f t="shared" si="20"/>
        <v>0</v>
      </c>
      <c r="U91" s="78">
        <f t="shared" si="20"/>
        <v>0</v>
      </c>
      <c r="V91" s="78">
        <f t="shared" si="20"/>
        <v>0</v>
      </c>
      <c r="W91" s="78">
        <f t="shared" si="20"/>
        <v>0</v>
      </c>
      <c r="X91" s="78">
        <f t="shared" si="20"/>
        <v>0</v>
      </c>
      <c r="Y91" s="158" t="e">
        <f t="shared" si="17"/>
        <v>#DIV/0!</v>
      </c>
      <c r="Z91" s="78">
        <f t="shared" si="20"/>
        <v>0</v>
      </c>
      <c r="AA91" s="78">
        <f t="shared" si="20"/>
        <v>0</v>
      </c>
    </row>
    <row r="92" spans="1:27" s="53" customFormat="1" x14ac:dyDescent="0.25">
      <c r="A92" s="73"/>
      <c r="B92" s="74"/>
      <c r="C92" s="77" t="s">
        <v>397</v>
      </c>
      <c r="D92" s="78">
        <f>D96+D100+D102+D111+D113+D125</f>
        <v>4847050.24</v>
      </c>
      <c r="E92" s="78">
        <f t="shared" ref="E92:AA92" si="21">E96+E100+E102+E111+E113+E125</f>
        <v>4847050.24</v>
      </c>
      <c r="F92" s="78">
        <f t="shared" si="21"/>
        <v>0</v>
      </c>
      <c r="G92" s="78">
        <f t="shared" si="21"/>
        <v>0</v>
      </c>
      <c r="H92" s="78">
        <f t="shared" si="21"/>
        <v>0</v>
      </c>
      <c r="I92" s="78">
        <f t="shared" si="21"/>
        <v>2344197.9799999995</v>
      </c>
      <c r="J92" s="78">
        <f t="shared" si="21"/>
        <v>0</v>
      </c>
      <c r="K92" s="78">
        <f t="shared" si="21"/>
        <v>0</v>
      </c>
      <c r="L92" s="158">
        <f t="shared" si="16"/>
        <v>48.363393485271558</v>
      </c>
      <c r="M92" s="78">
        <f t="shared" si="21"/>
        <v>0</v>
      </c>
      <c r="N92" s="78">
        <f t="shared" si="21"/>
        <v>0</v>
      </c>
      <c r="O92" s="78">
        <f t="shared" si="21"/>
        <v>0</v>
      </c>
      <c r="P92" s="78">
        <f t="shared" si="21"/>
        <v>0</v>
      </c>
      <c r="Q92" s="78">
        <f t="shared" si="21"/>
        <v>0</v>
      </c>
      <c r="R92" s="78">
        <f t="shared" si="21"/>
        <v>0</v>
      </c>
      <c r="S92" s="78">
        <f t="shared" si="21"/>
        <v>0</v>
      </c>
      <c r="T92" s="78">
        <f t="shared" si="21"/>
        <v>0</v>
      </c>
      <c r="U92" s="78">
        <f t="shared" si="21"/>
        <v>0</v>
      </c>
      <c r="V92" s="78">
        <f t="shared" si="21"/>
        <v>0</v>
      </c>
      <c r="W92" s="78">
        <f t="shared" si="21"/>
        <v>0</v>
      </c>
      <c r="X92" s="78">
        <f t="shared" si="21"/>
        <v>0</v>
      </c>
      <c r="Y92" s="158"/>
      <c r="Z92" s="78">
        <f t="shared" si="21"/>
        <v>2344197.9799999995</v>
      </c>
      <c r="AA92" s="78">
        <f t="shared" si="21"/>
        <v>4847050.24</v>
      </c>
    </row>
    <row r="93" spans="1:27" ht="38.25" customHeight="1" x14ac:dyDescent="0.25">
      <c r="A93" s="37" t="s">
        <v>100</v>
      </c>
      <c r="B93" s="37" t="s">
        <v>53</v>
      </c>
      <c r="C93" s="3" t="s">
        <v>125</v>
      </c>
      <c r="D93" s="49">
        <f>'дод 2'!E154</f>
        <v>604900</v>
      </c>
      <c r="E93" s="49">
        <f>'дод 2'!F154</f>
        <v>604900</v>
      </c>
      <c r="F93" s="49">
        <f>'дод 2'!G154</f>
        <v>0</v>
      </c>
      <c r="G93" s="49">
        <f>'дод 2'!H154</f>
        <v>0</v>
      </c>
      <c r="H93" s="49">
        <f>'дод 2'!I154</f>
        <v>0</v>
      </c>
      <c r="I93" s="49">
        <f>'дод 2'!J154</f>
        <v>261174.06</v>
      </c>
      <c r="J93" s="49">
        <f>'дод 2'!K154</f>
        <v>0</v>
      </c>
      <c r="K93" s="49">
        <f>'дод 2'!L154</f>
        <v>0</v>
      </c>
      <c r="L93" s="158">
        <f t="shared" si="16"/>
        <v>43.176402711191933</v>
      </c>
      <c r="M93" s="49">
        <f>'дод 2'!N154</f>
        <v>0</v>
      </c>
      <c r="N93" s="49">
        <f>'дод 2'!O154</f>
        <v>0</v>
      </c>
      <c r="O93" s="49">
        <f>'дод 2'!P154</f>
        <v>0</v>
      </c>
      <c r="P93" s="49">
        <f>'дод 2'!Q154</f>
        <v>0</v>
      </c>
      <c r="Q93" s="49">
        <f>'дод 2'!R154</f>
        <v>0</v>
      </c>
      <c r="R93" s="49">
        <f>'дод 2'!S154</f>
        <v>0</v>
      </c>
      <c r="S93" s="49">
        <f>'дод 2'!T154</f>
        <v>0</v>
      </c>
      <c r="T93" s="49">
        <f>'дод 2'!U154</f>
        <v>0</v>
      </c>
      <c r="U93" s="49">
        <f>'дод 2'!V154</f>
        <v>0</v>
      </c>
      <c r="V93" s="49">
        <f>'дод 2'!W154</f>
        <v>0</v>
      </c>
      <c r="W93" s="49">
        <f>'дод 2'!X154</f>
        <v>0</v>
      </c>
      <c r="X93" s="49">
        <f>'дод 2'!Y154</f>
        <v>0</v>
      </c>
      <c r="Y93" s="158"/>
      <c r="Z93" s="49">
        <f>'дод 2'!AA154</f>
        <v>261174.06</v>
      </c>
      <c r="AA93" s="49">
        <f>'дод 2'!AB154</f>
        <v>604900</v>
      </c>
    </row>
    <row r="94" spans="1:27" ht="36.75" customHeight="1" x14ac:dyDescent="0.25">
      <c r="A94" s="37" t="s">
        <v>126</v>
      </c>
      <c r="B94" s="37" t="s">
        <v>55</v>
      </c>
      <c r="C94" s="3" t="s">
        <v>362</v>
      </c>
      <c r="D94" s="49">
        <f>'дод 2'!E155</f>
        <v>1129230</v>
      </c>
      <c r="E94" s="49">
        <f>'дод 2'!F155</f>
        <v>1129230</v>
      </c>
      <c r="F94" s="49">
        <f>'дод 2'!G155</f>
        <v>0</v>
      </c>
      <c r="G94" s="49">
        <f>'дод 2'!H155</f>
        <v>0</v>
      </c>
      <c r="H94" s="49">
        <f>'дод 2'!I155</f>
        <v>0</v>
      </c>
      <c r="I94" s="49">
        <f>'дод 2'!J155</f>
        <v>465575.3</v>
      </c>
      <c r="J94" s="49">
        <f>'дод 2'!K155</f>
        <v>0</v>
      </c>
      <c r="K94" s="49">
        <f>'дод 2'!L155</f>
        <v>0</v>
      </c>
      <c r="L94" s="158">
        <f t="shared" si="16"/>
        <v>41.22944838518282</v>
      </c>
      <c r="M94" s="49">
        <f>'дод 2'!N155</f>
        <v>0</v>
      </c>
      <c r="N94" s="49">
        <f>'дод 2'!O155</f>
        <v>0</v>
      </c>
      <c r="O94" s="49">
        <f>'дод 2'!P155</f>
        <v>0</v>
      </c>
      <c r="P94" s="49">
        <f>'дод 2'!Q155</f>
        <v>0</v>
      </c>
      <c r="Q94" s="49">
        <f>'дод 2'!R155</f>
        <v>0</v>
      </c>
      <c r="R94" s="49">
        <f>'дод 2'!S155</f>
        <v>0</v>
      </c>
      <c r="S94" s="49">
        <f>'дод 2'!T155</f>
        <v>0</v>
      </c>
      <c r="T94" s="49">
        <f>'дод 2'!U155</f>
        <v>0</v>
      </c>
      <c r="U94" s="49">
        <f>'дод 2'!V155</f>
        <v>0</v>
      </c>
      <c r="V94" s="49">
        <f>'дод 2'!W155</f>
        <v>0</v>
      </c>
      <c r="W94" s="49">
        <f>'дод 2'!X155</f>
        <v>0</v>
      </c>
      <c r="X94" s="49">
        <f>'дод 2'!Y155</f>
        <v>0</v>
      </c>
      <c r="Y94" s="158"/>
      <c r="Z94" s="49">
        <f>'дод 2'!AA155</f>
        <v>465575.3</v>
      </c>
      <c r="AA94" s="49">
        <f>'дод 2'!AB155</f>
        <v>1129230</v>
      </c>
    </row>
    <row r="95" spans="1:27" ht="33.75" customHeight="1" x14ac:dyDescent="0.25">
      <c r="A95" s="37" t="s">
        <v>101</v>
      </c>
      <c r="B95" s="37" t="s">
        <v>55</v>
      </c>
      <c r="C95" s="3" t="s">
        <v>413</v>
      </c>
      <c r="D95" s="49">
        <f>'дод 2'!E156+'дод 2'!E27</f>
        <v>23358451.240000002</v>
      </c>
      <c r="E95" s="49">
        <f>'дод 2'!F156+'дод 2'!F27</f>
        <v>23358451.240000002</v>
      </c>
      <c r="F95" s="49">
        <f>'дод 2'!G156+'дод 2'!G27</f>
        <v>0</v>
      </c>
      <c r="G95" s="49">
        <f>'дод 2'!H156+'дод 2'!H27</f>
        <v>0</v>
      </c>
      <c r="H95" s="49">
        <f>'дод 2'!I156+'дод 2'!I27</f>
        <v>0</v>
      </c>
      <c r="I95" s="49">
        <f>'дод 2'!J156+'дод 2'!J27</f>
        <v>7022160.1699999999</v>
      </c>
      <c r="J95" s="49">
        <f>'дод 2'!K156+'дод 2'!K27</f>
        <v>0</v>
      </c>
      <c r="K95" s="49">
        <f>'дод 2'!L156+'дод 2'!L27</f>
        <v>0</v>
      </c>
      <c r="L95" s="158">
        <f t="shared" si="16"/>
        <v>30.062610306863817</v>
      </c>
      <c r="M95" s="49">
        <f>'дод 2'!N156+'дод 2'!N27</f>
        <v>0</v>
      </c>
      <c r="N95" s="49">
        <f>'дод 2'!O156+'дод 2'!O27</f>
        <v>0</v>
      </c>
      <c r="O95" s="49">
        <f>'дод 2'!P156+'дод 2'!P27</f>
        <v>0</v>
      </c>
      <c r="P95" s="49">
        <f>'дод 2'!Q156+'дод 2'!Q27</f>
        <v>0</v>
      </c>
      <c r="Q95" s="49">
        <f>'дод 2'!R156+'дод 2'!R27</f>
        <v>0</v>
      </c>
      <c r="R95" s="49">
        <f>'дод 2'!S156+'дод 2'!S27</f>
        <v>0</v>
      </c>
      <c r="S95" s="49">
        <f>'дод 2'!T156+'дод 2'!T27</f>
        <v>0</v>
      </c>
      <c r="T95" s="49">
        <f>'дод 2'!U156+'дод 2'!U27</f>
        <v>0</v>
      </c>
      <c r="U95" s="49">
        <f>'дод 2'!V156+'дод 2'!V27</f>
        <v>0</v>
      </c>
      <c r="V95" s="49">
        <f>'дод 2'!W156+'дод 2'!W27</f>
        <v>0</v>
      </c>
      <c r="W95" s="49">
        <f>'дод 2'!X156+'дод 2'!X27</f>
        <v>0</v>
      </c>
      <c r="X95" s="49">
        <f>'дод 2'!Y156+'дод 2'!Y27</f>
        <v>0</v>
      </c>
      <c r="Y95" s="158"/>
      <c r="Z95" s="49">
        <f>'дод 2'!AA156+'дод 2'!AA27</f>
        <v>7022160.1699999999</v>
      </c>
      <c r="AA95" s="49">
        <f>'дод 2'!AB156+'дод 2'!AB27</f>
        <v>23358451.240000002</v>
      </c>
    </row>
    <row r="96" spans="1:27" s="54" customFormat="1" ht="21.75" customHeight="1" x14ac:dyDescent="0.25">
      <c r="A96" s="80"/>
      <c r="B96" s="80"/>
      <c r="C96" s="81" t="s">
        <v>395</v>
      </c>
      <c r="D96" s="82">
        <f>'дод 2'!E157</f>
        <v>3388251.24</v>
      </c>
      <c r="E96" s="82">
        <f>'дод 2'!F157</f>
        <v>3388251.24</v>
      </c>
      <c r="F96" s="82">
        <f>'дод 2'!G157</f>
        <v>0</v>
      </c>
      <c r="G96" s="82">
        <f>'дод 2'!H157</f>
        <v>0</v>
      </c>
      <c r="H96" s="82">
        <f>'дод 2'!I157</f>
        <v>0</v>
      </c>
      <c r="I96" s="82">
        <f>'дод 2'!J157</f>
        <v>1838443.45</v>
      </c>
      <c r="J96" s="82">
        <f>'дод 2'!K157</f>
        <v>0</v>
      </c>
      <c r="K96" s="82">
        <f>'дод 2'!L157</f>
        <v>0</v>
      </c>
      <c r="L96" s="158">
        <f t="shared" si="16"/>
        <v>54.259360353690887</v>
      </c>
      <c r="M96" s="82">
        <f>'дод 2'!N157</f>
        <v>0</v>
      </c>
      <c r="N96" s="82">
        <f>'дод 2'!O157</f>
        <v>0</v>
      </c>
      <c r="O96" s="82">
        <f>'дод 2'!P157</f>
        <v>0</v>
      </c>
      <c r="P96" s="82">
        <f>'дод 2'!Q157</f>
        <v>0</v>
      </c>
      <c r="Q96" s="82">
        <f>'дод 2'!R157</f>
        <v>0</v>
      </c>
      <c r="R96" s="82">
        <f>'дод 2'!S157</f>
        <v>0</v>
      </c>
      <c r="S96" s="82">
        <f>'дод 2'!T157</f>
        <v>0</v>
      </c>
      <c r="T96" s="82">
        <f>'дод 2'!U157</f>
        <v>0</v>
      </c>
      <c r="U96" s="82">
        <f>'дод 2'!V157</f>
        <v>0</v>
      </c>
      <c r="V96" s="82">
        <f>'дод 2'!W157</f>
        <v>0</v>
      </c>
      <c r="W96" s="82">
        <f>'дод 2'!X157</f>
        <v>0</v>
      </c>
      <c r="X96" s="82">
        <f>'дод 2'!Y157</f>
        <v>0</v>
      </c>
      <c r="Y96" s="158"/>
      <c r="Z96" s="82">
        <f>'дод 2'!AA157</f>
        <v>1838443.45</v>
      </c>
      <c r="AA96" s="82">
        <f>'дод 2'!AB157</f>
        <v>3388251.24</v>
      </c>
    </row>
    <row r="97" spans="1:27" ht="36" customHeight="1" x14ac:dyDescent="0.25">
      <c r="A97" s="37" t="s">
        <v>325</v>
      </c>
      <c r="B97" s="37" t="s">
        <v>55</v>
      </c>
      <c r="C97" s="3" t="s">
        <v>324</v>
      </c>
      <c r="D97" s="49">
        <f>'дод 2'!E158</f>
        <v>1500000</v>
      </c>
      <c r="E97" s="49">
        <f>'дод 2'!F158</f>
        <v>1500000</v>
      </c>
      <c r="F97" s="49">
        <f>'дод 2'!G158</f>
        <v>0</v>
      </c>
      <c r="G97" s="49">
        <f>'дод 2'!H158</f>
        <v>0</v>
      </c>
      <c r="H97" s="49">
        <f>'дод 2'!I158</f>
        <v>0</v>
      </c>
      <c r="I97" s="49">
        <f>'дод 2'!J158</f>
        <v>625000</v>
      </c>
      <c r="J97" s="49">
        <f>'дод 2'!K158</f>
        <v>0</v>
      </c>
      <c r="K97" s="49">
        <f>'дод 2'!L158</f>
        <v>0</v>
      </c>
      <c r="L97" s="158">
        <f t="shared" si="16"/>
        <v>41.666666666666671</v>
      </c>
      <c r="M97" s="49">
        <f>'дод 2'!N158</f>
        <v>0</v>
      </c>
      <c r="N97" s="49">
        <f>'дод 2'!O158</f>
        <v>0</v>
      </c>
      <c r="O97" s="49">
        <f>'дод 2'!P158</f>
        <v>0</v>
      </c>
      <c r="P97" s="49">
        <f>'дод 2'!Q158</f>
        <v>0</v>
      </c>
      <c r="Q97" s="49">
        <f>'дод 2'!R158</f>
        <v>0</v>
      </c>
      <c r="R97" s="49">
        <f>'дод 2'!S158</f>
        <v>0</v>
      </c>
      <c r="S97" s="49">
        <f>'дод 2'!T158</f>
        <v>0</v>
      </c>
      <c r="T97" s="49">
        <f>'дод 2'!U158</f>
        <v>0</v>
      </c>
      <c r="U97" s="49">
        <f>'дод 2'!V158</f>
        <v>0</v>
      </c>
      <c r="V97" s="49">
        <f>'дод 2'!W158</f>
        <v>0</v>
      </c>
      <c r="W97" s="49">
        <f>'дод 2'!X158</f>
        <v>0</v>
      </c>
      <c r="X97" s="49">
        <f>'дод 2'!Y158</f>
        <v>0</v>
      </c>
      <c r="Y97" s="158"/>
      <c r="Z97" s="49">
        <f>'дод 2'!AA158</f>
        <v>625000</v>
      </c>
      <c r="AA97" s="49">
        <f>'дод 2'!AB158</f>
        <v>1500000</v>
      </c>
    </row>
    <row r="98" spans="1:27" ht="35.25" customHeight="1" x14ac:dyDescent="0.25">
      <c r="A98" s="37" t="s">
        <v>127</v>
      </c>
      <c r="B98" s="37" t="s">
        <v>55</v>
      </c>
      <c r="C98" s="3" t="s">
        <v>19</v>
      </c>
      <c r="D98" s="49">
        <f>'дод 2'!E159+'дод 2'!E28</f>
        <v>37759500</v>
      </c>
      <c r="E98" s="49">
        <f>'дод 2'!F159+'дод 2'!F28</f>
        <v>37759500</v>
      </c>
      <c r="F98" s="49">
        <f>'дод 2'!G159+'дод 2'!G28</f>
        <v>0</v>
      </c>
      <c r="G98" s="49">
        <f>'дод 2'!H159+'дод 2'!H28</f>
        <v>0</v>
      </c>
      <c r="H98" s="49">
        <f>'дод 2'!I159+'дод 2'!I28</f>
        <v>0</v>
      </c>
      <c r="I98" s="49">
        <f>'дод 2'!J159+'дод 2'!J28</f>
        <v>10698465.560000001</v>
      </c>
      <c r="J98" s="49">
        <f>'дод 2'!K159+'дод 2'!K28</f>
        <v>0</v>
      </c>
      <c r="K98" s="49">
        <f>'дод 2'!L159+'дод 2'!L28</f>
        <v>0</v>
      </c>
      <c r="L98" s="158">
        <f t="shared" si="16"/>
        <v>28.333175915994651</v>
      </c>
      <c r="M98" s="49">
        <f>'дод 2'!N159+'дод 2'!N28</f>
        <v>0</v>
      </c>
      <c r="N98" s="49">
        <f>'дод 2'!O159+'дод 2'!O28</f>
        <v>0</v>
      </c>
      <c r="O98" s="49">
        <f>'дод 2'!P159+'дод 2'!P28</f>
        <v>0</v>
      </c>
      <c r="P98" s="49">
        <f>'дод 2'!Q159+'дод 2'!Q28</f>
        <v>0</v>
      </c>
      <c r="Q98" s="49">
        <f>'дод 2'!R159+'дод 2'!R28</f>
        <v>0</v>
      </c>
      <c r="R98" s="49">
        <f>'дод 2'!S159+'дод 2'!S28</f>
        <v>0</v>
      </c>
      <c r="S98" s="49">
        <f>'дод 2'!T159+'дод 2'!T28</f>
        <v>0</v>
      </c>
      <c r="T98" s="49">
        <f>'дод 2'!U159+'дод 2'!U28</f>
        <v>0</v>
      </c>
      <c r="U98" s="49">
        <f>'дод 2'!V159+'дод 2'!V28</f>
        <v>0</v>
      </c>
      <c r="V98" s="49">
        <f>'дод 2'!W159+'дод 2'!W28</f>
        <v>0</v>
      </c>
      <c r="W98" s="49">
        <f>'дод 2'!X159+'дод 2'!X28</f>
        <v>0</v>
      </c>
      <c r="X98" s="49">
        <f>'дод 2'!Y159+'дод 2'!Y28</f>
        <v>0</v>
      </c>
      <c r="Y98" s="158"/>
      <c r="Z98" s="49">
        <f>'дод 2'!AA159+'дод 2'!AA28</f>
        <v>10698465.560000001</v>
      </c>
      <c r="AA98" s="49">
        <f>'дод 2'!AB159+'дод 2'!AB28</f>
        <v>37759500</v>
      </c>
    </row>
    <row r="99" spans="1:27" ht="40.5" customHeight="1" x14ac:dyDescent="0.25">
      <c r="A99" s="37" t="s">
        <v>103</v>
      </c>
      <c r="B99" s="37" t="s">
        <v>55</v>
      </c>
      <c r="C99" s="3" t="s">
        <v>411</v>
      </c>
      <c r="D99" s="49">
        <f>'дод 2'!E160</f>
        <v>667500</v>
      </c>
      <c r="E99" s="49">
        <f>'дод 2'!F160</f>
        <v>667500</v>
      </c>
      <c r="F99" s="49">
        <f>'дод 2'!G160</f>
        <v>0</v>
      </c>
      <c r="G99" s="49">
        <f>'дод 2'!H160</f>
        <v>0</v>
      </c>
      <c r="H99" s="49">
        <f>'дод 2'!I160</f>
        <v>0</v>
      </c>
      <c r="I99" s="49">
        <f>'дод 2'!J160</f>
        <v>233299.68</v>
      </c>
      <c r="J99" s="49">
        <f>'дод 2'!K160</f>
        <v>0</v>
      </c>
      <c r="K99" s="49">
        <f>'дод 2'!L160</f>
        <v>0</v>
      </c>
      <c r="L99" s="158">
        <f t="shared" si="16"/>
        <v>34.951262921348317</v>
      </c>
      <c r="M99" s="49">
        <f>'дод 2'!N160</f>
        <v>0</v>
      </c>
      <c r="N99" s="49">
        <f>'дод 2'!O160</f>
        <v>0</v>
      </c>
      <c r="O99" s="49">
        <f>'дод 2'!P160</f>
        <v>0</v>
      </c>
      <c r="P99" s="49">
        <f>'дод 2'!Q160</f>
        <v>0</v>
      </c>
      <c r="Q99" s="49">
        <f>'дод 2'!R160</f>
        <v>0</v>
      </c>
      <c r="R99" s="49">
        <f>'дод 2'!S160</f>
        <v>0</v>
      </c>
      <c r="S99" s="49">
        <f>'дод 2'!T160</f>
        <v>0</v>
      </c>
      <c r="T99" s="49">
        <f>'дод 2'!U160</f>
        <v>0</v>
      </c>
      <c r="U99" s="49">
        <f>'дод 2'!V160</f>
        <v>0</v>
      </c>
      <c r="V99" s="49">
        <f>'дод 2'!W160</f>
        <v>0</v>
      </c>
      <c r="W99" s="49">
        <f>'дод 2'!X160</f>
        <v>0</v>
      </c>
      <c r="X99" s="49">
        <f>'дод 2'!Y160</f>
        <v>0</v>
      </c>
      <c r="Y99" s="158"/>
      <c r="Z99" s="49">
        <f>'дод 2'!AA160</f>
        <v>233299.68</v>
      </c>
      <c r="AA99" s="49">
        <f>'дод 2'!AB160</f>
        <v>667500</v>
      </c>
    </row>
    <row r="100" spans="1:27" s="54" customFormat="1" x14ac:dyDescent="0.25">
      <c r="A100" s="80"/>
      <c r="B100" s="80"/>
      <c r="C100" s="81" t="s">
        <v>395</v>
      </c>
      <c r="D100" s="82">
        <f>'дод 2'!E161</f>
        <v>667500</v>
      </c>
      <c r="E100" s="82">
        <f>'дод 2'!F161</f>
        <v>667500</v>
      </c>
      <c r="F100" s="82">
        <f>'дод 2'!G161</f>
        <v>0</v>
      </c>
      <c r="G100" s="82">
        <f>'дод 2'!H161</f>
        <v>0</v>
      </c>
      <c r="H100" s="82">
        <f>'дод 2'!I161</f>
        <v>0</v>
      </c>
      <c r="I100" s="82">
        <f>'дод 2'!J161</f>
        <v>233299.68</v>
      </c>
      <c r="J100" s="82">
        <f>'дод 2'!K161</f>
        <v>0</v>
      </c>
      <c r="K100" s="82">
        <f>'дод 2'!L161</f>
        <v>0</v>
      </c>
      <c r="L100" s="158">
        <f t="shared" si="16"/>
        <v>34.951262921348317</v>
      </c>
      <c r="M100" s="82">
        <f>'дод 2'!N161</f>
        <v>0</v>
      </c>
      <c r="N100" s="82">
        <f>'дод 2'!O161</f>
        <v>0</v>
      </c>
      <c r="O100" s="82">
        <f>'дод 2'!P161</f>
        <v>0</v>
      </c>
      <c r="P100" s="82">
        <f>'дод 2'!Q161</f>
        <v>0</v>
      </c>
      <c r="Q100" s="82">
        <f>'дод 2'!R161</f>
        <v>0</v>
      </c>
      <c r="R100" s="82">
        <f>'дод 2'!S161</f>
        <v>0</v>
      </c>
      <c r="S100" s="82">
        <f>'дод 2'!T161</f>
        <v>0</v>
      </c>
      <c r="T100" s="82">
        <f>'дод 2'!U161</f>
        <v>0</v>
      </c>
      <c r="U100" s="82">
        <f>'дод 2'!V161</f>
        <v>0</v>
      </c>
      <c r="V100" s="82">
        <f>'дод 2'!W161</f>
        <v>0</v>
      </c>
      <c r="W100" s="82">
        <f>'дод 2'!X161</f>
        <v>0</v>
      </c>
      <c r="X100" s="82">
        <f>'дод 2'!Y161</f>
        <v>0</v>
      </c>
      <c r="Y100" s="158"/>
      <c r="Z100" s="82">
        <f>'дод 2'!AA161</f>
        <v>233299.68</v>
      </c>
      <c r="AA100" s="82">
        <f>'дод 2'!AB161</f>
        <v>667500</v>
      </c>
    </row>
    <row r="101" spans="1:27" ht="40.5" customHeight="1" x14ac:dyDescent="0.25">
      <c r="A101" s="37" t="s">
        <v>317</v>
      </c>
      <c r="B101" s="37" t="s">
        <v>53</v>
      </c>
      <c r="C101" s="3" t="s">
        <v>412</v>
      </c>
      <c r="D101" s="49">
        <f>'дод 2'!E162</f>
        <v>245000</v>
      </c>
      <c r="E101" s="49">
        <f>'дод 2'!F162</f>
        <v>245000</v>
      </c>
      <c r="F101" s="49">
        <f>'дод 2'!G162</f>
        <v>0</v>
      </c>
      <c r="G101" s="49">
        <f>'дод 2'!H162</f>
        <v>0</v>
      </c>
      <c r="H101" s="49">
        <f>'дод 2'!I162</f>
        <v>0</v>
      </c>
      <c r="I101" s="49">
        <f>'дод 2'!J162</f>
        <v>46358.26</v>
      </c>
      <c r="J101" s="49">
        <f>'дод 2'!K162</f>
        <v>0</v>
      </c>
      <c r="K101" s="49">
        <f>'дод 2'!L162</f>
        <v>0</v>
      </c>
      <c r="L101" s="158">
        <f t="shared" si="16"/>
        <v>18.921738775510207</v>
      </c>
      <c r="M101" s="49">
        <f>'дод 2'!N162</f>
        <v>0</v>
      </c>
      <c r="N101" s="49">
        <f>'дод 2'!O162</f>
        <v>0</v>
      </c>
      <c r="O101" s="49">
        <f>'дод 2'!P162</f>
        <v>0</v>
      </c>
      <c r="P101" s="49">
        <f>'дод 2'!Q162</f>
        <v>0</v>
      </c>
      <c r="Q101" s="49">
        <f>'дод 2'!R162</f>
        <v>0</v>
      </c>
      <c r="R101" s="49">
        <f>'дод 2'!S162</f>
        <v>0</v>
      </c>
      <c r="S101" s="49">
        <f>'дод 2'!T162</f>
        <v>0</v>
      </c>
      <c r="T101" s="49">
        <f>'дод 2'!U162</f>
        <v>0</v>
      </c>
      <c r="U101" s="49">
        <f>'дод 2'!V162</f>
        <v>0</v>
      </c>
      <c r="V101" s="49">
        <f>'дод 2'!W162</f>
        <v>0</v>
      </c>
      <c r="W101" s="49">
        <f>'дод 2'!X162</f>
        <v>0</v>
      </c>
      <c r="X101" s="49">
        <f>'дод 2'!Y162</f>
        <v>0</v>
      </c>
      <c r="Y101" s="158"/>
      <c r="Z101" s="49">
        <f>'дод 2'!AA162</f>
        <v>46358.26</v>
      </c>
      <c r="AA101" s="49">
        <f>'дод 2'!AB162</f>
        <v>245000</v>
      </c>
    </row>
    <row r="102" spans="1:27" s="54" customFormat="1" x14ac:dyDescent="0.25">
      <c r="A102" s="80"/>
      <c r="B102" s="80"/>
      <c r="C102" s="81" t="s">
        <v>395</v>
      </c>
      <c r="D102" s="82">
        <f>'дод 2'!E163</f>
        <v>245000</v>
      </c>
      <c r="E102" s="82">
        <f>'дод 2'!F163</f>
        <v>245000</v>
      </c>
      <c r="F102" s="82">
        <f>'дод 2'!G163</f>
        <v>0</v>
      </c>
      <c r="G102" s="82">
        <f>'дод 2'!H163</f>
        <v>0</v>
      </c>
      <c r="H102" s="82">
        <f>'дод 2'!I163</f>
        <v>0</v>
      </c>
      <c r="I102" s="82">
        <f>'дод 2'!J163</f>
        <v>46358.26</v>
      </c>
      <c r="J102" s="82">
        <f>'дод 2'!K163</f>
        <v>0</v>
      </c>
      <c r="K102" s="82">
        <f>'дод 2'!L163</f>
        <v>0</v>
      </c>
      <c r="L102" s="158">
        <f t="shared" si="16"/>
        <v>18.921738775510207</v>
      </c>
      <c r="M102" s="82">
        <f>'дод 2'!N163</f>
        <v>0</v>
      </c>
      <c r="N102" s="82">
        <f>'дод 2'!O163</f>
        <v>0</v>
      </c>
      <c r="O102" s="82">
        <f>'дод 2'!P163</f>
        <v>0</v>
      </c>
      <c r="P102" s="82">
        <f>'дод 2'!Q163</f>
        <v>0</v>
      </c>
      <c r="Q102" s="82">
        <f>'дод 2'!R163</f>
        <v>0</v>
      </c>
      <c r="R102" s="82">
        <f>'дод 2'!S163</f>
        <v>0</v>
      </c>
      <c r="S102" s="82">
        <f>'дод 2'!T163</f>
        <v>0</v>
      </c>
      <c r="T102" s="82">
        <f>'дод 2'!U163</f>
        <v>0</v>
      </c>
      <c r="U102" s="82">
        <f>'дод 2'!V163</f>
        <v>0</v>
      </c>
      <c r="V102" s="82">
        <f>'дод 2'!W163</f>
        <v>0</v>
      </c>
      <c r="W102" s="82">
        <f>'дод 2'!X163</f>
        <v>0</v>
      </c>
      <c r="X102" s="82">
        <f>'дод 2'!Y163</f>
        <v>0</v>
      </c>
      <c r="Y102" s="158"/>
      <c r="Z102" s="82">
        <f>'дод 2'!AA163</f>
        <v>46358.26</v>
      </c>
      <c r="AA102" s="82">
        <f>'дод 2'!AB163</f>
        <v>245000</v>
      </c>
    </row>
    <row r="103" spans="1:27" ht="66.75" customHeight="1" x14ac:dyDescent="0.25">
      <c r="A103" s="37" t="s">
        <v>104</v>
      </c>
      <c r="B103" s="37" t="s">
        <v>51</v>
      </c>
      <c r="C103" s="3" t="s">
        <v>31</v>
      </c>
      <c r="D103" s="49">
        <f>'дод 2'!E164</f>
        <v>17414450</v>
      </c>
      <c r="E103" s="49">
        <f>'дод 2'!F164</f>
        <v>17414450</v>
      </c>
      <c r="F103" s="49">
        <f>'дод 2'!G164</f>
        <v>13551350</v>
      </c>
      <c r="G103" s="49">
        <f>'дод 2'!H164</f>
        <v>234800</v>
      </c>
      <c r="H103" s="49">
        <f>'дод 2'!I164</f>
        <v>0</v>
      </c>
      <c r="I103" s="49">
        <f>'дод 2'!J164</f>
        <v>8293821.1600000001</v>
      </c>
      <c r="J103" s="49">
        <f>'дод 2'!K164</f>
        <v>6496153.1200000001</v>
      </c>
      <c r="K103" s="49">
        <f>'дод 2'!L164</f>
        <v>150051.54</v>
      </c>
      <c r="L103" s="158">
        <f t="shared" si="16"/>
        <v>47.626087301063194</v>
      </c>
      <c r="M103" s="49">
        <f>'дод 2'!N164</f>
        <v>96200</v>
      </c>
      <c r="N103" s="49">
        <f>'дод 2'!O164</f>
        <v>0</v>
      </c>
      <c r="O103" s="49">
        <f>'дод 2'!P164</f>
        <v>96200</v>
      </c>
      <c r="P103" s="49">
        <f>'дод 2'!Q164</f>
        <v>75000</v>
      </c>
      <c r="Q103" s="49">
        <f>'дод 2'!R164</f>
        <v>0</v>
      </c>
      <c r="R103" s="49">
        <f>'дод 2'!S164</f>
        <v>0</v>
      </c>
      <c r="S103" s="49">
        <f>'дод 2'!T164</f>
        <v>127498.53</v>
      </c>
      <c r="T103" s="49">
        <f>'дод 2'!U164</f>
        <v>0</v>
      </c>
      <c r="U103" s="49">
        <f>'дод 2'!V164</f>
        <v>127498.53</v>
      </c>
      <c r="V103" s="49">
        <f>'дод 2'!W164</f>
        <v>18476.419999999998</v>
      </c>
      <c r="W103" s="49">
        <f>'дод 2'!X164</f>
        <v>0</v>
      </c>
      <c r="X103" s="49">
        <f>'дод 2'!Y164</f>
        <v>0</v>
      </c>
      <c r="Y103" s="158">
        <f t="shared" si="17"/>
        <v>132.53485446985448</v>
      </c>
      <c r="Z103" s="49">
        <f>'дод 2'!AA164</f>
        <v>8421319.6899999995</v>
      </c>
      <c r="AA103" s="49">
        <f>'дод 2'!AB164</f>
        <v>17510650</v>
      </c>
    </row>
    <row r="104" spans="1:27" ht="69.75" customHeight="1" x14ac:dyDescent="0.25">
      <c r="A104" s="37" t="s">
        <v>334</v>
      </c>
      <c r="B104" s="37" t="s">
        <v>102</v>
      </c>
      <c r="C104" s="36" t="s">
        <v>335</v>
      </c>
      <c r="D104" s="49">
        <f>SUM('дод 2'!E188)</f>
        <v>71140</v>
      </c>
      <c r="E104" s="49">
        <f>SUM('дод 2'!F188)</f>
        <v>71140</v>
      </c>
      <c r="F104" s="49">
        <f>SUM('дод 2'!G188)</f>
        <v>0</v>
      </c>
      <c r="G104" s="49">
        <f>SUM('дод 2'!H188)</f>
        <v>0</v>
      </c>
      <c r="H104" s="49">
        <f>SUM('дод 2'!I188)</f>
        <v>0</v>
      </c>
      <c r="I104" s="49">
        <f>SUM('дод 2'!J188)</f>
        <v>20733</v>
      </c>
      <c r="J104" s="49">
        <f>SUM('дод 2'!K188)</f>
        <v>0</v>
      </c>
      <c r="K104" s="49">
        <f>SUM('дод 2'!L188)</f>
        <v>0</v>
      </c>
      <c r="L104" s="158">
        <f t="shared" si="16"/>
        <v>29.143941523755974</v>
      </c>
      <c r="M104" s="49">
        <f>SUM('дод 2'!N188)</f>
        <v>0</v>
      </c>
      <c r="N104" s="49">
        <f>SUM('дод 2'!O188)</f>
        <v>0</v>
      </c>
      <c r="O104" s="49">
        <f>SUM('дод 2'!P188)</f>
        <v>0</v>
      </c>
      <c r="P104" s="49">
        <f>SUM('дод 2'!Q188)</f>
        <v>0</v>
      </c>
      <c r="Q104" s="49">
        <f>SUM('дод 2'!R188)</f>
        <v>0</v>
      </c>
      <c r="R104" s="49">
        <f>SUM('дод 2'!S188)</f>
        <v>0</v>
      </c>
      <c r="S104" s="49">
        <f>SUM('дод 2'!T188)</f>
        <v>0</v>
      </c>
      <c r="T104" s="49">
        <f>SUM('дод 2'!U188)</f>
        <v>0</v>
      </c>
      <c r="U104" s="49">
        <f>SUM('дод 2'!V188)</f>
        <v>0</v>
      </c>
      <c r="V104" s="49">
        <f>SUM('дод 2'!W188)</f>
        <v>0</v>
      </c>
      <c r="W104" s="49">
        <f>SUM('дод 2'!X188)</f>
        <v>0</v>
      </c>
      <c r="X104" s="49">
        <f>SUM('дод 2'!Y188)</f>
        <v>0</v>
      </c>
      <c r="Y104" s="158"/>
      <c r="Z104" s="49">
        <f>SUM('дод 2'!AA188)</f>
        <v>20733</v>
      </c>
      <c r="AA104" s="49">
        <f>SUM('дод 2'!AB188)</f>
        <v>71140</v>
      </c>
    </row>
    <row r="105" spans="1:27" s="54" customFormat="1" ht="36" customHeight="1" x14ac:dyDescent="0.25">
      <c r="A105" s="37" t="s">
        <v>105</v>
      </c>
      <c r="B105" s="37" t="s">
        <v>102</v>
      </c>
      <c r="C105" s="3" t="s">
        <v>32</v>
      </c>
      <c r="D105" s="49">
        <f>'дод 2'!E189</f>
        <v>96240</v>
      </c>
      <c r="E105" s="49">
        <f>'дод 2'!F189</f>
        <v>96240</v>
      </c>
      <c r="F105" s="49">
        <f>'дод 2'!G189</f>
        <v>0</v>
      </c>
      <c r="G105" s="49">
        <f>'дод 2'!H189</f>
        <v>0</v>
      </c>
      <c r="H105" s="49">
        <f>'дод 2'!I189</f>
        <v>0</v>
      </c>
      <c r="I105" s="49">
        <f>'дод 2'!J189</f>
        <v>49785.94</v>
      </c>
      <c r="J105" s="49">
        <f>'дод 2'!K189</f>
        <v>0</v>
      </c>
      <c r="K105" s="49">
        <f>'дод 2'!L189</f>
        <v>0</v>
      </c>
      <c r="L105" s="158">
        <f t="shared" si="16"/>
        <v>51.731026600166253</v>
      </c>
      <c r="M105" s="49">
        <f>'дод 2'!N189</f>
        <v>0</v>
      </c>
      <c r="N105" s="49">
        <f>'дод 2'!O189</f>
        <v>0</v>
      </c>
      <c r="O105" s="49">
        <f>'дод 2'!P189</f>
        <v>0</v>
      </c>
      <c r="P105" s="49">
        <f>'дод 2'!Q189</f>
        <v>0</v>
      </c>
      <c r="Q105" s="49">
        <f>'дод 2'!R189</f>
        <v>0</v>
      </c>
      <c r="R105" s="49">
        <f>'дод 2'!S189</f>
        <v>0</v>
      </c>
      <c r="S105" s="49">
        <f>'дод 2'!T189</f>
        <v>0</v>
      </c>
      <c r="T105" s="49">
        <f>'дод 2'!U189</f>
        <v>0</v>
      </c>
      <c r="U105" s="49">
        <f>'дод 2'!V189</f>
        <v>0</v>
      </c>
      <c r="V105" s="49">
        <f>'дод 2'!W189</f>
        <v>0</v>
      </c>
      <c r="W105" s="49">
        <f>'дод 2'!X189</f>
        <v>0</v>
      </c>
      <c r="X105" s="49">
        <f>'дод 2'!Y189</f>
        <v>0</v>
      </c>
      <c r="Y105" s="158"/>
      <c r="Z105" s="49">
        <f>'дод 2'!AA189</f>
        <v>49785.94</v>
      </c>
      <c r="AA105" s="49">
        <f>'дод 2'!AB189</f>
        <v>96240</v>
      </c>
    </row>
    <row r="106" spans="1:27" s="54" customFormat="1" ht="38.25" customHeight="1" x14ac:dyDescent="0.25">
      <c r="A106" s="37" t="s">
        <v>128</v>
      </c>
      <c r="B106" s="37" t="s">
        <v>102</v>
      </c>
      <c r="C106" s="3" t="s">
        <v>509</v>
      </c>
      <c r="D106" s="49">
        <f>'дод 2'!E29</f>
        <v>3206400</v>
      </c>
      <c r="E106" s="49">
        <f>'дод 2'!F29</f>
        <v>3206400</v>
      </c>
      <c r="F106" s="49">
        <f>'дод 2'!G29</f>
        <v>2407050</v>
      </c>
      <c r="G106" s="49">
        <f>'дод 2'!H29</f>
        <v>39590</v>
      </c>
      <c r="H106" s="49">
        <f>'дод 2'!I29</f>
        <v>0</v>
      </c>
      <c r="I106" s="49">
        <f>'дод 2'!J29</f>
        <v>1587406.53</v>
      </c>
      <c r="J106" s="49">
        <f>'дод 2'!K29</f>
        <v>1212357.01</v>
      </c>
      <c r="K106" s="49">
        <f>'дод 2'!L29</f>
        <v>27900.240000000002</v>
      </c>
      <c r="L106" s="158">
        <f t="shared" si="16"/>
        <v>49.507439184131734</v>
      </c>
      <c r="M106" s="49">
        <f>'дод 2'!N29</f>
        <v>0</v>
      </c>
      <c r="N106" s="49">
        <f>'дод 2'!O29</f>
        <v>0</v>
      </c>
      <c r="O106" s="49">
        <f>'дод 2'!P29</f>
        <v>0</v>
      </c>
      <c r="P106" s="49">
        <f>'дод 2'!Q29</f>
        <v>0</v>
      </c>
      <c r="Q106" s="49">
        <f>'дод 2'!R29</f>
        <v>0</v>
      </c>
      <c r="R106" s="49">
        <f>'дод 2'!S29</f>
        <v>0</v>
      </c>
      <c r="S106" s="49">
        <f>'дод 2'!T29</f>
        <v>680</v>
      </c>
      <c r="T106" s="49">
        <f>'дод 2'!U29</f>
        <v>0</v>
      </c>
      <c r="U106" s="49">
        <f>'дод 2'!V29</f>
        <v>680</v>
      </c>
      <c r="V106" s="49">
        <f>'дод 2'!W29</f>
        <v>0</v>
      </c>
      <c r="W106" s="49">
        <f>'дод 2'!X29</f>
        <v>0</v>
      </c>
      <c r="X106" s="49">
        <f>'дод 2'!Y29</f>
        <v>0</v>
      </c>
      <c r="Y106" s="158"/>
      <c r="Z106" s="49">
        <f>'дод 2'!AA29</f>
        <v>1588086.53</v>
      </c>
      <c r="AA106" s="49">
        <f>'дод 2'!AB29</f>
        <v>3206400</v>
      </c>
    </row>
    <row r="107" spans="1:27" s="54" customFormat="1" ht="43.5" customHeight="1" x14ac:dyDescent="0.25">
      <c r="A107" s="40" t="s">
        <v>109</v>
      </c>
      <c r="B107" s="40" t="s">
        <v>102</v>
      </c>
      <c r="C107" s="3" t="s">
        <v>342</v>
      </c>
      <c r="D107" s="49">
        <f>'дод 2'!E30</f>
        <v>684300</v>
      </c>
      <c r="E107" s="49">
        <f>'дод 2'!F30</f>
        <v>684300</v>
      </c>
      <c r="F107" s="49">
        <f>'дод 2'!G30</f>
        <v>0</v>
      </c>
      <c r="G107" s="49">
        <f>'дод 2'!H30</f>
        <v>0</v>
      </c>
      <c r="H107" s="49">
        <f>'дод 2'!I30</f>
        <v>0</v>
      </c>
      <c r="I107" s="49">
        <f>'дод 2'!J30</f>
        <v>124879</v>
      </c>
      <c r="J107" s="49">
        <f>'дод 2'!K30</f>
        <v>0</v>
      </c>
      <c r="K107" s="49">
        <f>'дод 2'!L30</f>
        <v>0</v>
      </c>
      <c r="L107" s="158">
        <f t="shared" si="16"/>
        <v>18.249159725266693</v>
      </c>
      <c r="M107" s="49">
        <f>'дод 2'!N30</f>
        <v>0</v>
      </c>
      <c r="N107" s="49">
        <f>'дод 2'!O30</f>
        <v>0</v>
      </c>
      <c r="O107" s="49">
        <f>'дод 2'!P30</f>
        <v>0</v>
      </c>
      <c r="P107" s="49">
        <f>'дод 2'!Q30</f>
        <v>0</v>
      </c>
      <c r="Q107" s="49">
        <f>'дод 2'!R30</f>
        <v>0</v>
      </c>
      <c r="R107" s="49">
        <f>'дод 2'!S30</f>
        <v>0</v>
      </c>
      <c r="S107" s="49">
        <f>'дод 2'!T30</f>
        <v>0</v>
      </c>
      <c r="T107" s="49">
        <f>'дод 2'!U30</f>
        <v>0</v>
      </c>
      <c r="U107" s="49">
        <f>'дод 2'!V30</f>
        <v>0</v>
      </c>
      <c r="V107" s="49">
        <f>'дод 2'!W30</f>
        <v>0</v>
      </c>
      <c r="W107" s="49">
        <f>'дод 2'!X30</f>
        <v>0</v>
      </c>
      <c r="X107" s="49">
        <f>'дод 2'!Y30</f>
        <v>0</v>
      </c>
      <c r="Y107" s="158"/>
      <c r="Z107" s="49">
        <f>'дод 2'!AA30</f>
        <v>124879</v>
      </c>
      <c r="AA107" s="49">
        <f>'дод 2'!AB30</f>
        <v>684300</v>
      </c>
    </row>
    <row r="108" spans="1:27" ht="69" customHeight="1" x14ac:dyDescent="0.25">
      <c r="A108" s="37" t="s">
        <v>110</v>
      </c>
      <c r="B108" s="37" t="s">
        <v>102</v>
      </c>
      <c r="C108" s="6" t="s">
        <v>20</v>
      </c>
      <c r="D108" s="49">
        <f>'дод 2'!E31+'дод 2'!E100</f>
        <v>3780000</v>
      </c>
      <c r="E108" s="49">
        <f>'дод 2'!F31+'дод 2'!F100</f>
        <v>3780000</v>
      </c>
      <c r="F108" s="49">
        <f>'дод 2'!G31+'дод 2'!G100</f>
        <v>0</v>
      </c>
      <c r="G108" s="49">
        <f>'дод 2'!H31+'дод 2'!H100</f>
        <v>0</v>
      </c>
      <c r="H108" s="49">
        <f>'дод 2'!I31+'дод 2'!I100</f>
        <v>0</v>
      </c>
      <c r="I108" s="49">
        <f>'дод 2'!J31+'дод 2'!J100</f>
        <v>301585.53999999998</v>
      </c>
      <c r="J108" s="49">
        <f>'дод 2'!K31+'дод 2'!K100</f>
        <v>0</v>
      </c>
      <c r="K108" s="49">
        <f>'дод 2'!L31+'дод 2'!L100</f>
        <v>0</v>
      </c>
      <c r="L108" s="158">
        <f t="shared" si="16"/>
        <v>7.978453439153439</v>
      </c>
      <c r="M108" s="49">
        <f>'дод 2'!N31+'дод 2'!N100</f>
        <v>0</v>
      </c>
      <c r="N108" s="49">
        <f>'дод 2'!O31+'дод 2'!O100</f>
        <v>0</v>
      </c>
      <c r="O108" s="49">
        <f>'дод 2'!P31+'дод 2'!P100</f>
        <v>0</v>
      </c>
      <c r="P108" s="49">
        <f>'дод 2'!Q31+'дод 2'!Q100</f>
        <v>0</v>
      </c>
      <c r="Q108" s="49">
        <f>'дод 2'!R31+'дод 2'!R100</f>
        <v>0</v>
      </c>
      <c r="R108" s="49">
        <f>'дод 2'!S31+'дод 2'!S100</f>
        <v>0</v>
      </c>
      <c r="S108" s="49">
        <f>'дод 2'!T31+'дод 2'!T100</f>
        <v>246774.81</v>
      </c>
      <c r="T108" s="49">
        <f>'дод 2'!U31+'дод 2'!U100</f>
        <v>0</v>
      </c>
      <c r="U108" s="49">
        <f>'дод 2'!V31+'дод 2'!V100</f>
        <v>246774.81</v>
      </c>
      <c r="V108" s="49">
        <f>'дод 2'!W31+'дод 2'!W100</f>
        <v>0</v>
      </c>
      <c r="W108" s="49">
        <f>'дод 2'!X31+'дод 2'!X100</f>
        <v>0</v>
      </c>
      <c r="X108" s="49">
        <f>'дод 2'!Y31+'дод 2'!Y100</f>
        <v>0</v>
      </c>
      <c r="Y108" s="158"/>
      <c r="Z108" s="49">
        <f>'дод 2'!AA31+'дод 2'!AA100</f>
        <v>548360.35</v>
      </c>
      <c r="AA108" s="49">
        <f>'дод 2'!AB31+'дод 2'!AB100</f>
        <v>3780000</v>
      </c>
    </row>
    <row r="109" spans="1:27" ht="69.75" customHeight="1" x14ac:dyDescent="0.25">
      <c r="A109" s="37" t="s">
        <v>111</v>
      </c>
      <c r="B109" s="37">
        <v>1010</v>
      </c>
      <c r="C109" s="3" t="s">
        <v>288</v>
      </c>
      <c r="D109" s="49">
        <f>'дод 2'!E165</f>
        <v>2500000</v>
      </c>
      <c r="E109" s="49">
        <f>'дод 2'!F165</f>
        <v>2500000</v>
      </c>
      <c r="F109" s="49">
        <f>'дод 2'!G165</f>
        <v>0</v>
      </c>
      <c r="G109" s="49">
        <f>'дод 2'!H165</f>
        <v>0</v>
      </c>
      <c r="H109" s="49">
        <f>'дод 2'!I165</f>
        <v>0</v>
      </c>
      <c r="I109" s="49">
        <f>'дод 2'!J165</f>
        <v>1496315.83</v>
      </c>
      <c r="J109" s="49">
        <f>'дод 2'!K165</f>
        <v>0</v>
      </c>
      <c r="K109" s="49">
        <f>'дод 2'!L165</f>
        <v>0</v>
      </c>
      <c r="L109" s="158">
        <f t="shared" si="16"/>
        <v>59.852633200000007</v>
      </c>
      <c r="M109" s="49">
        <f>'дод 2'!N165</f>
        <v>0</v>
      </c>
      <c r="N109" s="49">
        <f>'дод 2'!O165</f>
        <v>0</v>
      </c>
      <c r="O109" s="49">
        <f>'дод 2'!P165</f>
        <v>0</v>
      </c>
      <c r="P109" s="49">
        <f>'дод 2'!Q165</f>
        <v>0</v>
      </c>
      <c r="Q109" s="49">
        <f>'дод 2'!R165</f>
        <v>0</v>
      </c>
      <c r="R109" s="49">
        <f>'дод 2'!S165</f>
        <v>0</v>
      </c>
      <c r="S109" s="49">
        <f>'дод 2'!T165</f>
        <v>0</v>
      </c>
      <c r="T109" s="49">
        <f>'дод 2'!U165</f>
        <v>0</v>
      </c>
      <c r="U109" s="49">
        <f>'дод 2'!V165</f>
        <v>0</v>
      </c>
      <c r="V109" s="49">
        <f>'дод 2'!W165</f>
        <v>0</v>
      </c>
      <c r="W109" s="49">
        <f>'дод 2'!X165</f>
        <v>0</v>
      </c>
      <c r="X109" s="49">
        <f>'дод 2'!Y165</f>
        <v>0</v>
      </c>
      <c r="Y109" s="158"/>
      <c r="Z109" s="49">
        <f>'дод 2'!AA165</f>
        <v>1496315.83</v>
      </c>
      <c r="AA109" s="49">
        <f>'дод 2'!AB165</f>
        <v>2500000</v>
      </c>
    </row>
    <row r="110" spans="1:27" s="54" customFormat="1" ht="64.5" customHeight="1" x14ac:dyDescent="0.25">
      <c r="A110" s="37" t="s">
        <v>318</v>
      </c>
      <c r="B110" s="37">
        <v>1010</v>
      </c>
      <c r="C110" s="3" t="s">
        <v>407</v>
      </c>
      <c r="D110" s="49">
        <f>'дод 2'!E166</f>
        <v>198209</v>
      </c>
      <c r="E110" s="49">
        <f>'дод 2'!F166</f>
        <v>198209</v>
      </c>
      <c r="F110" s="49">
        <f>'дод 2'!G166</f>
        <v>0</v>
      </c>
      <c r="G110" s="49">
        <f>'дод 2'!H166</f>
        <v>0</v>
      </c>
      <c r="H110" s="49">
        <f>'дод 2'!I166</f>
        <v>0</v>
      </c>
      <c r="I110" s="49">
        <f>'дод 2'!J166</f>
        <v>90096.59</v>
      </c>
      <c r="J110" s="49">
        <f>'дод 2'!K166</f>
        <v>0</v>
      </c>
      <c r="K110" s="49">
        <f>'дод 2'!L166</f>
        <v>0</v>
      </c>
      <c r="L110" s="158">
        <f t="shared" si="16"/>
        <v>45.455347638099177</v>
      </c>
      <c r="M110" s="49">
        <f>'дод 2'!N166</f>
        <v>0</v>
      </c>
      <c r="N110" s="49">
        <f>'дод 2'!O166</f>
        <v>0</v>
      </c>
      <c r="O110" s="49">
        <f>'дод 2'!P166</f>
        <v>0</v>
      </c>
      <c r="P110" s="49">
        <f>'дод 2'!Q166</f>
        <v>0</v>
      </c>
      <c r="Q110" s="49">
        <f>'дод 2'!R166</f>
        <v>0</v>
      </c>
      <c r="R110" s="49">
        <f>'дод 2'!S166</f>
        <v>0</v>
      </c>
      <c r="S110" s="49">
        <f>'дод 2'!T166</f>
        <v>0</v>
      </c>
      <c r="T110" s="49">
        <f>'дод 2'!U166</f>
        <v>0</v>
      </c>
      <c r="U110" s="49">
        <f>'дод 2'!V166</f>
        <v>0</v>
      </c>
      <c r="V110" s="49">
        <f>'дод 2'!W166</f>
        <v>0</v>
      </c>
      <c r="W110" s="49">
        <f>'дод 2'!X166</f>
        <v>0</v>
      </c>
      <c r="X110" s="49">
        <f>'дод 2'!Y166</f>
        <v>0</v>
      </c>
      <c r="Y110" s="158"/>
      <c r="Z110" s="49">
        <f>'дод 2'!AA166</f>
        <v>90096.59</v>
      </c>
      <c r="AA110" s="49">
        <f>'дод 2'!AB166</f>
        <v>198209</v>
      </c>
    </row>
    <row r="111" spans="1:27" s="54" customFormat="1" x14ac:dyDescent="0.25">
      <c r="A111" s="80"/>
      <c r="B111" s="80"/>
      <c r="C111" s="81" t="s">
        <v>395</v>
      </c>
      <c r="D111" s="82">
        <f>'дод 2'!E167</f>
        <v>198209</v>
      </c>
      <c r="E111" s="82">
        <f>'дод 2'!F167</f>
        <v>198209</v>
      </c>
      <c r="F111" s="82">
        <f>'дод 2'!G167</f>
        <v>0</v>
      </c>
      <c r="G111" s="82">
        <f>'дод 2'!H167</f>
        <v>0</v>
      </c>
      <c r="H111" s="82">
        <f>'дод 2'!I167</f>
        <v>0</v>
      </c>
      <c r="I111" s="82">
        <f>'дод 2'!J167</f>
        <v>90096.59</v>
      </c>
      <c r="J111" s="82">
        <f>'дод 2'!K167</f>
        <v>0</v>
      </c>
      <c r="K111" s="82">
        <f>'дод 2'!L167</f>
        <v>0</v>
      </c>
      <c r="L111" s="158">
        <f t="shared" si="16"/>
        <v>45.455347638099177</v>
      </c>
      <c r="M111" s="82">
        <f>'дод 2'!N167</f>
        <v>0</v>
      </c>
      <c r="N111" s="82">
        <f>'дод 2'!O167</f>
        <v>0</v>
      </c>
      <c r="O111" s="82">
        <f>'дод 2'!P167</f>
        <v>0</v>
      </c>
      <c r="P111" s="82">
        <f>'дод 2'!Q167</f>
        <v>0</v>
      </c>
      <c r="Q111" s="82">
        <f>'дод 2'!R167</f>
        <v>0</v>
      </c>
      <c r="R111" s="82">
        <f>'дод 2'!S167</f>
        <v>0</v>
      </c>
      <c r="S111" s="82">
        <f>'дод 2'!T167</f>
        <v>0</v>
      </c>
      <c r="T111" s="82">
        <f>'дод 2'!U167</f>
        <v>0</v>
      </c>
      <c r="U111" s="82">
        <f>'дод 2'!V167</f>
        <v>0</v>
      </c>
      <c r="V111" s="82">
        <f>'дод 2'!W167</f>
        <v>0</v>
      </c>
      <c r="W111" s="82">
        <f>'дод 2'!X167</f>
        <v>0</v>
      </c>
      <c r="X111" s="82">
        <f>'дод 2'!Y167</f>
        <v>0</v>
      </c>
      <c r="Y111" s="158"/>
      <c r="Z111" s="82">
        <f>'дод 2'!AA167</f>
        <v>90096.59</v>
      </c>
      <c r="AA111" s="82">
        <f>'дод 2'!AB167</f>
        <v>198209</v>
      </c>
    </row>
    <row r="112" spans="1:27" s="54" customFormat="1" ht="36" customHeight="1" x14ac:dyDescent="0.25">
      <c r="A112" s="37" t="s">
        <v>319</v>
      </c>
      <c r="B112" s="37">
        <v>1010</v>
      </c>
      <c r="C112" s="3" t="s">
        <v>408</v>
      </c>
      <c r="D112" s="49">
        <f>'дод 2'!E168</f>
        <v>90</v>
      </c>
      <c r="E112" s="49">
        <f>'дод 2'!F168</f>
        <v>90</v>
      </c>
      <c r="F112" s="49">
        <f>'дод 2'!G168</f>
        <v>0</v>
      </c>
      <c r="G112" s="49">
        <f>'дод 2'!H168</f>
        <v>0</v>
      </c>
      <c r="H112" s="49">
        <f>'дод 2'!I168</f>
        <v>0</v>
      </c>
      <c r="I112" s="49">
        <f>'дод 2'!J168</f>
        <v>0</v>
      </c>
      <c r="J112" s="49">
        <f>'дод 2'!K168</f>
        <v>0</v>
      </c>
      <c r="K112" s="49">
        <f>'дод 2'!L168</f>
        <v>0</v>
      </c>
      <c r="L112" s="158">
        <f t="shared" si="16"/>
        <v>0</v>
      </c>
      <c r="M112" s="49">
        <f>'дод 2'!N168</f>
        <v>0</v>
      </c>
      <c r="N112" s="49">
        <f>'дод 2'!O168</f>
        <v>0</v>
      </c>
      <c r="O112" s="49">
        <f>'дод 2'!P168</f>
        <v>0</v>
      </c>
      <c r="P112" s="49">
        <f>'дод 2'!Q168</f>
        <v>0</v>
      </c>
      <c r="Q112" s="49">
        <f>'дод 2'!R168</f>
        <v>0</v>
      </c>
      <c r="R112" s="49">
        <f>'дод 2'!S168</f>
        <v>0</v>
      </c>
      <c r="S112" s="49">
        <f>'дод 2'!T168</f>
        <v>0</v>
      </c>
      <c r="T112" s="49">
        <f>'дод 2'!U168</f>
        <v>0</v>
      </c>
      <c r="U112" s="49">
        <f>'дод 2'!V168</f>
        <v>0</v>
      </c>
      <c r="V112" s="49">
        <f>'дод 2'!W168</f>
        <v>0</v>
      </c>
      <c r="W112" s="49">
        <f>'дод 2'!X168</f>
        <v>0</v>
      </c>
      <c r="X112" s="49">
        <f>'дод 2'!Y168</f>
        <v>0</v>
      </c>
      <c r="Y112" s="158"/>
      <c r="Z112" s="49">
        <f>'дод 2'!AA168</f>
        <v>0</v>
      </c>
      <c r="AA112" s="49">
        <f>'дод 2'!AB168</f>
        <v>90</v>
      </c>
    </row>
    <row r="113" spans="1:27" s="54" customFormat="1" x14ac:dyDescent="0.25">
      <c r="A113" s="80"/>
      <c r="B113" s="80"/>
      <c r="C113" s="81" t="s">
        <v>395</v>
      </c>
      <c r="D113" s="82">
        <f>'дод 2'!E169</f>
        <v>90</v>
      </c>
      <c r="E113" s="82">
        <f>'дод 2'!F169</f>
        <v>90</v>
      </c>
      <c r="F113" s="82">
        <f>'дод 2'!G169</f>
        <v>0</v>
      </c>
      <c r="G113" s="82">
        <f>'дод 2'!H169</f>
        <v>0</v>
      </c>
      <c r="H113" s="82">
        <f>'дод 2'!I169</f>
        <v>0</v>
      </c>
      <c r="I113" s="82">
        <f>'дод 2'!J169</f>
        <v>0</v>
      </c>
      <c r="J113" s="82">
        <f>'дод 2'!K169</f>
        <v>0</v>
      </c>
      <c r="K113" s="82">
        <f>'дод 2'!L169</f>
        <v>0</v>
      </c>
      <c r="L113" s="158">
        <f t="shared" si="16"/>
        <v>0</v>
      </c>
      <c r="M113" s="82">
        <f>'дод 2'!N169</f>
        <v>0</v>
      </c>
      <c r="N113" s="82">
        <f>'дод 2'!O169</f>
        <v>0</v>
      </c>
      <c r="O113" s="82">
        <f>'дод 2'!P169</f>
        <v>0</v>
      </c>
      <c r="P113" s="82">
        <f>'дод 2'!Q169</f>
        <v>0</v>
      </c>
      <c r="Q113" s="82">
        <f>'дод 2'!R169</f>
        <v>0</v>
      </c>
      <c r="R113" s="82">
        <f>'дод 2'!S169</f>
        <v>0</v>
      </c>
      <c r="S113" s="82">
        <f>'дод 2'!T169</f>
        <v>0</v>
      </c>
      <c r="T113" s="82">
        <f>'дод 2'!U169</f>
        <v>0</v>
      </c>
      <c r="U113" s="82">
        <f>'дод 2'!V169</f>
        <v>0</v>
      </c>
      <c r="V113" s="82">
        <f>'дод 2'!W169</f>
        <v>0</v>
      </c>
      <c r="W113" s="82">
        <f>'дод 2'!X169</f>
        <v>0</v>
      </c>
      <c r="X113" s="82">
        <f>'дод 2'!Y169</f>
        <v>0</v>
      </c>
      <c r="Y113" s="158"/>
      <c r="Z113" s="82">
        <f>'дод 2'!AA169</f>
        <v>0</v>
      </c>
      <c r="AA113" s="82">
        <f>'дод 2'!AB169</f>
        <v>90</v>
      </c>
    </row>
    <row r="114" spans="1:27" ht="66" customHeight="1" x14ac:dyDescent="0.25">
      <c r="A114" s="37" t="s">
        <v>106</v>
      </c>
      <c r="B114" s="37" t="s">
        <v>54</v>
      </c>
      <c r="C114" s="3" t="s">
        <v>343</v>
      </c>
      <c r="D114" s="49">
        <f>'дод 2'!E170</f>
        <v>2213520</v>
      </c>
      <c r="E114" s="49">
        <f>'дод 2'!F170</f>
        <v>2213520</v>
      </c>
      <c r="F114" s="49">
        <f>'дод 2'!G170</f>
        <v>0</v>
      </c>
      <c r="G114" s="49">
        <f>'дод 2'!H170</f>
        <v>0</v>
      </c>
      <c r="H114" s="49">
        <f>'дод 2'!I170</f>
        <v>0</v>
      </c>
      <c r="I114" s="49">
        <f>'дод 2'!J170</f>
        <v>1383964.91</v>
      </c>
      <c r="J114" s="49">
        <f>'дод 2'!K170</f>
        <v>0</v>
      </c>
      <c r="K114" s="49">
        <f>'дод 2'!L170</f>
        <v>0</v>
      </c>
      <c r="L114" s="158">
        <f t="shared" si="16"/>
        <v>62.523262044164952</v>
      </c>
      <c r="M114" s="49">
        <f>'дод 2'!N170</f>
        <v>0</v>
      </c>
      <c r="N114" s="49">
        <f>'дод 2'!O170</f>
        <v>0</v>
      </c>
      <c r="O114" s="49">
        <f>'дод 2'!P170</f>
        <v>0</v>
      </c>
      <c r="P114" s="49">
        <f>'дод 2'!Q170</f>
        <v>0</v>
      </c>
      <c r="Q114" s="49">
        <f>'дод 2'!R170</f>
        <v>0</v>
      </c>
      <c r="R114" s="49">
        <f>'дод 2'!S170</f>
        <v>0</v>
      </c>
      <c r="S114" s="49">
        <f>'дод 2'!T170</f>
        <v>0</v>
      </c>
      <c r="T114" s="49">
        <f>'дод 2'!U170</f>
        <v>0</v>
      </c>
      <c r="U114" s="49">
        <f>'дод 2'!V170</f>
        <v>0</v>
      </c>
      <c r="V114" s="49">
        <f>'дод 2'!W170</f>
        <v>0</v>
      </c>
      <c r="W114" s="49">
        <f>'дод 2'!X170</f>
        <v>0</v>
      </c>
      <c r="X114" s="49">
        <f>'дод 2'!Y170</f>
        <v>0</v>
      </c>
      <c r="Y114" s="158"/>
      <c r="Z114" s="49">
        <f>'дод 2'!AA170</f>
        <v>1383964.91</v>
      </c>
      <c r="AA114" s="49">
        <f>'дод 2'!AB170</f>
        <v>2213520</v>
      </c>
    </row>
    <row r="115" spans="1:27" s="54" customFormat="1" ht="23.25" customHeight="1" x14ac:dyDescent="0.25">
      <c r="A115" s="37" t="s">
        <v>289</v>
      </c>
      <c r="B115" s="37" t="s">
        <v>53</v>
      </c>
      <c r="C115" s="3" t="s">
        <v>18</v>
      </c>
      <c r="D115" s="49">
        <f>'дод 2'!E171</f>
        <v>2089960</v>
      </c>
      <c r="E115" s="49">
        <f>'дод 2'!F171</f>
        <v>2089960</v>
      </c>
      <c r="F115" s="49">
        <f>'дод 2'!G171</f>
        <v>0</v>
      </c>
      <c r="G115" s="49">
        <f>'дод 2'!H171</f>
        <v>0</v>
      </c>
      <c r="H115" s="49">
        <f>'дод 2'!I171</f>
        <v>0</v>
      </c>
      <c r="I115" s="49">
        <f>'дод 2'!J171</f>
        <v>1050245.54</v>
      </c>
      <c r="J115" s="49">
        <f>'дод 2'!K171</f>
        <v>0</v>
      </c>
      <c r="K115" s="49">
        <f>'дод 2'!L171</f>
        <v>0</v>
      </c>
      <c r="L115" s="158">
        <f t="shared" si="16"/>
        <v>50.251944534823636</v>
      </c>
      <c r="M115" s="49">
        <f>'дод 2'!N171</f>
        <v>0</v>
      </c>
      <c r="N115" s="49">
        <f>'дод 2'!O171</f>
        <v>0</v>
      </c>
      <c r="O115" s="49">
        <f>'дод 2'!P171</f>
        <v>0</v>
      </c>
      <c r="P115" s="49">
        <f>'дод 2'!Q171</f>
        <v>0</v>
      </c>
      <c r="Q115" s="49">
        <f>'дод 2'!R171</f>
        <v>0</v>
      </c>
      <c r="R115" s="49">
        <f>'дод 2'!S171</f>
        <v>0</v>
      </c>
      <c r="S115" s="49">
        <f>'дод 2'!T171</f>
        <v>0</v>
      </c>
      <c r="T115" s="49">
        <f>'дод 2'!U171</f>
        <v>0</v>
      </c>
      <c r="U115" s="49">
        <f>'дод 2'!V171</f>
        <v>0</v>
      </c>
      <c r="V115" s="49">
        <f>'дод 2'!W171</f>
        <v>0</v>
      </c>
      <c r="W115" s="49">
        <f>'дод 2'!X171</f>
        <v>0</v>
      </c>
      <c r="X115" s="49">
        <f>'дод 2'!Y171</f>
        <v>0</v>
      </c>
      <c r="Y115" s="158"/>
      <c r="Z115" s="49">
        <f>'дод 2'!AA171</f>
        <v>1050245.54</v>
      </c>
      <c r="AA115" s="49">
        <f>'дод 2'!AB171</f>
        <v>2089960</v>
      </c>
    </row>
    <row r="116" spans="1:27" s="54" customFormat="1" ht="51" customHeight="1" x14ac:dyDescent="0.25">
      <c r="A116" s="37" t="s">
        <v>290</v>
      </c>
      <c r="B116" s="37" t="s">
        <v>53</v>
      </c>
      <c r="C116" s="61" t="s">
        <v>510</v>
      </c>
      <c r="D116" s="49">
        <f>'дод 2'!E172</f>
        <v>2250688</v>
      </c>
      <c r="E116" s="49">
        <f>'дод 2'!F172</f>
        <v>2250688</v>
      </c>
      <c r="F116" s="49">
        <f>'дод 2'!G172</f>
        <v>0</v>
      </c>
      <c r="G116" s="49">
        <f>'дод 2'!H172</f>
        <v>0</v>
      </c>
      <c r="H116" s="49">
        <f>'дод 2'!I172</f>
        <v>0</v>
      </c>
      <c r="I116" s="49">
        <f>'дод 2'!J172</f>
        <v>939337.7</v>
      </c>
      <c r="J116" s="49">
        <f>'дод 2'!K172</f>
        <v>0</v>
      </c>
      <c r="K116" s="49">
        <f>'дод 2'!L172</f>
        <v>0</v>
      </c>
      <c r="L116" s="158">
        <f t="shared" si="16"/>
        <v>41.735580409190433</v>
      </c>
      <c r="M116" s="49">
        <f>'дод 2'!N172</f>
        <v>0</v>
      </c>
      <c r="N116" s="49">
        <f>'дод 2'!O172</f>
        <v>0</v>
      </c>
      <c r="O116" s="49">
        <f>'дод 2'!P172</f>
        <v>0</v>
      </c>
      <c r="P116" s="49">
        <f>'дод 2'!Q172</f>
        <v>0</v>
      </c>
      <c r="Q116" s="49">
        <f>'дод 2'!R172</f>
        <v>0</v>
      </c>
      <c r="R116" s="49">
        <f>'дод 2'!S172</f>
        <v>0</v>
      </c>
      <c r="S116" s="49">
        <f>'дод 2'!T172</f>
        <v>0</v>
      </c>
      <c r="T116" s="49">
        <f>'дод 2'!U172</f>
        <v>0</v>
      </c>
      <c r="U116" s="49">
        <f>'дод 2'!V172</f>
        <v>0</v>
      </c>
      <c r="V116" s="49">
        <f>'дод 2'!W172</f>
        <v>0</v>
      </c>
      <c r="W116" s="49">
        <f>'дод 2'!X172</f>
        <v>0</v>
      </c>
      <c r="X116" s="49">
        <f>'дод 2'!Y172</f>
        <v>0</v>
      </c>
      <c r="Y116" s="158"/>
      <c r="Z116" s="49">
        <f>'дод 2'!AA172</f>
        <v>939337.7</v>
      </c>
      <c r="AA116" s="49">
        <f>'дод 2'!AB172</f>
        <v>2250688</v>
      </c>
    </row>
    <row r="117" spans="1:27" ht="36.75" customHeight="1" x14ac:dyDescent="0.25">
      <c r="A117" s="37" t="s">
        <v>107</v>
      </c>
      <c r="B117" s="37" t="s">
        <v>57</v>
      </c>
      <c r="C117" s="3" t="s">
        <v>344</v>
      </c>
      <c r="D117" s="49">
        <f>'дод 2'!E173</f>
        <v>92000</v>
      </c>
      <c r="E117" s="49">
        <f>'дод 2'!F173</f>
        <v>92000</v>
      </c>
      <c r="F117" s="49">
        <f>'дод 2'!G173</f>
        <v>0</v>
      </c>
      <c r="G117" s="49">
        <f>'дод 2'!H173</f>
        <v>0</v>
      </c>
      <c r="H117" s="49">
        <f>'дод 2'!I173</f>
        <v>0</v>
      </c>
      <c r="I117" s="49">
        <f>'дод 2'!J173</f>
        <v>45235.199999999997</v>
      </c>
      <c r="J117" s="49">
        <f>'дод 2'!K173</f>
        <v>0</v>
      </c>
      <c r="K117" s="49">
        <f>'дод 2'!L173</f>
        <v>0</v>
      </c>
      <c r="L117" s="158">
        <f t="shared" si="16"/>
        <v>49.168695652173909</v>
      </c>
      <c r="M117" s="49">
        <f>'дод 2'!N173</f>
        <v>0</v>
      </c>
      <c r="N117" s="49">
        <f>'дод 2'!O173</f>
        <v>0</v>
      </c>
      <c r="O117" s="49">
        <f>'дод 2'!P173</f>
        <v>0</v>
      </c>
      <c r="P117" s="49">
        <f>'дод 2'!Q173</f>
        <v>0</v>
      </c>
      <c r="Q117" s="49">
        <f>'дод 2'!R173</f>
        <v>0</v>
      </c>
      <c r="R117" s="49">
        <f>'дод 2'!S173</f>
        <v>0</v>
      </c>
      <c r="S117" s="49">
        <f>'дод 2'!T173</f>
        <v>0</v>
      </c>
      <c r="T117" s="49">
        <f>'дод 2'!U173</f>
        <v>0</v>
      </c>
      <c r="U117" s="49">
        <f>'дод 2'!V173</f>
        <v>0</v>
      </c>
      <c r="V117" s="49">
        <f>'дод 2'!W173</f>
        <v>0</v>
      </c>
      <c r="W117" s="49">
        <f>'дод 2'!X173</f>
        <v>0</v>
      </c>
      <c r="X117" s="49">
        <f>'дод 2'!Y173</f>
        <v>0</v>
      </c>
      <c r="Y117" s="158"/>
      <c r="Z117" s="49">
        <f>'дод 2'!AA173</f>
        <v>45235.199999999997</v>
      </c>
      <c r="AA117" s="49">
        <f>'дод 2'!AB173</f>
        <v>92000</v>
      </c>
    </row>
    <row r="118" spans="1:27" ht="20.25" customHeight="1" x14ac:dyDescent="0.25">
      <c r="A118" s="37" t="s">
        <v>291</v>
      </c>
      <c r="B118" s="37" t="s">
        <v>108</v>
      </c>
      <c r="C118" s="3" t="s">
        <v>38</v>
      </c>
      <c r="D118" s="49">
        <f>'дод 2'!E174+'дод 2'!E212</f>
        <v>250000</v>
      </c>
      <c r="E118" s="49">
        <f>'дод 2'!F174+'дод 2'!F212</f>
        <v>250000</v>
      </c>
      <c r="F118" s="49">
        <f>'дод 2'!G174+'дод 2'!G212</f>
        <v>40900</v>
      </c>
      <c r="G118" s="49">
        <f>'дод 2'!H174+'дод 2'!H212</f>
        <v>0</v>
      </c>
      <c r="H118" s="49">
        <f>'дод 2'!I174+'дод 2'!I212</f>
        <v>0</v>
      </c>
      <c r="I118" s="49">
        <f>'дод 2'!J174+'дод 2'!J212</f>
        <v>0</v>
      </c>
      <c r="J118" s="49">
        <f>'дод 2'!K174+'дод 2'!K212</f>
        <v>0</v>
      </c>
      <c r="K118" s="49">
        <f>'дод 2'!L174+'дод 2'!L212</f>
        <v>0</v>
      </c>
      <c r="L118" s="158">
        <f t="shared" si="16"/>
        <v>0</v>
      </c>
      <c r="M118" s="49">
        <f>'дод 2'!N174+'дод 2'!N212</f>
        <v>0</v>
      </c>
      <c r="N118" s="49">
        <f>'дод 2'!O174+'дод 2'!O212</f>
        <v>0</v>
      </c>
      <c r="O118" s="49">
        <f>'дод 2'!P174+'дод 2'!P212</f>
        <v>0</v>
      </c>
      <c r="P118" s="49">
        <f>'дод 2'!Q174+'дод 2'!Q212</f>
        <v>0</v>
      </c>
      <c r="Q118" s="49">
        <f>'дод 2'!R174+'дод 2'!R212</f>
        <v>0</v>
      </c>
      <c r="R118" s="49">
        <f>'дод 2'!S174+'дод 2'!S212</f>
        <v>0</v>
      </c>
      <c r="S118" s="49">
        <f>'дод 2'!T174+'дод 2'!T212</f>
        <v>0</v>
      </c>
      <c r="T118" s="49">
        <f>'дод 2'!U174+'дод 2'!U212</f>
        <v>0</v>
      </c>
      <c r="U118" s="49">
        <f>'дод 2'!V174+'дод 2'!V212</f>
        <v>0</v>
      </c>
      <c r="V118" s="49">
        <f>'дод 2'!W174+'дод 2'!W212</f>
        <v>0</v>
      </c>
      <c r="W118" s="49">
        <f>'дод 2'!X174+'дод 2'!X212</f>
        <v>0</v>
      </c>
      <c r="X118" s="49">
        <f>'дод 2'!Y174+'дод 2'!Y212</f>
        <v>0</v>
      </c>
      <c r="Y118" s="158"/>
      <c r="Z118" s="49">
        <f>'дод 2'!AA174+'дод 2'!AA212</f>
        <v>0</v>
      </c>
      <c r="AA118" s="49">
        <f>'дод 2'!AB174+'дод 2'!AB212</f>
        <v>250000</v>
      </c>
    </row>
    <row r="119" spans="1:27" ht="236.25" hidden="1" customHeight="1" x14ac:dyDescent="0.25">
      <c r="A119" s="37">
        <v>3221</v>
      </c>
      <c r="B119" s="59" t="s">
        <v>54</v>
      </c>
      <c r="C119" s="36" t="s">
        <v>445</v>
      </c>
      <c r="D119" s="49">
        <f>'дод 2'!E175</f>
        <v>0</v>
      </c>
      <c r="E119" s="49">
        <f>'дод 2'!F175</f>
        <v>0</v>
      </c>
      <c r="F119" s="49">
        <f>'дод 2'!G175</f>
        <v>0</v>
      </c>
      <c r="G119" s="49">
        <f>'дод 2'!H175</f>
        <v>0</v>
      </c>
      <c r="H119" s="49">
        <f>'дод 2'!I175</f>
        <v>0</v>
      </c>
      <c r="I119" s="49">
        <f>'дод 2'!J175</f>
        <v>0</v>
      </c>
      <c r="J119" s="49">
        <f>'дод 2'!K175</f>
        <v>0</v>
      </c>
      <c r="K119" s="49">
        <f>'дод 2'!L175</f>
        <v>0</v>
      </c>
      <c r="L119" s="158" t="e">
        <f t="shared" si="16"/>
        <v>#DIV/0!</v>
      </c>
      <c r="M119" s="49">
        <f>'дод 2'!N175</f>
        <v>0</v>
      </c>
      <c r="N119" s="49">
        <f>'дод 2'!O175</f>
        <v>0</v>
      </c>
      <c r="O119" s="49">
        <f>'дод 2'!P175</f>
        <v>0</v>
      </c>
      <c r="P119" s="49">
        <f>'дод 2'!Q175</f>
        <v>0</v>
      </c>
      <c r="Q119" s="49">
        <f>'дод 2'!R175</f>
        <v>0</v>
      </c>
      <c r="R119" s="49">
        <f>'дод 2'!S175</f>
        <v>0</v>
      </c>
      <c r="S119" s="49">
        <f>'дод 2'!T175</f>
        <v>0</v>
      </c>
      <c r="T119" s="49">
        <f>'дод 2'!U175</f>
        <v>0</v>
      </c>
      <c r="U119" s="49">
        <f>'дод 2'!V175</f>
        <v>0</v>
      </c>
      <c r="V119" s="49">
        <f>'дод 2'!W175</f>
        <v>0</v>
      </c>
      <c r="W119" s="49">
        <f>'дод 2'!X175</f>
        <v>0</v>
      </c>
      <c r="X119" s="49">
        <f>'дод 2'!Y175</f>
        <v>0</v>
      </c>
      <c r="Y119" s="158" t="e">
        <f t="shared" si="17"/>
        <v>#DIV/0!</v>
      </c>
      <c r="Z119" s="49">
        <f>'дод 2'!AA175</f>
        <v>0</v>
      </c>
      <c r="AA119" s="49">
        <f>'дод 2'!AB175</f>
        <v>0</v>
      </c>
    </row>
    <row r="120" spans="1:27" s="54" customFormat="1" ht="283.5" hidden="1" customHeight="1" x14ac:dyDescent="0.25">
      <c r="A120" s="80"/>
      <c r="B120" s="91"/>
      <c r="C120" s="89" t="s">
        <v>448</v>
      </c>
      <c r="D120" s="82">
        <f>'дод 2'!E176</f>
        <v>0</v>
      </c>
      <c r="E120" s="82">
        <f>'дод 2'!F176</f>
        <v>0</v>
      </c>
      <c r="F120" s="82">
        <f>'дод 2'!G176</f>
        <v>0</v>
      </c>
      <c r="G120" s="82">
        <f>'дод 2'!H176</f>
        <v>0</v>
      </c>
      <c r="H120" s="82">
        <f>'дод 2'!I176</f>
        <v>0</v>
      </c>
      <c r="I120" s="82">
        <f>'дод 2'!J176</f>
        <v>0</v>
      </c>
      <c r="J120" s="82">
        <f>'дод 2'!K176</f>
        <v>0</v>
      </c>
      <c r="K120" s="82">
        <f>'дод 2'!L176</f>
        <v>0</v>
      </c>
      <c r="L120" s="158" t="e">
        <f t="shared" si="16"/>
        <v>#DIV/0!</v>
      </c>
      <c r="M120" s="82">
        <f>'дод 2'!N176</f>
        <v>0</v>
      </c>
      <c r="N120" s="82">
        <f>'дод 2'!O176</f>
        <v>0</v>
      </c>
      <c r="O120" s="82">
        <f>'дод 2'!P176</f>
        <v>0</v>
      </c>
      <c r="P120" s="82">
        <f>'дод 2'!Q176</f>
        <v>0</v>
      </c>
      <c r="Q120" s="82">
        <f>'дод 2'!R176</f>
        <v>0</v>
      </c>
      <c r="R120" s="82">
        <f>'дод 2'!S176</f>
        <v>0</v>
      </c>
      <c r="S120" s="82">
        <f>'дод 2'!T176</f>
        <v>0</v>
      </c>
      <c r="T120" s="82">
        <f>'дод 2'!U176</f>
        <v>0</v>
      </c>
      <c r="U120" s="82">
        <f>'дод 2'!V176</f>
        <v>0</v>
      </c>
      <c r="V120" s="82">
        <f>'дод 2'!W176</f>
        <v>0</v>
      </c>
      <c r="W120" s="82">
        <f>'дод 2'!X176</f>
        <v>0</v>
      </c>
      <c r="X120" s="82">
        <f>'дод 2'!Y176</f>
        <v>0</v>
      </c>
      <c r="Y120" s="158" t="e">
        <f t="shared" si="17"/>
        <v>#DIV/0!</v>
      </c>
      <c r="Z120" s="82">
        <f>'дод 2'!AA176</f>
        <v>0</v>
      </c>
      <c r="AA120" s="82">
        <f>'дод 2'!AB176</f>
        <v>0</v>
      </c>
    </row>
    <row r="121" spans="1:27" ht="189" hidden="1" customHeight="1" x14ac:dyDescent="0.25">
      <c r="A121" s="37">
        <v>3223</v>
      </c>
      <c r="B121" s="59" t="s">
        <v>54</v>
      </c>
      <c r="C121" s="36" t="s">
        <v>446</v>
      </c>
      <c r="D121" s="49">
        <f>'дод 2'!E177</f>
        <v>0</v>
      </c>
      <c r="E121" s="49">
        <f>'дод 2'!F177</f>
        <v>0</v>
      </c>
      <c r="F121" s="49">
        <f>'дод 2'!G177</f>
        <v>0</v>
      </c>
      <c r="G121" s="49">
        <f>'дод 2'!H177</f>
        <v>0</v>
      </c>
      <c r="H121" s="49">
        <f>'дод 2'!I177</f>
        <v>0</v>
      </c>
      <c r="I121" s="49">
        <f>'дод 2'!J177</f>
        <v>0</v>
      </c>
      <c r="J121" s="49">
        <f>'дод 2'!K177</f>
        <v>0</v>
      </c>
      <c r="K121" s="49">
        <f>'дод 2'!L177</f>
        <v>0</v>
      </c>
      <c r="L121" s="158" t="e">
        <f t="shared" si="16"/>
        <v>#DIV/0!</v>
      </c>
      <c r="M121" s="49">
        <f>'дод 2'!N177</f>
        <v>0</v>
      </c>
      <c r="N121" s="49">
        <f>'дод 2'!O177</f>
        <v>0</v>
      </c>
      <c r="O121" s="49">
        <f>'дод 2'!P177</f>
        <v>0</v>
      </c>
      <c r="P121" s="49">
        <f>'дод 2'!Q177</f>
        <v>0</v>
      </c>
      <c r="Q121" s="49">
        <f>'дод 2'!R177</f>
        <v>0</v>
      </c>
      <c r="R121" s="49">
        <f>'дод 2'!S177</f>
        <v>0</v>
      </c>
      <c r="S121" s="49">
        <f>'дод 2'!T177</f>
        <v>0</v>
      </c>
      <c r="T121" s="49">
        <f>'дод 2'!U177</f>
        <v>0</v>
      </c>
      <c r="U121" s="49">
        <f>'дод 2'!V177</f>
        <v>0</v>
      </c>
      <c r="V121" s="49">
        <f>'дод 2'!W177</f>
        <v>0</v>
      </c>
      <c r="W121" s="49">
        <f>'дод 2'!X177</f>
        <v>0</v>
      </c>
      <c r="X121" s="49">
        <f>'дод 2'!Y177</f>
        <v>0</v>
      </c>
      <c r="Y121" s="158" t="e">
        <f t="shared" si="17"/>
        <v>#DIV/0!</v>
      </c>
      <c r="Z121" s="49">
        <f>'дод 2'!AA177</f>
        <v>0</v>
      </c>
      <c r="AA121" s="49">
        <f>'дод 2'!AB177</f>
        <v>0</v>
      </c>
    </row>
    <row r="122" spans="1:27" s="54" customFormat="1" ht="236.25" hidden="1" customHeight="1" x14ac:dyDescent="0.25">
      <c r="A122" s="80"/>
      <c r="B122" s="91"/>
      <c r="C122" s="89" t="s">
        <v>447</v>
      </c>
      <c r="D122" s="82">
        <f>'дод 2'!E178</f>
        <v>0</v>
      </c>
      <c r="E122" s="82">
        <f>'дод 2'!F178</f>
        <v>0</v>
      </c>
      <c r="F122" s="82">
        <f>'дод 2'!G178</f>
        <v>0</v>
      </c>
      <c r="G122" s="82">
        <f>'дод 2'!H178</f>
        <v>0</v>
      </c>
      <c r="H122" s="82">
        <f>'дод 2'!I178</f>
        <v>0</v>
      </c>
      <c r="I122" s="82">
        <f>'дод 2'!J178</f>
        <v>0</v>
      </c>
      <c r="J122" s="82">
        <f>'дод 2'!K178</f>
        <v>0</v>
      </c>
      <c r="K122" s="82">
        <f>'дод 2'!L178</f>
        <v>0</v>
      </c>
      <c r="L122" s="158" t="e">
        <f t="shared" si="16"/>
        <v>#DIV/0!</v>
      </c>
      <c r="M122" s="82">
        <f>'дод 2'!N178</f>
        <v>0</v>
      </c>
      <c r="N122" s="82">
        <f>'дод 2'!O178</f>
        <v>0</v>
      </c>
      <c r="O122" s="82">
        <f>'дод 2'!P178</f>
        <v>0</v>
      </c>
      <c r="P122" s="82">
        <f>'дод 2'!Q178</f>
        <v>0</v>
      </c>
      <c r="Q122" s="82">
        <f>'дод 2'!R178</f>
        <v>0</v>
      </c>
      <c r="R122" s="82">
        <f>'дод 2'!S178</f>
        <v>0</v>
      </c>
      <c r="S122" s="82">
        <f>'дод 2'!T178</f>
        <v>0</v>
      </c>
      <c r="T122" s="82">
        <f>'дод 2'!U178</f>
        <v>0</v>
      </c>
      <c r="U122" s="82">
        <f>'дод 2'!V178</f>
        <v>0</v>
      </c>
      <c r="V122" s="82">
        <f>'дод 2'!W178</f>
        <v>0</v>
      </c>
      <c r="W122" s="82">
        <f>'дод 2'!X178</f>
        <v>0</v>
      </c>
      <c r="X122" s="82">
        <f>'дод 2'!Y178</f>
        <v>0</v>
      </c>
      <c r="Y122" s="158" t="e">
        <f t="shared" si="17"/>
        <v>#DIV/0!</v>
      </c>
      <c r="Z122" s="82">
        <f>'дод 2'!AA178</f>
        <v>0</v>
      </c>
      <c r="AA122" s="82">
        <f>'дод 2'!AB178</f>
        <v>0</v>
      </c>
    </row>
    <row r="123" spans="1:27" s="54" customFormat="1" ht="32.25" customHeight="1" x14ac:dyDescent="0.25">
      <c r="A123" s="37" t="s">
        <v>292</v>
      </c>
      <c r="B123" s="37" t="s">
        <v>57</v>
      </c>
      <c r="C123" s="3" t="s">
        <v>294</v>
      </c>
      <c r="D123" s="49">
        <f>'дод 2'!E179+'дод 2'!E32</f>
        <v>8371008.5599999996</v>
      </c>
      <c r="E123" s="49">
        <f>'дод 2'!F179+'дод 2'!F32</f>
        <v>8371008.5599999996</v>
      </c>
      <c r="F123" s="49">
        <f>'дод 2'!G179+'дод 2'!G32</f>
        <v>5153600</v>
      </c>
      <c r="G123" s="49">
        <f>'дод 2'!H179+'дод 2'!H32</f>
        <v>429840</v>
      </c>
      <c r="H123" s="49">
        <f>'дод 2'!I179+'дод 2'!I32</f>
        <v>0</v>
      </c>
      <c r="I123" s="49">
        <f>'дод 2'!J179+'дод 2'!J32</f>
        <v>3798512.46</v>
      </c>
      <c r="J123" s="49">
        <f>'дод 2'!K179+'дод 2'!K32</f>
        <v>2494999.0099999998</v>
      </c>
      <c r="K123" s="49">
        <f>'дод 2'!L179+'дод 2'!L32</f>
        <v>269826.90000000002</v>
      </c>
      <c r="L123" s="158">
        <f t="shared" si="16"/>
        <v>45.376998873837017</v>
      </c>
      <c r="M123" s="49">
        <f>'дод 2'!N179+'дод 2'!N32</f>
        <v>161000</v>
      </c>
      <c r="N123" s="49">
        <f>'дод 2'!O179+'дод 2'!O32</f>
        <v>161000</v>
      </c>
      <c r="O123" s="49">
        <f>'дод 2'!P179+'дод 2'!P32</f>
        <v>0</v>
      </c>
      <c r="P123" s="49">
        <f>'дод 2'!Q179+'дод 2'!Q32</f>
        <v>0</v>
      </c>
      <c r="Q123" s="49">
        <f>'дод 2'!R179+'дод 2'!R32</f>
        <v>0</v>
      </c>
      <c r="R123" s="49">
        <f>'дод 2'!S179+'дод 2'!S32</f>
        <v>161000</v>
      </c>
      <c r="S123" s="49">
        <f>'дод 2'!T179+'дод 2'!T32</f>
        <v>13006.81</v>
      </c>
      <c r="T123" s="49">
        <f>'дод 2'!U179+'дод 2'!U32</f>
        <v>0</v>
      </c>
      <c r="U123" s="49">
        <f>'дод 2'!V179+'дод 2'!V32</f>
        <v>13006.81</v>
      </c>
      <c r="V123" s="49">
        <f>'дод 2'!W179+'дод 2'!W32</f>
        <v>0</v>
      </c>
      <c r="W123" s="49">
        <f>'дод 2'!X179+'дод 2'!X32</f>
        <v>0</v>
      </c>
      <c r="X123" s="49">
        <f>'дод 2'!Y179+'дод 2'!Y32</f>
        <v>0</v>
      </c>
      <c r="Y123" s="158">
        <f t="shared" si="17"/>
        <v>8.0787639751552796</v>
      </c>
      <c r="Z123" s="49">
        <f>'дод 2'!AA179+'дод 2'!AA32</f>
        <v>3811519.27</v>
      </c>
      <c r="AA123" s="49">
        <f>'дод 2'!AB179+'дод 2'!AB32</f>
        <v>8532008.5599999987</v>
      </c>
    </row>
    <row r="124" spans="1:27" s="54" customFormat="1" ht="31.5" customHeight="1" x14ac:dyDescent="0.25">
      <c r="A124" s="37" t="s">
        <v>293</v>
      </c>
      <c r="B124" s="37" t="s">
        <v>57</v>
      </c>
      <c r="C124" s="3" t="s">
        <v>523</v>
      </c>
      <c r="D124" s="49">
        <f>'дод 2'!E33+'дод 2'!E101+'дод 2'!E180</f>
        <v>38718092.549999997</v>
      </c>
      <c r="E124" s="49">
        <f>'дод 2'!F33+'дод 2'!F101+'дод 2'!F180</f>
        <v>38718092.549999997</v>
      </c>
      <c r="F124" s="49">
        <f>'дод 2'!G33+'дод 2'!G101+'дод 2'!G180</f>
        <v>0</v>
      </c>
      <c r="G124" s="49">
        <f>'дод 2'!H33+'дод 2'!H101+'дод 2'!H180</f>
        <v>0</v>
      </c>
      <c r="H124" s="49">
        <f>'дод 2'!I33+'дод 2'!I101+'дод 2'!I180</f>
        <v>0</v>
      </c>
      <c r="I124" s="49">
        <f>'дод 2'!J33+'дод 2'!J101+'дод 2'!J180</f>
        <v>8742459.3200000003</v>
      </c>
      <c r="J124" s="49">
        <f>'дод 2'!K33+'дод 2'!K101+'дод 2'!K180</f>
        <v>0</v>
      </c>
      <c r="K124" s="49">
        <f>'дод 2'!L33+'дод 2'!L101+'дод 2'!L180</f>
        <v>0</v>
      </c>
      <c r="L124" s="158">
        <f t="shared" si="16"/>
        <v>22.579777938983209</v>
      </c>
      <c r="M124" s="49">
        <f>'дод 2'!N33+'дод 2'!N101+'дод 2'!N180</f>
        <v>45000</v>
      </c>
      <c r="N124" s="49">
        <f>'дод 2'!O33+'дод 2'!O101+'дод 2'!O180</f>
        <v>45000</v>
      </c>
      <c r="O124" s="49">
        <f>'дод 2'!P33+'дод 2'!P101+'дод 2'!P180</f>
        <v>0</v>
      </c>
      <c r="P124" s="49">
        <f>'дод 2'!Q33+'дод 2'!Q101+'дод 2'!Q180</f>
        <v>0</v>
      </c>
      <c r="Q124" s="49">
        <f>'дод 2'!R33+'дод 2'!R101+'дод 2'!R180</f>
        <v>0</v>
      </c>
      <c r="R124" s="49">
        <f>'дод 2'!S33+'дод 2'!S101+'дод 2'!S180</f>
        <v>45000</v>
      </c>
      <c r="S124" s="49">
        <f>'дод 2'!T33+'дод 2'!T101+'дод 2'!T180</f>
        <v>0</v>
      </c>
      <c r="T124" s="49">
        <f>'дод 2'!U33+'дод 2'!U101+'дод 2'!U180</f>
        <v>0</v>
      </c>
      <c r="U124" s="49">
        <f>'дод 2'!V33+'дод 2'!V101+'дод 2'!V180</f>
        <v>0</v>
      </c>
      <c r="V124" s="49">
        <f>'дод 2'!W33+'дод 2'!W101+'дод 2'!W180</f>
        <v>0</v>
      </c>
      <c r="W124" s="49">
        <f>'дод 2'!X33+'дод 2'!X101+'дод 2'!X180</f>
        <v>0</v>
      </c>
      <c r="X124" s="49">
        <f>'дод 2'!Y33+'дод 2'!Y101+'дод 2'!Y180</f>
        <v>0</v>
      </c>
      <c r="Y124" s="158">
        <f t="shared" si="17"/>
        <v>0</v>
      </c>
      <c r="Z124" s="49">
        <f>'дод 2'!AA33+'дод 2'!AA101+'дод 2'!AA180</f>
        <v>8742459.3200000003</v>
      </c>
      <c r="AA124" s="49">
        <f>'дод 2'!AB33+'дод 2'!AB101+'дод 2'!AB180</f>
        <v>38763092.549999997</v>
      </c>
    </row>
    <row r="125" spans="1:27" s="54" customFormat="1" x14ac:dyDescent="0.25">
      <c r="A125" s="80"/>
      <c r="B125" s="80"/>
      <c r="C125" s="81" t="s">
        <v>395</v>
      </c>
      <c r="D125" s="82">
        <f>'дод 2'!E181</f>
        <v>348000</v>
      </c>
      <c r="E125" s="82">
        <f>'дод 2'!F181</f>
        <v>348000</v>
      </c>
      <c r="F125" s="82">
        <f>'дод 2'!G181</f>
        <v>0</v>
      </c>
      <c r="G125" s="82">
        <f>'дод 2'!H181</f>
        <v>0</v>
      </c>
      <c r="H125" s="82">
        <f>'дод 2'!I181</f>
        <v>0</v>
      </c>
      <c r="I125" s="82">
        <f>'дод 2'!J181</f>
        <v>136000</v>
      </c>
      <c r="J125" s="82">
        <f>'дод 2'!K181</f>
        <v>0</v>
      </c>
      <c r="K125" s="82">
        <f>'дод 2'!L181</f>
        <v>0</v>
      </c>
      <c r="L125" s="158">
        <f t="shared" si="16"/>
        <v>39.080459770114942</v>
      </c>
      <c r="M125" s="82">
        <f>'дод 2'!N181</f>
        <v>0</v>
      </c>
      <c r="N125" s="82">
        <f>'дод 2'!O181</f>
        <v>0</v>
      </c>
      <c r="O125" s="82">
        <f>'дод 2'!P181</f>
        <v>0</v>
      </c>
      <c r="P125" s="82">
        <f>'дод 2'!Q181</f>
        <v>0</v>
      </c>
      <c r="Q125" s="82">
        <f>'дод 2'!R181</f>
        <v>0</v>
      </c>
      <c r="R125" s="82">
        <f>'дод 2'!S181</f>
        <v>0</v>
      </c>
      <c r="S125" s="82">
        <f>'дод 2'!T181</f>
        <v>0</v>
      </c>
      <c r="T125" s="82">
        <f>'дод 2'!U181</f>
        <v>0</v>
      </c>
      <c r="U125" s="82">
        <f>'дод 2'!V181</f>
        <v>0</v>
      </c>
      <c r="V125" s="82">
        <f>'дод 2'!W181</f>
        <v>0</v>
      </c>
      <c r="W125" s="82">
        <f>'дод 2'!X181</f>
        <v>0</v>
      </c>
      <c r="X125" s="82">
        <f>'дод 2'!Y181</f>
        <v>0</v>
      </c>
      <c r="Y125" s="158"/>
      <c r="Z125" s="82">
        <f>'дод 2'!AA181</f>
        <v>136000</v>
      </c>
      <c r="AA125" s="82">
        <f>'дод 2'!AB181</f>
        <v>348000</v>
      </c>
    </row>
    <row r="126" spans="1:27" s="52" customFormat="1" ht="19.5" customHeight="1" x14ac:dyDescent="0.25">
      <c r="A126" s="38" t="s">
        <v>72</v>
      </c>
      <c r="B126" s="41"/>
      <c r="C126" s="2" t="s">
        <v>73</v>
      </c>
      <c r="D126" s="48">
        <f t="shared" ref="D126" si="22">D127+D128+D129+D130</f>
        <v>36141141</v>
      </c>
      <c r="E126" s="48">
        <f t="shared" ref="E126:AA126" si="23">E127+E128+E129+E130</f>
        <v>36141141</v>
      </c>
      <c r="F126" s="48">
        <f t="shared" si="23"/>
        <v>24290500</v>
      </c>
      <c r="G126" s="48">
        <f t="shared" si="23"/>
        <v>1854460</v>
      </c>
      <c r="H126" s="48">
        <f t="shared" si="23"/>
        <v>0</v>
      </c>
      <c r="I126" s="48">
        <f t="shared" si="23"/>
        <v>16122070.490000002</v>
      </c>
      <c r="J126" s="48">
        <f t="shared" si="23"/>
        <v>11569931.85</v>
      </c>
      <c r="K126" s="48">
        <f t="shared" si="23"/>
        <v>1166369.0499999998</v>
      </c>
      <c r="L126" s="158">
        <f t="shared" si="16"/>
        <v>44.608637259128045</v>
      </c>
      <c r="M126" s="48">
        <f t="shared" si="23"/>
        <v>446500</v>
      </c>
      <c r="N126" s="48">
        <f t="shared" si="23"/>
        <v>415500</v>
      </c>
      <c r="O126" s="48">
        <f t="shared" si="23"/>
        <v>31000</v>
      </c>
      <c r="P126" s="48">
        <f t="shared" si="23"/>
        <v>12100</v>
      </c>
      <c r="Q126" s="48">
        <f t="shared" si="23"/>
        <v>3300</v>
      </c>
      <c r="R126" s="48">
        <f t="shared" si="23"/>
        <v>415500</v>
      </c>
      <c r="S126" s="48">
        <f t="shared" si="23"/>
        <v>190591.49</v>
      </c>
      <c r="T126" s="48">
        <f t="shared" si="23"/>
        <v>0</v>
      </c>
      <c r="U126" s="48">
        <f t="shared" si="23"/>
        <v>50864.11</v>
      </c>
      <c r="V126" s="48">
        <f t="shared" si="23"/>
        <v>0</v>
      </c>
      <c r="W126" s="48">
        <f t="shared" si="23"/>
        <v>1885</v>
      </c>
      <c r="X126" s="48">
        <f t="shared" si="23"/>
        <v>139727.38</v>
      </c>
      <c r="Y126" s="158">
        <f t="shared" si="17"/>
        <v>42.685664053751395</v>
      </c>
      <c r="Z126" s="48">
        <f t="shared" si="23"/>
        <v>16312661.98</v>
      </c>
      <c r="AA126" s="48">
        <f t="shared" si="23"/>
        <v>36587641</v>
      </c>
    </row>
    <row r="127" spans="1:27" ht="22.5" customHeight="1" x14ac:dyDescent="0.25">
      <c r="A127" s="37" t="s">
        <v>74</v>
      </c>
      <c r="B127" s="37" t="s">
        <v>75</v>
      </c>
      <c r="C127" s="3" t="s">
        <v>15</v>
      </c>
      <c r="D127" s="49">
        <f>'дод 2'!E196</f>
        <v>22829400</v>
      </c>
      <c r="E127" s="49">
        <f>'дод 2'!F196</f>
        <v>22829400</v>
      </c>
      <c r="F127" s="49">
        <f>'дод 2'!G196</f>
        <v>16852700</v>
      </c>
      <c r="G127" s="49">
        <f>'дод 2'!H196</f>
        <v>1133500</v>
      </c>
      <c r="H127" s="49">
        <f>'дод 2'!I196</f>
        <v>0</v>
      </c>
      <c r="I127" s="49">
        <f>'дод 2'!J196</f>
        <v>10751425.33</v>
      </c>
      <c r="J127" s="49">
        <f>'дод 2'!K196</f>
        <v>7936724.0099999998</v>
      </c>
      <c r="K127" s="49">
        <f>'дод 2'!L196</f>
        <v>807747.76</v>
      </c>
      <c r="L127" s="158">
        <f t="shared" si="16"/>
        <v>47.094646946481298</v>
      </c>
      <c r="M127" s="49">
        <f>'дод 2'!N196</f>
        <v>252500</v>
      </c>
      <c r="N127" s="49">
        <f>'дод 2'!O196</f>
        <v>227500</v>
      </c>
      <c r="O127" s="49">
        <f>'дод 2'!P196</f>
        <v>25000</v>
      </c>
      <c r="P127" s="49">
        <f>'дод 2'!Q196</f>
        <v>12100</v>
      </c>
      <c r="Q127" s="49">
        <f>'дод 2'!R196</f>
        <v>0</v>
      </c>
      <c r="R127" s="49">
        <f>'дод 2'!S196</f>
        <v>227500</v>
      </c>
      <c r="S127" s="49">
        <f>'дод 2'!T196</f>
        <v>140849.49</v>
      </c>
      <c r="T127" s="49">
        <f>'дод 2'!U196</f>
        <v>0</v>
      </c>
      <c r="U127" s="49">
        <f>'дод 2'!V196</f>
        <v>1122.1099999999999</v>
      </c>
      <c r="V127" s="49">
        <f>'дод 2'!W196</f>
        <v>0</v>
      </c>
      <c r="W127" s="49">
        <f>'дод 2'!X196</f>
        <v>0</v>
      </c>
      <c r="X127" s="49">
        <f>'дод 2'!Y196</f>
        <v>139727.38</v>
      </c>
      <c r="Y127" s="158">
        <f t="shared" si="17"/>
        <v>55.781976237623752</v>
      </c>
      <c r="Z127" s="49">
        <f>'дод 2'!AA196</f>
        <v>10892274.82</v>
      </c>
      <c r="AA127" s="49">
        <f>'дод 2'!AB196</f>
        <v>23081900</v>
      </c>
    </row>
    <row r="128" spans="1:27" ht="33.75" customHeight="1" x14ac:dyDescent="0.25">
      <c r="A128" s="37" t="s">
        <v>321</v>
      </c>
      <c r="B128" s="37" t="s">
        <v>322</v>
      </c>
      <c r="C128" s="3" t="s">
        <v>323</v>
      </c>
      <c r="D128" s="49">
        <f>'дод 2'!E34+'дод 2'!E197</f>
        <v>6685960</v>
      </c>
      <c r="E128" s="49">
        <f>'дод 2'!F34+'дод 2'!F197</f>
        <v>6685960</v>
      </c>
      <c r="F128" s="49">
        <f>'дод 2'!G34+'дод 2'!G197</f>
        <v>4057800</v>
      </c>
      <c r="G128" s="49">
        <f>'дод 2'!H34+'дод 2'!H197</f>
        <v>613560</v>
      </c>
      <c r="H128" s="49">
        <f>'дод 2'!I34+'дод 2'!I197</f>
        <v>0</v>
      </c>
      <c r="I128" s="49">
        <f>'дод 2'!J34+'дод 2'!J197</f>
        <v>2919514.54</v>
      </c>
      <c r="J128" s="49">
        <f>'дод 2'!K34+'дод 2'!K197</f>
        <v>2017403.83</v>
      </c>
      <c r="K128" s="49">
        <f>'дод 2'!L34+'дод 2'!L197</f>
        <v>286068.39</v>
      </c>
      <c r="L128" s="158">
        <f t="shared" si="16"/>
        <v>43.666347689785759</v>
      </c>
      <c r="M128" s="49">
        <f>'дод 2'!N34+'дод 2'!N197</f>
        <v>106000</v>
      </c>
      <c r="N128" s="49">
        <f>'дод 2'!O34+'дод 2'!O197</f>
        <v>100000</v>
      </c>
      <c r="O128" s="49">
        <f>'дод 2'!P34+'дод 2'!P197</f>
        <v>6000</v>
      </c>
      <c r="P128" s="49">
        <f>'дод 2'!Q34+'дод 2'!Q197</f>
        <v>0</v>
      </c>
      <c r="Q128" s="49">
        <f>'дод 2'!R34+'дод 2'!R197</f>
        <v>3300</v>
      </c>
      <c r="R128" s="49">
        <f>'дод 2'!S34+'дод 2'!S197</f>
        <v>100000</v>
      </c>
      <c r="S128" s="49">
        <f>'дод 2'!T34+'дод 2'!T197</f>
        <v>49742</v>
      </c>
      <c r="T128" s="49">
        <f>'дод 2'!U34+'дод 2'!U197</f>
        <v>0</v>
      </c>
      <c r="U128" s="49">
        <f>'дод 2'!V34+'дод 2'!V197</f>
        <v>49742</v>
      </c>
      <c r="V128" s="49">
        <f>'дод 2'!W34+'дод 2'!W197</f>
        <v>0</v>
      </c>
      <c r="W128" s="49">
        <f>'дод 2'!X34+'дод 2'!X197</f>
        <v>1885</v>
      </c>
      <c r="X128" s="49">
        <f>'дод 2'!Y34+'дод 2'!Y197</f>
        <v>0</v>
      </c>
      <c r="Y128" s="158">
        <f t="shared" si="17"/>
        <v>46.926415094339625</v>
      </c>
      <c r="Z128" s="49">
        <f>'дод 2'!AA34+'дод 2'!AA197</f>
        <v>2969256.54</v>
      </c>
      <c r="AA128" s="49">
        <f>'дод 2'!AB34+'дод 2'!AB197</f>
        <v>6791960</v>
      </c>
    </row>
    <row r="129" spans="1:27" s="54" customFormat="1" ht="39.75" customHeight="1" x14ac:dyDescent="0.25">
      <c r="A129" s="37" t="s">
        <v>295</v>
      </c>
      <c r="B129" s="37" t="s">
        <v>76</v>
      </c>
      <c r="C129" s="3" t="s">
        <v>345</v>
      </c>
      <c r="D129" s="49">
        <f>'дод 2'!E35+'дод 2'!E198</f>
        <v>4985700</v>
      </c>
      <c r="E129" s="49">
        <f>'дод 2'!F35+'дод 2'!F198</f>
        <v>4985700</v>
      </c>
      <c r="F129" s="49">
        <f>'дод 2'!G35+'дод 2'!G198</f>
        <v>3380000</v>
      </c>
      <c r="G129" s="49">
        <f>'дод 2'!H35+'дод 2'!H198</f>
        <v>107400</v>
      </c>
      <c r="H129" s="49">
        <f>'дод 2'!I35+'дод 2'!I198</f>
        <v>0</v>
      </c>
      <c r="I129" s="49">
        <f>'дод 2'!J35+'дод 2'!J198</f>
        <v>2235763.62</v>
      </c>
      <c r="J129" s="49">
        <f>'дод 2'!K35+'дод 2'!K198</f>
        <v>1615804.01</v>
      </c>
      <c r="K129" s="49">
        <f>'дод 2'!L35+'дод 2'!L198</f>
        <v>72552.899999999994</v>
      </c>
      <c r="L129" s="158">
        <f t="shared" si="16"/>
        <v>44.843524881160121</v>
      </c>
      <c r="M129" s="49">
        <f>'дод 2'!N35+'дод 2'!N198</f>
        <v>88000</v>
      </c>
      <c r="N129" s="49">
        <f>'дод 2'!O35+'дод 2'!O198</f>
        <v>88000</v>
      </c>
      <c r="O129" s="49">
        <f>'дод 2'!P35+'дод 2'!P198</f>
        <v>0</v>
      </c>
      <c r="P129" s="49">
        <f>'дод 2'!Q35+'дод 2'!Q198</f>
        <v>0</v>
      </c>
      <c r="Q129" s="49">
        <f>'дод 2'!R35+'дод 2'!R198</f>
        <v>0</v>
      </c>
      <c r="R129" s="49">
        <f>'дод 2'!S35+'дод 2'!S198</f>
        <v>88000</v>
      </c>
      <c r="S129" s="49">
        <f>'дод 2'!T35+'дод 2'!T198</f>
        <v>0</v>
      </c>
      <c r="T129" s="49">
        <f>'дод 2'!U35+'дод 2'!U198</f>
        <v>0</v>
      </c>
      <c r="U129" s="49">
        <f>'дод 2'!V35+'дод 2'!V198</f>
        <v>0</v>
      </c>
      <c r="V129" s="49">
        <f>'дод 2'!W35+'дод 2'!W198</f>
        <v>0</v>
      </c>
      <c r="W129" s="49">
        <f>'дод 2'!X35+'дод 2'!X198</f>
        <v>0</v>
      </c>
      <c r="X129" s="49">
        <f>'дод 2'!Y35+'дод 2'!Y198</f>
        <v>0</v>
      </c>
      <c r="Y129" s="158">
        <f t="shared" si="17"/>
        <v>0</v>
      </c>
      <c r="Z129" s="49">
        <f>'дод 2'!AA35+'дод 2'!AA198</f>
        <v>2235763.62</v>
      </c>
      <c r="AA129" s="49">
        <f>'дод 2'!AB35+'дод 2'!AB198</f>
        <v>5073700</v>
      </c>
    </row>
    <row r="130" spans="1:27" s="54" customFormat="1" ht="22.5" customHeight="1" x14ac:dyDescent="0.25">
      <c r="A130" s="37" t="s">
        <v>296</v>
      </c>
      <c r="B130" s="37" t="s">
        <v>76</v>
      </c>
      <c r="C130" s="3" t="s">
        <v>297</v>
      </c>
      <c r="D130" s="49">
        <f>'дод 2'!E36+'дод 2'!E199</f>
        <v>1640081</v>
      </c>
      <c r="E130" s="49">
        <f>'дод 2'!F36+'дод 2'!F199</f>
        <v>1640081</v>
      </c>
      <c r="F130" s="49">
        <f>'дод 2'!G36+'дод 2'!G199</f>
        <v>0</v>
      </c>
      <c r="G130" s="49">
        <f>'дод 2'!H36+'дод 2'!H199</f>
        <v>0</v>
      </c>
      <c r="H130" s="49">
        <f>'дод 2'!I36+'дод 2'!I199</f>
        <v>0</v>
      </c>
      <c r="I130" s="49">
        <f>'дод 2'!J36+'дод 2'!J199</f>
        <v>215367</v>
      </c>
      <c r="J130" s="49">
        <f>'дод 2'!K36+'дод 2'!K199</f>
        <v>0</v>
      </c>
      <c r="K130" s="49">
        <f>'дод 2'!L36+'дод 2'!L199</f>
        <v>0</v>
      </c>
      <c r="L130" s="158">
        <f t="shared" si="16"/>
        <v>13.131485579065913</v>
      </c>
      <c r="M130" s="49">
        <f>'дод 2'!N36+'дод 2'!N199</f>
        <v>0</v>
      </c>
      <c r="N130" s="49">
        <f>'дод 2'!O36+'дод 2'!O199</f>
        <v>0</v>
      </c>
      <c r="O130" s="49">
        <f>'дод 2'!P36+'дод 2'!P199</f>
        <v>0</v>
      </c>
      <c r="P130" s="49">
        <f>'дод 2'!Q36+'дод 2'!Q199</f>
        <v>0</v>
      </c>
      <c r="Q130" s="49">
        <f>'дод 2'!R36+'дод 2'!R199</f>
        <v>0</v>
      </c>
      <c r="R130" s="49">
        <f>'дод 2'!S36+'дод 2'!S199</f>
        <v>0</v>
      </c>
      <c r="S130" s="49">
        <f>'дод 2'!T36+'дод 2'!T199</f>
        <v>0</v>
      </c>
      <c r="T130" s="49">
        <f>'дод 2'!U36+'дод 2'!U199</f>
        <v>0</v>
      </c>
      <c r="U130" s="49">
        <f>'дод 2'!V36+'дод 2'!V199</f>
        <v>0</v>
      </c>
      <c r="V130" s="49">
        <f>'дод 2'!W36+'дод 2'!W199</f>
        <v>0</v>
      </c>
      <c r="W130" s="49">
        <f>'дод 2'!X36+'дод 2'!X199</f>
        <v>0</v>
      </c>
      <c r="X130" s="49">
        <f>'дод 2'!Y36+'дод 2'!Y199</f>
        <v>0</v>
      </c>
      <c r="Y130" s="158"/>
      <c r="Z130" s="49">
        <f>'дод 2'!AA36+'дод 2'!AA199</f>
        <v>215367</v>
      </c>
      <c r="AA130" s="49">
        <f>'дод 2'!AB36+'дод 2'!AB199</f>
        <v>1640081</v>
      </c>
    </row>
    <row r="131" spans="1:27" s="52" customFormat="1" ht="21.75" customHeight="1" x14ac:dyDescent="0.25">
      <c r="A131" s="38" t="s">
        <v>79</v>
      </c>
      <c r="B131" s="41"/>
      <c r="C131" s="2" t="s">
        <v>80</v>
      </c>
      <c r="D131" s="48">
        <f t="shared" ref="D131" si="24">D132+D133+D134+D135+D136+D137</f>
        <v>59119500</v>
      </c>
      <c r="E131" s="48">
        <f t="shared" ref="E131:AA131" si="25">E132+E133+E134+E135+E136+E137</f>
        <v>59119500</v>
      </c>
      <c r="F131" s="48">
        <f t="shared" si="25"/>
        <v>22029200</v>
      </c>
      <c r="G131" s="48">
        <f t="shared" si="25"/>
        <v>1116955</v>
      </c>
      <c r="H131" s="48">
        <f t="shared" si="25"/>
        <v>0</v>
      </c>
      <c r="I131" s="48">
        <f t="shared" si="25"/>
        <v>27597167.859999999</v>
      </c>
      <c r="J131" s="48">
        <f t="shared" si="25"/>
        <v>10661334.74</v>
      </c>
      <c r="K131" s="48">
        <f t="shared" si="25"/>
        <v>764839.87</v>
      </c>
      <c r="L131" s="158">
        <f t="shared" si="16"/>
        <v>46.680313365302482</v>
      </c>
      <c r="M131" s="48">
        <f t="shared" si="25"/>
        <v>2255394</v>
      </c>
      <c r="N131" s="48">
        <f t="shared" si="25"/>
        <v>2042400</v>
      </c>
      <c r="O131" s="48">
        <f t="shared" si="25"/>
        <v>212994</v>
      </c>
      <c r="P131" s="48">
        <f t="shared" si="25"/>
        <v>119291</v>
      </c>
      <c r="Q131" s="48">
        <f t="shared" si="25"/>
        <v>50432</v>
      </c>
      <c r="R131" s="48">
        <f t="shared" si="25"/>
        <v>2042400</v>
      </c>
      <c r="S131" s="48">
        <f t="shared" si="25"/>
        <v>1528249.52</v>
      </c>
      <c r="T131" s="48">
        <f t="shared" si="25"/>
        <v>1495260</v>
      </c>
      <c r="U131" s="48">
        <f t="shared" si="25"/>
        <v>32989.519999999997</v>
      </c>
      <c r="V131" s="48">
        <f t="shared" si="25"/>
        <v>0</v>
      </c>
      <c r="W131" s="48">
        <f t="shared" si="25"/>
        <v>3077.35</v>
      </c>
      <c r="X131" s="48">
        <f t="shared" si="25"/>
        <v>1495260</v>
      </c>
      <c r="Y131" s="158">
        <f t="shared" si="17"/>
        <v>67.759758161988543</v>
      </c>
      <c r="Z131" s="48">
        <f t="shared" si="25"/>
        <v>29125417.379999999</v>
      </c>
      <c r="AA131" s="48">
        <f t="shared" si="25"/>
        <v>61374894</v>
      </c>
    </row>
    <row r="132" spans="1:27" s="54" customFormat="1" ht="37.5" customHeight="1" x14ac:dyDescent="0.25">
      <c r="A132" s="37" t="s">
        <v>81</v>
      </c>
      <c r="B132" s="37" t="s">
        <v>82</v>
      </c>
      <c r="C132" s="3" t="s">
        <v>21</v>
      </c>
      <c r="D132" s="49">
        <f>'дод 2'!E37</f>
        <v>650000</v>
      </c>
      <c r="E132" s="49">
        <f>'дод 2'!F37</f>
        <v>650000</v>
      </c>
      <c r="F132" s="49">
        <f>'дод 2'!G37</f>
        <v>0</v>
      </c>
      <c r="G132" s="49">
        <f>'дод 2'!H37</f>
        <v>0</v>
      </c>
      <c r="H132" s="49">
        <f>'дод 2'!I37</f>
        <v>0</v>
      </c>
      <c r="I132" s="49">
        <f>'дод 2'!J37</f>
        <v>220283</v>
      </c>
      <c r="J132" s="49">
        <f>'дод 2'!K37</f>
        <v>0</v>
      </c>
      <c r="K132" s="49">
        <f>'дод 2'!L37</f>
        <v>0</v>
      </c>
      <c r="L132" s="158">
        <f t="shared" si="16"/>
        <v>33.889692307692307</v>
      </c>
      <c r="M132" s="49">
        <f>'дод 2'!N37</f>
        <v>0</v>
      </c>
      <c r="N132" s="49">
        <f>'дод 2'!O37</f>
        <v>0</v>
      </c>
      <c r="O132" s="49">
        <f>'дод 2'!P37</f>
        <v>0</v>
      </c>
      <c r="P132" s="49">
        <f>'дод 2'!Q37</f>
        <v>0</v>
      </c>
      <c r="Q132" s="49">
        <f>'дод 2'!R37</f>
        <v>0</v>
      </c>
      <c r="R132" s="49">
        <f>'дод 2'!S37</f>
        <v>0</v>
      </c>
      <c r="S132" s="49">
        <f>'дод 2'!T37</f>
        <v>0</v>
      </c>
      <c r="T132" s="49">
        <f>'дод 2'!U37</f>
        <v>0</v>
      </c>
      <c r="U132" s="49">
        <f>'дод 2'!V37</f>
        <v>0</v>
      </c>
      <c r="V132" s="49">
        <f>'дод 2'!W37</f>
        <v>0</v>
      </c>
      <c r="W132" s="49">
        <f>'дод 2'!X37</f>
        <v>0</v>
      </c>
      <c r="X132" s="49">
        <f>'дод 2'!Y37</f>
        <v>0</v>
      </c>
      <c r="Y132" s="158"/>
      <c r="Z132" s="49">
        <f>'дод 2'!AA37</f>
        <v>220283</v>
      </c>
      <c r="AA132" s="49">
        <f>'дод 2'!AB37</f>
        <v>650000</v>
      </c>
    </row>
    <row r="133" spans="1:27" s="54" customFormat="1" ht="34.5" customHeight="1" x14ac:dyDescent="0.25">
      <c r="A133" s="37" t="s">
        <v>83</v>
      </c>
      <c r="B133" s="37" t="s">
        <v>82</v>
      </c>
      <c r="C133" s="3" t="s">
        <v>16</v>
      </c>
      <c r="D133" s="49">
        <f>'дод 2'!E38</f>
        <v>843000</v>
      </c>
      <c r="E133" s="49">
        <f>'дод 2'!F38</f>
        <v>843000</v>
      </c>
      <c r="F133" s="49">
        <f>'дод 2'!G38</f>
        <v>0</v>
      </c>
      <c r="G133" s="49">
        <f>'дод 2'!H38</f>
        <v>0</v>
      </c>
      <c r="H133" s="49">
        <f>'дод 2'!I38</f>
        <v>0</v>
      </c>
      <c r="I133" s="49">
        <f>'дод 2'!J38</f>
        <v>185300.35</v>
      </c>
      <c r="J133" s="49">
        <f>'дод 2'!K38</f>
        <v>0</v>
      </c>
      <c r="K133" s="49">
        <f>'дод 2'!L38</f>
        <v>0</v>
      </c>
      <c r="L133" s="158">
        <f t="shared" si="16"/>
        <v>21.981061684460261</v>
      </c>
      <c r="M133" s="49">
        <f>'дод 2'!N38</f>
        <v>0</v>
      </c>
      <c r="N133" s="49">
        <f>'дод 2'!O38</f>
        <v>0</v>
      </c>
      <c r="O133" s="49">
        <f>'дод 2'!P38</f>
        <v>0</v>
      </c>
      <c r="P133" s="49">
        <f>'дод 2'!Q38</f>
        <v>0</v>
      </c>
      <c r="Q133" s="49">
        <f>'дод 2'!R38</f>
        <v>0</v>
      </c>
      <c r="R133" s="49">
        <f>'дод 2'!S38</f>
        <v>0</v>
      </c>
      <c r="S133" s="49">
        <f>'дод 2'!T38</f>
        <v>0</v>
      </c>
      <c r="T133" s="49">
        <f>'дод 2'!U38</f>
        <v>0</v>
      </c>
      <c r="U133" s="49">
        <f>'дод 2'!V38</f>
        <v>0</v>
      </c>
      <c r="V133" s="49">
        <f>'дод 2'!W38</f>
        <v>0</v>
      </c>
      <c r="W133" s="49">
        <f>'дод 2'!X38</f>
        <v>0</v>
      </c>
      <c r="X133" s="49">
        <f>'дод 2'!Y38</f>
        <v>0</v>
      </c>
      <c r="Y133" s="158"/>
      <c r="Z133" s="49">
        <f>'дод 2'!AA38</f>
        <v>185300.35</v>
      </c>
      <c r="AA133" s="49">
        <f>'дод 2'!AB38</f>
        <v>843000</v>
      </c>
    </row>
    <row r="134" spans="1:27" s="54" customFormat="1" ht="36.75" customHeight="1" x14ac:dyDescent="0.25">
      <c r="A134" s="37" t="s">
        <v>118</v>
      </c>
      <c r="B134" s="37" t="s">
        <v>82</v>
      </c>
      <c r="C134" s="3" t="s">
        <v>22</v>
      </c>
      <c r="D134" s="49">
        <f>'дод 2'!E39+'дод 2'!E102</f>
        <v>25593100</v>
      </c>
      <c r="E134" s="49">
        <f>'дод 2'!F39+'дод 2'!F102</f>
        <v>25593100</v>
      </c>
      <c r="F134" s="49">
        <f>'дод 2'!G39+'дод 2'!G102</f>
        <v>19041800</v>
      </c>
      <c r="G134" s="49">
        <f>'дод 2'!H39+'дод 2'!H102</f>
        <v>826700</v>
      </c>
      <c r="H134" s="49">
        <f>'дод 2'!I39+'дод 2'!I102</f>
        <v>0</v>
      </c>
      <c r="I134" s="49">
        <f>'дод 2'!J39+'дод 2'!J102</f>
        <v>12190578.34</v>
      </c>
      <c r="J134" s="49">
        <f>'дод 2'!K39+'дод 2'!K102</f>
        <v>9206159.9299999997</v>
      </c>
      <c r="K134" s="49">
        <f>'дод 2'!L39+'дод 2'!L102</f>
        <v>582943.1</v>
      </c>
      <c r="L134" s="158">
        <f t="shared" si="16"/>
        <v>47.632285029949479</v>
      </c>
      <c r="M134" s="49">
        <f>'дод 2'!N39+'дод 2'!N102</f>
        <v>200700</v>
      </c>
      <c r="N134" s="49">
        <f>'дод 2'!O39+'дод 2'!O102</f>
        <v>200700</v>
      </c>
      <c r="O134" s="49">
        <f>'дод 2'!P39+'дод 2'!P102</f>
        <v>0</v>
      </c>
      <c r="P134" s="49">
        <f>'дод 2'!Q39+'дод 2'!Q102</f>
        <v>0</v>
      </c>
      <c r="Q134" s="49">
        <f>'дод 2'!R39+'дод 2'!R102</f>
        <v>0</v>
      </c>
      <c r="R134" s="49">
        <f>'дод 2'!S39+'дод 2'!S102</f>
        <v>200700</v>
      </c>
      <c r="S134" s="49">
        <f>'дод 2'!T39+'дод 2'!T102</f>
        <v>0</v>
      </c>
      <c r="T134" s="49">
        <f>'дод 2'!U39+'дод 2'!U102</f>
        <v>0</v>
      </c>
      <c r="U134" s="49">
        <f>'дод 2'!V39+'дод 2'!V102</f>
        <v>0</v>
      </c>
      <c r="V134" s="49">
        <f>'дод 2'!W39+'дод 2'!W102</f>
        <v>0</v>
      </c>
      <c r="W134" s="49">
        <f>'дод 2'!X39+'дод 2'!X102</f>
        <v>0</v>
      </c>
      <c r="X134" s="49">
        <f>'дод 2'!Y39+'дод 2'!Y102</f>
        <v>0</v>
      </c>
      <c r="Y134" s="158">
        <f t="shared" si="17"/>
        <v>0</v>
      </c>
      <c r="Z134" s="49">
        <f>'дод 2'!AA39+'дод 2'!AA102</f>
        <v>12190578.34</v>
      </c>
      <c r="AA134" s="49">
        <f>'дод 2'!AB39+'дод 2'!AB102</f>
        <v>25793800</v>
      </c>
    </row>
    <row r="135" spans="1:27" s="54" customFormat="1" ht="31.5" customHeight="1" x14ac:dyDescent="0.25">
      <c r="A135" s="37" t="s">
        <v>119</v>
      </c>
      <c r="B135" s="37" t="s">
        <v>82</v>
      </c>
      <c r="C135" s="3" t="s">
        <v>23</v>
      </c>
      <c r="D135" s="49">
        <f>'дод 2'!E40</f>
        <v>14372000</v>
      </c>
      <c r="E135" s="49">
        <f>'дод 2'!F40</f>
        <v>14372000</v>
      </c>
      <c r="F135" s="49">
        <f>'дод 2'!G40</f>
        <v>0</v>
      </c>
      <c r="G135" s="49">
        <f>'дод 2'!H40</f>
        <v>0</v>
      </c>
      <c r="H135" s="49">
        <f>'дод 2'!I40</f>
        <v>0</v>
      </c>
      <c r="I135" s="49">
        <f>'дод 2'!J40</f>
        <v>6573104.7599999998</v>
      </c>
      <c r="J135" s="49">
        <f>'дод 2'!K40</f>
        <v>0</v>
      </c>
      <c r="K135" s="49">
        <f>'дод 2'!L40</f>
        <v>0</v>
      </c>
      <c r="L135" s="158">
        <f t="shared" si="16"/>
        <v>45.73549095463401</v>
      </c>
      <c r="M135" s="49">
        <f>'дод 2'!N40</f>
        <v>311700</v>
      </c>
      <c r="N135" s="49">
        <f>'дод 2'!O40</f>
        <v>311700</v>
      </c>
      <c r="O135" s="49">
        <f>'дод 2'!P40</f>
        <v>0</v>
      </c>
      <c r="P135" s="49">
        <f>'дод 2'!Q40</f>
        <v>0</v>
      </c>
      <c r="Q135" s="49">
        <f>'дод 2'!R40</f>
        <v>0</v>
      </c>
      <c r="R135" s="49">
        <f>'дод 2'!S40</f>
        <v>311700</v>
      </c>
      <c r="S135" s="49">
        <f>'дод 2'!T40</f>
        <v>0</v>
      </c>
      <c r="T135" s="49">
        <f>'дод 2'!U40</f>
        <v>0</v>
      </c>
      <c r="U135" s="49">
        <f>'дод 2'!V40</f>
        <v>0</v>
      </c>
      <c r="V135" s="49">
        <f>'дод 2'!W40</f>
        <v>0</v>
      </c>
      <c r="W135" s="49">
        <f>'дод 2'!X40</f>
        <v>0</v>
      </c>
      <c r="X135" s="49">
        <f>'дод 2'!Y40</f>
        <v>0</v>
      </c>
      <c r="Y135" s="158">
        <f t="shared" si="17"/>
        <v>0</v>
      </c>
      <c r="Z135" s="49">
        <f>'дод 2'!AA40</f>
        <v>6573104.7599999998</v>
      </c>
      <c r="AA135" s="49">
        <f>'дод 2'!AB40</f>
        <v>14683700</v>
      </c>
    </row>
    <row r="136" spans="1:27" s="54" customFormat="1" ht="54" customHeight="1" x14ac:dyDescent="0.25">
      <c r="A136" s="37" t="s">
        <v>114</v>
      </c>
      <c r="B136" s="37" t="s">
        <v>82</v>
      </c>
      <c r="C136" s="3" t="s">
        <v>115</v>
      </c>
      <c r="D136" s="49">
        <f>'дод 2'!E41</f>
        <v>4919100</v>
      </c>
      <c r="E136" s="49">
        <f>'дод 2'!F41</f>
        <v>4919100</v>
      </c>
      <c r="F136" s="49">
        <f>'дод 2'!G41</f>
        <v>2987400</v>
      </c>
      <c r="G136" s="49">
        <f>'дод 2'!H41</f>
        <v>290255</v>
      </c>
      <c r="H136" s="49">
        <f>'дод 2'!I41</f>
        <v>0</v>
      </c>
      <c r="I136" s="49">
        <f>'дод 2'!J41</f>
        <v>2139475.98</v>
      </c>
      <c r="J136" s="49">
        <f>'дод 2'!K41</f>
        <v>1455174.81</v>
      </c>
      <c r="K136" s="49">
        <f>'дод 2'!L41</f>
        <v>181896.77</v>
      </c>
      <c r="L136" s="158">
        <f t="shared" si="16"/>
        <v>43.493240226870768</v>
      </c>
      <c r="M136" s="49">
        <f>'дод 2'!N41</f>
        <v>1742994</v>
      </c>
      <c r="N136" s="49">
        <f>'дод 2'!O41</f>
        <v>1530000</v>
      </c>
      <c r="O136" s="49">
        <f>'дод 2'!P41</f>
        <v>212994</v>
      </c>
      <c r="P136" s="49">
        <f>'дод 2'!Q41</f>
        <v>119291</v>
      </c>
      <c r="Q136" s="49">
        <f>'дод 2'!R41</f>
        <v>50432</v>
      </c>
      <c r="R136" s="49">
        <f>'дод 2'!S41</f>
        <v>1530000</v>
      </c>
      <c r="S136" s="49">
        <f>'дод 2'!T41</f>
        <v>1528249.52</v>
      </c>
      <c r="T136" s="49">
        <f>'дод 2'!U41</f>
        <v>1495260</v>
      </c>
      <c r="U136" s="49">
        <f>'дод 2'!V41</f>
        <v>32989.519999999997</v>
      </c>
      <c r="V136" s="49">
        <f>'дод 2'!W41</f>
        <v>0</v>
      </c>
      <c r="W136" s="49">
        <f>'дод 2'!X41</f>
        <v>3077.35</v>
      </c>
      <c r="X136" s="49">
        <f>'дод 2'!Y41</f>
        <v>1495260</v>
      </c>
      <c r="Y136" s="158">
        <f t="shared" si="17"/>
        <v>87.679562867112566</v>
      </c>
      <c r="Z136" s="49">
        <f>'дод 2'!AA41</f>
        <v>3667725.5</v>
      </c>
      <c r="AA136" s="49">
        <f>'дод 2'!AB41</f>
        <v>6662094</v>
      </c>
    </row>
    <row r="137" spans="1:27" s="54" customFormat="1" ht="35.25" customHeight="1" x14ac:dyDescent="0.25">
      <c r="A137" s="37" t="s">
        <v>117</v>
      </c>
      <c r="B137" s="37" t="s">
        <v>82</v>
      </c>
      <c r="C137" s="3" t="s">
        <v>116</v>
      </c>
      <c r="D137" s="49">
        <f>'дод 2'!E42</f>
        <v>12742300</v>
      </c>
      <c r="E137" s="49">
        <f>'дод 2'!F42</f>
        <v>12742300</v>
      </c>
      <c r="F137" s="49">
        <f>'дод 2'!G42</f>
        <v>0</v>
      </c>
      <c r="G137" s="49">
        <f>'дод 2'!H42</f>
        <v>0</v>
      </c>
      <c r="H137" s="49">
        <f>'дод 2'!I42</f>
        <v>0</v>
      </c>
      <c r="I137" s="49">
        <f>'дод 2'!J42</f>
        <v>6288425.4299999997</v>
      </c>
      <c r="J137" s="49">
        <f>'дод 2'!K42</f>
        <v>0</v>
      </c>
      <c r="K137" s="49">
        <f>'дод 2'!L42</f>
        <v>0</v>
      </c>
      <c r="L137" s="158">
        <f t="shared" si="16"/>
        <v>49.350787769868859</v>
      </c>
      <c r="M137" s="49">
        <f>'дод 2'!N42</f>
        <v>0</v>
      </c>
      <c r="N137" s="49">
        <f>'дод 2'!O42</f>
        <v>0</v>
      </c>
      <c r="O137" s="49">
        <f>'дод 2'!P42</f>
        <v>0</v>
      </c>
      <c r="P137" s="49">
        <f>'дод 2'!Q42</f>
        <v>0</v>
      </c>
      <c r="Q137" s="49">
        <f>'дод 2'!R42</f>
        <v>0</v>
      </c>
      <c r="R137" s="49">
        <f>'дод 2'!S42</f>
        <v>0</v>
      </c>
      <c r="S137" s="49">
        <f>'дод 2'!T42</f>
        <v>0</v>
      </c>
      <c r="T137" s="49">
        <f>'дод 2'!U42</f>
        <v>0</v>
      </c>
      <c r="U137" s="49">
        <f>'дод 2'!V42</f>
        <v>0</v>
      </c>
      <c r="V137" s="49">
        <f>'дод 2'!W42</f>
        <v>0</v>
      </c>
      <c r="W137" s="49">
        <f>'дод 2'!X42</f>
        <v>0</v>
      </c>
      <c r="X137" s="49">
        <f>'дод 2'!Y42</f>
        <v>0</v>
      </c>
      <c r="Y137" s="158"/>
      <c r="Z137" s="49">
        <f>'дод 2'!AA42</f>
        <v>6288425.4299999997</v>
      </c>
      <c r="AA137" s="49">
        <f>'дод 2'!AB42</f>
        <v>12742300</v>
      </c>
    </row>
    <row r="138" spans="1:27" s="52" customFormat="1" ht="18" customHeight="1" x14ac:dyDescent="0.25">
      <c r="A138" s="38" t="s">
        <v>67</v>
      </c>
      <c r="B138" s="41"/>
      <c r="C138" s="2" t="s">
        <v>68</v>
      </c>
      <c r="D138" s="48">
        <f>D140+D141+D142+D143+D144+D145+D146+D148+D149</f>
        <v>274911465.79000002</v>
      </c>
      <c r="E138" s="48">
        <f t="shared" ref="E138:AA138" si="26">E140+E141+E142+E143+E144+E145+E146+E148+E149</f>
        <v>245711465.79000002</v>
      </c>
      <c r="F138" s="48">
        <f t="shared" si="26"/>
        <v>0</v>
      </c>
      <c r="G138" s="48">
        <f t="shared" si="26"/>
        <v>33764960</v>
      </c>
      <c r="H138" s="48">
        <f t="shared" si="26"/>
        <v>29200000</v>
      </c>
      <c r="I138" s="48">
        <f t="shared" si="26"/>
        <v>110845802.91999999</v>
      </c>
      <c r="J138" s="48">
        <f t="shared" si="26"/>
        <v>0</v>
      </c>
      <c r="K138" s="48">
        <f t="shared" si="26"/>
        <v>12565226.99</v>
      </c>
      <c r="L138" s="158">
        <f t="shared" si="16"/>
        <v>40.320545598732181</v>
      </c>
      <c r="M138" s="48">
        <f t="shared" si="26"/>
        <v>108320969.22999999</v>
      </c>
      <c r="N138" s="48">
        <f t="shared" si="26"/>
        <v>106378140.57999998</v>
      </c>
      <c r="O138" s="48">
        <f t="shared" si="26"/>
        <v>0</v>
      </c>
      <c r="P138" s="48">
        <f t="shared" si="26"/>
        <v>0</v>
      </c>
      <c r="Q138" s="48">
        <f t="shared" si="26"/>
        <v>0</v>
      </c>
      <c r="R138" s="48">
        <f t="shared" si="26"/>
        <v>108320969.22999999</v>
      </c>
      <c r="S138" s="48">
        <f t="shared" si="26"/>
        <v>26051486.140000001</v>
      </c>
      <c r="T138" s="48">
        <f t="shared" si="26"/>
        <v>26015077.240000002</v>
      </c>
      <c r="U138" s="48">
        <f t="shared" si="26"/>
        <v>0</v>
      </c>
      <c r="V138" s="48">
        <f t="shared" si="26"/>
        <v>0</v>
      </c>
      <c r="W138" s="48">
        <f t="shared" si="26"/>
        <v>0</v>
      </c>
      <c r="X138" s="48">
        <f t="shared" si="26"/>
        <v>26051486.140000001</v>
      </c>
      <c r="Y138" s="158">
        <f t="shared" si="17"/>
        <v>24.050270529507895</v>
      </c>
      <c r="Z138" s="48">
        <f t="shared" si="26"/>
        <v>136897289.06</v>
      </c>
      <c r="AA138" s="48">
        <f t="shared" si="26"/>
        <v>383232435.01999992</v>
      </c>
    </row>
    <row r="139" spans="1:27" s="52" customFormat="1" ht="110.25" hidden="1" customHeight="1" x14ac:dyDescent="0.25">
      <c r="A139" s="38"/>
      <c r="B139" s="41"/>
      <c r="C139" s="2" t="s">
        <v>449</v>
      </c>
      <c r="D139" s="48">
        <f>D147</f>
        <v>0</v>
      </c>
      <c r="E139" s="48">
        <f t="shared" ref="E139:AA139" si="27">E147</f>
        <v>0</v>
      </c>
      <c r="F139" s="48">
        <f t="shared" si="27"/>
        <v>0</v>
      </c>
      <c r="G139" s="48">
        <f t="shared" si="27"/>
        <v>0</v>
      </c>
      <c r="H139" s="48">
        <f t="shared" si="27"/>
        <v>0</v>
      </c>
      <c r="I139" s="48">
        <f t="shared" si="27"/>
        <v>0</v>
      </c>
      <c r="J139" s="48">
        <f t="shared" si="27"/>
        <v>0</v>
      </c>
      <c r="K139" s="48">
        <f t="shared" si="27"/>
        <v>0</v>
      </c>
      <c r="L139" s="158" t="e">
        <f t="shared" si="16"/>
        <v>#DIV/0!</v>
      </c>
      <c r="M139" s="48">
        <f t="shared" si="27"/>
        <v>0</v>
      </c>
      <c r="N139" s="48">
        <f t="shared" si="27"/>
        <v>0</v>
      </c>
      <c r="O139" s="48">
        <f t="shared" si="27"/>
        <v>0</v>
      </c>
      <c r="P139" s="48">
        <f t="shared" si="27"/>
        <v>0</v>
      </c>
      <c r="Q139" s="48">
        <f t="shared" si="27"/>
        <v>0</v>
      </c>
      <c r="R139" s="48">
        <f t="shared" si="27"/>
        <v>0</v>
      </c>
      <c r="S139" s="48">
        <f t="shared" si="27"/>
        <v>0</v>
      </c>
      <c r="T139" s="48">
        <f t="shared" si="27"/>
        <v>0</v>
      </c>
      <c r="U139" s="48">
        <f t="shared" si="27"/>
        <v>0</v>
      </c>
      <c r="V139" s="48">
        <f t="shared" si="27"/>
        <v>0</v>
      </c>
      <c r="W139" s="48">
        <f t="shared" si="27"/>
        <v>0</v>
      </c>
      <c r="X139" s="48">
        <f t="shared" si="27"/>
        <v>0</v>
      </c>
      <c r="Y139" s="158" t="e">
        <f t="shared" si="17"/>
        <v>#DIV/0!</v>
      </c>
      <c r="Z139" s="48">
        <f t="shared" si="27"/>
        <v>0</v>
      </c>
      <c r="AA139" s="48">
        <f t="shared" si="27"/>
        <v>0</v>
      </c>
    </row>
    <row r="140" spans="1:27" s="54" customFormat="1" ht="29.25" customHeight="1" x14ac:dyDescent="0.25">
      <c r="A140" s="37" t="s">
        <v>129</v>
      </c>
      <c r="B140" s="37" t="s">
        <v>69</v>
      </c>
      <c r="C140" s="3" t="s">
        <v>130</v>
      </c>
      <c r="D140" s="49">
        <f>'дод 2'!E213</f>
        <v>0</v>
      </c>
      <c r="E140" s="49">
        <f>'дод 2'!F213</f>
        <v>0</v>
      </c>
      <c r="F140" s="49">
        <f>'дод 2'!G213</f>
        <v>0</v>
      </c>
      <c r="G140" s="49">
        <f>'дод 2'!H213</f>
        <v>0</v>
      </c>
      <c r="H140" s="49">
        <f>'дод 2'!I213</f>
        <v>0</v>
      </c>
      <c r="I140" s="49">
        <f>'дод 2'!J213</f>
        <v>0</v>
      </c>
      <c r="J140" s="49">
        <f>'дод 2'!K213</f>
        <v>0</v>
      </c>
      <c r="K140" s="49">
        <f>'дод 2'!L213</f>
        <v>0</v>
      </c>
      <c r="L140" s="158"/>
      <c r="M140" s="49">
        <f>'дод 2'!N213</f>
        <v>8263136</v>
      </c>
      <c r="N140" s="49">
        <f>'дод 2'!O213</f>
        <v>8226656</v>
      </c>
      <c r="O140" s="49">
        <f>'дод 2'!P213</f>
        <v>0</v>
      </c>
      <c r="P140" s="49">
        <f>'дод 2'!Q213</f>
        <v>0</v>
      </c>
      <c r="Q140" s="49">
        <f>'дод 2'!R213</f>
        <v>0</v>
      </c>
      <c r="R140" s="49">
        <f>'дод 2'!S213</f>
        <v>8263136</v>
      </c>
      <c r="S140" s="49">
        <f>'дод 2'!T213</f>
        <v>1339048.79</v>
      </c>
      <c r="T140" s="49">
        <f>'дод 2'!U213</f>
        <v>1339048.79</v>
      </c>
      <c r="U140" s="49">
        <f>'дод 2'!V213</f>
        <v>0</v>
      </c>
      <c r="V140" s="49">
        <f>'дод 2'!W213</f>
        <v>0</v>
      </c>
      <c r="W140" s="49">
        <f>'дод 2'!X213</f>
        <v>0</v>
      </c>
      <c r="X140" s="49">
        <f>'дод 2'!Y213</f>
        <v>1339048.79</v>
      </c>
      <c r="Y140" s="158">
        <f t="shared" si="17"/>
        <v>16.205091989288327</v>
      </c>
      <c r="Z140" s="49">
        <f>'дод 2'!AA213</f>
        <v>1339048.79</v>
      </c>
      <c r="AA140" s="49">
        <f>'дод 2'!AB213</f>
        <v>8263136</v>
      </c>
    </row>
    <row r="141" spans="1:27" s="54" customFormat="1" ht="36.75" customHeight="1" x14ac:dyDescent="0.25">
      <c r="A141" s="37" t="s">
        <v>131</v>
      </c>
      <c r="B141" s="37" t="s">
        <v>71</v>
      </c>
      <c r="C141" s="3" t="s">
        <v>149</v>
      </c>
      <c r="D141" s="49">
        <f>'дод 2'!E214</f>
        <v>29304040</v>
      </c>
      <c r="E141" s="49">
        <f>'дод 2'!F214</f>
        <v>804040</v>
      </c>
      <c r="F141" s="49">
        <f>'дод 2'!G214</f>
        <v>0</v>
      </c>
      <c r="G141" s="49">
        <f>'дод 2'!H214</f>
        <v>0</v>
      </c>
      <c r="H141" s="49">
        <f>'дод 2'!I214</f>
        <v>28500000</v>
      </c>
      <c r="I141" s="49">
        <f>'дод 2'!J214</f>
        <v>20524815.25</v>
      </c>
      <c r="J141" s="49">
        <f>'дод 2'!K214</f>
        <v>0</v>
      </c>
      <c r="K141" s="49">
        <f>'дод 2'!L214</f>
        <v>0</v>
      </c>
      <c r="L141" s="158">
        <f t="shared" si="16"/>
        <v>70.040906475694129</v>
      </c>
      <c r="M141" s="49">
        <f>'дод 2'!N214</f>
        <v>200000</v>
      </c>
      <c r="N141" s="49">
        <f>'дод 2'!O214</f>
        <v>200000</v>
      </c>
      <c r="O141" s="49">
        <f>'дод 2'!P214</f>
        <v>0</v>
      </c>
      <c r="P141" s="49">
        <f>'дод 2'!Q214</f>
        <v>0</v>
      </c>
      <c r="Q141" s="49">
        <f>'дод 2'!R214</f>
        <v>0</v>
      </c>
      <c r="R141" s="49">
        <f>'дод 2'!S214</f>
        <v>200000</v>
      </c>
      <c r="S141" s="49">
        <f>'дод 2'!T214</f>
        <v>56724.01</v>
      </c>
      <c r="T141" s="49">
        <f>'дод 2'!U214</f>
        <v>56724.01</v>
      </c>
      <c r="U141" s="49">
        <f>'дод 2'!V214</f>
        <v>0</v>
      </c>
      <c r="V141" s="49">
        <f>'дод 2'!W214</f>
        <v>0</v>
      </c>
      <c r="W141" s="49">
        <f>'дод 2'!X214</f>
        <v>0</v>
      </c>
      <c r="X141" s="49">
        <f>'дод 2'!Y214</f>
        <v>56724.01</v>
      </c>
      <c r="Y141" s="158">
        <f t="shared" si="17"/>
        <v>28.362005</v>
      </c>
      <c r="Z141" s="49">
        <f>'дод 2'!AA214</f>
        <v>20581539.260000002</v>
      </c>
      <c r="AA141" s="49">
        <f>'дод 2'!AB214</f>
        <v>29504040</v>
      </c>
    </row>
    <row r="142" spans="1:27" s="54" customFormat="1" ht="22.5" customHeight="1" x14ac:dyDescent="0.25">
      <c r="A142" s="40" t="s">
        <v>262</v>
      </c>
      <c r="B142" s="40" t="s">
        <v>71</v>
      </c>
      <c r="C142" s="3" t="s">
        <v>263</v>
      </c>
      <c r="D142" s="49">
        <f>'дод 2'!E215</f>
        <v>123980</v>
      </c>
      <c r="E142" s="49">
        <f>'дод 2'!F215</f>
        <v>123980</v>
      </c>
      <c r="F142" s="49">
        <f>'дод 2'!G215</f>
        <v>0</v>
      </c>
      <c r="G142" s="49">
        <f>'дод 2'!H215</f>
        <v>0</v>
      </c>
      <c r="H142" s="49">
        <f>'дод 2'!I215</f>
        <v>0</v>
      </c>
      <c r="I142" s="49">
        <f>'дод 2'!J215</f>
        <v>3971</v>
      </c>
      <c r="J142" s="49">
        <f>'дод 2'!K215</f>
        <v>0</v>
      </c>
      <c r="K142" s="49">
        <f>'дод 2'!L215</f>
        <v>0</v>
      </c>
      <c r="L142" s="158">
        <f t="shared" si="16"/>
        <v>3.2029359574124858</v>
      </c>
      <c r="M142" s="49">
        <f>'дод 2'!N215</f>
        <v>13661600</v>
      </c>
      <c r="N142" s="49">
        <f>'дод 2'!O215</f>
        <v>13611600</v>
      </c>
      <c r="O142" s="49">
        <f>'дод 2'!P215</f>
        <v>0</v>
      </c>
      <c r="P142" s="49">
        <f>'дод 2'!Q215</f>
        <v>0</v>
      </c>
      <c r="Q142" s="49">
        <f>'дод 2'!R215</f>
        <v>0</v>
      </c>
      <c r="R142" s="49">
        <f>'дод 2'!S215</f>
        <v>13661600</v>
      </c>
      <c r="S142" s="49">
        <f>'дод 2'!T215</f>
        <v>2498562.2799999998</v>
      </c>
      <c r="T142" s="49">
        <f>'дод 2'!U215</f>
        <v>2498562.2799999998</v>
      </c>
      <c r="U142" s="49">
        <f>'дод 2'!V215</f>
        <v>0</v>
      </c>
      <c r="V142" s="49">
        <f>'дод 2'!W215</f>
        <v>0</v>
      </c>
      <c r="W142" s="49">
        <f>'дод 2'!X215</f>
        <v>0</v>
      </c>
      <c r="X142" s="49">
        <f>'дод 2'!Y215</f>
        <v>2498562.2799999998</v>
      </c>
      <c r="Y142" s="158">
        <f t="shared" si="17"/>
        <v>18.288943315570648</v>
      </c>
      <c r="Z142" s="49">
        <f>'дод 2'!AA215</f>
        <v>2502533.2799999998</v>
      </c>
      <c r="AA142" s="49">
        <f>'дод 2'!AB215</f>
        <v>13785580</v>
      </c>
    </row>
    <row r="143" spans="1:27" s="54" customFormat="1" ht="33" customHeight="1" x14ac:dyDescent="0.25">
      <c r="A143" s="37" t="s">
        <v>265</v>
      </c>
      <c r="B143" s="37" t="s">
        <v>71</v>
      </c>
      <c r="C143" s="3" t="s">
        <v>346</v>
      </c>
      <c r="D143" s="49">
        <f>'дод 2'!E216</f>
        <v>100000</v>
      </c>
      <c r="E143" s="49">
        <f>'дод 2'!F216</f>
        <v>100000</v>
      </c>
      <c r="F143" s="49">
        <f>'дод 2'!G216</f>
        <v>0</v>
      </c>
      <c r="G143" s="49">
        <f>'дод 2'!H216</f>
        <v>0</v>
      </c>
      <c r="H143" s="49">
        <f>'дод 2'!I216</f>
        <v>0</v>
      </c>
      <c r="I143" s="49">
        <f>'дод 2'!J216</f>
        <v>0</v>
      </c>
      <c r="J143" s="49">
        <f>'дод 2'!K216</f>
        <v>0</v>
      </c>
      <c r="K143" s="49">
        <f>'дод 2'!L216</f>
        <v>0</v>
      </c>
      <c r="L143" s="158">
        <f t="shared" si="16"/>
        <v>0</v>
      </c>
      <c r="M143" s="49">
        <f>'дод 2'!N216</f>
        <v>0</v>
      </c>
      <c r="N143" s="49">
        <f>'дод 2'!O216</f>
        <v>0</v>
      </c>
      <c r="O143" s="49">
        <f>'дод 2'!P216</f>
        <v>0</v>
      </c>
      <c r="P143" s="49">
        <f>'дод 2'!Q216</f>
        <v>0</v>
      </c>
      <c r="Q143" s="49">
        <f>'дод 2'!R216</f>
        <v>0</v>
      </c>
      <c r="R143" s="49">
        <f>'дод 2'!S216</f>
        <v>0</v>
      </c>
      <c r="S143" s="49">
        <f>'дод 2'!T216</f>
        <v>0</v>
      </c>
      <c r="T143" s="49">
        <f>'дод 2'!U216</f>
        <v>0</v>
      </c>
      <c r="U143" s="49">
        <f>'дод 2'!V216</f>
        <v>0</v>
      </c>
      <c r="V143" s="49">
        <f>'дод 2'!W216</f>
        <v>0</v>
      </c>
      <c r="W143" s="49">
        <f>'дод 2'!X216</f>
        <v>0</v>
      </c>
      <c r="X143" s="49">
        <f>'дод 2'!Y216</f>
        <v>0</v>
      </c>
      <c r="Y143" s="158"/>
      <c r="Z143" s="49">
        <f>'дод 2'!AA216</f>
        <v>0</v>
      </c>
      <c r="AA143" s="49">
        <f>'дод 2'!AB216</f>
        <v>100000</v>
      </c>
    </row>
    <row r="144" spans="1:27" s="54" customFormat="1" ht="52.5" customHeight="1" x14ac:dyDescent="0.25">
      <c r="A144" s="37" t="s">
        <v>70</v>
      </c>
      <c r="B144" s="37" t="s">
        <v>71</v>
      </c>
      <c r="C144" s="3" t="s">
        <v>134</v>
      </c>
      <c r="D144" s="49">
        <f>'дод 2'!E217</f>
        <v>300000</v>
      </c>
      <c r="E144" s="49">
        <f>'дод 2'!F217</f>
        <v>0</v>
      </c>
      <c r="F144" s="49">
        <f>'дод 2'!G217</f>
        <v>0</v>
      </c>
      <c r="G144" s="49">
        <f>'дод 2'!H217</f>
        <v>0</v>
      </c>
      <c r="H144" s="49">
        <f>'дод 2'!I217</f>
        <v>300000</v>
      </c>
      <c r="I144" s="49">
        <f>'дод 2'!J217</f>
        <v>131441.93</v>
      </c>
      <c r="J144" s="49">
        <f>'дод 2'!K217</f>
        <v>0</v>
      </c>
      <c r="K144" s="49">
        <f>'дод 2'!L217</f>
        <v>0</v>
      </c>
      <c r="L144" s="158">
        <f t="shared" si="16"/>
        <v>43.813976666666662</v>
      </c>
      <c r="M144" s="49">
        <f>'дод 2'!N217</f>
        <v>0</v>
      </c>
      <c r="N144" s="49">
        <f>'дод 2'!O217</f>
        <v>0</v>
      </c>
      <c r="O144" s="49">
        <f>'дод 2'!P217</f>
        <v>0</v>
      </c>
      <c r="P144" s="49">
        <f>'дод 2'!Q217</f>
        <v>0</v>
      </c>
      <c r="Q144" s="49">
        <f>'дод 2'!R217</f>
        <v>0</v>
      </c>
      <c r="R144" s="49">
        <f>'дод 2'!S217</f>
        <v>0</v>
      </c>
      <c r="S144" s="49">
        <f>'дод 2'!T217</f>
        <v>0</v>
      </c>
      <c r="T144" s="49">
        <f>'дод 2'!U217</f>
        <v>0</v>
      </c>
      <c r="U144" s="49">
        <f>'дод 2'!V217</f>
        <v>0</v>
      </c>
      <c r="V144" s="49">
        <f>'дод 2'!W217</f>
        <v>0</v>
      </c>
      <c r="W144" s="49">
        <f>'дод 2'!X217</f>
        <v>0</v>
      </c>
      <c r="X144" s="49">
        <f>'дод 2'!Y217</f>
        <v>0</v>
      </c>
      <c r="Y144" s="158"/>
      <c r="Z144" s="49">
        <f>'дод 2'!AA217</f>
        <v>131441.93</v>
      </c>
      <c r="AA144" s="49">
        <f>'дод 2'!AB217</f>
        <v>300000</v>
      </c>
    </row>
    <row r="145" spans="1:27" ht="24" customHeight="1" x14ac:dyDescent="0.25">
      <c r="A145" s="37" t="s">
        <v>132</v>
      </c>
      <c r="B145" s="37" t="s">
        <v>71</v>
      </c>
      <c r="C145" s="3" t="s">
        <v>133</v>
      </c>
      <c r="D145" s="49">
        <f>'дод 2'!E218+'дод 2'!E246</f>
        <v>220989642.33000001</v>
      </c>
      <c r="E145" s="49">
        <f>'дод 2'!F218+'дод 2'!F246</f>
        <v>220889642.33000001</v>
      </c>
      <c r="F145" s="49">
        <f>'дод 2'!G218+'дод 2'!G246</f>
        <v>0</v>
      </c>
      <c r="G145" s="49">
        <f>'дод 2'!H218+'дод 2'!H246</f>
        <v>33740460</v>
      </c>
      <c r="H145" s="49">
        <f>'дод 2'!I218+'дод 2'!I246</f>
        <v>100000</v>
      </c>
      <c r="I145" s="49">
        <f>'дод 2'!J218+'дод 2'!J246</f>
        <v>89178016.299999997</v>
      </c>
      <c r="J145" s="49">
        <f>'дод 2'!K218+'дод 2'!K246</f>
        <v>0</v>
      </c>
      <c r="K145" s="49">
        <f>'дод 2'!L218+'дод 2'!L246</f>
        <v>12554125.15</v>
      </c>
      <c r="L145" s="158">
        <f t="shared" si="16"/>
        <v>40.353934854029042</v>
      </c>
      <c r="M145" s="49">
        <f>'дод 2'!N218+'дод 2'!N246</f>
        <v>84309884.579999983</v>
      </c>
      <c r="N145" s="49">
        <f>'дод 2'!O218+'дод 2'!O246</f>
        <v>84309884.579999983</v>
      </c>
      <c r="O145" s="49">
        <f>'дод 2'!P218+'дод 2'!P246</f>
        <v>0</v>
      </c>
      <c r="P145" s="49">
        <f>'дод 2'!Q218+'дод 2'!Q246</f>
        <v>0</v>
      </c>
      <c r="Q145" s="49">
        <f>'дод 2'!R218+'дод 2'!R246</f>
        <v>0</v>
      </c>
      <c r="R145" s="49">
        <f>'дод 2'!S218+'дод 2'!S246</f>
        <v>84309884.579999983</v>
      </c>
      <c r="S145" s="49">
        <f>'дод 2'!T218+'дод 2'!T246</f>
        <v>22120742.16</v>
      </c>
      <c r="T145" s="49">
        <f>'дод 2'!U218+'дод 2'!U246</f>
        <v>22120742.16</v>
      </c>
      <c r="U145" s="49">
        <f>'дод 2'!V218+'дод 2'!V246</f>
        <v>0</v>
      </c>
      <c r="V145" s="49">
        <f>'дод 2'!W218+'дод 2'!W246</f>
        <v>0</v>
      </c>
      <c r="W145" s="49">
        <f>'дод 2'!X218+'дод 2'!X246</f>
        <v>0</v>
      </c>
      <c r="X145" s="49">
        <f>'дод 2'!Y218+'дод 2'!Y246</f>
        <v>22120742.16</v>
      </c>
      <c r="Y145" s="158">
        <f t="shared" si="17"/>
        <v>26.237424318865088</v>
      </c>
      <c r="Z145" s="49">
        <f>'дод 2'!AA218+'дод 2'!AA246</f>
        <v>111298758.45999999</v>
      </c>
      <c r="AA145" s="49">
        <f>'дод 2'!AB218+'дод 2'!AB246</f>
        <v>305299526.90999997</v>
      </c>
    </row>
    <row r="146" spans="1:27" ht="78.75" x14ac:dyDescent="0.25">
      <c r="A146" s="37">
        <v>6083</v>
      </c>
      <c r="B146" s="59" t="s">
        <v>69</v>
      </c>
      <c r="C146" s="11" t="s">
        <v>441</v>
      </c>
      <c r="D146" s="49">
        <f>'дод 2'!E190</f>
        <v>0</v>
      </c>
      <c r="E146" s="49">
        <f>'дод 2'!F190</f>
        <v>0</v>
      </c>
      <c r="F146" s="49">
        <f>'дод 2'!G190</f>
        <v>0</v>
      </c>
      <c r="G146" s="49">
        <f>'дод 2'!H190</f>
        <v>0</v>
      </c>
      <c r="H146" s="49">
        <f>'дод 2'!I190</f>
        <v>0</v>
      </c>
      <c r="I146" s="49">
        <f>'дод 2'!J190</f>
        <v>0</v>
      </c>
      <c r="J146" s="49">
        <f>'дод 2'!K190</f>
        <v>0</v>
      </c>
      <c r="K146" s="49">
        <f>'дод 2'!L190</f>
        <v>0</v>
      </c>
      <c r="L146" s="158"/>
      <c r="M146" s="49">
        <f>'дод 2'!N190</f>
        <v>30000</v>
      </c>
      <c r="N146" s="49">
        <f>'дод 2'!O190</f>
        <v>30000</v>
      </c>
      <c r="O146" s="49">
        <f>'дод 2'!P190</f>
        <v>0</v>
      </c>
      <c r="P146" s="49">
        <f>'дод 2'!Q190</f>
        <v>0</v>
      </c>
      <c r="Q146" s="49">
        <f>'дод 2'!R190</f>
        <v>0</v>
      </c>
      <c r="R146" s="49">
        <f>'дод 2'!S190</f>
        <v>30000</v>
      </c>
      <c r="S146" s="49">
        <f>'дод 2'!T190</f>
        <v>0</v>
      </c>
      <c r="T146" s="49">
        <f>'дод 2'!U190</f>
        <v>0</v>
      </c>
      <c r="U146" s="49">
        <f>'дод 2'!V190</f>
        <v>0</v>
      </c>
      <c r="V146" s="49">
        <f>'дод 2'!W190</f>
        <v>0</v>
      </c>
      <c r="W146" s="49">
        <f>'дод 2'!X190</f>
        <v>0</v>
      </c>
      <c r="X146" s="49">
        <f>'дод 2'!Y190</f>
        <v>0</v>
      </c>
      <c r="Y146" s="158">
        <f t="shared" si="17"/>
        <v>0</v>
      </c>
      <c r="Z146" s="49">
        <f>'дод 2'!AA190</f>
        <v>0</v>
      </c>
      <c r="AA146" s="49">
        <f>'дод 2'!AB190</f>
        <v>30000</v>
      </c>
    </row>
    <row r="147" spans="1:27" s="54" customFormat="1" ht="110.25" hidden="1" x14ac:dyDescent="0.25">
      <c r="A147" s="80"/>
      <c r="B147" s="91"/>
      <c r="C147" s="92" t="s">
        <v>449</v>
      </c>
      <c r="D147" s="82">
        <f>'дод 2'!E191</f>
        <v>0</v>
      </c>
      <c r="E147" s="82">
        <f>'дод 2'!F191</f>
        <v>0</v>
      </c>
      <c r="F147" s="82">
        <f>'дод 2'!G191</f>
        <v>0</v>
      </c>
      <c r="G147" s="82">
        <f>'дод 2'!H191</f>
        <v>0</v>
      </c>
      <c r="H147" s="82">
        <f>'дод 2'!I191</f>
        <v>0</v>
      </c>
      <c r="I147" s="82">
        <f>'дод 2'!J191</f>
        <v>0</v>
      </c>
      <c r="J147" s="82">
        <f>'дод 2'!K191</f>
        <v>0</v>
      </c>
      <c r="K147" s="82">
        <f>'дод 2'!L191</f>
        <v>0</v>
      </c>
      <c r="L147" s="158"/>
      <c r="M147" s="82">
        <f>'дод 2'!N191</f>
        <v>0</v>
      </c>
      <c r="N147" s="82">
        <f>'дод 2'!O191</f>
        <v>0</v>
      </c>
      <c r="O147" s="82">
        <f>'дод 2'!P191</f>
        <v>0</v>
      </c>
      <c r="P147" s="82">
        <f>'дод 2'!Q191</f>
        <v>0</v>
      </c>
      <c r="Q147" s="82">
        <f>'дод 2'!R191</f>
        <v>0</v>
      </c>
      <c r="R147" s="82">
        <f>'дод 2'!S191</f>
        <v>0</v>
      </c>
      <c r="S147" s="82">
        <f>'дод 2'!T191</f>
        <v>0</v>
      </c>
      <c r="T147" s="82">
        <f>'дод 2'!U191</f>
        <v>0</v>
      </c>
      <c r="U147" s="82">
        <f>'дод 2'!V191</f>
        <v>0</v>
      </c>
      <c r="V147" s="82">
        <f>'дод 2'!W191</f>
        <v>0</v>
      </c>
      <c r="W147" s="82">
        <f>'дод 2'!X191</f>
        <v>0</v>
      </c>
      <c r="X147" s="82">
        <f>'дод 2'!Y191</f>
        <v>0</v>
      </c>
      <c r="Y147" s="158" t="e">
        <f t="shared" si="17"/>
        <v>#DIV/0!</v>
      </c>
      <c r="Z147" s="82">
        <f>'дод 2'!AA191</f>
        <v>0</v>
      </c>
      <c r="AA147" s="82">
        <f>'дод 2'!AB191</f>
        <v>0</v>
      </c>
    </row>
    <row r="148" spans="1:27" s="54" customFormat="1" ht="53.25" customHeight="1" x14ac:dyDescent="0.25">
      <c r="A148" s="37" t="s">
        <v>136</v>
      </c>
      <c r="B148" s="42" t="s">
        <v>69</v>
      </c>
      <c r="C148" s="3" t="s">
        <v>137</v>
      </c>
      <c r="D148" s="49">
        <f>'дод 2'!E247</f>
        <v>0</v>
      </c>
      <c r="E148" s="49">
        <f>'дод 2'!F247</f>
        <v>0</v>
      </c>
      <c r="F148" s="49">
        <f>'дод 2'!G247</f>
        <v>0</v>
      </c>
      <c r="G148" s="49">
        <f>'дод 2'!H247</f>
        <v>0</v>
      </c>
      <c r="H148" s="49">
        <f>'дод 2'!I247</f>
        <v>0</v>
      </c>
      <c r="I148" s="49">
        <f>'дод 2'!J247</f>
        <v>0</v>
      </c>
      <c r="J148" s="49">
        <f>'дод 2'!K247</f>
        <v>0</v>
      </c>
      <c r="K148" s="49">
        <f>'дод 2'!L247</f>
        <v>0</v>
      </c>
      <c r="L148" s="158"/>
      <c r="M148" s="49">
        <f>'дод 2'!N247</f>
        <v>71348.649999999994</v>
      </c>
      <c r="N148" s="49">
        <f>'дод 2'!O247</f>
        <v>0</v>
      </c>
      <c r="O148" s="49">
        <f>'дод 2'!P247</f>
        <v>0</v>
      </c>
      <c r="P148" s="49">
        <f>'дод 2'!Q247</f>
        <v>0</v>
      </c>
      <c r="Q148" s="49">
        <f>'дод 2'!R247</f>
        <v>0</v>
      </c>
      <c r="R148" s="49">
        <f>'дод 2'!S247</f>
        <v>71348.649999999994</v>
      </c>
      <c r="S148" s="49">
        <f>'дод 2'!T247</f>
        <v>0</v>
      </c>
      <c r="T148" s="49">
        <f>'дод 2'!U247</f>
        <v>0</v>
      </c>
      <c r="U148" s="49">
        <f>'дод 2'!V247</f>
        <v>0</v>
      </c>
      <c r="V148" s="49">
        <f>'дод 2'!W247</f>
        <v>0</v>
      </c>
      <c r="W148" s="49">
        <f>'дод 2'!X247</f>
        <v>0</v>
      </c>
      <c r="X148" s="49">
        <f>'дод 2'!Y247</f>
        <v>0</v>
      </c>
      <c r="Y148" s="158">
        <f t="shared" ref="Y148:Y211" si="28">S148/M148*100</f>
        <v>0</v>
      </c>
      <c r="Z148" s="49">
        <f>'дод 2'!AA247</f>
        <v>0</v>
      </c>
      <c r="AA148" s="49">
        <f>'дод 2'!AB247</f>
        <v>71348.649999999994</v>
      </c>
    </row>
    <row r="149" spans="1:27" ht="36" customHeight="1" x14ac:dyDescent="0.25">
      <c r="A149" s="37" t="s">
        <v>143</v>
      </c>
      <c r="B149" s="42" t="s">
        <v>314</v>
      </c>
      <c r="C149" s="3" t="s">
        <v>144</v>
      </c>
      <c r="D149" s="49">
        <f>'дод 2'!E219+'дод 2'!E264</f>
        <v>24093803.460000001</v>
      </c>
      <c r="E149" s="49">
        <f>'дод 2'!F219+'дод 2'!F264</f>
        <v>23793803.460000001</v>
      </c>
      <c r="F149" s="49">
        <f>'дод 2'!G219+'дод 2'!G264</f>
        <v>0</v>
      </c>
      <c r="G149" s="49">
        <f>'дод 2'!H219+'дод 2'!H264</f>
        <v>24500</v>
      </c>
      <c r="H149" s="49">
        <f>'дод 2'!I219+'дод 2'!I264</f>
        <v>300000</v>
      </c>
      <c r="I149" s="49">
        <f>'дод 2'!J219+'дод 2'!J264</f>
        <v>1007558.44</v>
      </c>
      <c r="J149" s="49">
        <f>'дод 2'!K219+'дод 2'!K264</f>
        <v>0</v>
      </c>
      <c r="K149" s="49">
        <f>'дод 2'!L219+'дод 2'!L264</f>
        <v>11101.84</v>
      </c>
      <c r="L149" s="158">
        <f t="shared" ref="L149:L210" si="29">I149/D149*100</f>
        <v>4.1818156343506585</v>
      </c>
      <c r="M149" s="49">
        <f>'дод 2'!N219+'дод 2'!N264</f>
        <v>1785000</v>
      </c>
      <c r="N149" s="49">
        <f>'дод 2'!O219+'дод 2'!O264</f>
        <v>0</v>
      </c>
      <c r="O149" s="49">
        <f>'дод 2'!P219+'дод 2'!P264</f>
        <v>0</v>
      </c>
      <c r="P149" s="49">
        <f>'дод 2'!Q219+'дод 2'!Q264</f>
        <v>0</v>
      </c>
      <c r="Q149" s="49">
        <f>'дод 2'!R219+'дод 2'!R264</f>
        <v>0</v>
      </c>
      <c r="R149" s="49">
        <f>'дод 2'!S219+'дод 2'!S264</f>
        <v>1785000</v>
      </c>
      <c r="S149" s="49">
        <f>'дод 2'!T219+'дод 2'!T264</f>
        <v>36408.9</v>
      </c>
      <c r="T149" s="49">
        <f>'дод 2'!U219+'дод 2'!U264</f>
        <v>0</v>
      </c>
      <c r="U149" s="49">
        <f>'дод 2'!V219+'дод 2'!V264</f>
        <v>0</v>
      </c>
      <c r="V149" s="49">
        <f>'дод 2'!W219+'дод 2'!W264</f>
        <v>0</v>
      </c>
      <c r="W149" s="49">
        <f>'дод 2'!X219+'дод 2'!X264</f>
        <v>0</v>
      </c>
      <c r="X149" s="49">
        <f>'дод 2'!Y219+'дод 2'!Y264</f>
        <v>36408.9</v>
      </c>
      <c r="Y149" s="158">
        <f t="shared" si="28"/>
        <v>2.0397142857142856</v>
      </c>
      <c r="Z149" s="49">
        <f>'дод 2'!AA219+'дод 2'!AA264</f>
        <v>1043967.34</v>
      </c>
      <c r="AA149" s="49">
        <f>'дод 2'!AB219+'дод 2'!AB264</f>
        <v>25878803.460000001</v>
      </c>
    </row>
    <row r="150" spans="1:27" s="52" customFormat="1" ht="21.75" customHeight="1" x14ac:dyDescent="0.25">
      <c r="A150" s="38" t="s">
        <v>138</v>
      </c>
      <c r="B150" s="41"/>
      <c r="C150" s="2" t="s">
        <v>409</v>
      </c>
      <c r="D150" s="48">
        <f>D154+D156+D172+D184+D186+D198</f>
        <v>72630784</v>
      </c>
      <c r="E150" s="48">
        <f t="shared" ref="E150:AA150" si="30">E154+E156+E172+E184+E186+E198</f>
        <v>20971288</v>
      </c>
      <c r="F150" s="48">
        <f t="shared" si="30"/>
        <v>0</v>
      </c>
      <c r="G150" s="48">
        <f t="shared" si="30"/>
        <v>0</v>
      </c>
      <c r="H150" s="48">
        <f t="shared" si="30"/>
        <v>51659496</v>
      </c>
      <c r="I150" s="48">
        <f t="shared" si="30"/>
        <v>35203121.539999999</v>
      </c>
      <c r="J150" s="48">
        <f t="shared" si="30"/>
        <v>0</v>
      </c>
      <c r="K150" s="48">
        <f t="shared" si="30"/>
        <v>0</v>
      </c>
      <c r="L150" s="158">
        <f t="shared" si="29"/>
        <v>48.468596373680889</v>
      </c>
      <c r="M150" s="48">
        <f t="shared" si="30"/>
        <v>417100047.56999999</v>
      </c>
      <c r="N150" s="48">
        <f t="shared" si="30"/>
        <v>400140075.69999999</v>
      </c>
      <c r="O150" s="48">
        <f t="shared" si="30"/>
        <v>2948437.8699999996</v>
      </c>
      <c r="P150" s="48">
        <f t="shared" si="30"/>
        <v>0</v>
      </c>
      <c r="Q150" s="48">
        <f t="shared" si="30"/>
        <v>0</v>
      </c>
      <c r="R150" s="48">
        <f t="shared" si="30"/>
        <v>414151609.69999999</v>
      </c>
      <c r="S150" s="48">
        <f t="shared" si="30"/>
        <v>60849105.25</v>
      </c>
      <c r="T150" s="48">
        <f t="shared" si="30"/>
        <v>51091052.079999998</v>
      </c>
      <c r="U150" s="48">
        <f t="shared" si="30"/>
        <v>246503.16</v>
      </c>
      <c r="V150" s="48">
        <f t="shared" si="30"/>
        <v>0</v>
      </c>
      <c r="W150" s="48">
        <f t="shared" si="30"/>
        <v>0</v>
      </c>
      <c r="X150" s="48">
        <f t="shared" si="30"/>
        <v>60602602.090000004</v>
      </c>
      <c r="Y150" s="158">
        <f t="shared" si="28"/>
        <v>14.588611438551316</v>
      </c>
      <c r="Z150" s="48">
        <f t="shared" si="30"/>
        <v>96052226.790000007</v>
      </c>
      <c r="AA150" s="48">
        <f t="shared" si="30"/>
        <v>489730831.56999999</v>
      </c>
    </row>
    <row r="151" spans="1:27" s="53" customFormat="1" ht="47.25" hidden="1" customHeight="1" x14ac:dyDescent="0.25">
      <c r="A151" s="73"/>
      <c r="B151" s="74"/>
      <c r="C151" s="77" t="s">
        <v>390</v>
      </c>
      <c r="D151" s="78">
        <f>D157</f>
        <v>0</v>
      </c>
      <c r="E151" s="78">
        <f t="shared" ref="E151:AA151" si="31">E157</f>
        <v>0</v>
      </c>
      <c r="F151" s="78">
        <f t="shared" si="31"/>
        <v>0</v>
      </c>
      <c r="G151" s="78">
        <f t="shared" si="31"/>
        <v>0</v>
      </c>
      <c r="H151" s="78">
        <f t="shared" si="31"/>
        <v>0</v>
      </c>
      <c r="I151" s="78">
        <f t="shared" si="31"/>
        <v>0</v>
      </c>
      <c r="J151" s="78">
        <f t="shared" si="31"/>
        <v>0</v>
      </c>
      <c r="K151" s="78">
        <f t="shared" si="31"/>
        <v>0</v>
      </c>
      <c r="L151" s="158" t="e">
        <f t="shared" si="29"/>
        <v>#DIV/0!</v>
      </c>
      <c r="M151" s="78">
        <f t="shared" si="31"/>
        <v>7785959</v>
      </c>
      <c r="N151" s="78">
        <f t="shared" si="31"/>
        <v>7785959</v>
      </c>
      <c r="O151" s="78">
        <f t="shared" si="31"/>
        <v>0</v>
      </c>
      <c r="P151" s="78">
        <f t="shared" si="31"/>
        <v>0</v>
      </c>
      <c r="Q151" s="78">
        <f t="shared" si="31"/>
        <v>0</v>
      </c>
      <c r="R151" s="78">
        <f t="shared" si="31"/>
        <v>7785959</v>
      </c>
      <c r="S151" s="78">
        <f t="shared" si="31"/>
        <v>0</v>
      </c>
      <c r="T151" s="78">
        <f t="shared" si="31"/>
        <v>0</v>
      </c>
      <c r="U151" s="78">
        <f t="shared" si="31"/>
        <v>0</v>
      </c>
      <c r="V151" s="78">
        <f t="shared" si="31"/>
        <v>0</v>
      </c>
      <c r="W151" s="78">
        <f t="shared" si="31"/>
        <v>0</v>
      </c>
      <c r="X151" s="78">
        <f t="shared" si="31"/>
        <v>0</v>
      </c>
      <c r="Y151" s="158">
        <f t="shared" si="28"/>
        <v>0</v>
      </c>
      <c r="Z151" s="78">
        <f t="shared" si="31"/>
        <v>0</v>
      </c>
      <c r="AA151" s="78">
        <f t="shared" si="31"/>
        <v>7785959</v>
      </c>
    </row>
    <row r="152" spans="1:27" s="53" customFormat="1" ht="94.5" hidden="1" customHeight="1" x14ac:dyDescent="0.25">
      <c r="A152" s="73"/>
      <c r="B152" s="74"/>
      <c r="C152" s="77" t="s">
        <v>399</v>
      </c>
      <c r="D152" s="78">
        <f>D173</f>
        <v>0</v>
      </c>
      <c r="E152" s="78">
        <f t="shared" ref="E152:AA152" si="32">E173</f>
        <v>0</v>
      </c>
      <c r="F152" s="78">
        <f t="shared" si="32"/>
        <v>0</v>
      </c>
      <c r="G152" s="78">
        <f t="shared" si="32"/>
        <v>0</v>
      </c>
      <c r="H152" s="78">
        <f t="shared" si="32"/>
        <v>0</v>
      </c>
      <c r="I152" s="78">
        <f t="shared" si="32"/>
        <v>0</v>
      </c>
      <c r="J152" s="78">
        <f t="shared" si="32"/>
        <v>0</v>
      </c>
      <c r="K152" s="78">
        <f t="shared" si="32"/>
        <v>0</v>
      </c>
      <c r="L152" s="158" t="e">
        <f t="shared" si="29"/>
        <v>#DIV/0!</v>
      </c>
      <c r="M152" s="78">
        <f t="shared" si="32"/>
        <v>0</v>
      </c>
      <c r="N152" s="78">
        <f t="shared" si="32"/>
        <v>0</v>
      </c>
      <c r="O152" s="78">
        <f t="shared" si="32"/>
        <v>0</v>
      </c>
      <c r="P152" s="78">
        <f t="shared" si="32"/>
        <v>0</v>
      </c>
      <c r="Q152" s="78">
        <f t="shared" si="32"/>
        <v>0</v>
      </c>
      <c r="R152" s="78">
        <f t="shared" si="32"/>
        <v>0</v>
      </c>
      <c r="S152" s="78">
        <f t="shared" si="32"/>
        <v>0</v>
      </c>
      <c r="T152" s="78">
        <f t="shared" si="32"/>
        <v>0</v>
      </c>
      <c r="U152" s="78">
        <f t="shared" si="32"/>
        <v>0</v>
      </c>
      <c r="V152" s="78">
        <f t="shared" si="32"/>
        <v>0</v>
      </c>
      <c r="W152" s="78">
        <f t="shared" si="32"/>
        <v>0</v>
      </c>
      <c r="X152" s="78">
        <f t="shared" si="32"/>
        <v>0</v>
      </c>
      <c r="Y152" s="158" t="e">
        <f t="shared" si="28"/>
        <v>#DIV/0!</v>
      </c>
      <c r="Z152" s="78">
        <f t="shared" si="32"/>
        <v>0</v>
      </c>
      <c r="AA152" s="78">
        <f t="shared" si="32"/>
        <v>0</v>
      </c>
    </row>
    <row r="153" spans="1:27" s="53" customFormat="1" ht="18" customHeight="1" x14ac:dyDescent="0.25">
      <c r="A153" s="73"/>
      <c r="B153" s="73"/>
      <c r="C153" s="85" t="s">
        <v>421</v>
      </c>
      <c r="D153" s="78">
        <f>D187</f>
        <v>0</v>
      </c>
      <c r="E153" s="78">
        <f t="shared" ref="E153:AA153" si="33">E187</f>
        <v>0</v>
      </c>
      <c r="F153" s="78">
        <f t="shared" si="33"/>
        <v>0</v>
      </c>
      <c r="G153" s="78">
        <f t="shared" si="33"/>
        <v>0</v>
      </c>
      <c r="H153" s="78">
        <f t="shared" si="33"/>
        <v>0</v>
      </c>
      <c r="I153" s="78">
        <f t="shared" si="33"/>
        <v>0</v>
      </c>
      <c r="J153" s="78">
        <f t="shared" si="33"/>
        <v>0</v>
      </c>
      <c r="K153" s="78">
        <f t="shared" si="33"/>
        <v>0</v>
      </c>
      <c r="L153" s="158"/>
      <c r="M153" s="78">
        <f t="shared" si="33"/>
        <v>127771665.12</v>
      </c>
      <c r="N153" s="78">
        <f t="shared" si="33"/>
        <v>127771665.12</v>
      </c>
      <c r="O153" s="78">
        <f t="shared" si="33"/>
        <v>0</v>
      </c>
      <c r="P153" s="78">
        <f t="shared" si="33"/>
        <v>0</v>
      </c>
      <c r="Q153" s="78">
        <f t="shared" si="33"/>
        <v>0</v>
      </c>
      <c r="R153" s="78">
        <f t="shared" si="33"/>
        <v>127771665.12</v>
      </c>
      <c r="S153" s="78">
        <f t="shared" si="33"/>
        <v>2343525.58</v>
      </c>
      <c r="T153" s="78">
        <f t="shared" si="33"/>
        <v>2343525.58</v>
      </c>
      <c r="U153" s="78">
        <f t="shared" si="33"/>
        <v>0</v>
      </c>
      <c r="V153" s="78">
        <f t="shared" si="33"/>
        <v>0</v>
      </c>
      <c r="W153" s="78">
        <f t="shared" si="33"/>
        <v>0</v>
      </c>
      <c r="X153" s="78">
        <f t="shared" si="33"/>
        <v>0</v>
      </c>
      <c r="Y153" s="158">
        <f t="shared" si="28"/>
        <v>1.8341512398691984</v>
      </c>
      <c r="Z153" s="78">
        <f t="shared" si="33"/>
        <v>2343525.58</v>
      </c>
      <c r="AA153" s="78">
        <f t="shared" si="33"/>
        <v>127771665.12</v>
      </c>
    </row>
    <row r="154" spans="1:27" s="52" customFormat="1" x14ac:dyDescent="0.25">
      <c r="A154" s="38" t="s">
        <v>145</v>
      </c>
      <c r="B154" s="41"/>
      <c r="C154" s="2" t="s">
        <v>146</v>
      </c>
      <c r="D154" s="48">
        <f t="shared" ref="D154:AA154" si="34">D155</f>
        <v>450000</v>
      </c>
      <c r="E154" s="48">
        <f t="shared" si="34"/>
        <v>450000</v>
      </c>
      <c r="F154" s="48">
        <f t="shared" si="34"/>
        <v>0</v>
      </c>
      <c r="G154" s="48">
        <f t="shared" si="34"/>
        <v>0</v>
      </c>
      <c r="H154" s="48">
        <f t="shared" si="34"/>
        <v>0</v>
      </c>
      <c r="I154" s="48">
        <f t="shared" si="34"/>
        <v>0</v>
      </c>
      <c r="J154" s="48">
        <f t="shared" si="34"/>
        <v>0</v>
      </c>
      <c r="K154" s="48">
        <f t="shared" si="34"/>
        <v>0</v>
      </c>
      <c r="L154" s="158">
        <f t="shared" si="29"/>
        <v>0</v>
      </c>
      <c r="M154" s="48">
        <f t="shared" si="34"/>
        <v>0</v>
      </c>
      <c r="N154" s="48">
        <f t="shared" si="34"/>
        <v>0</v>
      </c>
      <c r="O154" s="48">
        <f t="shared" si="34"/>
        <v>0</v>
      </c>
      <c r="P154" s="48">
        <f t="shared" si="34"/>
        <v>0</v>
      </c>
      <c r="Q154" s="48">
        <f t="shared" si="34"/>
        <v>0</v>
      </c>
      <c r="R154" s="48">
        <f t="shared" si="34"/>
        <v>0</v>
      </c>
      <c r="S154" s="48">
        <f t="shared" si="34"/>
        <v>0</v>
      </c>
      <c r="T154" s="48">
        <f t="shared" si="34"/>
        <v>0</v>
      </c>
      <c r="U154" s="48">
        <f t="shared" si="34"/>
        <v>0</v>
      </c>
      <c r="V154" s="48">
        <f t="shared" si="34"/>
        <v>0</v>
      </c>
      <c r="W154" s="48">
        <f t="shared" si="34"/>
        <v>0</v>
      </c>
      <c r="X154" s="48">
        <f t="shared" si="34"/>
        <v>0</v>
      </c>
      <c r="Y154" s="158"/>
      <c r="Z154" s="48">
        <f t="shared" si="34"/>
        <v>0</v>
      </c>
      <c r="AA154" s="48">
        <f t="shared" si="34"/>
        <v>450000</v>
      </c>
    </row>
    <row r="155" spans="1:27" ht="24" customHeight="1" x14ac:dyDescent="0.25">
      <c r="A155" s="37" t="s">
        <v>139</v>
      </c>
      <c r="B155" s="37" t="s">
        <v>85</v>
      </c>
      <c r="C155" s="3" t="s">
        <v>347</v>
      </c>
      <c r="D155" s="49">
        <f>'дод 2'!E274</f>
        <v>450000</v>
      </c>
      <c r="E155" s="49">
        <f>'дод 2'!F274</f>
        <v>450000</v>
      </c>
      <c r="F155" s="49">
        <f>'дод 2'!G274</f>
        <v>0</v>
      </c>
      <c r="G155" s="49">
        <f>'дод 2'!H274</f>
        <v>0</v>
      </c>
      <c r="H155" s="49">
        <f>'дод 2'!I274</f>
        <v>0</v>
      </c>
      <c r="I155" s="49">
        <f>'дод 2'!J274</f>
        <v>0</v>
      </c>
      <c r="J155" s="49">
        <f>'дод 2'!K274</f>
        <v>0</v>
      </c>
      <c r="K155" s="49">
        <f>'дод 2'!L274</f>
        <v>0</v>
      </c>
      <c r="L155" s="158">
        <f t="shared" si="29"/>
        <v>0</v>
      </c>
      <c r="M155" s="49">
        <f>'дод 2'!N274</f>
        <v>0</v>
      </c>
      <c r="N155" s="49">
        <f>'дод 2'!O274</f>
        <v>0</v>
      </c>
      <c r="O155" s="49">
        <f>'дод 2'!P274</f>
        <v>0</v>
      </c>
      <c r="P155" s="49">
        <f>'дод 2'!Q274</f>
        <v>0</v>
      </c>
      <c r="Q155" s="49">
        <f>'дод 2'!R274</f>
        <v>0</v>
      </c>
      <c r="R155" s="49">
        <f>'дод 2'!S274</f>
        <v>0</v>
      </c>
      <c r="S155" s="49">
        <f>'дод 2'!T274</f>
        <v>0</v>
      </c>
      <c r="T155" s="49">
        <f>'дод 2'!U274</f>
        <v>0</v>
      </c>
      <c r="U155" s="49">
        <f>'дод 2'!V274</f>
        <v>0</v>
      </c>
      <c r="V155" s="49">
        <f>'дод 2'!W274</f>
        <v>0</v>
      </c>
      <c r="W155" s="49">
        <f>'дод 2'!X274</f>
        <v>0</v>
      </c>
      <c r="X155" s="49">
        <f>'дод 2'!Y274</f>
        <v>0</v>
      </c>
      <c r="Y155" s="158"/>
      <c r="Z155" s="49">
        <f>'дод 2'!AA274</f>
        <v>0</v>
      </c>
      <c r="AA155" s="49">
        <f>'дод 2'!AB274</f>
        <v>450000</v>
      </c>
    </row>
    <row r="156" spans="1:27" s="52" customFormat="1" ht="18.75" customHeight="1" x14ac:dyDescent="0.25">
      <c r="A156" s="38" t="s">
        <v>99</v>
      </c>
      <c r="B156" s="38"/>
      <c r="C156" s="13" t="s">
        <v>470</v>
      </c>
      <c r="D156" s="48">
        <f>D158+D159+D160+D161+D162+D163+D164+D165+D166+D167+D169+D171</f>
        <v>2364686</v>
      </c>
      <c r="E156" s="48">
        <f t="shared" ref="E156:AA156" si="35">E158+E159+E160+E161+E162+E163+E164+E165+E166+E167+E169+E171</f>
        <v>2364686</v>
      </c>
      <c r="F156" s="48">
        <f t="shared" si="35"/>
        <v>0</v>
      </c>
      <c r="G156" s="48">
        <f t="shared" si="35"/>
        <v>0</v>
      </c>
      <c r="H156" s="48">
        <f t="shared" si="35"/>
        <v>0</v>
      </c>
      <c r="I156" s="48">
        <f t="shared" si="35"/>
        <v>31326</v>
      </c>
      <c r="J156" s="48">
        <f t="shared" si="35"/>
        <v>0</v>
      </c>
      <c r="K156" s="48">
        <f t="shared" si="35"/>
        <v>0</v>
      </c>
      <c r="L156" s="158">
        <f t="shared" si="29"/>
        <v>1.3247424816656419</v>
      </c>
      <c r="M156" s="48">
        <f t="shared" si="35"/>
        <v>183225123.57999998</v>
      </c>
      <c r="N156" s="48">
        <f t="shared" si="35"/>
        <v>183225123.57999998</v>
      </c>
      <c r="O156" s="48">
        <f t="shared" si="35"/>
        <v>0</v>
      </c>
      <c r="P156" s="48">
        <f t="shared" si="35"/>
        <v>0</v>
      </c>
      <c r="Q156" s="48">
        <f t="shared" si="35"/>
        <v>0</v>
      </c>
      <c r="R156" s="48">
        <f t="shared" si="35"/>
        <v>183225123.57999998</v>
      </c>
      <c r="S156" s="48">
        <f t="shared" si="35"/>
        <v>34078813.379999995</v>
      </c>
      <c r="T156" s="48">
        <f t="shared" si="35"/>
        <v>34078813.379999995</v>
      </c>
      <c r="U156" s="48">
        <f t="shared" si="35"/>
        <v>0</v>
      </c>
      <c r="V156" s="48">
        <f t="shared" si="35"/>
        <v>0</v>
      </c>
      <c r="W156" s="48">
        <f t="shared" si="35"/>
        <v>0</v>
      </c>
      <c r="X156" s="48">
        <f t="shared" si="35"/>
        <v>34078813.379999995</v>
      </c>
      <c r="Y156" s="158">
        <f t="shared" si="28"/>
        <v>18.599421691818623</v>
      </c>
      <c r="Z156" s="48">
        <f t="shared" si="35"/>
        <v>34110139.379999995</v>
      </c>
      <c r="AA156" s="48">
        <f t="shared" si="35"/>
        <v>185589809.57999998</v>
      </c>
    </row>
    <row r="157" spans="1:27" s="53" customFormat="1" ht="47.25" x14ac:dyDescent="0.25">
      <c r="A157" s="73"/>
      <c r="B157" s="73"/>
      <c r="C157" s="77" t="s">
        <v>566</v>
      </c>
      <c r="D157" s="78">
        <f>D170</f>
        <v>0</v>
      </c>
      <c r="E157" s="78">
        <f t="shared" ref="E157:AA157" si="36">E170</f>
        <v>0</v>
      </c>
      <c r="F157" s="78">
        <f t="shared" si="36"/>
        <v>0</v>
      </c>
      <c r="G157" s="78">
        <f t="shared" si="36"/>
        <v>0</v>
      </c>
      <c r="H157" s="78">
        <f t="shared" si="36"/>
        <v>0</v>
      </c>
      <c r="I157" s="78">
        <f t="shared" si="36"/>
        <v>0</v>
      </c>
      <c r="J157" s="78">
        <f t="shared" si="36"/>
        <v>0</v>
      </c>
      <c r="K157" s="78">
        <f t="shared" si="36"/>
        <v>0</v>
      </c>
      <c r="L157" s="158"/>
      <c r="M157" s="78">
        <f t="shared" si="36"/>
        <v>7785959</v>
      </c>
      <c r="N157" s="78">
        <f t="shared" si="36"/>
        <v>7785959</v>
      </c>
      <c r="O157" s="78">
        <f t="shared" si="36"/>
        <v>0</v>
      </c>
      <c r="P157" s="78">
        <f t="shared" si="36"/>
        <v>0</v>
      </c>
      <c r="Q157" s="78">
        <f t="shared" si="36"/>
        <v>0</v>
      </c>
      <c r="R157" s="78">
        <f t="shared" si="36"/>
        <v>7785959</v>
      </c>
      <c r="S157" s="78">
        <f t="shared" si="36"/>
        <v>0</v>
      </c>
      <c r="T157" s="78">
        <f t="shared" si="36"/>
        <v>0</v>
      </c>
      <c r="U157" s="78">
        <f t="shared" si="36"/>
        <v>0</v>
      </c>
      <c r="V157" s="78">
        <f t="shared" si="36"/>
        <v>0</v>
      </c>
      <c r="W157" s="78">
        <f t="shared" si="36"/>
        <v>0</v>
      </c>
      <c r="X157" s="78">
        <f t="shared" si="36"/>
        <v>0</v>
      </c>
      <c r="Y157" s="158">
        <f t="shared" si="28"/>
        <v>0</v>
      </c>
      <c r="Z157" s="78">
        <f t="shared" si="36"/>
        <v>0</v>
      </c>
      <c r="AA157" s="78">
        <f t="shared" si="36"/>
        <v>7785959</v>
      </c>
    </row>
    <row r="158" spans="1:27" ht="31.5" customHeight="1" x14ac:dyDescent="0.25">
      <c r="A158" s="40" t="s">
        <v>274</v>
      </c>
      <c r="B158" s="40" t="s">
        <v>113</v>
      </c>
      <c r="C158" s="138" t="s">
        <v>562</v>
      </c>
      <c r="D158" s="49">
        <f>'дод 2'!E248+'дод 2'!E220</f>
        <v>0</v>
      </c>
      <c r="E158" s="49">
        <f>'дод 2'!F248+'дод 2'!F220</f>
        <v>0</v>
      </c>
      <c r="F158" s="49">
        <f>'дод 2'!G248+'дод 2'!G220</f>
        <v>0</v>
      </c>
      <c r="G158" s="49">
        <f>'дод 2'!H248+'дод 2'!H220</f>
        <v>0</v>
      </c>
      <c r="H158" s="49">
        <f>'дод 2'!I248+'дод 2'!I220</f>
        <v>0</v>
      </c>
      <c r="I158" s="49">
        <f>'дод 2'!J248+'дод 2'!J220</f>
        <v>0</v>
      </c>
      <c r="J158" s="49">
        <f>'дод 2'!K248+'дод 2'!K220</f>
        <v>0</v>
      </c>
      <c r="K158" s="49">
        <f>'дод 2'!L248+'дод 2'!L220</f>
        <v>0</v>
      </c>
      <c r="L158" s="158"/>
      <c r="M158" s="49">
        <f>'дод 2'!N248+'дод 2'!N220</f>
        <v>20078713</v>
      </c>
      <c r="N158" s="49">
        <f>'дод 2'!O248+'дод 2'!O220</f>
        <v>20078713</v>
      </c>
      <c r="O158" s="49">
        <f>'дод 2'!P248+'дод 2'!P220</f>
        <v>0</v>
      </c>
      <c r="P158" s="49">
        <f>'дод 2'!Q248+'дод 2'!Q220</f>
        <v>0</v>
      </c>
      <c r="Q158" s="49">
        <f>'дод 2'!R248+'дод 2'!R220</f>
        <v>0</v>
      </c>
      <c r="R158" s="49">
        <f>'дод 2'!S248+'дод 2'!S220</f>
        <v>20078713</v>
      </c>
      <c r="S158" s="49">
        <f>'дод 2'!T248+'дод 2'!T220</f>
        <v>6466183.0499999998</v>
      </c>
      <c r="T158" s="49">
        <f>'дод 2'!U248+'дод 2'!U220</f>
        <v>6466183.0499999998</v>
      </c>
      <c r="U158" s="49">
        <f>'дод 2'!V248+'дод 2'!V220</f>
        <v>0</v>
      </c>
      <c r="V158" s="49">
        <f>'дод 2'!W248+'дод 2'!W220</f>
        <v>0</v>
      </c>
      <c r="W158" s="49">
        <f>'дод 2'!X248+'дод 2'!X220</f>
        <v>0</v>
      </c>
      <c r="X158" s="49">
        <f>'дод 2'!Y248+'дод 2'!Y220</f>
        <v>6466183.0499999998</v>
      </c>
      <c r="Y158" s="158">
        <f t="shared" si="28"/>
        <v>32.204170904778607</v>
      </c>
      <c r="Z158" s="49">
        <f>'дод 2'!AA248+'дод 2'!AA220</f>
        <v>6466183.0499999998</v>
      </c>
      <c r="AA158" s="49">
        <f>'дод 2'!AB248+'дод 2'!AB220</f>
        <v>20078713</v>
      </c>
    </row>
    <row r="159" spans="1:27" s="54" customFormat="1" ht="21.75" customHeight="1" x14ac:dyDescent="0.25">
      <c r="A159" s="40" t="s">
        <v>279</v>
      </c>
      <c r="B159" s="40" t="s">
        <v>113</v>
      </c>
      <c r="C159" s="138" t="s">
        <v>558</v>
      </c>
      <c r="D159" s="49">
        <f>'дод 2'!E103+'дод 2'!E249</f>
        <v>0</v>
      </c>
      <c r="E159" s="49">
        <f>'дод 2'!F103+'дод 2'!F249</f>
        <v>0</v>
      </c>
      <c r="F159" s="49">
        <f>'дод 2'!G103+'дод 2'!G249</f>
        <v>0</v>
      </c>
      <c r="G159" s="49">
        <f>'дод 2'!H103+'дод 2'!H249</f>
        <v>0</v>
      </c>
      <c r="H159" s="49">
        <f>'дод 2'!I103+'дод 2'!I249</f>
        <v>0</v>
      </c>
      <c r="I159" s="49">
        <f>'дод 2'!J103+'дод 2'!J249</f>
        <v>0</v>
      </c>
      <c r="J159" s="49">
        <f>'дод 2'!K103+'дод 2'!K249</f>
        <v>0</v>
      </c>
      <c r="K159" s="49">
        <f>'дод 2'!L103+'дод 2'!L249</f>
        <v>0</v>
      </c>
      <c r="L159" s="158"/>
      <c r="M159" s="49">
        <f>'дод 2'!N103+'дод 2'!N249</f>
        <v>23878278</v>
      </c>
      <c r="N159" s="49">
        <f>'дод 2'!O103+'дод 2'!O249</f>
        <v>23878278</v>
      </c>
      <c r="O159" s="49">
        <f>'дод 2'!P103+'дод 2'!P249</f>
        <v>0</v>
      </c>
      <c r="P159" s="49">
        <f>'дод 2'!Q103+'дод 2'!Q249</f>
        <v>0</v>
      </c>
      <c r="Q159" s="49">
        <f>'дод 2'!R103+'дод 2'!R249</f>
        <v>0</v>
      </c>
      <c r="R159" s="49">
        <f>'дод 2'!S103+'дод 2'!S249</f>
        <v>23878278</v>
      </c>
      <c r="S159" s="49">
        <f>'дод 2'!T103+'дод 2'!T249</f>
        <v>806516.29</v>
      </c>
      <c r="T159" s="49">
        <f>'дод 2'!U103+'дод 2'!U249</f>
        <v>806516.29</v>
      </c>
      <c r="U159" s="49">
        <f>'дод 2'!V103+'дод 2'!V249</f>
        <v>0</v>
      </c>
      <c r="V159" s="49">
        <f>'дод 2'!W103+'дод 2'!W249</f>
        <v>0</v>
      </c>
      <c r="W159" s="49">
        <f>'дод 2'!X103+'дод 2'!X249</f>
        <v>0</v>
      </c>
      <c r="X159" s="49">
        <f>'дод 2'!Y103+'дод 2'!Y249</f>
        <v>806516.29</v>
      </c>
      <c r="Y159" s="158">
        <f t="shared" si="28"/>
        <v>3.3776149603417802</v>
      </c>
      <c r="Z159" s="49">
        <f>'дод 2'!AA103+'дод 2'!AA249</f>
        <v>806516.29</v>
      </c>
      <c r="AA159" s="49">
        <f>'дод 2'!AB103+'дод 2'!AB249</f>
        <v>23878278</v>
      </c>
    </row>
    <row r="160" spans="1:27" s="54" customFormat="1" ht="24" customHeight="1" x14ac:dyDescent="0.25">
      <c r="A160" s="40" t="s">
        <v>281</v>
      </c>
      <c r="B160" s="40" t="s">
        <v>113</v>
      </c>
      <c r="C160" s="138" t="s">
        <v>559</v>
      </c>
      <c r="D160" s="49">
        <f>'дод 2'!E250+'дод 2'!E139</f>
        <v>0</v>
      </c>
      <c r="E160" s="49">
        <f>'дод 2'!F250+'дод 2'!F139</f>
        <v>0</v>
      </c>
      <c r="F160" s="49">
        <f>'дод 2'!G250+'дод 2'!G139</f>
        <v>0</v>
      </c>
      <c r="G160" s="49">
        <f>'дод 2'!H250+'дод 2'!H139</f>
        <v>0</v>
      </c>
      <c r="H160" s="49">
        <f>'дод 2'!I250+'дод 2'!I139</f>
        <v>0</v>
      </c>
      <c r="I160" s="49">
        <f>'дод 2'!J250+'дод 2'!J139</f>
        <v>0</v>
      </c>
      <c r="J160" s="49">
        <f>'дод 2'!K250+'дод 2'!K139</f>
        <v>0</v>
      </c>
      <c r="K160" s="49">
        <f>'дод 2'!L250+'дод 2'!L139</f>
        <v>0</v>
      </c>
      <c r="L160" s="158"/>
      <c r="M160" s="49">
        <f>'дод 2'!N250+'дод 2'!N139</f>
        <v>34953372</v>
      </c>
      <c r="N160" s="49">
        <f>'дод 2'!O250+'дод 2'!O139</f>
        <v>34953372</v>
      </c>
      <c r="O160" s="49">
        <f>'дод 2'!P250+'дод 2'!P139</f>
        <v>0</v>
      </c>
      <c r="P160" s="49">
        <f>'дод 2'!Q250+'дод 2'!Q139</f>
        <v>0</v>
      </c>
      <c r="Q160" s="49">
        <f>'дод 2'!R250+'дод 2'!R139</f>
        <v>0</v>
      </c>
      <c r="R160" s="49">
        <f>'дод 2'!S250+'дод 2'!S139</f>
        <v>34953372</v>
      </c>
      <c r="S160" s="49">
        <f>'дод 2'!T250+'дод 2'!T139</f>
        <v>12849623.969999999</v>
      </c>
      <c r="T160" s="49">
        <f>'дод 2'!U250+'дод 2'!U139</f>
        <v>12849623.969999999</v>
      </c>
      <c r="U160" s="49">
        <f>'дод 2'!V250+'дод 2'!V139</f>
        <v>0</v>
      </c>
      <c r="V160" s="49">
        <f>'дод 2'!W250+'дод 2'!W139</f>
        <v>0</v>
      </c>
      <c r="W160" s="49">
        <f>'дод 2'!X250+'дод 2'!X139</f>
        <v>0</v>
      </c>
      <c r="X160" s="49">
        <f>'дод 2'!Y250+'дод 2'!Y139</f>
        <v>12849623.969999999</v>
      </c>
      <c r="Y160" s="158">
        <f t="shared" si="28"/>
        <v>36.762186978698367</v>
      </c>
      <c r="Z160" s="49">
        <f>'дод 2'!AA250+'дод 2'!AA139</f>
        <v>12849623.969999999</v>
      </c>
      <c r="AA160" s="49">
        <f>'дод 2'!AB250+'дод 2'!AB139</f>
        <v>34953372</v>
      </c>
    </row>
    <row r="161" spans="1:27" s="54" customFormat="1" ht="22.5" customHeight="1" x14ac:dyDescent="0.25">
      <c r="A161" s="40">
        <v>7323</v>
      </c>
      <c r="B161" s="75" t="s">
        <v>113</v>
      </c>
      <c r="C161" s="139" t="s">
        <v>560</v>
      </c>
      <c r="D161" s="49">
        <f>'дод 2'!E182</f>
        <v>0</v>
      </c>
      <c r="E161" s="49">
        <f>'дод 2'!F182</f>
        <v>0</v>
      </c>
      <c r="F161" s="49">
        <f>'дод 2'!G182</f>
        <v>0</v>
      </c>
      <c r="G161" s="49">
        <f>'дод 2'!H182</f>
        <v>0</v>
      </c>
      <c r="H161" s="49">
        <f>'дод 2'!I182</f>
        <v>0</v>
      </c>
      <c r="I161" s="49">
        <f>'дод 2'!J182</f>
        <v>0</v>
      </c>
      <c r="J161" s="49">
        <f>'дод 2'!K182</f>
        <v>0</v>
      </c>
      <c r="K161" s="49">
        <f>'дод 2'!L182</f>
        <v>0</v>
      </c>
      <c r="L161" s="158"/>
      <c r="M161" s="49">
        <f>'дод 2'!N182</f>
        <v>400000</v>
      </c>
      <c r="N161" s="49">
        <f>'дод 2'!O182</f>
        <v>400000</v>
      </c>
      <c r="O161" s="49">
        <f>'дод 2'!P182</f>
        <v>0</v>
      </c>
      <c r="P161" s="49">
        <f>'дод 2'!Q182</f>
        <v>0</v>
      </c>
      <c r="Q161" s="49">
        <f>'дод 2'!R182</f>
        <v>0</v>
      </c>
      <c r="R161" s="49">
        <f>'дод 2'!S182</f>
        <v>400000</v>
      </c>
      <c r="S161" s="49">
        <f>'дод 2'!T182</f>
        <v>0</v>
      </c>
      <c r="T161" s="49">
        <f>'дод 2'!U182</f>
        <v>0</v>
      </c>
      <c r="U161" s="49">
        <f>'дод 2'!V182</f>
        <v>0</v>
      </c>
      <c r="V161" s="49">
        <f>'дод 2'!W182</f>
        <v>0</v>
      </c>
      <c r="W161" s="49">
        <f>'дод 2'!X182</f>
        <v>0</v>
      </c>
      <c r="X161" s="49">
        <f>'дод 2'!Y182</f>
        <v>0</v>
      </c>
      <c r="Y161" s="158">
        <f t="shared" si="28"/>
        <v>0</v>
      </c>
      <c r="Z161" s="49">
        <f>'дод 2'!AA182</f>
        <v>0</v>
      </c>
      <c r="AA161" s="49">
        <f>'дод 2'!AB182</f>
        <v>400000</v>
      </c>
    </row>
    <row r="162" spans="1:27" s="54" customFormat="1" ht="19.5" customHeight="1" x14ac:dyDescent="0.25">
      <c r="A162" s="40">
        <v>7324</v>
      </c>
      <c r="B162" s="75" t="s">
        <v>113</v>
      </c>
      <c r="C162" s="138" t="s">
        <v>561</v>
      </c>
      <c r="D162" s="49">
        <f>'дод 2'!E200</f>
        <v>0</v>
      </c>
      <c r="E162" s="49">
        <f>'дод 2'!F200</f>
        <v>0</v>
      </c>
      <c r="F162" s="49">
        <f>'дод 2'!G200</f>
        <v>0</v>
      </c>
      <c r="G162" s="49">
        <f>'дод 2'!H200</f>
        <v>0</v>
      </c>
      <c r="H162" s="49">
        <f>'дод 2'!I200</f>
        <v>0</v>
      </c>
      <c r="I162" s="49">
        <f>'дод 2'!J200</f>
        <v>0</v>
      </c>
      <c r="J162" s="49">
        <f>'дод 2'!K200</f>
        <v>0</v>
      </c>
      <c r="K162" s="49">
        <f>'дод 2'!L200</f>
        <v>0</v>
      </c>
      <c r="L162" s="158"/>
      <c r="M162" s="49">
        <f>'дод 2'!N200</f>
        <v>950000</v>
      </c>
      <c r="N162" s="49">
        <f>'дод 2'!O200</f>
        <v>950000</v>
      </c>
      <c r="O162" s="49">
        <f>'дод 2'!P200</f>
        <v>0</v>
      </c>
      <c r="P162" s="49">
        <f>'дод 2'!Q200</f>
        <v>0</v>
      </c>
      <c r="Q162" s="49">
        <f>'дод 2'!R200</f>
        <v>0</v>
      </c>
      <c r="R162" s="49">
        <f>'дод 2'!S200</f>
        <v>950000</v>
      </c>
      <c r="S162" s="49">
        <f>'дод 2'!T200</f>
        <v>0</v>
      </c>
      <c r="T162" s="49">
        <f>'дод 2'!U200</f>
        <v>0</v>
      </c>
      <c r="U162" s="49">
        <f>'дод 2'!V200</f>
        <v>0</v>
      </c>
      <c r="V162" s="49">
        <f>'дод 2'!W200</f>
        <v>0</v>
      </c>
      <c r="W162" s="49">
        <f>'дод 2'!X200</f>
        <v>0</v>
      </c>
      <c r="X162" s="49">
        <f>'дод 2'!Y200</f>
        <v>0</v>
      </c>
      <c r="Y162" s="158">
        <f t="shared" si="28"/>
        <v>0</v>
      </c>
      <c r="Z162" s="49">
        <f>'дод 2'!AA200</f>
        <v>0</v>
      </c>
      <c r="AA162" s="49">
        <f>'дод 2'!AB200</f>
        <v>950000</v>
      </c>
    </row>
    <row r="163" spans="1:27" s="54" customFormat="1" ht="34.5" x14ac:dyDescent="0.25">
      <c r="A163" s="40">
        <v>7325</v>
      </c>
      <c r="B163" s="75" t="s">
        <v>113</v>
      </c>
      <c r="C163" s="138" t="s">
        <v>556</v>
      </c>
      <c r="D163" s="49">
        <f>'дод 2'!E251+'дод 2'!E43</f>
        <v>0</v>
      </c>
      <c r="E163" s="49">
        <f>'дод 2'!F251+'дод 2'!F43</f>
        <v>0</v>
      </c>
      <c r="F163" s="49">
        <f>'дод 2'!G251+'дод 2'!G43</f>
        <v>0</v>
      </c>
      <c r="G163" s="49">
        <f>'дод 2'!H251+'дод 2'!H43</f>
        <v>0</v>
      </c>
      <c r="H163" s="49">
        <f>'дод 2'!I251+'дод 2'!I43</f>
        <v>0</v>
      </c>
      <c r="I163" s="49">
        <f>'дод 2'!J251+'дод 2'!J43</f>
        <v>0</v>
      </c>
      <c r="J163" s="49">
        <f>'дод 2'!K251+'дод 2'!K43</f>
        <v>0</v>
      </c>
      <c r="K163" s="49">
        <f>'дод 2'!L251+'дод 2'!L43</f>
        <v>0</v>
      </c>
      <c r="L163" s="158"/>
      <c r="M163" s="49">
        <f>'дод 2'!N251+'дод 2'!N43</f>
        <v>11589440</v>
      </c>
      <c r="N163" s="49">
        <f>'дод 2'!O251+'дод 2'!O43</f>
        <v>11589440</v>
      </c>
      <c r="O163" s="49">
        <f>'дод 2'!P251+'дод 2'!P43</f>
        <v>0</v>
      </c>
      <c r="P163" s="49">
        <f>'дод 2'!Q251+'дод 2'!Q43</f>
        <v>0</v>
      </c>
      <c r="Q163" s="49">
        <f>'дод 2'!R251+'дод 2'!R43</f>
        <v>0</v>
      </c>
      <c r="R163" s="49">
        <f>'дод 2'!S251+'дод 2'!S43</f>
        <v>11589440</v>
      </c>
      <c r="S163" s="49">
        <f>'дод 2'!T251+'дод 2'!T43</f>
        <v>76225</v>
      </c>
      <c r="T163" s="49">
        <f>'дод 2'!U251+'дод 2'!U43</f>
        <v>76225</v>
      </c>
      <c r="U163" s="49">
        <f>'дод 2'!V251+'дод 2'!V43</f>
        <v>0</v>
      </c>
      <c r="V163" s="49">
        <f>'дод 2'!W251+'дод 2'!W43</f>
        <v>0</v>
      </c>
      <c r="W163" s="49">
        <f>'дод 2'!X251+'дод 2'!X43</f>
        <v>0</v>
      </c>
      <c r="X163" s="49">
        <f>'дод 2'!Y251+'дод 2'!Y43</f>
        <v>76225</v>
      </c>
      <c r="Y163" s="158">
        <f t="shared" si="28"/>
        <v>0.65771081260181685</v>
      </c>
      <c r="Z163" s="49">
        <f>'дод 2'!AA251+'дод 2'!AA43</f>
        <v>76225</v>
      </c>
      <c r="AA163" s="49">
        <f>'дод 2'!AB251+'дод 2'!AB43</f>
        <v>11589440</v>
      </c>
    </row>
    <row r="164" spans="1:27" ht="21.75" customHeight="1" x14ac:dyDescent="0.25">
      <c r="A164" s="40" t="s">
        <v>276</v>
      </c>
      <c r="B164" s="40" t="s">
        <v>113</v>
      </c>
      <c r="C164" s="138" t="s">
        <v>557</v>
      </c>
      <c r="D164" s="49">
        <f>'дод 2'!E252+'дод 2'!E221+'дод 2'!E44</f>
        <v>0</v>
      </c>
      <c r="E164" s="49">
        <f>'дод 2'!F252+'дод 2'!F221+'дод 2'!F44</f>
        <v>0</v>
      </c>
      <c r="F164" s="49">
        <f>'дод 2'!G252+'дод 2'!G221+'дод 2'!G44</f>
        <v>0</v>
      </c>
      <c r="G164" s="49">
        <f>'дод 2'!H252+'дод 2'!H221+'дод 2'!H44</f>
        <v>0</v>
      </c>
      <c r="H164" s="49">
        <f>'дод 2'!I252+'дод 2'!I221+'дод 2'!I44</f>
        <v>0</v>
      </c>
      <c r="I164" s="49">
        <f>'дод 2'!J252+'дод 2'!J221+'дод 2'!J44</f>
        <v>0</v>
      </c>
      <c r="J164" s="49">
        <f>'дод 2'!K252+'дод 2'!K221+'дод 2'!K44</f>
        <v>0</v>
      </c>
      <c r="K164" s="49">
        <f>'дод 2'!L252+'дод 2'!L221+'дод 2'!L44</f>
        <v>0</v>
      </c>
      <c r="L164" s="158"/>
      <c r="M164" s="49">
        <f>'дод 2'!N252+'дод 2'!N221+'дод 2'!N44</f>
        <v>34077688.579999998</v>
      </c>
      <c r="N164" s="49">
        <f>'дод 2'!O252+'дод 2'!O221+'дод 2'!O44</f>
        <v>34077688.579999998</v>
      </c>
      <c r="O164" s="49">
        <f>'дод 2'!P252+'дод 2'!P221+'дод 2'!P44</f>
        <v>0</v>
      </c>
      <c r="P164" s="49">
        <f>'дод 2'!Q252+'дод 2'!Q221+'дод 2'!Q44</f>
        <v>0</v>
      </c>
      <c r="Q164" s="49">
        <f>'дод 2'!R252+'дод 2'!R221+'дод 2'!R44</f>
        <v>0</v>
      </c>
      <c r="R164" s="49">
        <f>'дод 2'!S252+'дод 2'!S221+'дод 2'!S44</f>
        <v>34077688.579999998</v>
      </c>
      <c r="S164" s="49">
        <f>'дод 2'!T252+'дод 2'!T221+'дод 2'!T44</f>
        <v>5616086.8799999999</v>
      </c>
      <c r="T164" s="49">
        <f>'дод 2'!U252+'дод 2'!U221+'дод 2'!U44</f>
        <v>5616086.8799999999</v>
      </c>
      <c r="U164" s="49">
        <f>'дод 2'!V252+'дод 2'!V221+'дод 2'!V44</f>
        <v>0</v>
      </c>
      <c r="V164" s="49">
        <f>'дод 2'!W252+'дод 2'!W221+'дод 2'!W44</f>
        <v>0</v>
      </c>
      <c r="W164" s="49">
        <f>'дод 2'!X252+'дод 2'!X221+'дод 2'!X44</f>
        <v>0</v>
      </c>
      <c r="X164" s="49">
        <f>'дод 2'!Y252+'дод 2'!Y221+'дод 2'!Y44</f>
        <v>5616086.8799999999</v>
      </c>
      <c r="Y164" s="158">
        <f t="shared" si="28"/>
        <v>16.480245914613029</v>
      </c>
      <c r="Z164" s="49">
        <f>'дод 2'!AA252+'дод 2'!AA221+'дод 2'!AA44</f>
        <v>5616086.8799999999</v>
      </c>
      <c r="AA164" s="49">
        <f>'дод 2'!AB252+'дод 2'!AB221+'дод 2'!AB44</f>
        <v>34077688.579999998</v>
      </c>
    </row>
    <row r="165" spans="1:27" ht="31.5" customHeight="1" x14ac:dyDescent="0.25">
      <c r="A165" s="37" t="s">
        <v>140</v>
      </c>
      <c r="B165" s="37" t="s">
        <v>113</v>
      </c>
      <c r="C165" s="3" t="s">
        <v>1</v>
      </c>
      <c r="D165" s="49">
        <f>'дод 2'!E222+'дод 2'!E253</f>
        <v>0</v>
      </c>
      <c r="E165" s="49">
        <f>'дод 2'!F222+'дод 2'!F253</f>
        <v>0</v>
      </c>
      <c r="F165" s="49">
        <f>'дод 2'!G222+'дод 2'!G253</f>
        <v>0</v>
      </c>
      <c r="G165" s="49">
        <f>'дод 2'!H222+'дод 2'!H253</f>
        <v>0</v>
      </c>
      <c r="H165" s="49">
        <f>'дод 2'!I222+'дод 2'!I253</f>
        <v>0</v>
      </c>
      <c r="I165" s="49">
        <f>'дод 2'!J222+'дод 2'!J253</f>
        <v>0</v>
      </c>
      <c r="J165" s="49">
        <f>'дод 2'!K222+'дод 2'!K253</f>
        <v>0</v>
      </c>
      <c r="K165" s="49">
        <f>'дод 2'!L222+'дод 2'!L253</f>
        <v>0</v>
      </c>
      <c r="L165" s="158"/>
      <c r="M165" s="49">
        <f>'дод 2'!N222+'дод 2'!N253</f>
        <v>4250000</v>
      </c>
      <c r="N165" s="49">
        <f>'дод 2'!O222+'дод 2'!O253</f>
        <v>4250000</v>
      </c>
      <c r="O165" s="49">
        <f>'дод 2'!P222+'дод 2'!P253</f>
        <v>0</v>
      </c>
      <c r="P165" s="49">
        <f>'дод 2'!Q222+'дод 2'!Q253</f>
        <v>0</v>
      </c>
      <c r="Q165" s="49">
        <f>'дод 2'!R222+'дод 2'!R253</f>
        <v>0</v>
      </c>
      <c r="R165" s="49">
        <f>'дод 2'!S222+'дод 2'!S253</f>
        <v>4250000</v>
      </c>
      <c r="S165" s="49">
        <f>'дод 2'!T222+'дод 2'!T253</f>
        <v>773667.19</v>
      </c>
      <c r="T165" s="49">
        <f>'дод 2'!U222+'дод 2'!U253</f>
        <v>773667.19</v>
      </c>
      <c r="U165" s="49">
        <f>'дод 2'!V222+'дод 2'!V253</f>
        <v>0</v>
      </c>
      <c r="V165" s="49">
        <f>'дод 2'!W222+'дод 2'!W253</f>
        <v>0</v>
      </c>
      <c r="W165" s="49">
        <f>'дод 2'!X222+'дод 2'!X253</f>
        <v>0</v>
      </c>
      <c r="X165" s="49">
        <f>'дод 2'!Y222+'дод 2'!Y253</f>
        <v>773667.19</v>
      </c>
      <c r="Y165" s="158">
        <f t="shared" si="28"/>
        <v>18.203933882352942</v>
      </c>
      <c r="Z165" s="49">
        <f>'дод 2'!AA222+'дод 2'!AA253</f>
        <v>773667.19</v>
      </c>
      <c r="AA165" s="49">
        <f>'дод 2'!AB222+'дод 2'!AB253</f>
        <v>4250000</v>
      </c>
    </row>
    <row r="166" spans="1:27" ht="35.25" customHeight="1" x14ac:dyDescent="0.25">
      <c r="A166" s="59" t="s">
        <v>461</v>
      </c>
      <c r="B166" s="59" t="s">
        <v>113</v>
      </c>
      <c r="C166" s="3" t="s">
        <v>462</v>
      </c>
      <c r="D166" s="49">
        <f>'дод 2'!E265</f>
        <v>0</v>
      </c>
      <c r="E166" s="49">
        <f>'дод 2'!F265</f>
        <v>0</v>
      </c>
      <c r="F166" s="49">
        <f>'дод 2'!G265</f>
        <v>0</v>
      </c>
      <c r="G166" s="49">
        <f>'дод 2'!H265</f>
        <v>0</v>
      </c>
      <c r="H166" s="49">
        <f>'дод 2'!I265</f>
        <v>0</v>
      </c>
      <c r="I166" s="49">
        <f>'дод 2'!J265</f>
        <v>0</v>
      </c>
      <c r="J166" s="49">
        <f>'дод 2'!K265</f>
        <v>0</v>
      </c>
      <c r="K166" s="49">
        <f>'дод 2'!L265</f>
        <v>0</v>
      </c>
      <c r="L166" s="158"/>
      <c r="M166" s="49">
        <f>'дод 2'!N265</f>
        <v>0</v>
      </c>
      <c r="N166" s="49">
        <f>'дод 2'!O265</f>
        <v>0</v>
      </c>
      <c r="O166" s="49">
        <f>'дод 2'!P265</f>
        <v>0</v>
      </c>
      <c r="P166" s="49">
        <f>'дод 2'!Q265</f>
        <v>0</v>
      </c>
      <c r="Q166" s="49">
        <f>'дод 2'!R265</f>
        <v>0</v>
      </c>
      <c r="R166" s="49">
        <f>'дод 2'!S265</f>
        <v>0</v>
      </c>
      <c r="S166" s="49">
        <f>'дод 2'!T265</f>
        <v>0</v>
      </c>
      <c r="T166" s="49">
        <f>'дод 2'!U265</f>
        <v>0</v>
      </c>
      <c r="U166" s="49">
        <f>'дод 2'!V265</f>
        <v>0</v>
      </c>
      <c r="V166" s="49">
        <f>'дод 2'!W265</f>
        <v>0</v>
      </c>
      <c r="W166" s="49">
        <f>'дод 2'!X265</f>
        <v>0</v>
      </c>
      <c r="X166" s="49">
        <f>'дод 2'!Y265</f>
        <v>0</v>
      </c>
      <c r="Y166" s="158"/>
      <c r="Z166" s="49">
        <f>'дод 2'!AA265</f>
        <v>0</v>
      </c>
      <c r="AA166" s="49">
        <f>'дод 2'!AB265</f>
        <v>0</v>
      </c>
    </row>
    <row r="167" spans="1:27" ht="51.75" customHeight="1" x14ac:dyDescent="0.25">
      <c r="A167" s="37">
        <v>7361</v>
      </c>
      <c r="B167" s="37" t="s">
        <v>84</v>
      </c>
      <c r="C167" s="3" t="s">
        <v>374</v>
      </c>
      <c r="D167" s="49">
        <f>'дод 2'!E223+'дод 2'!E254+'дод 2'!E140</f>
        <v>0</v>
      </c>
      <c r="E167" s="49">
        <f>'дод 2'!F223+'дод 2'!F254+'дод 2'!F140</f>
        <v>0</v>
      </c>
      <c r="F167" s="49">
        <f>'дод 2'!G223+'дод 2'!G254+'дод 2'!G140</f>
        <v>0</v>
      </c>
      <c r="G167" s="49">
        <f>'дод 2'!H223+'дод 2'!H254+'дод 2'!H140</f>
        <v>0</v>
      </c>
      <c r="H167" s="49">
        <f>'дод 2'!I223+'дод 2'!I254+'дод 2'!I140</f>
        <v>0</v>
      </c>
      <c r="I167" s="49">
        <f>'дод 2'!J223+'дод 2'!J254+'дод 2'!J140</f>
        <v>0</v>
      </c>
      <c r="J167" s="49">
        <f>'дод 2'!K223+'дод 2'!K254+'дод 2'!K140</f>
        <v>0</v>
      </c>
      <c r="K167" s="49">
        <f>'дод 2'!L223+'дод 2'!L254+'дод 2'!L140</f>
        <v>0</v>
      </c>
      <c r="L167" s="158"/>
      <c r="M167" s="49">
        <f>'дод 2'!N223+'дод 2'!N254+'дод 2'!N140</f>
        <v>42461673</v>
      </c>
      <c r="N167" s="49">
        <f>'дод 2'!O223+'дод 2'!O254+'дод 2'!O140</f>
        <v>42461673</v>
      </c>
      <c r="O167" s="49">
        <f>'дод 2'!P223+'дод 2'!P254+'дод 2'!P140</f>
        <v>0</v>
      </c>
      <c r="P167" s="49">
        <f>'дод 2'!Q223+'дод 2'!Q254+'дод 2'!Q140</f>
        <v>0</v>
      </c>
      <c r="Q167" s="49">
        <f>'дод 2'!R223+'дод 2'!R254+'дод 2'!R140</f>
        <v>0</v>
      </c>
      <c r="R167" s="49">
        <f>'дод 2'!S223+'дод 2'!S254+'дод 2'!S140</f>
        <v>42461673</v>
      </c>
      <c r="S167" s="49">
        <f>'дод 2'!T223+'дод 2'!T254+'дод 2'!T140</f>
        <v>7490511</v>
      </c>
      <c r="T167" s="49">
        <f>'дод 2'!U223+'дод 2'!U254+'дод 2'!U140</f>
        <v>7490511</v>
      </c>
      <c r="U167" s="49">
        <f>'дод 2'!V223+'дод 2'!V254+'дод 2'!V140</f>
        <v>0</v>
      </c>
      <c r="V167" s="49">
        <f>'дод 2'!W223+'дод 2'!W254+'дод 2'!W140</f>
        <v>0</v>
      </c>
      <c r="W167" s="49">
        <f>'дод 2'!X223+'дод 2'!X254+'дод 2'!X140</f>
        <v>0</v>
      </c>
      <c r="X167" s="49">
        <f>'дод 2'!Y223+'дод 2'!Y254+'дод 2'!Y140</f>
        <v>7490511</v>
      </c>
      <c r="Y167" s="158">
        <f t="shared" si="28"/>
        <v>17.64064030166687</v>
      </c>
      <c r="Z167" s="49">
        <f>'дод 2'!AA223+'дод 2'!AA254+'дод 2'!AA140</f>
        <v>7490511</v>
      </c>
      <c r="AA167" s="49">
        <f>'дод 2'!AB223+'дод 2'!AB254+'дод 2'!AB140</f>
        <v>42461673</v>
      </c>
    </row>
    <row r="168" spans="1:27" s="54" customFormat="1" ht="46.5" hidden="1" customHeight="1" x14ac:dyDescent="0.25">
      <c r="A168" s="37">
        <v>7362</v>
      </c>
      <c r="B168" s="37" t="s">
        <v>84</v>
      </c>
      <c r="C168" s="3" t="s">
        <v>366</v>
      </c>
      <c r="D168" s="49">
        <f>'дод 2'!E224</f>
        <v>0</v>
      </c>
      <c r="E168" s="49">
        <f>'дод 2'!F224</f>
        <v>0</v>
      </c>
      <c r="F168" s="49">
        <f>'дод 2'!G224</f>
        <v>0</v>
      </c>
      <c r="G168" s="49">
        <f>'дод 2'!H224</f>
        <v>0</v>
      </c>
      <c r="H168" s="49">
        <f>'дод 2'!I224</f>
        <v>0</v>
      </c>
      <c r="I168" s="49">
        <f>'дод 2'!J224</f>
        <v>0</v>
      </c>
      <c r="J168" s="49">
        <f>'дод 2'!K224</f>
        <v>0</v>
      </c>
      <c r="K168" s="49">
        <f>'дод 2'!L224</f>
        <v>0</v>
      </c>
      <c r="L168" s="158"/>
      <c r="M168" s="49">
        <f>'дод 2'!N224</f>
        <v>0</v>
      </c>
      <c r="N168" s="49">
        <f>'дод 2'!O224</f>
        <v>0</v>
      </c>
      <c r="O168" s="49">
        <f>'дод 2'!P224</f>
        <v>0</v>
      </c>
      <c r="P168" s="49">
        <f>'дод 2'!Q224</f>
        <v>0</v>
      </c>
      <c r="Q168" s="49">
        <f>'дод 2'!R224</f>
        <v>0</v>
      </c>
      <c r="R168" s="49">
        <f>'дод 2'!S224</f>
        <v>0</v>
      </c>
      <c r="S168" s="49">
        <f>'дод 2'!T224</f>
        <v>0</v>
      </c>
      <c r="T168" s="49">
        <f>'дод 2'!U224</f>
        <v>0</v>
      </c>
      <c r="U168" s="49">
        <f>'дод 2'!V224</f>
        <v>0</v>
      </c>
      <c r="V168" s="49">
        <f>'дод 2'!W224</f>
        <v>0</v>
      </c>
      <c r="W168" s="49">
        <f>'дод 2'!X224</f>
        <v>0</v>
      </c>
      <c r="X168" s="49">
        <f>'дод 2'!Y224</f>
        <v>0</v>
      </c>
      <c r="Y168" s="158" t="e">
        <f t="shared" si="28"/>
        <v>#DIV/0!</v>
      </c>
      <c r="Z168" s="49">
        <f>'дод 2'!AA224</f>
        <v>0</v>
      </c>
      <c r="AA168" s="49">
        <f>'дод 2'!AB224</f>
        <v>0</v>
      </c>
    </row>
    <row r="169" spans="1:27" s="54" customFormat="1" ht="47.25" x14ac:dyDescent="0.25">
      <c r="A169" s="37">
        <v>7363</v>
      </c>
      <c r="B169" s="60" t="s">
        <v>84</v>
      </c>
      <c r="C169" s="61" t="s">
        <v>400</v>
      </c>
      <c r="D169" s="49">
        <f>'дод 2'!E225+'дод 2'!E104+'дод 2'!E141</f>
        <v>0</v>
      </c>
      <c r="E169" s="49">
        <f>'дод 2'!F225+'дод 2'!F104+'дод 2'!F141</f>
        <v>0</v>
      </c>
      <c r="F169" s="49">
        <f>'дод 2'!G225+'дод 2'!G104+'дод 2'!G141</f>
        <v>0</v>
      </c>
      <c r="G169" s="49">
        <f>'дод 2'!H225+'дод 2'!H104+'дод 2'!H141</f>
        <v>0</v>
      </c>
      <c r="H169" s="49">
        <f>'дод 2'!I225+'дод 2'!I104+'дод 2'!I141</f>
        <v>0</v>
      </c>
      <c r="I169" s="49">
        <f>'дод 2'!J225+'дод 2'!J104+'дод 2'!J141</f>
        <v>0</v>
      </c>
      <c r="J169" s="49">
        <f>'дод 2'!K225+'дод 2'!K104+'дод 2'!K141</f>
        <v>0</v>
      </c>
      <c r="K169" s="49">
        <f>'дод 2'!L225+'дод 2'!L104+'дод 2'!L141</f>
        <v>0</v>
      </c>
      <c r="L169" s="158"/>
      <c r="M169" s="49">
        <f>'дод 2'!N225+'дод 2'!N104+'дод 2'!N141</f>
        <v>10585959</v>
      </c>
      <c r="N169" s="49">
        <f>'дод 2'!O225+'дод 2'!O104+'дод 2'!O141</f>
        <v>10585959</v>
      </c>
      <c r="O169" s="49">
        <f>'дод 2'!P225+'дод 2'!P104+'дод 2'!P141</f>
        <v>0</v>
      </c>
      <c r="P169" s="49">
        <f>'дод 2'!Q225+'дод 2'!Q104+'дод 2'!Q141</f>
        <v>0</v>
      </c>
      <c r="Q169" s="49">
        <f>'дод 2'!R225+'дод 2'!R104+'дод 2'!R141</f>
        <v>0</v>
      </c>
      <c r="R169" s="49">
        <f>'дод 2'!S225+'дод 2'!S104+'дод 2'!S141</f>
        <v>10585959</v>
      </c>
      <c r="S169" s="49">
        <f>'дод 2'!T225+'дод 2'!T104+'дод 2'!T141</f>
        <v>0</v>
      </c>
      <c r="T169" s="49">
        <f>'дод 2'!U225+'дод 2'!U104+'дод 2'!U141</f>
        <v>0</v>
      </c>
      <c r="U169" s="49">
        <f>'дод 2'!V225+'дод 2'!V104+'дод 2'!V141</f>
        <v>0</v>
      </c>
      <c r="V169" s="49">
        <f>'дод 2'!W225+'дод 2'!W104+'дод 2'!W141</f>
        <v>0</v>
      </c>
      <c r="W169" s="49">
        <f>'дод 2'!X225+'дод 2'!X104+'дод 2'!X141</f>
        <v>0</v>
      </c>
      <c r="X169" s="49">
        <f>'дод 2'!Y225+'дод 2'!Y104+'дод 2'!Y141</f>
        <v>0</v>
      </c>
      <c r="Y169" s="158">
        <f t="shared" si="28"/>
        <v>0</v>
      </c>
      <c r="Z169" s="49">
        <f>'дод 2'!AA225+'дод 2'!AA104+'дод 2'!AA141</f>
        <v>0</v>
      </c>
      <c r="AA169" s="49">
        <f>'дод 2'!AB225+'дод 2'!AB104+'дод 2'!AB141</f>
        <v>10585959</v>
      </c>
    </row>
    <row r="170" spans="1:27" s="54" customFormat="1" ht="47.25" x14ac:dyDescent="0.25">
      <c r="A170" s="80"/>
      <c r="B170" s="86"/>
      <c r="C170" s="81" t="s">
        <v>566</v>
      </c>
      <c r="D170" s="82">
        <f>'дод 2'!E105+'дод 2'!E142+'дод 2'!E226</f>
        <v>0</v>
      </c>
      <c r="E170" s="82">
        <f>'дод 2'!F105+'дод 2'!F142+'дод 2'!F226</f>
        <v>0</v>
      </c>
      <c r="F170" s="82">
        <f>'дод 2'!G105+'дод 2'!G142+'дод 2'!G226</f>
        <v>0</v>
      </c>
      <c r="G170" s="82">
        <f>'дод 2'!H105+'дод 2'!H142+'дод 2'!H226</f>
        <v>0</v>
      </c>
      <c r="H170" s="82">
        <f>'дод 2'!I105+'дод 2'!I142+'дод 2'!I226</f>
        <v>0</v>
      </c>
      <c r="I170" s="82">
        <f>'дод 2'!J105+'дод 2'!J142+'дод 2'!J226</f>
        <v>0</v>
      </c>
      <c r="J170" s="82">
        <f>'дод 2'!K105+'дод 2'!K142+'дод 2'!K226</f>
        <v>0</v>
      </c>
      <c r="K170" s="82">
        <f>'дод 2'!L105+'дод 2'!L142+'дод 2'!L226</f>
        <v>0</v>
      </c>
      <c r="L170" s="158"/>
      <c r="M170" s="82">
        <f>'дод 2'!N105+'дод 2'!N142+'дод 2'!N226</f>
        <v>7785959</v>
      </c>
      <c r="N170" s="82">
        <f>'дод 2'!O105+'дод 2'!O142+'дод 2'!O226</f>
        <v>7785959</v>
      </c>
      <c r="O170" s="82">
        <f>'дод 2'!P105+'дод 2'!P142+'дод 2'!P226</f>
        <v>0</v>
      </c>
      <c r="P170" s="82">
        <f>'дод 2'!Q105+'дод 2'!Q142+'дод 2'!Q226</f>
        <v>0</v>
      </c>
      <c r="Q170" s="82">
        <f>'дод 2'!R105+'дод 2'!R142+'дод 2'!R226</f>
        <v>0</v>
      </c>
      <c r="R170" s="82">
        <f>'дод 2'!S105+'дод 2'!S142+'дод 2'!S226</f>
        <v>7785959</v>
      </c>
      <c r="S170" s="82">
        <f>'дод 2'!T105+'дод 2'!T142+'дод 2'!T226</f>
        <v>0</v>
      </c>
      <c r="T170" s="82">
        <f>'дод 2'!U105+'дод 2'!U142+'дод 2'!U226</f>
        <v>0</v>
      </c>
      <c r="U170" s="82">
        <f>'дод 2'!V105+'дод 2'!V142+'дод 2'!V226</f>
        <v>0</v>
      </c>
      <c r="V170" s="82">
        <f>'дод 2'!W105+'дод 2'!W142+'дод 2'!W226</f>
        <v>0</v>
      </c>
      <c r="W170" s="82">
        <f>'дод 2'!X105+'дод 2'!X142+'дод 2'!X226</f>
        <v>0</v>
      </c>
      <c r="X170" s="82">
        <f>'дод 2'!Y105+'дод 2'!Y142+'дод 2'!Y226</f>
        <v>0</v>
      </c>
      <c r="Y170" s="158">
        <f t="shared" si="28"/>
        <v>0</v>
      </c>
      <c r="Z170" s="82">
        <f>'дод 2'!AA105+'дод 2'!AA142+'дод 2'!AA226</f>
        <v>0</v>
      </c>
      <c r="AA170" s="82">
        <f>'дод 2'!AB105+'дод 2'!AB142+'дод 2'!AB226</f>
        <v>7785959</v>
      </c>
    </row>
    <row r="171" spans="1:27" s="54" customFormat="1" ht="31.5" x14ac:dyDescent="0.25">
      <c r="A171" s="37">
        <v>7370</v>
      </c>
      <c r="B171" s="60" t="s">
        <v>84</v>
      </c>
      <c r="C171" s="61" t="s">
        <v>434</v>
      </c>
      <c r="D171" s="49">
        <f>'дод 2'!E256+'дод 2'!E266</f>
        <v>2364686</v>
      </c>
      <c r="E171" s="49">
        <f>'дод 2'!F256+'дод 2'!F266</f>
        <v>2364686</v>
      </c>
      <c r="F171" s="49">
        <f>'дод 2'!G256+'дод 2'!G266</f>
        <v>0</v>
      </c>
      <c r="G171" s="49">
        <f>'дод 2'!H256+'дод 2'!H266</f>
        <v>0</v>
      </c>
      <c r="H171" s="49">
        <f>'дод 2'!I256+'дод 2'!I266</f>
        <v>0</v>
      </c>
      <c r="I171" s="49">
        <f>'дод 2'!J256+'дод 2'!J266</f>
        <v>31326</v>
      </c>
      <c r="J171" s="49">
        <f>'дод 2'!K256+'дод 2'!K266</f>
        <v>0</v>
      </c>
      <c r="K171" s="49">
        <f>'дод 2'!L256+'дод 2'!L266</f>
        <v>0</v>
      </c>
      <c r="L171" s="158">
        <f t="shared" si="29"/>
        <v>1.3247424816656419</v>
      </c>
      <c r="M171" s="49">
        <f>'дод 2'!N256+'дод 2'!N266</f>
        <v>0</v>
      </c>
      <c r="N171" s="49">
        <f>'дод 2'!O256+'дод 2'!O266</f>
        <v>0</v>
      </c>
      <c r="O171" s="49">
        <f>'дод 2'!P256+'дод 2'!P266</f>
        <v>0</v>
      </c>
      <c r="P171" s="49">
        <f>'дод 2'!Q256+'дод 2'!Q266</f>
        <v>0</v>
      </c>
      <c r="Q171" s="49">
        <f>'дод 2'!R256+'дод 2'!R266</f>
        <v>0</v>
      </c>
      <c r="R171" s="49">
        <f>'дод 2'!S256+'дод 2'!S266</f>
        <v>0</v>
      </c>
      <c r="S171" s="49">
        <f>'дод 2'!T256+'дод 2'!T266</f>
        <v>0</v>
      </c>
      <c r="T171" s="49">
        <f>'дод 2'!U256+'дод 2'!U266</f>
        <v>0</v>
      </c>
      <c r="U171" s="49">
        <f>'дод 2'!V256+'дод 2'!V266</f>
        <v>0</v>
      </c>
      <c r="V171" s="49">
        <f>'дод 2'!W256+'дод 2'!W266</f>
        <v>0</v>
      </c>
      <c r="W171" s="49">
        <f>'дод 2'!X256+'дод 2'!X266</f>
        <v>0</v>
      </c>
      <c r="X171" s="49">
        <f>'дод 2'!Y256+'дод 2'!Y266</f>
        <v>0</v>
      </c>
      <c r="Y171" s="158"/>
      <c r="Z171" s="49">
        <f>'дод 2'!AA256+'дод 2'!AA266</f>
        <v>31326</v>
      </c>
      <c r="AA171" s="49">
        <f>'дод 2'!AB256+'дод 2'!AB266</f>
        <v>2364686</v>
      </c>
    </row>
    <row r="172" spans="1:27" s="52" customFormat="1" ht="34.5" customHeight="1" x14ac:dyDescent="0.25">
      <c r="A172" s="38" t="s">
        <v>87</v>
      </c>
      <c r="B172" s="41"/>
      <c r="C172" s="2" t="s">
        <v>471</v>
      </c>
      <c r="D172" s="48">
        <f>D175+D176+D177+D181+D182</f>
        <v>53412322</v>
      </c>
      <c r="E172" s="48">
        <f t="shared" ref="E172:AA172" si="37">E175+E176+E177+E181+E182</f>
        <v>4252826</v>
      </c>
      <c r="F172" s="48">
        <f t="shared" si="37"/>
        <v>0</v>
      </c>
      <c r="G172" s="48">
        <f t="shared" si="37"/>
        <v>0</v>
      </c>
      <c r="H172" s="48">
        <f t="shared" si="37"/>
        <v>49159496</v>
      </c>
      <c r="I172" s="48">
        <f t="shared" si="37"/>
        <v>32462209.18</v>
      </c>
      <c r="J172" s="48">
        <f t="shared" si="37"/>
        <v>0</v>
      </c>
      <c r="K172" s="48">
        <f t="shared" si="37"/>
        <v>0</v>
      </c>
      <c r="L172" s="158">
        <f t="shared" si="29"/>
        <v>60.776629744724445</v>
      </c>
      <c r="M172" s="48">
        <f t="shared" si="37"/>
        <v>0</v>
      </c>
      <c r="N172" s="48">
        <f t="shared" si="37"/>
        <v>0</v>
      </c>
      <c r="O172" s="48">
        <f t="shared" si="37"/>
        <v>0</v>
      </c>
      <c r="P172" s="48">
        <f t="shared" si="37"/>
        <v>0</v>
      </c>
      <c r="Q172" s="48">
        <f t="shared" si="37"/>
        <v>0</v>
      </c>
      <c r="R172" s="48">
        <f t="shared" si="37"/>
        <v>0</v>
      </c>
      <c r="S172" s="48">
        <f t="shared" si="37"/>
        <v>0</v>
      </c>
      <c r="T172" s="48">
        <f t="shared" si="37"/>
        <v>0</v>
      </c>
      <c r="U172" s="48">
        <f t="shared" si="37"/>
        <v>0</v>
      </c>
      <c r="V172" s="48">
        <f t="shared" si="37"/>
        <v>0</v>
      </c>
      <c r="W172" s="48">
        <f t="shared" si="37"/>
        <v>0</v>
      </c>
      <c r="X172" s="48">
        <f t="shared" si="37"/>
        <v>0</v>
      </c>
      <c r="Y172" s="158"/>
      <c r="Z172" s="48">
        <f t="shared" si="37"/>
        <v>32462209.18</v>
      </c>
      <c r="AA172" s="48">
        <f t="shared" si="37"/>
        <v>53412322</v>
      </c>
    </row>
    <row r="173" spans="1:27" s="53" customFormat="1" ht="94.5" hidden="1" customHeight="1" x14ac:dyDescent="0.25">
      <c r="A173" s="73"/>
      <c r="B173" s="74"/>
      <c r="C173" s="77" t="s">
        <v>399</v>
      </c>
      <c r="D173" s="78">
        <f>D179</f>
        <v>0</v>
      </c>
      <c r="E173" s="78">
        <f t="shared" ref="E173:AA173" si="38">E179</f>
        <v>0</v>
      </c>
      <c r="F173" s="78">
        <f t="shared" si="38"/>
        <v>0</v>
      </c>
      <c r="G173" s="78">
        <f t="shared" si="38"/>
        <v>0</v>
      </c>
      <c r="H173" s="78">
        <f t="shared" si="38"/>
        <v>0</v>
      </c>
      <c r="I173" s="78">
        <f t="shared" si="38"/>
        <v>0</v>
      </c>
      <c r="J173" s="78">
        <f t="shared" si="38"/>
        <v>0</v>
      </c>
      <c r="K173" s="78">
        <f t="shared" si="38"/>
        <v>0</v>
      </c>
      <c r="L173" s="158" t="e">
        <f t="shared" si="29"/>
        <v>#DIV/0!</v>
      </c>
      <c r="M173" s="78">
        <f t="shared" si="38"/>
        <v>0</v>
      </c>
      <c r="N173" s="78">
        <f t="shared" si="38"/>
        <v>0</v>
      </c>
      <c r="O173" s="78">
        <f t="shared" si="38"/>
        <v>0</v>
      </c>
      <c r="P173" s="78">
        <f t="shared" si="38"/>
        <v>0</v>
      </c>
      <c r="Q173" s="78">
        <f t="shared" si="38"/>
        <v>0</v>
      </c>
      <c r="R173" s="78">
        <f t="shared" si="38"/>
        <v>0</v>
      </c>
      <c r="S173" s="78">
        <f t="shared" si="38"/>
        <v>0</v>
      </c>
      <c r="T173" s="78">
        <f t="shared" si="38"/>
        <v>0</v>
      </c>
      <c r="U173" s="78">
        <f t="shared" si="38"/>
        <v>0</v>
      </c>
      <c r="V173" s="78">
        <f t="shared" si="38"/>
        <v>0</v>
      </c>
      <c r="W173" s="78">
        <f t="shared" si="38"/>
        <v>0</v>
      </c>
      <c r="X173" s="78">
        <f t="shared" si="38"/>
        <v>0</v>
      </c>
      <c r="Y173" s="158" t="e">
        <f t="shared" si="28"/>
        <v>#DIV/0!</v>
      </c>
      <c r="Z173" s="78">
        <f t="shared" si="38"/>
        <v>0</v>
      </c>
      <c r="AA173" s="78">
        <f t="shared" si="38"/>
        <v>0</v>
      </c>
    </row>
    <row r="174" spans="1:27" s="53" customFormat="1" ht="63" x14ac:dyDescent="0.25">
      <c r="A174" s="73"/>
      <c r="B174" s="74"/>
      <c r="C174" s="77" t="s">
        <v>450</v>
      </c>
      <c r="D174" s="78">
        <f>D183</f>
        <v>1527346</v>
      </c>
      <c r="E174" s="78">
        <f t="shared" ref="E174:AA174" si="39">E183</f>
        <v>1527346</v>
      </c>
      <c r="F174" s="78">
        <f t="shared" si="39"/>
        <v>0</v>
      </c>
      <c r="G174" s="78">
        <f t="shared" si="39"/>
        <v>0</v>
      </c>
      <c r="H174" s="78">
        <f t="shared" si="39"/>
        <v>0</v>
      </c>
      <c r="I174" s="78">
        <f t="shared" si="39"/>
        <v>0</v>
      </c>
      <c r="J174" s="78">
        <f t="shared" si="39"/>
        <v>0</v>
      </c>
      <c r="K174" s="78">
        <f t="shared" si="39"/>
        <v>0</v>
      </c>
      <c r="L174" s="158">
        <f t="shared" si="29"/>
        <v>0</v>
      </c>
      <c r="M174" s="78">
        <f t="shared" si="39"/>
        <v>0</v>
      </c>
      <c r="N174" s="78">
        <f t="shared" si="39"/>
        <v>0</v>
      </c>
      <c r="O174" s="78">
        <f t="shared" si="39"/>
        <v>0</v>
      </c>
      <c r="P174" s="78">
        <f t="shared" si="39"/>
        <v>0</v>
      </c>
      <c r="Q174" s="78">
        <f t="shared" si="39"/>
        <v>0</v>
      </c>
      <c r="R174" s="78">
        <f t="shared" si="39"/>
        <v>0</v>
      </c>
      <c r="S174" s="78">
        <f t="shared" si="39"/>
        <v>0</v>
      </c>
      <c r="T174" s="78">
        <f t="shared" si="39"/>
        <v>0</v>
      </c>
      <c r="U174" s="78">
        <f t="shared" si="39"/>
        <v>0</v>
      </c>
      <c r="V174" s="78">
        <f t="shared" si="39"/>
        <v>0</v>
      </c>
      <c r="W174" s="78">
        <f t="shared" si="39"/>
        <v>0</v>
      </c>
      <c r="X174" s="78">
        <f t="shared" si="39"/>
        <v>0</v>
      </c>
      <c r="Y174" s="158"/>
      <c r="Z174" s="78">
        <f t="shared" si="39"/>
        <v>0</v>
      </c>
      <c r="AA174" s="78">
        <f t="shared" si="39"/>
        <v>1527346</v>
      </c>
    </row>
    <row r="175" spans="1:27" s="54" customFormat="1" ht="18.75" customHeight="1" x14ac:dyDescent="0.25">
      <c r="A175" s="37" t="s">
        <v>3</v>
      </c>
      <c r="B175" s="37" t="s">
        <v>86</v>
      </c>
      <c r="C175" s="3" t="s">
        <v>37</v>
      </c>
      <c r="D175" s="49">
        <f>'дод 2'!E45</f>
        <v>7417200</v>
      </c>
      <c r="E175" s="49">
        <f>'дод 2'!F45</f>
        <v>0</v>
      </c>
      <c r="F175" s="49">
        <f>'дод 2'!G45</f>
        <v>0</v>
      </c>
      <c r="G175" s="49">
        <f>'дод 2'!H45</f>
        <v>0</v>
      </c>
      <c r="H175" s="49">
        <f>'дод 2'!I45</f>
        <v>7417200</v>
      </c>
      <c r="I175" s="49">
        <f>'дод 2'!J45</f>
        <v>2264157</v>
      </c>
      <c r="J175" s="49">
        <f>'дод 2'!K45</f>
        <v>0</v>
      </c>
      <c r="K175" s="49">
        <f>'дод 2'!L45</f>
        <v>0</v>
      </c>
      <c r="L175" s="158">
        <f t="shared" si="29"/>
        <v>30.525764439411095</v>
      </c>
      <c r="M175" s="49">
        <f>'дод 2'!N45</f>
        <v>0</v>
      </c>
      <c r="N175" s="49">
        <f>'дод 2'!O45</f>
        <v>0</v>
      </c>
      <c r="O175" s="49">
        <f>'дод 2'!P45</f>
        <v>0</v>
      </c>
      <c r="P175" s="49">
        <f>'дод 2'!Q45</f>
        <v>0</v>
      </c>
      <c r="Q175" s="49">
        <f>'дод 2'!R45</f>
        <v>0</v>
      </c>
      <c r="R175" s="49">
        <f>'дод 2'!S45</f>
        <v>0</v>
      </c>
      <c r="S175" s="49">
        <f>'дод 2'!T45</f>
        <v>0</v>
      </c>
      <c r="T175" s="49">
        <f>'дод 2'!U45</f>
        <v>0</v>
      </c>
      <c r="U175" s="49">
        <f>'дод 2'!V45</f>
        <v>0</v>
      </c>
      <c r="V175" s="49">
        <f>'дод 2'!W45</f>
        <v>0</v>
      </c>
      <c r="W175" s="49">
        <f>'дод 2'!X45</f>
        <v>0</v>
      </c>
      <c r="X175" s="49">
        <f>'дод 2'!Y45</f>
        <v>0</v>
      </c>
      <c r="Y175" s="158"/>
      <c r="Z175" s="49">
        <f>'дод 2'!AA45</f>
        <v>2264157</v>
      </c>
      <c r="AA175" s="49">
        <f>'дод 2'!AB45</f>
        <v>7417200</v>
      </c>
    </row>
    <row r="176" spans="1:27" s="54" customFormat="1" ht="20.25" customHeight="1" x14ac:dyDescent="0.25">
      <c r="A176" s="37">
        <v>7413</v>
      </c>
      <c r="B176" s="37" t="s">
        <v>86</v>
      </c>
      <c r="C176" s="3" t="s">
        <v>377</v>
      </c>
      <c r="D176" s="49">
        <f>'дод 2'!E46</f>
        <v>11000000</v>
      </c>
      <c r="E176" s="49">
        <f>'дод 2'!F46</f>
        <v>0</v>
      </c>
      <c r="F176" s="49">
        <f>'дод 2'!G46</f>
        <v>0</v>
      </c>
      <c r="G176" s="49">
        <f>'дод 2'!H46</f>
        <v>0</v>
      </c>
      <c r="H176" s="49">
        <f>'дод 2'!I46</f>
        <v>11000000</v>
      </c>
      <c r="I176" s="49">
        <f>'дод 2'!J46</f>
        <v>7509222.9199999999</v>
      </c>
      <c r="J176" s="49">
        <f>'дод 2'!K46</f>
        <v>0</v>
      </c>
      <c r="K176" s="49">
        <f>'дод 2'!L46</f>
        <v>0</v>
      </c>
      <c r="L176" s="158">
        <f t="shared" si="29"/>
        <v>68.265662909090906</v>
      </c>
      <c r="M176" s="49">
        <f>'дод 2'!N46</f>
        <v>0</v>
      </c>
      <c r="N176" s="49">
        <f>'дод 2'!O46</f>
        <v>0</v>
      </c>
      <c r="O176" s="49">
        <f>'дод 2'!P46</f>
        <v>0</v>
      </c>
      <c r="P176" s="49">
        <f>'дод 2'!Q46</f>
        <v>0</v>
      </c>
      <c r="Q176" s="49">
        <f>'дод 2'!R46</f>
        <v>0</v>
      </c>
      <c r="R176" s="49">
        <f>'дод 2'!S46</f>
        <v>0</v>
      </c>
      <c r="S176" s="49">
        <f>'дод 2'!T46</f>
        <v>0</v>
      </c>
      <c r="T176" s="49">
        <f>'дод 2'!U46</f>
        <v>0</v>
      </c>
      <c r="U176" s="49">
        <f>'дод 2'!V46</f>
        <v>0</v>
      </c>
      <c r="V176" s="49">
        <f>'дод 2'!W46</f>
        <v>0</v>
      </c>
      <c r="W176" s="49">
        <f>'дод 2'!X46</f>
        <v>0</v>
      </c>
      <c r="X176" s="49">
        <f>'дод 2'!Y46</f>
        <v>0</v>
      </c>
      <c r="Y176" s="158"/>
      <c r="Z176" s="49">
        <f>'дод 2'!AA46</f>
        <v>7509222.9199999999</v>
      </c>
      <c r="AA176" s="49">
        <f>'дод 2'!AB46</f>
        <v>11000000</v>
      </c>
    </row>
    <row r="177" spans="1:27" s="54" customFormat="1" ht="24" customHeight="1" x14ac:dyDescent="0.25">
      <c r="A177" s="37">
        <v>7426</v>
      </c>
      <c r="B177" s="59" t="s">
        <v>415</v>
      </c>
      <c r="C177" s="3" t="s">
        <v>378</v>
      </c>
      <c r="D177" s="49">
        <f>'дод 2'!E47</f>
        <v>30742296</v>
      </c>
      <c r="E177" s="49">
        <f>'дод 2'!F47</f>
        <v>0</v>
      </c>
      <c r="F177" s="49">
        <f>'дод 2'!G47</f>
        <v>0</v>
      </c>
      <c r="G177" s="49">
        <f>'дод 2'!H47</f>
        <v>0</v>
      </c>
      <c r="H177" s="49">
        <f>'дод 2'!I47</f>
        <v>30742296</v>
      </c>
      <c r="I177" s="49">
        <f>'дод 2'!J47</f>
        <v>22688829.260000002</v>
      </c>
      <c r="J177" s="49">
        <f>'дод 2'!K47</f>
        <v>0</v>
      </c>
      <c r="K177" s="49">
        <f>'дод 2'!L47</f>
        <v>0</v>
      </c>
      <c r="L177" s="158">
        <f t="shared" si="29"/>
        <v>73.80330102865446</v>
      </c>
      <c r="M177" s="49">
        <f>'дод 2'!N47</f>
        <v>0</v>
      </c>
      <c r="N177" s="49">
        <f>'дод 2'!O47</f>
        <v>0</v>
      </c>
      <c r="O177" s="49">
        <f>'дод 2'!P47</f>
        <v>0</v>
      </c>
      <c r="P177" s="49">
        <f>'дод 2'!Q47</f>
        <v>0</v>
      </c>
      <c r="Q177" s="49">
        <f>'дод 2'!R47</f>
        <v>0</v>
      </c>
      <c r="R177" s="49">
        <f>'дод 2'!S47</f>
        <v>0</v>
      </c>
      <c r="S177" s="49">
        <f>'дод 2'!T47</f>
        <v>0</v>
      </c>
      <c r="T177" s="49">
        <f>'дод 2'!U47</f>
        <v>0</v>
      </c>
      <c r="U177" s="49">
        <f>'дод 2'!V47</f>
        <v>0</v>
      </c>
      <c r="V177" s="49">
        <f>'дод 2'!W47</f>
        <v>0</v>
      </c>
      <c r="W177" s="49">
        <f>'дод 2'!X47</f>
        <v>0</v>
      </c>
      <c r="X177" s="49">
        <f>'дод 2'!Y47</f>
        <v>0</v>
      </c>
      <c r="Y177" s="158"/>
      <c r="Z177" s="49">
        <f>'дод 2'!AA47</f>
        <v>22688829.260000002</v>
      </c>
      <c r="AA177" s="49">
        <f>'дод 2'!AB47</f>
        <v>30742296</v>
      </c>
    </row>
    <row r="178" spans="1:27" s="54" customFormat="1" ht="53.25" hidden="1" customHeight="1" x14ac:dyDescent="0.25">
      <c r="A178" s="37">
        <v>7462</v>
      </c>
      <c r="B178" s="59" t="s">
        <v>402</v>
      </c>
      <c r="C178" s="3" t="s">
        <v>401</v>
      </c>
      <c r="D178" s="49">
        <f>'дод 2'!E227</f>
        <v>1527346</v>
      </c>
      <c r="E178" s="49">
        <f>'дод 2'!F227</f>
        <v>1527346</v>
      </c>
      <c r="F178" s="49">
        <f>'дод 2'!G227</f>
        <v>0</v>
      </c>
      <c r="G178" s="49">
        <f>'дод 2'!H227</f>
        <v>0</v>
      </c>
      <c r="H178" s="49">
        <f>'дод 2'!I227</f>
        <v>0</v>
      </c>
      <c r="I178" s="49">
        <f>'дод 2'!J227</f>
        <v>0</v>
      </c>
      <c r="J178" s="49">
        <f>'дод 2'!K227</f>
        <v>0</v>
      </c>
      <c r="K178" s="49">
        <f>'дод 2'!L227</f>
        <v>0</v>
      </c>
      <c r="L178" s="158">
        <f t="shared" si="29"/>
        <v>0</v>
      </c>
      <c r="M178" s="49">
        <f>'дод 2'!N227</f>
        <v>0</v>
      </c>
      <c r="N178" s="49">
        <f>'дод 2'!O227</f>
        <v>0</v>
      </c>
      <c r="O178" s="49">
        <f>'дод 2'!P227</f>
        <v>0</v>
      </c>
      <c r="P178" s="49">
        <f>'дод 2'!Q227</f>
        <v>0</v>
      </c>
      <c r="Q178" s="49">
        <f>'дод 2'!R227</f>
        <v>0</v>
      </c>
      <c r="R178" s="49">
        <f>'дод 2'!S227</f>
        <v>0</v>
      </c>
      <c r="S178" s="49">
        <f>'дод 2'!T227</f>
        <v>0</v>
      </c>
      <c r="T178" s="49">
        <f>'дод 2'!U227</f>
        <v>0</v>
      </c>
      <c r="U178" s="49">
        <f>'дод 2'!V227</f>
        <v>0</v>
      </c>
      <c r="V178" s="49">
        <f>'дод 2'!W227</f>
        <v>0</v>
      </c>
      <c r="W178" s="49">
        <f>'дод 2'!X227</f>
        <v>0</v>
      </c>
      <c r="X178" s="49">
        <f>'дод 2'!Y227</f>
        <v>0</v>
      </c>
      <c r="Y178" s="158"/>
      <c r="Z178" s="49">
        <f>'дод 2'!AA227</f>
        <v>0</v>
      </c>
      <c r="AA178" s="49">
        <f>'дод 2'!AB227</f>
        <v>1527346</v>
      </c>
    </row>
    <row r="179" spans="1:27" s="54" customFormat="1" ht="94.5" hidden="1" customHeight="1" x14ac:dyDescent="0.25">
      <c r="A179" s="80"/>
      <c r="B179" s="80"/>
      <c r="C179" s="81" t="s">
        <v>399</v>
      </c>
      <c r="D179" s="82">
        <f>'дод 2'!E228</f>
        <v>0</v>
      </c>
      <c r="E179" s="82">
        <f>'дод 2'!F228</f>
        <v>0</v>
      </c>
      <c r="F179" s="82">
        <f>'дод 2'!G228</f>
        <v>0</v>
      </c>
      <c r="G179" s="82">
        <f>'дод 2'!H228</f>
        <v>0</v>
      </c>
      <c r="H179" s="82">
        <f>'дод 2'!I228</f>
        <v>0</v>
      </c>
      <c r="I179" s="82">
        <f>'дод 2'!J228</f>
        <v>0</v>
      </c>
      <c r="J179" s="82">
        <f>'дод 2'!K228</f>
        <v>0</v>
      </c>
      <c r="K179" s="82">
        <f>'дод 2'!L228</f>
        <v>0</v>
      </c>
      <c r="L179" s="158" t="e">
        <f t="shared" si="29"/>
        <v>#DIV/0!</v>
      </c>
      <c r="M179" s="82">
        <f>'дод 2'!N228</f>
        <v>0</v>
      </c>
      <c r="N179" s="82">
        <f>'дод 2'!O228</f>
        <v>0</v>
      </c>
      <c r="O179" s="82">
        <f>'дод 2'!P228</f>
        <v>0</v>
      </c>
      <c r="P179" s="82">
        <f>'дод 2'!Q228</f>
        <v>0</v>
      </c>
      <c r="Q179" s="82">
        <f>'дод 2'!R228</f>
        <v>0</v>
      </c>
      <c r="R179" s="82">
        <f>'дод 2'!S228</f>
        <v>0</v>
      </c>
      <c r="S179" s="82">
        <f>'дод 2'!T228</f>
        <v>0</v>
      </c>
      <c r="T179" s="82">
        <f>'дод 2'!U228</f>
        <v>0</v>
      </c>
      <c r="U179" s="82">
        <f>'дод 2'!V228</f>
        <v>0</v>
      </c>
      <c r="V179" s="82">
        <f>'дод 2'!W228</f>
        <v>0</v>
      </c>
      <c r="W179" s="82">
        <f>'дод 2'!X228</f>
        <v>0</v>
      </c>
      <c r="X179" s="82">
        <f>'дод 2'!Y228</f>
        <v>0</v>
      </c>
      <c r="Y179" s="158"/>
      <c r="Z179" s="82">
        <f>'дод 2'!AA228</f>
        <v>0</v>
      </c>
      <c r="AA179" s="82">
        <f>'дод 2'!AB228</f>
        <v>0</v>
      </c>
    </row>
    <row r="180" spans="1:27" s="54" customFormat="1" ht="63" hidden="1" customHeight="1" x14ac:dyDescent="0.25">
      <c r="A180" s="80"/>
      <c r="B180" s="80"/>
      <c r="C180" s="81" t="s">
        <v>450</v>
      </c>
      <c r="D180" s="82">
        <f>'дод 2'!E229</f>
        <v>1527346</v>
      </c>
      <c r="E180" s="82">
        <f>'дод 2'!F229</f>
        <v>1527346</v>
      </c>
      <c r="F180" s="82">
        <f>'дод 2'!G229</f>
        <v>0</v>
      </c>
      <c r="G180" s="82">
        <f>'дод 2'!H229</f>
        <v>0</v>
      </c>
      <c r="H180" s="82">
        <f>'дод 2'!I229</f>
        <v>0</v>
      </c>
      <c r="I180" s="82">
        <f>'дод 2'!J229</f>
        <v>0</v>
      </c>
      <c r="J180" s="82">
        <f>'дод 2'!K229</f>
        <v>0</v>
      </c>
      <c r="K180" s="82">
        <f>'дод 2'!L229</f>
        <v>0</v>
      </c>
      <c r="L180" s="158">
        <f t="shared" si="29"/>
        <v>0</v>
      </c>
      <c r="M180" s="82">
        <f>'дод 2'!N229</f>
        <v>0</v>
      </c>
      <c r="N180" s="82">
        <f>'дод 2'!O229</f>
        <v>0</v>
      </c>
      <c r="O180" s="82">
        <f>'дод 2'!P229</f>
        <v>0</v>
      </c>
      <c r="P180" s="82">
        <f>'дод 2'!Q229</f>
        <v>0</v>
      </c>
      <c r="Q180" s="82">
        <f>'дод 2'!R229</f>
        <v>0</v>
      </c>
      <c r="R180" s="82">
        <f>'дод 2'!S229</f>
        <v>0</v>
      </c>
      <c r="S180" s="82">
        <f>'дод 2'!T229</f>
        <v>0</v>
      </c>
      <c r="T180" s="82">
        <f>'дод 2'!U229</f>
        <v>0</v>
      </c>
      <c r="U180" s="82">
        <f>'дод 2'!V229</f>
        <v>0</v>
      </c>
      <c r="V180" s="82">
        <f>'дод 2'!W229</f>
        <v>0</v>
      </c>
      <c r="W180" s="82">
        <f>'дод 2'!X229</f>
        <v>0</v>
      </c>
      <c r="X180" s="82">
        <f>'дод 2'!Y229</f>
        <v>0</v>
      </c>
      <c r="Y180" s="158"/>
      <c r="Z180" s="82">
        <f>'дод 2'!AA229</f>
        <v>0</v>
      </c>
      <c r="AA180" s="82">
        <f>'дод 2'!AB229</f>
        <v>1527346</v>
      </c>
    </row>
    <row r="181" spans="1:27" s="54" customFormat="1" ht="18" customHeight="1" x14ac:dyDescent="0.25">
      <c r="A181" s="59" t="s">
        <v>457</v>
      </c>
      <c r="B181" s="59" t="s">
        <v>402</v>
      </c>
      <c r="C181" s="3" t="s">
        <v>463</v>
      </c>
      <c r="D181" s="49">
        <f>'дод 2'!E48</f>
        <v>2725480</v>
      </c>
      <c r="E181" s="49">
        <f>'дод 2'!F48</f>
        <v>2725480</v>
      </c>
      <c r="F181" s="49">
        <f>'дод 2'!G48</f>
        <v>0</v>
      </c>
      <c r="G181" s="49">
        <f>'дод 2'!H48</f>
        <v>0</v>
      </c>
      <c r="H181" s="49">
        <f>'дод 2'!I48</f>
        <v>0</v>
      </c>
      <c r="I181" s="49">
        <f>'дод 2'!J48</f>
        <v>0</v>
      </c>
      <c r="J181" s="49">
        <f>'дод 2'!K48</f>
        <v>0</v>
      </c>
      <c r="K181" s="49">
        <f>'дод 2'!L48</f>
        <v>0</v>
      </c>
      <c r="L181" s="158">
        <f t="shared" si="29"/>
        <v>0</v>
      </c>
      <c r="M181" s="49">
        <f>'дод 2'!N48</f>
        <v>0</v>
      </c>
      <c r="N181" s="49">
        <f>'дод 2'!O48</f>
        <v>0</v>
      </c>
      <c r="O181" s="49">
        <f>'дод 2'!P48</f>
        <v>0</v>
      </c>
      <c r="P181" s="49">
        <f>'дод 2'!Q48</f>
        <v>0</v>
      </c>
      <c r="Q181" s="49">
        <f>'дод 2'!R48</f>
        <v>0</v>
      </c>
      <c r="R181" s="49">
        <f>'дод 2'!S48</f>
        <v>0</v>
      </c>
      <c r="S181" s="49">
        <f>'дод 2'!T48</f>
        <v>0</v>
      </c>
      <c r="T181" s="49">
        <f>'дод 2'!U48</f>
        <v>0</v>
      </c>
      <c r="U181" s="49">
        <f>'дод 2'!V48</f>
        <v>0</v>
      </c>
      <c r="V181" s="49">
        <f>'дод 2'!W48</f>
        <v>0</v>
      </c>
      <c r="W181" s="49">
        <f>'дод 2'!X48</f>
        <v>0</v>
      </c>
      <c r="X181" s="49">
        <f>'дод 2'!Y48</f>
        <v>0</v>
      </c>
      <c r="Y181" s="158"/>
      <c r="Z181" s="49">
        <f>'дод 2'!AA48</f>
        <v>0</v>
      </c>
      <c r="AA181" s="49">
        <f>'дод 2'!AB48</f>
        <v>2725480</v>
      </c>
    </row>
    <row r="182" spans="1:27" s="54" customFormat="1" ht="54.75" customHeight="1" x14ac:dyDescent="0.25">
      <c r="A182" s="59" t="s">
        <v>552</v>
      </c>
      <c r="B182" s="59" t="s">
        <v>402</v>
      </c>
      <c r="C182" s="120" t="s">
        <v>401</v>
      </c>
      <c r="D182" s="49">
        <f>'дод 2'!E227</f>
        <v>1527346</v>
      </c>
      <c r="E182" s="49">
        <f>'дод 2'!F227</f>
        <v>1527346</v>
      </c>
      <c r="F182" s="49">
        <f>'дод 2'!G227</f>
        <v>0</v>
      </c>
      <c r="G182" s="49">
        <f>'дод 2'!H227</f>
        <v>0</v>
      </c>
      <c r="H182" s="49">
        <f>'дод 2'!I227</f>
        <v>0</v>
      </c>
      <c r="I182" s="49">
        <f>'дод 2'!J227</f>
        <v>0</v>
      </c>
      <c r="J182" s="49">
        <f>'дод 2'!K227</f>
        <v>0</v>
      </c>
      <c r="K182" s="49">
        <f>'дод 2'!L227</f>
        <v>0</v>
      </c>
      <c r="L182" s="158">
        <f t="shared" si="29"/>
        <v>0</v>
      </c>
      <c r="M182" s="49">
        <f>'дод 2'!N227</f>
        <v>0</v>
      </c>
      <c r="N182" s="49">
        <f>'дод 2'!O227</f>
        <v>0</v>
      </c>
      <c r="O182" s="49">
        <f>'дод 2'!P227</f>
        <v>0</v>
      </c>
      <c r="P182" s="49">
        <f>'дод 2'!Q227</f>
        <v>0</v>
      </c>
      <c r="Q182" s="49">
        <f>'дод 2'!R227</f>
        <v>0</v>
      </c>
      <c r="R182" s="49">
        <f>'дод 2'!S227</f>
        <v>0</v>
      </c>
      <c r="S182" s="49">
        <f>'дод 2'!T227</f>
        <v>0</v>
      </c>
      <c r="T182" s="49">
        <f>'дод 2'!U227</f>
        <v>0</v>
      </c>
      <c r="U182" s="49">
        <f>'дод 2'!V227</f>
        <v>0</v>
      </c>
      <c r="V182" s="49">
        <f>'дод 2'!W227</f>
        <v>0</v>
      </c>
      <c r="W182" s="49">
        <f>'дод 2'!X227</f>
        <v>0</v>
      </c>
      <c r="X182" s="49">
        <f>'дод 2'!Y227</f>
        <v>0</v>
      </c>
      <c r="Y182" s="158"/>
      <c r="Z182" s="49">
        <f>'дод 2'!AA227</f>
        <v>0</v>
      </c>
      <c r="AA182" s="49">
        <f>'дод 2'!AB227</f>
        <v>1527346</v>
      </c>
    </row>
    <row r="183" spans="1:27" s="54" customFormat="1" ht="67.5" customHeight="1" x14ac:dyDescent="0.25">
      <c r="A183" s="91"/>
      <c r="B183" s="91"/>
      <c r="C183" s="89" t="s">
        <v>550</v>
      </c>
      <c r="D183" s="82">
        <f>'дод 2'!E229</f>
        <v>1527346</v>
      </c>
      <c r="E183" s="82">
        <f>'дод 2'!F229</f>
        <v>1527346</v>
      </c>
      <c r="F183" s="82">
        <f>'дод 2'!G229</f>
        <v>0</v>
      </c>
      <c r="G183" s="82">
        <f>'дод 2'!H229</f>
        <v>0</v>
      </c>
      <c r="H183" s="82">
        <f>'дод 2'!I229</f>
        <v>0</v>
      </c>
      <c r="I183" s="82">
        <f>'дод 2'!J229</f>
        <v>0</v>
      </c>
      <c r="J183" s="82">
        <f>'дод 2'!K229</f>
        <v>0</v>
      </c>
      <c r="K183" s="82">
        <f>'дод 2'!L229</f>
        <v>0</v>
      </c>
      <c r="L183" s="158">
        <f t="shared" si="29"/>
        <v>0</v>
      </c>
      <c r="M183" s="82">
        <f>'дод 2'!N229</f>
        <v>0</v>
      </c>
      <c r="N183" s="82">
        <f>'дод 2'!O229</f>
        <v>0</v>
      </c>
      <c r="O183" s="82">
        <f>'дод 2'!P229</f>
        <v>0</v>
      </c>
      <c r="P183" s="82">
        <f>'дод 2'!Q229</f>
        <v>0</v>
      </c>
      <c r="Q183" s="82">
        <f>'дод 2'!R229</f>
        <v>0</v>
      </c>
      <c r="R183" s="82">
        <f>'дод 2'!S229</f>
        <v>0</v>
      </c>
      <c r="S183" s="82">
        <f>'дод 2'!T229</f>
        <v>0</v>
      </c>
      <c r="T183" s="82">
        <f>'дод 2'!U229</f>
        <v>0</v>
      </c>
      <c r="U183" s="82">
        <f>'дод 2'!V229</f>
        <v>0</v>
      </c>
      <c r="V183" s="82">
        <f>'дод 2'!W229</f>
        <v>0</v>
      </c>
      <c r="W183" s="82">
        <f>'дод 2'!X229</f>
        <v>0</v>
      </c>
      <c r="X183" s="82">
        <f>'дод 2'!Y229</f>
        <v>0</v>
      </c>
      <c r="Y183" s="158"/>
      <c r="Z183" s="82">
        <f>'дод 2'!AA229</f>
        <v>0</v>
      </c>
      <c r="AA183" s="82">
        <f>'дод 2'!AB229</f>
        <v>1527346</v>
      </c>
    </row>
    <row r="184" spans="1:27" s="52" customFormat="1" ht="18.75" customHeight="1" x14ac:dyDescent="0.25">
      <c r="A184" s="39" t="s">
        <v>239</v>
      </c>
      <c r="B184" s="41"/>
      <c r="C184" s="2" t="s">
        <v>240</v>
      </c>
      <c r="D184" s="48">
        <f>D185</f>
        <v>7250000</v>
      </c>
      <c r="E184" s="48">
        <f t="shared" ref="E184:AA184" si="40">E185</f>
        <v>7250000</v>
      </c>
      <c r="F184" s="48">
        <f t="shared" si="40"/>
        <v>0</v>
      </c>
      <c r="G184" s="48">
        <f t="shared" si="40"/>
        <v>0</v>
      </c>
      <c r="H184" s="48">
        <f t="shared" si="40"/>
        <v>0</v>
      </c>
      <c r="I184" s="48">
        <f t="shared" si="40"/>
        <v>894773.3</v>
      </c>
      <c r="J184" s="48">
        <f t="shared" si="40"/>
        <v>0</v>
      </c>
      <c r="K184" s="48">
        <f t="shared" si="40"/>
        <v>0</v>
      </c>
      <c r="L184" s="158">
        <f t="shared" si="29"/>
        <v>12.341700689655173</v>
      </c>
      <c r="M184" s="48">
        <f t="shared" si="40"/>
        <v>3150000</v>
      </c>
      <c r="N184" s="48">
        <f t="shared" si="40"/>
        <v>3150000</v>
      </c>
      <c r="O184" s="48">
        <f t="shared" si="40"/>
        <v>0</v>
      </c>
      <c r="P184" s="48">
        <f t="shared" si="40"/>
        <v>0</v>
      </c>
      <c r="Q184" s="48">
        <f t="shared" si="40"/>
        <v>0</v>
      </c>
      <c r="R184" s="48">
        <f t="shared" si="40"/>
        <v>3150000</v>
      </c>
      <c r="S184" s="48">
        <f t="shared" si="40"/>
        <v>0</v>
      </c>
      <c r="T184" s="48">
        <f t="shared" si="40"/>
        <v>0</v>
      </c>
      <c r="U184" s="48">
        <f t="shared" si="40"/>
        <v>0</v>
      </c>
      <c r="V184" s="48">
        <f t="shared" si="40"/>
        <v>0</v>
      </c>
      <c r="W184" s="48">
        <f t="shared" si="40"/>
        <v>0</v>
      </c>
      <c r="X184" s="48">
        <f t="shared" si="40"/>
        <v>0</v>
      </c>
      <c r="Y184" s="158">
        <f t="shared" si="28"/>
        <v>0</v>
      </c>
      <c r="Z184" s="48">
        <f t="shared" si="40"/>
        <v>894773.3</v>
      </c>
      <c r="AA184" s="48">
        <f t="shared" si="40"/>
        <v>10400000</v>
      </c>
    </row>
    <row r="185" spans="1:27" ht="37.5" customHeight="1" x14ac:dyDescent="0.25">
      <c r="A185" s="40" t="s">
        <v>237</v>
      </c>
      <c r="B185" s="40" t="s">
        <v>238</v>
      </c>
      <c r="C185" s="11" t="s">
        <v>236</v>
      </c>
      <c r="D185" s="49">
        <f>'дод 2'!E49+'дод 2'!E230</f>
        <v>7250000</v>
      </c>
      <c r="E185" s="49">
        <f>'дод 2'!F49+'дод 2'!F230</f>
        <v>7250000</v>
      </c>
      <c r="F185" s="49">
        <f>'дод 2'!G49+'дод 2'!G230</f>
        <v>0</v>
      </c>
      <c r="G185" s="49">
        <f>'дод 2'!H49+'дод 2'!H230</f>
        <v>0</v>
      </c>
      <c r="H185" s="49">
        <f>'дод 2'!I49+'дод 2'!I230</f>
        <v>0</v>
      </c>
      <c r="I185" s="49">
        <f>'дод 2'!J49+'дод 2'!J230</f>
        <v>894773.3</v>
      </c>
      <c r="J185" s="49">
        <f>'дод 2'!K49+'дод 2'!K230</f>
        <v>0</v>
      </c>
      <c r="K185" s="49">
        <f>'дод 2'!L49+'дод 2'!L230</f>
        <v>0</v>
      </c>
      <c r="L185" s="158">
        <f t="shared" si="29"/>
        <v>12.341700689655173</v>
      </c>
      <c r="M185" s="49">
        <f>'дод 2'!N49+'дод 2'!N230</f>
        <v>3150000</v>
      </c>
      <c r="N185" s="49">
        <f>'дод 2'!O49+'дод 2'!O230</f>
        <v>3150000</v>
      </c>
      <c r="O185" s="49">
        <f>'дод 2'!P49+'дод 2'!P230</f>
        <v>0</v>
      </c>
      <c r="P185" s="49">
        <f>'дод 2'!Q49+'дод 2'!Q230</f>
        <v>0</v>
      </c>
      <c r="Q185" s="49">
        <f>'дод 2'!R49+'дод 2'!R230</f>
        <v>0</v>
      </c>
      <c r="R185" s="49">
        <f>'дод 2'!S49+'дод 2'!S230</f>
        <v>3150000</v>
      </c>
      <c r="S185" s="49">
        <f>'дод 2'!T49+'дод 2'!T230</f>
        <v>0</v>
      </c>
      <c r="T185" s="49">
        <f>'дод 2'!U49+'дод 2'!U230</f>
        <v>0</v>
      </c>
      <c r="U185" s="49">
        <f>'дод 2'!V49+'дод 2'!V230</f>
        <v>0</v>
      </c>
      <c r="V185" s="49">
        <f>'дод 2'!W49+'дод 2'!W230</f>
        <v>0</v>
      </c>
      <c r="W185" s="49">
        <f>'дод 2'!X49+'дод 2'!X230</f>
        <v>0</v>
      </c>
      <c r="X185" s="49">
        <f>'дод 2'!Y49+'дод 2'!Y230</f>
        <v>0</v>
      </c>
      <c r="Y185" s="158">
        <f t="shared" si="28"/>
        <v>0</v>
      </c>
      <c r="Z185" s="49">
        <f>'дод 2'!AA49+'дод 2'!AA230</f>
        <v>894773.3</v>
      </c>
      <c r="AA185" s="49">
        <f>'дод 2'!AB49+'дод 2'!AB230</f>
        <v>10400000</v>
      </c>
    </row>
    <row r="186" spans="1:27" s="52" customFormat="1" ht="31.5" customHeight="1" x14ac:dyDescent="0.25">
      <c r="A186" s="38" t="s">
        <v>90</v>
      </c>
      <c r="B186" s="41"/>
      <c r="C186" s="2" t="s">
        <v>423</v>
      </c>
      <c r="D186" s="48">
        <f>D188+D189+D191+D192+D193+D195+D196+D197</f>
        <v>9153776</v>
      </c>
      <c r="E186" s="48">
        <f t="shared" ref="E186:AA186" si="41">E188+E189+E191+E192+E193+E195+E196+E197</f>
        <v>6653776</v>
      </c>
      <c r="F186" s="48">
        <f t="shared" si="41"/>
        <v>0</v>
      </c>
      <c r="G186" s="48">
        <f t="shared" si="41"/>
        <v>0</v>
      </c>
      <c r="H186" s="48">
        <f t="shared" si="41"/>
        <v>2500000</v>
      </c>
      <c r="I186" s="48">
        <f t="shared" si="41"/>
        <v>1814813.06</v>
      </c>
      <c r="J186" s="48">
        <f t="shared" si="41"/>
        <v>0</v>
      </c>
      <c r="K186" s="48">
        <f t="shared" si="41"/>
        <v>0</v>
      </c>
      <c r="L186" s="158">
        <f t="shared" si="29"/>
        <v>19.825840833334791</v>
      </c>
      <c r="M186" s="48">
        <f t="shared" si="41"/>
        <v>230094923.99000001</v>
      </c>
      <c r="N186" s="48">
        <f t="shared" si="41"/>
        <v>213764952.12</v>
      </c>
      <c r="O186" s="48">
        <f t="shared" si="41"/>
        <v>2948437.8699999996</v>
      </c>
      <c r="P186" s="48">
        <f t="shared" si="41"/>
        <v>0</v>
      </c>
      <c r="Q186" s="48">
        <f t="shared" si="41"/>
        <v>0</v>
      </c>
      <c r="R186" s="48">
        <f t="shared" si="41"/>
        <v>227146486.12</v>
      </c>
      <c r="S186" s="48">
        <f t="shared" si="41"/>
        <v>26770291.870000005</v>
      </c>
      <c r="T186" s="48">
        <f t="shared" si="41"/>
        <v>17012238.700000003</v>
      </c>
      <c r="U186" s="48">
        <f t="shared" si="41"/>
        <v>246503.16</v>
      </c>
      <c r="V186" s="48">
        <f t="shared" si="41"/>
        <v>0</v>
      </c>
      <c r="W186" s="48">
        <f t="shared" si="41"/>
        <v>0</v>
      </c>
      <c r="X186" s="48">
        <f t="shared" si="41"/>
        <v>26523788.710000005</v>
      </c>
      <c r="Y186" s="158">
        <f t="shared" si="28"/>
        <v>11.634455643690536</v>
      </c>
      <c r="Z186" s="48">
        <f t="shared" si="41"/>
        <v>28585104.930000003</v>
      </c>
      <c r="AA186" s="48">
        <f t="shared" si="41"/>
        <v>239248699.99000001</v>
      </c>
    </row>
    <row r="187" spans="1:27" s="53" customFormat="1" ht="16.5" customHeight="1" x14ac:dyDescent="0.25">
      <c r="A187" s="73"/>
      <c r="B187" s="73"/>
      <c r="C187" s="85" t="s">
        <v>421</v>
      </c>
      <c r="D187" s="78">
        <f>D190+D194</f>
        <v>0</v>
      </c>
      <c r="E187" s="78">
        <f t="shared" ref="E187:AA187" si="42">E190+E194</f>
        <v>0</v>
      </c>
      <c r="F187" s="78">
        <f t="shared" si="42"/>
        <v>0</v>
      </c>
      <c r="G187" s="78">
        <f t="shared" si="42"/>
        <v>0</v>
      </c>
      <c r="H187" s="78">
        <f t="shared" si="42"/>
        <v>0</v>
      </c>
      <c r="I187" s="78">
        <f t="shared" si="42"/>
        <v>0</v>
      </c>
      <c r="J187" s="78">
        <f t="shared" si="42"/>
        <v>0</v>
      </c>
      <c r="K187" s="78">
        <f t="shared" si="42"/>
        <v>0</v>
      </c>
      <c r="L187" s="158"/>
      <c r="M187" s="78">
        <f t="shared" si="42"/>
        <v>127771665.12</v>
      </c>
      <c r="N187" s="78">
        <f t="shared" si="42"/>
        <v>127771665.12</v>
      </c>
      <c r="O187" s="78">
        <f t="shared" si="42"/>
        <v>0</v>
      </c>
      <c r="P187" s="78">
        <f t="shared" si="42"/>
        <v>0</v>
      </c>
      <c r="Q187" s="78">
        <f t="shared" si="42"/>
        <v>0</v>
      </c>
      <c r="R187" s="78">
        <f t="shared" si="42"/>
        <v>127771665.12</v>
      </c>
      <c r="S187" s="78">
        <f t="shared" si="42"/>
        <v>2343525.58</v>
      </c>
      <c r="T187" s="78">
        <f t="shared" si="42"/>
        <v>2343525.58</v>
      </c>
      <c r="U187" s="78">
        <f t="shared" si="42"/>
        <v>0</v>
      </c>
      <c r="V187" s="78">
        <f t="shared" si="42"/>
        <v>0</v>
      </c>
      <c r="W187" s="78">
        <f t="shared" si="42"/>
        <v>0</v>
      </c>
      <c r="X187" s="78">
        <f t="shared" si="42"/>
        <v>0</v>
      </c>
      <c r="Y187" s="158">
        <f t="shared" si="28"/>
        <v>1.8341512398691984</v>
      </c>
      <c r="Z187" s="78">
        <f t="shared" si="42"/>
        <v>2343525.58</v>
      </c>
      <c r="AA187" s="78">
        <f t="shared" si="42"/>
        <v>127771665.12</v>
      </c>
    </row>
    <row r="188" spans="1:27" ht="24.75" customHeight="1" x14ac:dyDescent="0.25">
      <c r="A188" s="37" t="s">
        <v>4</v>
      </c>
      <c r="B188" s="37" t="s">
        <v>89</v>
      </c>
      <c r="C188" s="3" t="s">
        <v>24</v>
      </c>
      <c r="D188" s="49">
        <f>'дод 2'!E50+'дод 2'!E275</f>
        <v>975000</v>
      </c>
      <c r="E188" s="49">
        <f>'дод 2'!F50+'дод 2'!F275</f>
        <v>475000</v>
      </c>
      <c r="F188" s="49">
        <f>'дод 2'!G50+'дод 2'!G275</f>
        <v>0</v>
      </c>
      <c r="G188" s="49">
        <f>'дод 2'!H50+'дод 2'!H275</f>
        <v>0</v>
      </c>
      <c r="H188" s="49">
        <f>'дод 2'!I50+'дод 2'!I275</f>
        <v>500000</v>
      </c>
      <c r="I188" s="49">
        <f>'дод 2'!J50+'дод 2'!J275</f>
        <v>34900</v>
      </c>
      <c r="J188" s="49">
        <f>'дод 2'!K50+'дод 2'!K275</f>
        <v>0</v>
      </c>
      <c r="K188" s="49">
        <f>'дод 2'!L50+'дод 2'!L275</f>
        <v>0</v>
      </c>
      <c r="L188" s="158">
        <f t="shared" si="29"/>
        <v>3.5794871794871792</v>
      </c>
      <c r="M188" s="49">
        <f>'дод 2'!N50+'дод 2'!N275</f>
        <v>0</v>
      </c>
      <c r="N188" s="49">
        <f>'дод 2'!O50+'дод 2'!O275</f>
        <v>0</v>
      </c>
      <c r="O188" s="49">
        <f>'дод 2'!P50+'дод 2'!P275</f>
        <v>0</v>
      </c>
      <c r="P188" s="49">
        <f>'дод 2'!Q50+'дод 2'!Q275</f>
        <v>0</v>
      </c>
      <c r="Q188" s="49">
        <f>'дод 2'!R50+'дод 2'!R275</f>
        <v>0</v>
      </c>
      <c r="R188" s="49">
        <f>'дод 2'!S50+'дод 2'!S275</f>
        <v>0</v>
      </c>
      <c r="S188" s="49">
        <f>'дод 2'!T50+'дод 2'!T275</f>
        <v>0</v>
      </c>
      <c r="T188" s="49">
        <f>'дод 2'!U50+'дод 2'!U275</f>
        <v>0</v>
      </c>
      <c r="U188" s="49">
        <f>'дод 2'!V50+'дод 2'!V275</f>
        <v>0</v>
      </c>
      <c r="V188" s="49">
        <f>'дод 2'!W50+'дод 2'!W275</f>
        <v>0</v>
      </c>
      <c r="W188" s="49">
        <f>'дод 2'!X50+'дод 2'!X275</f>
        <v>0</v>
      </c>
      <c r="X188" s="49">
        <f>'дод 2'!Y50+'дод 2'!Y275</f>
        <v>0</v>
      </c>
      <c r="Y188" s="158"/>
      <c r="Z188" s="49">
        <f>'дод 2'!AA50+'дод 2'!AA275</f>
        <v>34900</v>
      </c>
      <c r="AA188" s="49">
        <f>'дод 2'!AB50+'дод 2'!AB275</f>
        <v>975000</v>
      </c>
    </row>
    <row r="189" spans="1:27" ht="20.25" customHeight="1" x14ac:dyDescent="0.25">
      <c r="A189" s="37" t="s">
        <v>2</v>
      </c>
      <c r="B189" s="37" t="s">
        <v>88</v>
      </c>
      <c r="C189" s="3" t="s">
        <v>420</v>
      </c>
      <c r="D189" s="49">
        <f>'дод 2'!E106+'дод 2'!E143+'дод 2'!E201+'дод 2'!E231+'дод 2'!E257+'дод 2'!E285</f>
        <v>5562107</v>
      </c>
      <c r="E189" s="49">
        <f>'дод 2'!F106+'дод 2'!F143+'дод 2'!F201+'дод 2'!F231+'дод 2'!F257+'дод 2'!F285</f>
        <v>3562107</v>
      </c>
      <c r="F189" s="49">
        <f>'дод 2'!G106+'дод 2'!G143+'дод 2'!G201+'дод 2'!G231+'дод 2'!G257+'дод 2'!G285</f>
        <v>0</v>
      </c>
      <c r="G189" s="49">
        <f>'дод 2'!H106+'дод 2'!H143+'дод 2'!H201+'дод 2'!H231+'дод 2'!H257+'дод 2'!H285</f>
        <v>0</v>
      </c>
      <c r="H189" s="49">
        <f>'дод 2'!I106+'дод 2'!I143+'дод 2'!I201+'дод 2'!I231+'дод 2'!I257+'дод 2'!I285</f>
        <v>2000000</v>
      </c>
      <c r="I189" s="49">
        <f>'дод 2'!J106+'дод 2'!J143+'дод 2'!J201+'дод 2'!J231+'дод 2'!J257+'дод 2'!J285</f>
        <v>1207792.07</v>
      </c>
      <c r="J189" s="49">
        <f>'дод 2'!K106+'дод 2'!K143+'дод 2'!K201+'дод 2'!K231+'дод 2'!K257+'дод 2'!K285</f>
        <v>0</v>
      </c>
      <c r="K189" s="49">
        <f>'дод 2'!L106+'дод 2'!L143+'дод 2'!L201+'дод 2'!L231+'дод 2'!L257+'дод 2'!L285</f>
        <v>0</v>
      </c>
      <c r="L189" s="158">
        <f t="shared" si="29"/>
        <v>21.714650041791717</v>
      </c>
      <c r="M189" s="49">
        <f>'дод 2'!N106+'дод 2'!N143+'дод 2'!N201+'дод 2'!N231+'дод 2'!N257+'дод 2'!N285</f>
        <v>159385986.12</v>
      </c>
      <c r="N189" s="49">
        <f>'дод 2'!O106+'дод 2'!O143+'дод 2'!O201+'дод 2'!O231+'дод 2'!O257+'дод 2'!O285</f>
        <v>147912052.12</v>
      </c>
      <c r="O189" s="49">
        <f>'дод 2'!P106+'дод 2'!P143+'дод 2'!P201+'дод 2'!P231+'дод 2'!P257+'дод 2'!P285</f>
        <v>0</v>
      </c>
      <c r="P189" s="49">
        <f>'дод 2'!Q106+'дод 2'!Q143+'дод 2'!Q201+'дод 2'!Q231+'дод 2'!Q257+'дод 2'!Q285</f>
        <v>0</v>
      </c>
      <c r="Q189" s="49">
        <f>'дод 2'!R106+'дод 2'!R143+'дод 2'!R201+'дод 2'!R231+'дод 2'!R257+'дод 2'!R285</f>
        <v>0</v>
      </c>
      <c r="R189" s="49">
        <f>'дод 2'!S106+'дод 2'!S143+'дод 2'!S201+'дод 2'!S231+'дод 2'!S257+'дод 2'!S285</f>
        <v>159385986.12</v>
      </c>
      <c r="S189" s="49">
        <f>'дод 2'!T106+'дод 2'!T143+'дод 2'!T201+'дод 2'!T231+'дод 2'!T257+'дод 2'!T285</f>
        <v>19201388.030000001</v>
      </c>
      <c r="T189" s="49">
        <f>'дод 2'!U106+'дод 2'!U143+'дод 2'!U201+'дод 2'!U231+'дод 2'!U257+'дод 2'!U285</f>
        <v>9783401.0300000012</v>
      </c>
      <c r="U189" s="49">
        <f>'дод 2'!V106+'дод 2'!V143+'дод 2'!V201+'дод 2'!V231+'дод 2'!V257+'дод 2'!V285</f>
        <v>0</v>
      </c>
      <c r="V189" s="49">
        <f>'дод 2'!W106+'дод 2'!W143+'дод 2'!W201+'дод 2'!W231+'дод 2'!W257+'дод 2'!W285</f>
        <v>0</v>
      </c>
      <c r="W189" s="49">
        <f>'дод 2'!X106+'дод 2'!X143+'дод 2'!X201+'дод 2'!X231+'дод 2'!X257+'дод 2'!X285</f>
        <v>0</v>
      </c>
      <c r="X189" s="49">
        <f>'дод 2'!Y106+'дод 2'!Y143+'дод 2'!Y201+'дод 2'!Y231+'дод 2'!Y257+'дод 2'!Y285</f>
        <v>19201388.030000001</v>
      </c>
      <c r="Y189" s="158">
        <f t="shared" si="28"/>
        <v>12.04709930742812</v>
      </c>
      <c r="Z189" s="49">
        <f>'дод 2'!AA106+'дод 2'!AA143+'дод 2'!AA201+'дод 2'!AA231+'дод 2'!AA257+'дод 2'!AA285</f>
        <v>20409180.100000001</v>
      </c>
      <c r="AA189" s="49">
        <f>'дод 2'!AB106+'дод 2'!AB143+'дод 2'!AB201+'дод 2'!AB231+'дод 2'!AB257+'дод 2'!AB285</f>
        <v>164948093.12</v>
      </c>
    </row>
    <row r="190" spans="1:27" s="54" customFormat="1" ht="17.25" customHeight="1" x14ac:dyDescent="0.25">
      <c r="A190" s="80"/>
      <c r="B190" s="80"/>
      <c r="C190" s="87" t="s">
        <v>421</v>
      </c>
      <c r="D190" s="82">
        <f>'дод 2'!E144+'дод 2'!E258</f>
        <v>0</v>
      </c>
      <c r="E190" s="82">
        <f>'дод 2'!F144+'дод 2'!F258</f>
        <v>0</v>
      </c>
      <c r="F190" s="82">
        <f>'дод 2'!G144+'дод 2'!G258</f>
        <v>0</v>
      </c>
      <c r="G190" s="82">
        <f>'дод 2'!H144+'дод 2'!H258</f>
        <v>0</v>
      </c>
      <c r="H190" s="82">
        <f>'дод 2'!I144+'дод 2'!I258</f>
        <v>0</v>
      </c>
      <c r="I190" s="82">
        <f>'дод 2'!J144+'дод 2'!J258</f>
        <v>0</v>
      </c>
      <c r="J190" s="82">
        <f>'дод 2'!K144+'дод 2'!K258</f>
        <v>0</v>
      </c>
      <c r="K190" s="82">
        <f>'дод 2'!L144+'дод 2'!L258</f>
        <v>0</v>
      </c>
      <c r="L190" s="158"/>
      <c r="M190" s="82">
        <f>'дод 2'!N144+'дод 2'!N258</f>
        <v>101521665.12</v>
      </c>
      <c r="N190" s="82">
        <f>'дод 2'!O144+'дод 2'!O258</f>
        <v>101521665.12</v>
      </c>
      <c r="O190" s="82">
        <f>'дод 2'!P144+'дод 2'!P258</f>
        <v>0</v>
      </c>
      <c r="P190" s="82">
        <f>'дод 2'!Q144+'дод 2'!Q258</f>
        <v>0</v>
      </c>
      <c r="Q190" s="82">
        <f>'дод 2'!R144+'дод 2'!R258</f>
        <v>0</v>
      </c>
      <c r="R190" s="82">
        <f>'дод 2'!S144+'дод 2'!S258</f>
        <v>101521665.12</v>
      </c>
      <c r="S190" s="82">
        <f>'дод 2'!T144+'дод 2'!T258</f>
        <v>2343525.58</v>
      </c>
      <c r="T190" s="82">
        <f>'дод 2'!U144+'дод 2'!U258</f>
        <v>2343525.58</v>
      </c>
      <c r="U190" s="82">
        <f>'дод 2'!V144+'дод 2'!V258</f>
        <v>0</v>
      </c>
      <c r="V190" s="82">
        <f>'дод 2'!W144+'дод 2'!W258</f>
        <v>0</v>
      </c>
      <c r="W190" s="82">
        <f>'дод 2'!X144+'дод 2'!X258</f>
        <v>0</v>
      </c>
      <c r="X190" s="82">
        <f>'дод 2'!Y144+'дод 2'!Y258</f>
        <v>0</v>
      </c>
      <c r="Y190" s="158">
        <f t="shared" si="28"/>
        <v>2.3083994704282289</v>
      </c>
      <c r="Z190" s="82">
        <f>'дод 2'!AA144+'дод 2'!AA258</f>
        <v>2343525.58</v>
      </c>
      <c r="AA190" s="82">
        <f>'дод 2'!AB144+'дод 2'!AB258</f>
        <v>101521665.12</v>
      </c>
    </row>
    <row r="191" spans="1:27" ht="33.75" customHeight="1" x14ac:dyDescent="0.25">
      <c r="A191" s="37" t="s">
        <v>269</v>
      </c>
      <c r="B191" s="37" t="s">
        <v>84</v>
      </c>
      <c r="C191" s="3" t="s">
        <v>348</v>
      </c>
      <c r="D191" s="49">
        <f>'дод 2'!E276</f>
        <v>0</v>
      </c>
      <c r="E191" s="49">
        <f>'дод 2'!F276</f>
        <v>0</v>
      </c>
      <c r="F191" s="49">
        <f>'дод 2'!G276</f>
        <v>0</v>
      </c>
      <c r="G191" s="49">
        <f>'дод 2'!H276</f>
        <v>0</v>
      </c>
      <c r="H191" s="49">
        <f>'дод 2'!I276</f>
        <v>0</v>
      </c>
      <c r="I191" s="49">
        <f>'дод 2'!J276</f>
        <v>0</v>
      </c>
      <c r="J191" s="49">
        <f>'дод 2'!K276</f>
        <v>0</v>
      </c>
      <c r="K191" s="49">
        <f>'дод 2'!L276</f>
        <v>0</v>
      </c>
      <c r="L191" s="158"/>
      <c r="M191" s="49">
        <f>'дод 2'!N276</f>
        <v>20000</v>
      </c>
      <c r="N191" s="49">
        <f>'дод 2'!O276</f>
        <v>20000</v>
      </c>
      <c r="O191" s="49">
        <f>'дод 2'!P276</f>
        <v>0</v>
      </c>
      <c r="P191" s="49">
        <f>'дод 2'!Q276</f>
        <v>0</v>
      </c>
      <c r="Q191" s="49">
        <f>'дод 2'!R276</f>
        <v>0</v>
      </c>
      <c r="R191" s="49">
        <f>'дод 2'!S276</f>
        <v>20000</v>
      </c>
      <c r="S191" s="49">
        <f>'дод 2'!T276</f>
        <v>3960</v>
      </c>
      <c r="T191" s="49">
        <f>'дод 2'!U276</f>
        <v>3960</v>
      </c>
      <c r="U191" s="49">
        <f>'дод 2'!V276</f>
        <v>0</v>
      </c>
      <c r="V191" s="49">
        <f>'дод 2'!W276</f>
        <v>0</v>
      </c>
      <c r="W191" s="49">
        <f>'дод 2'!X276</f>
        <v>0</v>
      </c>
      <c r="X191" s="49">
        <f>'дод 2'!Y276</f>
        <v>3960</v>
      </c>
      <c r="Y191" s="158">
        <f t="shared" si="28"/>
        <v>19.8</v>
      </c>
      <c r="Z191" s="49">
        <f>'дод 2'!AA276</f>
        <v>3960</v>
      </c>
      <c r="AA191" s="49">
        <f>'дод 2'!AB276</f>
        <v>20000</v>
      </c>
    </row>
    <row r="192" spans="1:27" ht="51" customHeight="1" x14ac:dyDescent="0.25">
      <c r="A192" s="37" t="s">
        <v>271</v>
      </c>
      <c r="B192" s="37" t="s">
        <v>84</v>
      </c>
      <c r="C192" s="3" t="s">
        <v>272</v>
      </c>
      <c r="D192" s="49">
        <f>'дод 2'!E277</f>
        <v>0</v>
      </c>
      <c r="E192" s="49">
        <f>'дод 2'!F277</f>
        <v>0</v>
      </c>
      <c r="F192" s="49">
        <f>'дод 2'!G277</f>
        <v>0</v>
      </c>
      <c r="G192" s="49">
        <f>'дод 2'!H277</f>
        <v>0</v>
      </c>
      <c r="H192" s="49">
        <f>'дод 2'!I277</f>
        <v>0</v>
      </c>
      <c r="I192" s="49">
        <f>'дод 2'!J277</f>
        <v>0</v>
      </c>
      <c r="J192" s="49">
        <f>'дод 2'!K277</f>
        <v>0</v>
      </c>
      <c r="K192" s="49">
        <f>'дод 2'!L277</f>
        <v>0</v>
      </c>
      <c r="L192" s="158"/>
      <c r="M192" s="49">
        <f>'дод 2'!N277</f>
        <v>45000</v>
      </c>
      <c r="N192" s="49">
        <f>'дод 2'!O277</f>
        <v>45000</v>
      </c>
      <c r="O192" s="49">
        <f>'дод 2'!P277</f>
        <v>0</v>
      </c>
      <c r="P192" s="49">
        <f>'дод 2'!Q277</f>
        <v>0</v>
      </c>
      <c r="Q192" s="49">
        <f>'дод 2'!R277</f>
        <v>0</v>
      </c>
      <c r="R192" s="49">
        <f>'дод 2'!S277</f>
        <v>45000</v>
      </c>
      <c r="S192" s="49">
        <f>'дод 2'!T277</f>
        <v>0</v>
      </c>
      <c r="T192" s="49">
        <f>'дод 2'!U277</f>
        <v>0</v>
      </c>
      <c r="U192" s="49">
        <f>'дод 2'!V277</f>
        <v>0</v>
      </c>
      <c r="V192" s="49">
        <f>'дод 2'!W277</f>
        <v>0</v>
      </c>
      <c r="W192" s="49">
        <f>'дод 2'!X277</f>
        <v>0</v>
      </c>
      <c r="X192" s="49">
        <f>'дод 2'!Y277</f>
        <v>0</v>
      </c>
      <c r="Y192" s="158">
        <f t="shared" si="28"/>
        <v>0</v>
      </c>
      <c r="Z192" s="49">
        <f>'дод 2'!AA277</f>
        <v>0</v>
      </c>
      <c r="AA192" s="49">
        <f>'дод 2'!AB277</f>
        <v>45000</v>
      </c>
    </row>
    <row r="193" spans="1:27" ht="30.75" customHeight="1" x14ac:dyDescent="0.25">
      <c r="A193" s="37" t="s">
        <v>5</v>
      </c>
      <c r="B193" s="37" t="s">
        <v>84</v>
      </c>
      <c r="C193" s="3" t="s">
        <v>472</v>
      </c>
      <c r="D193" s="49">
        <f>'дод 2'!E51+'дод 2'!E232</f>
        <v>0</v>
      </c>
      <c r="E193" s="49">
        <f>'дод 2'!F51+'дод 2'!F232</f>
        <v>0</v>
      </c>
      <c r="F193" s="49">
        <f>'дод 2'!G51+'дод 2'!G232</f>
        <v>0</v>
      </c>
      <c r="G193" s="49">
        <f>'дод 2'!H51+'дод 2'!H232</f>
        <v>0</v>
      </c>
      <c r="H193" s="49">
        <f>'дод 2'!I51+'дод 2'!I232</f>
        <v>0</v>
      </c>
      <c r="I193" s="49">
        <f>'дод 2'!J51+'дод 2'!J232</f>
        <v>0</v>
      </c>
      <c r="J193" s="49">
        <f>'дод 2'!K51+'дод 2'!K232</f>
        <v>0</v>
      </c>
      <c r="K193" s="49">
        <f>'дод 2'!L51+'дод 2'!L232</f>
        <v>0</v>
      </c>
      <c r="L193" s="158"/>
      <c r="M193" s="49">
        <f>'дод 2'!N51+'дод 2'!N232</f>
        <v>65787900</v>
      </c>
      <c r="N193" s="49">
        <f>'дод 2'!O51+'дод 2'!O232</f>
        <v>65787900</v>
      </c>
      <c r="O193" s="49">
        <f>'дод 2'!P51+'дод 2'!P232</f>
        <v>0</v>
      </c>
      <c r="P193" s="49">
        <f>'дод 2'!Q51+'дод 2'!Q232</f>
        <v>0</v>
      </c>
      <c r="Q193" s="49">
        <f>'дод 2'!R51+'дод 2'!R232</f>
        <v>0</v>
      </c>
      <c r="R193" s="49">
        <f>'дод 2'!S51+'дод 2'!S232</f>
        <v>65787900</v>
      </c>
      <c r="S193" s="49">
        <f>'дод 2'!T51+'дод 2'!T232</f>
        <v>7224877.6699999999</v>
      </c>
      <c r="T193" s="49">
        <f>'дод 2'!U51+'дод 2'!U232</f>
        <v>7224877.6699999999</v>
      </c>
      <c r="U193" s="49">
        <f>'дод 2'!V51+'дод 2'!V232</f>
        <v>0</v>
      </c>
      <c r="V193" s="49">
        <f>'дод 2'!W51+'дод 2'!W232</f>
        <v>0</v>
      </c>
      <c r="W193" s="49">
        <f>'дод 2'!X51+'дод 2'!X232</f>
        <v>0</v>
      </c>
      <c r="X193" s="49">
        <f>'дод 2'!Y51+'дод 2'!Y232</f>
        <v>7224877.6699999999</v>
      </c>
      <c r="Y193" s="158">
        <f t="shared" si="28"/>
        <v>10.982076749675853</v>
      </c>
      <c r="Z193" s="49">
        <f>'дод 2'!AA51+'дод 2'!AA232</f>
        <v>7224877.6699999999</v>
      </c>
      <c r="AA193" s="49">
        <f>'дод 2'!AB51+'дод 2'!AB232</f>
        <v>65787900</v>
      </c>
    </row>
    <row r="194" spans="1:27" ht="16.5" customHeight="1" x14ac:dyDescent="0.25">
      <c r="A194" s="37"/>
      <c r="B194" s="37"/>
      <c r="C194" s="87" t="s">
        <v>421</v>
      </c>
      <c r="D194" s="49">
        <f>'дод 2'!E233</f>
        <v>0</v>
      </c>
      <c r="E194" s="49">
        <f>'дод 2'!F233</f>
        <v>0</v>
      </c>
      <c r="F194" s="49">
        <f>'дод 2'!G233</f>
        <v>0</v>
      </c>
      <c r="G194" s="49">
        <f>'дод 2'!H233</f>
        <v>0</v>
      </c>
      <c r="H194" s="49">
        <f>'дод 2'!I233</f>
        <v>0</v>
      </c>
      <c r="I194" s="49">
        <f>'дод 2'!J233</f>
        <v>0</v>
      </c>
      <c r="J194" s="49">
        <f>'дод 2'!K233</f>
        <v>0</v>
      </c>
      <c r="K194" s="49">
        <f>'дод 2'!L233</f>
        <v>0</v>
      </c>
      <c r="L194" s="158"/>
      <c r="M194" s="49">
        <f>'дод 2'!N233</f>
        <v>26250000</v>
      </c>
      <c r="N194" s="49">
        <f>'дод 2'!O233</f>
        <v>26250000</v>
      </c>
      <c r="O194" s="49">
        <f>'дод 2'!P233</f>
        <v>0</v>
      </c>
      <c r="P194" s="49">
        <f>'дод 2'!Q233</f>
        <v>0</v>
      </c>
      <c r="Q194" s="49">
        <f>'дод 2'!R233</f>
        <v>0</v>
      </c>
      <c r="R194" s="49">
        <f>'дод 2'!S233</f>
        <v>26250000</v>
      </c>
      <c r="S194" s="49">
        <f>'дод 2'!T233</f>
        <v>0</v>
      </c>
      <c r="T194" s="49">
        <f>'дод 2'!U233</f>
        <v>0</v>
      </c>
      <c r="U194" s="49">
        <f>'дод 2'!V233</f>
        <v>0</v>
      </c>
      <c r="V194" s="49">
        <f>'дод 2'!W233</f>
        <v>0</v>
      </c>
      <c r="W194" s="49">
        <f>'дод 2'!X233</f>
        <v>0</v>
      </c>
      <c r="X194" s="49">
        <f>'дод 2'!Y233</f>
        <v>0</v>
      </c>
      <c r="Y194" s="158">
        <f t="shared" si="28"/>
        <v>0</v>
      </c>
      <c r="Z194" s="49">
        <f>'дод 2'!AA233</f>
        <v>0</v>
      </c>
      <c r="AA194" s="49">
        <f>'дод 2'!AB233</f>
        <v>26250000</v>
      </c>
    </row>
    <row r="195" spans="1:27" ht="36.75" customHeight="1" x14ac:dyDescent="0.25">
      <c r="A195" s="37" t="s">
        <v>250</v>
      </c>
      <c r="B195" s="37" t="s">
        <v>84</v>
      </c>
      <c r="C195" s="3" t="s">
        <v>251</v>
      </c>
      <c r="D195" s="49">
        <f>'дод 2'!E52</f>
        <v>356337</v>
      </c>
      <c r="E195" s="49">
        <f>'дод 2'!F52</f>
        <v>356337</v>
      </c>
      <c r="F195" s="49">
        <f>'дод 2'!G52</f>
        <v>0</v>
      </c>
      <c r="G195" s="49">
        <f>'дод 2'!H52</f>
        <v>0</v>
      </c>
      <c r="H195" s="49">
        <f>'дод 2'!I52</f>
        <v>0</v>
      </c>
      <c r="I195" s="49">
        <f>'дод 2'!J52</f>
        <v>138000</v>
      </c>
      <c r="J195" s="49">
        <f>'дод 2'!K52</f>
        <v>0</v>
      </c>
      <c r="K195" s="49">
        <f>'дод 2'!L52</f>
        <v>0</v>
      </c>
      <c r="L195" s="158">
        <f t="shared" si="29"/>
        <v>38.727384470318825</v>
      </c>
      <c r="M195" s="49">
        <f>'дод 2'!N52</f>
        <v>0</v>
      </c>
      <c r="N195" s="49">
        <f>'дод 2'!O52</f>
        <v>0</v>
      </c>
      <c r="O195" s="49">
        <f>'дод 2'!P52</f>
        <v>0</v>
      </c>
      <c r="P195" s="49">
        <f>'дод 2'!Q52</f>
        <v>0</v>
      </c>
      <c r="Q195" s="49">
        <f>'дод 2'!R52</f>
        <v>0</v>
      </c>
      <c r="R195" s="49">
        <f>'дод 2'!S52</f>
        <v>0</v>
      </c>
      <c r="S195" s="49">
        <f>'дод 2'!T52</f>
        <v>0</v>
      </c>
      <c r="T195" s="49">
        <f>'дод 2'!U52</f>
        <v>0</v>
      </c>
      <c r="U195" s="49">
        <f>'дод 2'!V52</f>
        <v>0</v>
      </c>
      <c r="V195" s="49">
        <f>'дод 2'!W52</f>
        <v>0</v>
      </c>
      <c r="W195" s="49">
        <f>'дод 2'!X52</f>
        <v>0</v>
      </c>
      <c r="X195" s="49">
        <f>'дод 2'!Y52</f>
        <v>0</v>
      </c>
      <c r="Y195" s="158"/>
      <c r="Z195" s="49">
        <f>'дод 2'!AA52</f>
        <v>138000</v>
      </c>
      <c r="AA195" s="49">
        <f>'дод 2'!AB52</f>
        <v>356337</v>
      </c>
    </row>
    <row r="196" spans="1:27" s="54" customFormat="1" ht="97.5" customHeight="1" x14ac:dyDescent="0.25">
      <c r="A196" s="37" t="s">
        <v>298</v>
      </c>
      <c r="B196" s="37" t="s">
        <v>84</v>
      </c>
      <c r="C196" s="3" t="s">
        <v>316</v>
      </c>
      <c r="D196" s="49">
        <f>'дод 2'!E53+'дод 2'!E234+'дод 2'!E259+'дод 2'!E267</f>
        <v>0</v>
      </c>
      <c r="E196" s="49">
        <f>'дод 2'!F53+'дод 2'!F234+'дод 2'!F259+'дод 2'!F267</f>
        <v>0</v>
      </c>
      <c r="F196" s="49">
        <f>'дод 2'!G53+'дод 2'!G234+'дод 2'!G259+'дод 2'!G267</f>
        <v>0</v>
      </c>
      <c r="G196" s="49">
        <f>'дод 2'!H53+'дод 2'!H234+'дод 2'!H259+'дод 2'!H267</f>
        <v>0</v>
      </c>
      <c r="H196" s="49">
        <f>'дод 2'!I53+'дод 2'!I234+'дод 2'!I259+'дод 2'!I267</f>
        <v>0</v>
      </c>
      <c r="I196" s="49">
        <f>'дод 2'!J53+'дод 2'!J234+'дод 2'!J259+'дод 2'!J267</f>
        <v>0</v>
      </c>
      <c r="J196" s="49">
        <f>'дод 2'!K53+'дод 2'!K234+'дод 2'!K259+'дод 2'!K267</f>
        <v>0</v>
      </c>
      <c r="K196" s="49">
        <f>'дод 2'!L53+'дод 2'!L234+'дод 2'!L259+'дод 2'!L267</f>
        <v>0</v>
      </c>
      <c r="L196" s="158"/>
      <c r="M196" s="49">
        <f>'дод 2'!N53+'дод 2'!N234+'дод 2'!N259+'дод 2'!N267</f>
        <v>4856037.8699999992</v>
      </c>
      <c r="N196" s="49">
        <f>'дод 2'!O53+'дод 2'!O234+'дод 2'!O259+'дод 2'!O267</f>
        <v>0</v>
      </c>
      <c r="O196" s="49">
        <f>'дод 2'!P53+'дод 2'!P234+'дод 2'!P259+'дод 2'!P267</f>
        <v>2948437.8699999996</v>
      </c>
      <c r="P196" s="49">
        <f>'дод 2'!Q53+'дод 2'!Q234+'дод 2'!Q259+'дод 2'!Q267</f>
        <v>0</v>
      </c>
      <c r="Q196" s="49">
        <f>'дод 2'!R53+'дод 2'!R234+'дод 2'!R259+'дод 2'!R267</f>
        <v>0</v>
      </c>
      <c r="R196" s="49">
        <f>'дод 2'!S53+'дод 2'!S234+'дод 2'!S259+'дод 2'!S267</f>
        <v>1907600</v>
      </c>
      <c r="S196" s="49">
        <f>'дод 2'!T53+'дод 2'!T234+'дод 2'!T259+'дод 2'!T267</f>
        <v>340066.17</v>
      </c>
      <c r="T196" s="49">
        <f>'дод 2'!U53+'дод 2'!U234+'дод 2'!U259+'дод 2'!U267</f>
        <v>0</v>
      </c>
      <c r="U196" s="49">
        <f>'дод 2'!V53+'дод 2'!V234+'дод 2'!V259+'дод 2'!V267</f>
        <v>246503.16</v>
      </c>
      <c r="V196" s="49">
        <f>'дод 2'!W53+'дод 2'!W234+'дод 2'!W259+'дод 2'!W267</f>
        <v>0</v>
      </c>
      <c r="W196" s="49">
        <f>'дод 2'!X53+'дод 2'!X234+'дод 2'!X259+'дод 2'!X267</f>
        <v>0</v>
      </c>
      <c r="X196" s="49">
        <f>'дод 2'!Y53+'дод 2'!Y234+'дод 2'!Y259+'дод 2'!Y267</f>
        <v>93563.01</v>
      </c>
      <c r="Y196" s="158">
        <f t="shared" si="28"/>
        <v>7.0029554773632778</v>
      </c>
      <c r="Z196" s="49">
        <f>'дод 2'!AA53+'дод 2'!AA234+'дод 2'!AA259+'дод 2'!AA267</f>
        <v>340066.17</v>
      </c>
      <c r="AA196" s="49">
        <f>'дод 2'!AB53+'дод 2'!AB234+'дод 2'!AB259+'дод 2'!AB267</f>
        <v>4856037.8699999992</v>
      </c>
    </row>
    <row r="197" spans="1:27" s="54" customFormat="1" ht="23.25" customHeight="1" x14ac:dyDescent="0.25">
      <c r="A197" s="37" t="s">
        <v>241</v>
      </c>
      <c r="B197" s="37" t="s">
        <v>84</v>
      </c>
      <c r="C197" s="3" t="s">
        <v>17</v>
      </c>
      <c r="D197" s="49">
        <f>'дод 2'!E54+'дод 2'!E278+'дод 2'!E286</f>
        <v>2260332</v>
      </c>
      <c r="E197" s="49">
        <f>'дод 2'!F54+'дод 2'!F278+'дод 2'!F286</f>
        <v>2260332</v>
      </c>
      <c r="F197" s="49">
        <f>'дод 2'!G54+'дод 2'!G278+'дод 2'!G286</f>
        <v>0</v>
      </c>
      <c r="G197" s="49">
        <f>'дод 2'!H54+'дод 2'!H278+'дод 2'!H286</f>
        <v>0</v>
      </c>
      <c r="H197" s="49">
        <f>'дод 2'!I54+'дод 2'!I278+'дод 2'!I286</f>
        <v>0</v>
      </c>
      <c r="I197" s="49">
        <f>'дод 2'!J54+'дод 2'!J278+'дод 2'!J286</f>
        <v>434120.99</v>
      </c>
      <c r="J197" s="49">
        <f>'дод 2'!K54+'дод 2'!K278+'дод 2'!K286</f>
        <v>0</v>
      </c>
      <c r="K197" s="49">
        <f>'дод 2'!L54+'дод 2'!L278+'дод 2'!L286</f>
        <v>0</v>
      </c>
      <c r="L197" s="158">
        <f t="shared" si="29"/>
        <v>19.20607193987432</v>
      </c>
      <c r="M197" s="49">
        <f>'дод 2'!N54+'дод 2'!N278+'дод 2'!N286</f>
        <v>0</v>
      </c>
      <c r="N197" s="49">
        <f>'дод 2'!O54+'дод 2'!O278+'дод 2'!O286</f>
        <v>0</v>
      </c>
      <c r="O197" s="49">
        <f>'дод 2'!P54+'дод 2'!P278+'дод 2'!P286</f>
        <v>0</v>
      </c>
      <c r="P197" s="49">
        <f>'дод 2'!Q54+'дод 2'!Q278+'дод 2'!Q286</f>
        <v>0</v>
      </c>
      <c r="Q197" s="49">
        <f>'дод 2'!R54+'дод 2'!R278+'дод 2'!R286</f>
        <v>0</v>
      </c>
      <c r="R197" s="49">
        <f>'дод 2'!S54+'дод 2'!S278+'дод 2'!S286</f>
        <v>0</v>
      </c>
      <c r="S197" s="49">
        <f>'дод 2'!T54+'дод 2'!T278+'дод 2'!T286</f>
        <v>0</v>
      </c>
      <c r="T197" s="49">
        <f>'дод 2'!U54+'дод 2'!U278+'дод 2'!U286</f>
        <v>0</v>
      </c>
      <c r="U197" s="49">
        <f>'дод 2'!V54+'дод 2'!V278+'дод 2'!V286</f>
        <v>0</v>
      </c>
      <c r="V197" s="49">
        <f>'дод 2'!W54+'дод 2'!W278+'дод 2'!W286</f>
        <v>0</v>
      </c>
      <c r="W197" s="49">
        <f>'дод 2'!X54+'дод 2'!X278+'дод 2'!X286</f>
        <v>0</v>
      </c>
      <c r="X197" s="49">
        <f>'дод 2'!Y54+'дод 2'!Y278+'дод 2'!Y286</f>
        <v>0</v>
      </c>
      <c r="Y197" s="158"/>
      <c r="Z197" s="49">
        <f>'дод 2'!AA54+'дод 2'!AA278+'дод 2'!AA286</f>
        <v>434120.99</v>
      </c>
      <c r="AA197" s="49">
        <f>'дод 2'!AB54+'дод 2'!AB278+'дод 2'!AB286</f>
        <v>2260332</v>
      </c>
    </row>
    <row r="198" spans="1:27" s="53" customFormat="1" ht="48.75" customHeight="1" x14ac:dyDescent="0.25">
      <c r="A198" s="38">
        <v>7700</v>
      </c>
      <c r="B198" s="38"/>
      <c r="C198" s="93" t="s">
        <v>364</v>
      </c>
      <c r="D198" s="48">
        <f>D199</f>
        <v>0</v>
      </c>
      <c r="E198" s="48">
        <f t="shared" ref="E198:AA198" si="43">E199</f>
        <v>0</v>
      </c>
      <c r="F198" s="48">
        <f t="shared" si="43"/>
        <v>0</v>
      </c>
      <c r="G198" s="48">
        <f t="shared" si="43"/>
        <v>0</v>
      </c>
      <c r="H198" s="48">
        <f t="shared" si="43"/>
        <v>0</v>
      </c>
      <c r="I198" s="48">
        <f t="shared" si="43"/>
        <v>0</v>
      </c>
      <c r="J198" s="48">
        <f t="shared" si="43"/>
        <v>0</v>
      </c>
      <c r="K198" s="48">
        <f t="shared" si="43"/>
        <v>0</v>
      </c>
      <c r="L198" s="158"/>
      <c r="M198" s="48">
        <f t="shared" si="43"/>
        <v>630000</v>
      </c>
      <c r="N198" s="48">
        <f t="shared" si="43"/>
        <v>0</v>
      </c>
      <c r="O198" s="48">
        <f t="shared" si="43"/>
        <v>0</v>
      </c>
      <c r="P198" s="48">
        <f t="shared" si="43"/>
        <v>0</v>
      </c>
      <c r="Q198" s="48">
        <f t="shared" si="43"/>
        <v>0</v>
      </c>
      <c r="R198" s="48">
        <f t="shared" si="43"/>
        <v>630000</v>
      </c>
      <c r="S198" s="48">
        <f t="shared" si="43"/>
        <v>0</v>
      </c>
      <c r="T198" s="48">
        <f t="shared" si="43"/>
        <v>0</v>
      </c>
      <c r="U198" s="48">
        <f t="shared" si="43"/>
        <v>0</v>
      </c>
      <c r="V198" s="48">
        <f t="shared" si="43"/>
        <v>0</v>
      </c>
      <c r="W198" s="48">
        <f t="shared" si="43"/>
        <v>0</v>
      </c>
      <c r="X198" s="48">
        <f t="shared" si="43"/>
        <v>0</v>
      </c>
      <c r="Y198" s="158">
        <f t="shared" si="28"/>
        <v>0</v>
      </c>
      <c r="Z198" s="48">
        <f t="shared" si="43"/>
        <v>0</v>
      </c>
      <c r="AA198" s="48">
        <f t="shared" si="43"/>
        <v>630000</v>
      </c>
    </row>
    <row r="199" spans="1:27" s="54" customFormat="1" ht="46.5" customHeight="1" x14ac:dyDescent="0.25">
      <c r="A199" s="37">
        <v>7700</v>
      </c>
      <c r="B199" s="59" t="s">
        <v>95</v>
      </c>
      <c r="C199" s="61" t="s">
        <v>364</v>
      </c>
      <c r="D199" s="49">
        <f>'дод 2'!E107</f>
        <v>0</v>
      </c>
      <c r="E199" s="49">
        <f>'дод 2'!F107</f>
        <v>0</v>
      </c>
      <c r="F199" s="49">
        <f>'дод 2'!G107</f>
        <v>0</v>
      </c>
      <c r="G199" s="49">
        <f>'дод 2'!H107</f>
        <v>0</v>
      </c>
      <c r="H199" s="49">
        <f>'дод 2'!I107</f>
        <v>0</v>
      </c>
      <c r="I199" s="49">
        <f>'дод 2'!J107</f>
        <v>0</v>
      </c>
      <c r="J199" s="49">
        <f>'дод 2'!K107</f>
        <v>0</v>
      </c>
      <c r="K199" s="49">
        <f>'дод 2'!L107</f>
        <v>0</v>
      </c>
      <c r="L199" s="158"/>
      <c r="M199" s="49">
        <f>'дод 2'!N107</f>
        <v>630000</v>
      </c>
      <c r="N199" s="49">
        <f>'дод 2'!O107</f>
        <v>0</v>
      </c>
      <c r="O199" s="49">
        <f>'дод 2'!P107</f>
        <v>0</v>
      </c>
      <c r="P199" s="49">
        <f>'дод 2'!Q107</f>
        <v>0</v>
      </c>
      <c r="Q199" s="49">
        <f>'дод 2'!R107</f>
        <v>0</v>
      </c>
      <c r="R199" s="49">
        <f>'дод 2'!S107</f>
        <v>630000</v>
      </c>
      <c r="S199" s="49">
        <f>'дод 2'!T107</f>
        <v>0</v>
      </c>
      <c r="T199" s="49">
        <f>'дод 2'!U107</f>
        <v>0</v>
      </c>
      <c r="U199" s="49">
        <f>'дод 2'!V107</f>
        <v>0</v>
      </c>
      <c r="V199" s="49">
        <f>'дод 2'!W107</f>
        <v>0</v>
      </c>
      <c r="W199" s="49">
        <f>'дод 2'!X107</f>
        <v>0</v>
      </c>
      <c r="X199" s="49">
        <f>'дод 2'!Y107</f>
        <v>0</v>
      </c>
      <c r="Y199" s="158">
        <f t="shared" si="28"/>
        <v>0</v>
      </c>
      <c r="Z199" s="49">
        <f>'дод 2'!AA107</f>
        <v>0</v>
      </c>
      <c r="AA199" s="49">
        <f>'дод 2'!AB107</f>
        <v>630000</v>
      </c>
    </row>
    <row r="200" spans="1:27" s="52" customFormat="1" ht="51.75" customHeight="1" x14ac:dyDescent="0.25">
      <c r="A200" s="38" t="s">
        <v>96</v>
      </c>
      <c r="B200" s="39"/>
      <c r="C200" s="2" t="s">
        <v>529</v>
      </c>
      <c r="D200" s="48">
        <f t="shared" ref="D200" si="44">D202+D207+D209+D212+D214+D215</f>
        <v>6746916.3099999996</v>
      </c>
      <c r="E200" s="48">
        <f t="shared" ref="E200:AA200" si="45">E202+E207+E209+E212+E214+E215</f>
        <v>5775442.8700000001</v>
      </c>
      <c r="F200" s="48">
        <f t="shared" si="45"/>
        <v>1906900</v>
      </c>
      <c r="G200" s="48">
        <f t="shared" si="45"/>
        <v>279360</v>
      </c>
      <c r="H200" s="48">
        <f t="shared" si="45"/>
        <v>0</v>
      </c>
      <c r="I200" s="48">
        <f t="shared" si="45"/>
        <v>2898158.85</v>
      </c>
      <c r="J200" s="48">
        <f t="shared" si="45"/>
        <v>918858.16</v>
      </c>
      <c r="K200" s="48">
        <f t="shared" si="45"/>
        <v>159633.57</v>
      </c>
      <c r="L200" s="158">
        <f t="shared" si="29"/>
        <v>42.955310497989565</v>
      </c>
      <c r="M200" s="48">
        <f t="shared" si="45"/>
        <v>5341752</v>
      </c>
      <c r="N200" s="48">
        <f t="shared" si="45"/>
        <v>1430052</v>
      </c>
      <c r="O200" s="48">
        <f t="shared" si="45"/>
        <v>2581700</v>
      </c>
      <c r="P200" s="48">
        <f t="shared" si="45"/>
        <v>0</v>
      </c>
      <c r="Q200" s="48">
        <f t="shared" si="45"/>
        <v>1400</v>
      </c>
      <c r="R200" s="48">
        <f t="shared" si="45"/>
        <v>2760052</v>
      </c>
      <c r="S200" s="48">
        <f t="shared" si="45"/>
        <v>1731239.04</v>
      </c>
      <c r="T200" s="48">
        <f t="shared" si="45"/>
        <v>1398264.66</v>
      </c>
      <c r="U200" s="48">
        <f t="shared" si="45"/>
        <v>332974.38</v>
      </c>
      <c r="V200" s="48">
        <f t="shared" si="45"/>
        <v>0</v>
      </c>
      <c r="W200" s="48">
        <f t="shared" si="45"/>
        <v>0</v>
      </c>
      <c r="X200" s="48">
        <f t="shared" si="45"/>
        <v>1398264.66</v>
      </c>
      <c r="Y200" s="158">
        <f t="shared" si="28"/>
        <v>32.409573488248796</v>
      </c>
      <c r="Z200" s="48">
        <f t="shared" si="45"/>
        <v>4629397.8900000006</v>
      </c>
      <c r="AA200" s="48">
        <f t="shared" si="45"/>
        <v>12088668.310000001</v>
      </c>
    </row>
    <row r="201" spans="1:27" s="53" customFormat="1" ht="54.75" customHeight="1" x14ac:dyDescent="0.25">
      <c r="A201" s="73"/>
      <c r="B201" s="76"/>
      <c r="C201" s="77" t="s">
        <v>384</v>
      </c>
      <c r="D201" s="78">
        <f>D203</f>
        <v>588815</v>
      </c>
      <c r="E201" s="78">
        <f t="shared" ref="E201:AA201" si="46">E203</f>
        <v>588815</v>
      </c>
      <c r="F201" s="78">
        <f t="shared" si="46"/>
        <v>482635</v>
      </c>
      <c r="G201" s="78">
        <f t="shared" si="46"/>
        <v>0</v>
      </c>
      <c r="H201" s="78">
        <f t="shared" si="46"/>
        <v>0</v>
      </c>
      <c r="I201" s="78">
        <f t="shared" si="46"/>
        <v>218894</v>
      </c>
      <c r="J201" s="78">
        <f t="shared" si="46"/>
        <v>179419</v>
      </c>
      <c r="K201" s="78">
        <f t="shared" si="46"/>
        <v>0</v>
      </c>
      <c r="L201" s="158">
        <f t="shared" si="29"/>
        <v>37.175343698784843</v>
      </c>
      <c r="M201" s="78">
        <f t="shared" si="46"/>
        <v>0</v>
      </c>
      <c r="N201" s="78">
        <f t="shared" si="46"/>
        <v>0</v>
      </c>
      <c r="O201" s="78">
        <f t="shared" si="46"/>
        <v>0</v>
      </c>
      <c r="P201" s="78">
        <f t="shared" si="46"/>
        <v>0</v>
      </c>
      <c r="Q201" s="78">
        <f t="shared" si="46"/>
        <v>0</v>
      </c>
      <c r="R201" s="78">
        <f t="shared" si="46"/>
        <v>0</v>
      </c>
      <c r="S201" s="78">
        <f t="shared" si="46"/>
        <v>0</v>
      </c>
      <c r="T201" s="78">
        <f t="shared" si="46"/>
        <v>0</v>
      </c>
      <c r="U201" s="78">
        <f t="shared" si="46"/>
        <v>0</v>
      </c>
      <c r="V201" s="78">
        <f t="shared" si="46"/>
        <v>0</v>
      </c>
      <c r="W201" s="78">
        <f t="shared" si="46"/>
        <v>0</v>
      </c>
      <c r="X201" s="78">
        <f t="shared" si="46"/>
        <v>0</v>
      </c>
      <c r="Y201" s="158"/>
      <c r="Z201" s="78">
        <f t="shared" si="46"/>
        <v>218894</v>
      </c>
      <c r="AA201" s="78">
        <f t="shared" si="46"/>
        <v>588815</v>
      </c>
    </row>
    <row r="202" spans="1:27" s="52" customFormat="1" ht="51.75" customHeight="1" x14ac:dyDescent="0.25">
      <c r="A202" s="38" t="s">
        <v>98</v>
      </c>
      <c r="B202" s="39"/>
      <c r="C202" s="2" t="s">
        <v>531</v>
      </c>
      <c r="D202" s="48">
        <f t="shared" ref="D202" si="47">D204+D205</f>
        <v>3383853.87</v>
      </c>
      <c r="E202" s="48">
        <f t="shared" ref="E202:AA202" si="48">E204+E205</f>
        <v>3383853.87</v>
      </c>
      <c r="F202" s="48">
        <f t="shared" si="48"/>
        <v>1906900</v>
      </c>
      <c r="G202" s="48">
        <f t="shared" si="48"/>
        <v>85760</v>
      </c>
      <c r="H202" s="48">
        <f t="shared" si="48"/>
        <v>0</v>
      </c>
      <c r="I202" s="48">
        <f t="shared" si="48"/>
        <v>1960434.7</v>
      </c>
      <c r="J202" s="48">
        <f t="shared" si="48"/>
        <v>918858.16</v>
      </c>
      <c r="K202" s="48">
        <f t="shared" si="48"/>
        <v>18871.28</v>
      </c>
      <c r="L202" s="158">
        <f t="shared" si="29"/>
        <v>57.934969278091195</v>
      </c>
      <c r="M202" s="48">
        <f t="shared" si="48"/>
        <v>1435752</v>
      </c>
      <c r="N202" s="48">
        <f t="shared" si="48"/>
        <v>1430052</v>
      </c>
      <c r="O202" s="48">
        <f t="shared" si="48"/>
        <v>5700</v>
      </c>
      <c r="P202" s="48">
        <f t="shared" si="48"/>
        <v>0</v>
      </c>
      <c r="Q202" s="48">
        <f t="shared" si="48"/>
        <v>1400</v>
      </c>
      <c r="R202" s="48">
        <f t="shared" si="48"/>
        <v>1430052</v>
      </c>
      <c r="S202" s="48">
        <f t="shared" si="48"/>
        <v>1400264.66</v>
      </c>
      <c r="T202" s="48">
        <f t="shared" si="48"/>
        <v>1398264.66</v>
      </c>
      <c r="U202" s="48">
        <f t="shared" si="48"/>
        <v>2000</v>
      </c>
      <c r="V202" s="48">
        <f t="shared" si="48"/>
        <v>0</v>
      </c>
      <c r="W202" s="48">
        <f t="shared" si="48"/>
        <v>0</v>
      </c>
      <c r="X202" s="48">
        <f t="shared" si="48"/>
        <v>1398264.66</v>
      </c>
      <c r="Y202" s="158">
        <f t="shared" si="28"/>
        <v>97.528309903103036</v>
      </c>
      <c r="Z202" s="48">
        <f t="shared" si="48"/>
        <v>3360699.3600000003</v>
      </c>
      <c r="AA202" s="48">
        <f t="shared" si="48"/>
        <v>4819605.87</v>
      </c>
    </row>
    <row r="203" spans="1:27" s="53" customFormat="1" ht="47.25" hidden="1" customHeight="1" x14ac:dyDescent="0.25">
      <c r="A203" s="73"/>
      <c r="B203" s="76"/>
      <c r="C203" s="79" t="str">
        <f>C206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03" s="78">
        <f>D206</f>
        <v>588815</v>
      </c>
      <c r="E203" s="78">
        <f t="shared" ref="E203:AA203" si="49">E206</f>
        <v>588815</v>
      </c>
      <c r="F203" s="78">
        <f t="shared" si="49"/>
        <v>482635</v>
      </c>
      <c r="G203" s="78">
        <f t="shared" si="49"/>
        <v>0</v>
      </c>
      <c r="H203" s="78">
        <f t="shared" si="49"/>
        <v>0</v>
      </c>
      <c r="I203" s="78">
        <f t="shared" si="49"/>
        <v>218894</v>
      </c>
      <c r="J203" s="78">
        <f t="shared" si="49"/>
        <v>179419</v>
      </c>
      <c r="K203" s="78">
        <f t="shared" si="49"/>
        <v>0</v>
      </c>
      <c r="L203" s="158">
        <f t="shared" si="29"/>
        <v>37.175343698784843</v>
      </c>
      <c r="M203" s="78">
        <f t="shared" si="49"/>
        <v>0</v>
      </c>
      <c r="N203" s="78">
        <f t="shared" si="49"/>
        <v>0</v>
      </c>
      <c r="O203" s="78">
        <f t="shared" si="49"/>
        <v>0</v>
      </c>
      <c r="P203" s="78">
        <f t="shared" si="49"/>
        <v>0</v>
      </c>
      <c r="Q203" s="78">
        <f t="shared" si="49"/>
        <v>0</v>
      </c>
      <c r="R203" s="78">
        <f t="shared" si="49"/>
        <v>0</v>
      </c>
      <c r="S203" s="78">
        <f t="shared" si="49"/>
        <v>0</v>
      </c>
      <c r="T203" s="78">
        <f t="shared" si="49"/>
        <v>0</v>
      </c>
      <c r="U203" s="78">
        <f t="shared" si="49"/>
        <v>0</v>
      </c>
      <c r="V203" s="78">
        <f t="shared" si="49"/>
        <v>0</v>
      </c>
      <c r="W203" s="78">
        <f t="shared" si="49"/>
        <v>0</v>
      </c>
      <c r="X203" s="78">
        <f t="shared" si="49"/>
        <v>0</v>
      </c>
      <c r="Y203" s="158" t="e">
        <f t="shared" si="28"/>
        <v>#DIV/0!</v>
      </c>
      <c r="Z203" s="78">
        <f t="shared" si="49"/>
        <v>218894</v>
      </c>
      <c r="AA203" s="78">
        <f t="shared" si="49"/>
        <v>588815</v>
      </c>
    </row>
    <row r="204" spans="1:27" s="52" customFormat="1" ht="36.75" customHeight="1" x14ac:dyDescent="0.25">
      <c r="A204" s="40" t="s">
        <v>7</v>
      </c>
      <c r="B204" s="40" t="s">
        <v>91</v>
      </c>
      <c r="C204" s="3" t="s">
        <v>299</v>
      </c>
      <c r="D204" s="49">
        <f>'дод 2'!E55+'дод 2'!E235</f>
        <v>929193.87</v>
      </c>
      <c r="E204" s="49">
        <f>'дод 2'!F55+'дод 2'!F235</f>
        <v>929193.87</v>
      </c>
      <c r="F204" s="49">
        <f>'дод 2'!G55+'дод 2'!G235</f>
        <v>0</v>
      </c>
      <c r="G204" s="49">
        <f>'дод 2'!H55+'дод 2'!H235</f>
        <v>6500</v>
      </c>
      <c r="H204" s="49">
        <f>'дод 2'!I55+'дод 2'!I235</f>
        <v>0</v>
      </c>
      <c r="I204" s="49">
        <f>'дод 2'!J55+'дод 2'!J235</f>
        <v>807736.96</v>
      </c>
      <c r="J204" s="49">
        <f>'дод 2'!K55+'дод 2'!K235</f>
        <v>0</v>
      </c>
      <c r="K204" s="49">
        <f>'дод 2'!L55+'дод 2'!L235</f>
        <v>1404</v>
      </c>
      <c r="L204" s="158">
        <f t="shared" si="29"/>
        <v>86.928786992535805</v>
      </c>
      <c r="M204" s="49">
        <f>'дод 2'!N55+'дод 2'!N235</f>
        <v>1430052</v>
      </c>
      <c r="N204" s="49">
        <f>'дод 2'!O55+'дод 2'!O235</f>
        <v>1430052</v>
      </c>
      <c r="O204" s="49">
        <f>'дод 2'!P55+'дод 2'!P235</f>
        <v>0</v>
      </c>
      <c r="P204" s="49">
        <f>'дод 2'!Q55+'дод 2'!Q235</f>
        <v>0</v>
      </c>
      <c r="Q204" s="49">
        <f>'дод 2'!R55+'дод 2'!R235</f>
        <v>0</v>
      </c>
      <c r="R204" s="49">
        <f>'дод 2'!S55+'дод 2'!S235</f>
        <v>1430052</v>
      </c>
      <c r="S204" s="49">
        <f>'дод 2'!T55+'дод 2'!T235</f>
        <v>1398264.66</v>
      </c>
      <c r="T204" s="49">
        <f>'дод 2'!U55+'дод 2'!U235</f>
        <v>1398264.66</v>
      </c>
      <c r="U204" s="49">
        <f>'дод 2'!V55+'дод 2'!V235</f>
        <v>0</v>
      </c>
      <c r="V204" s="49">
        <f>'дод 2'!W55+'дод 2'!W235</f>
        <v>0</v>
      </c>
      <c r="W204" s="49">
        <f>'дод 2'!X55+'дод 2'!X235</f>
        <v>0</v>
      </c>
      <c r="X204" s="49">
        <f>'дод 2'!Y55+'дод 2'!Y235</f>
        <v>1398264.66</v>
      </c>
      <c r="Y204" s="158">
        <f t="shared" si="28"/>
        <v>97.777189920366524</v>
      </c>
      <c r="Z204" s="49">
        <f>'дод 2'!AA55+'дод 2'!AA235</f>
        <v>2206001.62</v>
      </c>
      <c r="AA204" s="49">
        <f>'дод 2'!AB55+'дод 2'!AB235</f>
        <v>2359245.87</v>
      </c>
    </row>
    <row r="205" spans="1:27" ht="24" customHeight="1" x14ac:dyDescent="0.25">
      <c r="A205" s="37" t="s">
        <v>150</v>
      </c>
      <c r="B205" s="42" t="s">
        <v>91</v>
      </c>
      <c r="C205" s="3" t="s">
        <v>528</v>
      </c>
      <c r="D205" s="49">
        <f>'дод 2'!E56</f>
        <v>2454660</v>
      </c>
      <c r="E205" s="49">
        <f>'дод 2'!F56</f>
        <v>2454660</v>
      </c>
      <c r="F205" s="49">
        <f>'дод 2'!G56</f>
        <v>1906900</v>
      </c>
      <c r="G205" s="49">
        <f>'дод 2'!H56</f>
        <v>79260</v>
      </c>
      <c r="H205" s="49">
        <f>'дод 2'!I56</f>
        <v>0</v>
      </c>
      <c r="I205" s="49">
        <f>'дод 2'!J56</f>
        <v>1152697.74</v>
      </c>
      <c r="J205" s="49">
        <f>'дод 2'!K56</f>
        <v>918858.16</v>
      </c>
      <c r="K205" s="49">
        <f>'дод 2'!L56</f>
        <v>17467.28</v>
      </c>
      <c r="L205" s="158">
        <f t="shared" si="29"/>
        <v>46.959568331255653</v>
      </c>
      <c r="M205" s="49">
        <f>'дод 2'!N56</f>
        <v>5700</v>
      </c>
      <c r="N205" s="49">
        <f>'дод 2'!O56</f>
        <v>0</v>
      </c>
      <c r="O205" s="49">
        <f>'дод 2'!P56</f>
        <v>5700</v>
      </c>
      <c r="P205" s="49">
        <f>'дод 2'!Q56</f>
        <v>0</v>
      </c>
      <c r="Q205" s="49">
        <f>'дод 2'!R56</f>
        <v>1400</v>
      </c>
      <c r="R205" s="49">
        <f>'дод 2'!S56</f>
        <v>0</v>
      </c>
      <c r="S205" s="49">
        <f>'дод 2'!T56</f>
        <v>2000</v>
      </c>
      <c r="T205" s="49">
        <f>'дод 2'!U56</f>
        <v>0</v>
      </c>
      <c r="U205" s="49">
        <f>'дод 2'!V56</f>
        <v>2000</v>
      </c>
      <c r="V205" s="49">
        <f>'дод 2'!W56</f>
        <v>0</v>
      </c>
      <c r="W205" s="49">
        <f>'дод 2'!X56</f>
        <v>0</v>
      </c>
      <c r="X205" s="49">
        <f>'дод 2'!Y56</f>
        <v>0</v>
      </c>
      <c r="Y205" s="158">
        <f t="shared" si="28"/>
        <v>35.087719298245609</v>
      </c>
      <c r="Z205" s="49">
        <f>'дод 2'!AA56</f>
        <v>1154697.74</v>
      </c>
      <c r="AA205" s="49">
        <f>'дод 2'!AB56</f>
        <v>2460360</v>
      </c>
    </row>
    <row r="206" spans="1:27" s="54" customFormat="1" ht="47.25" x14ac:dyDescent="0.25">
      <c r="A206" s="80"/>
      <c r="B206" s="90"/>
      <c r="C206" s="89" t="s">
        <v>384</v>
      </c>
      <c r="D206" s="82">
        <f>'дод 2'!E57</f>
        <v>588815</v>
      </c>
      <c r="E206" s="82">
        <f>'дод 2'!F57</f>
        <v>588815</v>
      </c>
      <c r="F206" s="82">
        <f>'дод 2'!G57</f>
        <v>482635</v>
      </c>
      <c r="G206" s="82">
        <f>'дод 2'!H57</f>
        <v>0</v>
      </c>
      <c r="H206" s="82">
        <f>'дод 2'!I57</f>
        <v>0</v>
      </c>
      <c r="I206" s="82">
        <f>'дод 2'!J57</f>
        <v>218894</v>
      </c>
      <c r="J206" s="82">
        <f>'дод 2'!K57</f>
        <v>179419</v>
      </c>
      <c r="K206" s="82">
        <f>'дод 2'!L57</f>
        <v>0</v>
      </c>
      <c r="L206" s="158">
        <f t="shared" si="29"/>
        <v>37.175343698784843</v>
      </c>
      <c r="M206" s="82">
        <f>'дод 2'!N57</f>
        <v>0</v>
      </c>
      <c r="N206" s="82">
        <f>'дод 2'!O57</f>
        <v>0</v>
      </c>
      <c r="O206" s="82">
        <f>'дод 2'!P57</f>
        <v>0</v>
      </c>
      <c r="P206" s="82">
        <f>'дод 2'!Q57</f>
        <v>0</v>
      </c>
      <c r="Q206" s="82">
        <f>'дод 2'!R57</f>
        <v>0</v>
      </c>
      <c r="R206" s="82">
        <f>'дод 2'!S57</f>
        <v>0</v>
      </c>
      <c r="S206" s="82">
        <f>'дод 2'!T57</f>
        <v>0</v>
      </c>
      <c r="T206" s="82">
        <f>'дод 2'!U57</f>
        <v>0</v>
      </c>
      <c r="U206" s="82">
        <f>'дод 2'!V57</f>
        <v>0</v>
      </c>
      <c r="V206" s="82">
        <f>'дод 2'!W57</f>
        <v>0</v>
      </c>
      <c r="W206" s="82">
        <f>'дод 2'!X57</f>
        <v>0</v>
      </c>
      <c r="X206" s="82">
        <f>'дод 2'!Y57</f>
        <v>0</v>
      </c>
      <c r="Y206" s="158"/>
      <c r="Z206" s="82">
        <f>'дод 2'!AA57</f>
        <v>218894</v>
      </c>
      <c r="AA206" s="82">
        <f>'дод 2'!AB57</f>
        <v>588815</v>
      </c>
    </row>
    <row r="207" spans="1:27" s="52" customFormat="1" ht="23.25" customHeight="1" x14ac:dyDescent="0.25">
      <c r="A207" s="38" t="s">
        <v>252</v>
      </c>
      <c r="B207" s="38"/>
      <c r="C207" s="12" t="s">
        <v>253</v>
      </c>
      <c r="D207" s="48">
        <f t="shared" ref="D207:AA207" si="50">D208</f>
        <v>352350</v>
      </c>
      <c r="E207" s="48">
        <f t="shared" si="50"/>
        <v>352350</v>
      </c>
      <c r="F207" s="48">
        <f t="shared" si="50"/>
        <v>0</v>
      </c>
      <c r="G207" s="48">
        <f t="shared" si="50"/>
        <v>193600</v>
      </c>
      <c r="H207" s="48">
        <f t="shared" si="50"/>
        <v>0</v>
      </c>
      <c r="I207" s="48">
        <f t="shared" si="50"/>
        <v>162901.19</v>
      </c>
      <c r="J207" s="48">
        <f t="shared" si="50"/>
        <v>0</v>
      </c>
      <c r="K207" s="48">
        <f t="shared" si="50"/>
        <v>140762.29</v>
      </c>
      <c r="L207" s="158">
        <f t="shared" si="29"/>
        <v>46.232777068255999</v>
      </c>
      <c r="M207" s="48">
        <f t="shared" si="50"/>
        <v>0</v>
      </c>
      <c r="N207" s="48">
        <f t="shared" si="50"/>
        <v>0</v>
      </c>
      <c r="O207" s="48">
        <f t="shared" si="50"/>
        <v>0</v>
      </c>
      <c r="P207" s="48">
        <f t="shared" si="50"/>
        <v>0</v>
      </c>
      <c r="Q207" s="48">
        <f t="shared" si="50"/>
        <v>0</v>
      </c>
      <c r="R207" s="48">
        <f t="shared" si="50"/>
        <v>0</v>
      </c>
      <c r="S207" s="48">
        <f t="shared" si="50"/>
        <v>0</v>
      </c>
      <c r="T207" s="48">
        <f t="shared" si="50"/>
        <v>0</v>
      </c>
      <c r="U207" s="48">
        <f t="shared" si="50"/>
        <v>0</v>
      </c>
      <c r="V207" s="48">
        <f t="shared" si="50"/>
        <v>0</v>
      </c>
      <c r="W207" s="48">
        <f t="shared" si="50"/>
        <v>0</v>
      </c>
      <c r="X207" s="48">
        <f t="shared" si="50"/>
        <v>0</v>
      </c>
      <c r="Y207" s="158"/>
      <c r="Z207" s="48">
        <f t="shared" si="50"/>
        <v>162901.19</v>
      </c>
      <c r="AA207" s="48">
        <f t="shared" si="50"/>
        <v>352350</v>
      </c>
    </row>
    <row r="208" spans="1:27" ht="22.5" customHeight="1" x14ac:dyDescent="0.25">
      <c r="A208" s="37" t="s">
        <v>246</v>
      </c>
      <c r="B208" s="42" t="s">
        <v>247</v>
      </c>
      <c r="C208" s="3" t="s">
        <v>248</v>
      </c>
      <c r="D208" s="49">
        <f>'дод 2'!E58+'дод 2'!E236</f>
        <v>352350</v>
      </c>
      <c r="E208" s="49">
        <f>'дод 2'!F58+'дод 2'!F236</f>
        <v>352350</v>
      </c>
      <c r="F208" s="49">
        <f>'дод 2'!G58+'дод 2'!G236</f>
        <v>0</v>
      </c>
      <c r="G208" s="49">
        <f>'дод 2'!H58+'дод 2'!H236</f>
        <v>193600</v>
      </c>
      <c r="H208" s="49">
        <f>'дод 2'!I58+'дод 2'!I236</f>
        <v>0</v>
      </c>
      <c r="I208" s="49">
        <f>'дод 2'!J58+'дод 2'!J236</f>
        <v>162901.19</v>
      </c>
      <c r="J208" s="49">
        <f>'дод 2'!K58+'дод 2'!K236</f>
        <v>0</v>
      </c>
      <c r="K208" s="49">
        <f>'дод 2'!L58+'дод 2'!L236</f>
        <v>140762.29</v>
      </c>
      <c r="L208" s="158">
        <f t="shared" si="29"/>
        <v>46.232777068255999</v>
      </c>
      <c r="M208" s="49">
        <f>'дод 2'!N58+'дод 2'!N236</f>
        <v>0</v>
      </c>
      <c r="N208" s="49">
        <f>'дод 2'!O58+'дод 2'!O236</f>
        <v>0</v>
      </c>
      <c r="O208" s="49">
        <f>'дод 2'!P58+'дод 2'!P236</f>
        <v>0</v>
      </c>
      <c r="P208" s="49">
        <f>'дод 2'!Q58+'дод 2'!Q236</f>
        <v>0</v>
      </c>
      <c r="Q208" s="49">
        <f>'дод 2'!R58+'дод 2'!R236</f>
        <v>0</v>
      </c>
      <c r="R208" s="49">
        <f>'дод 2'!S58+'дод 2'!S236</f>
        <v>0</v>
      </c>
      <c r="S208" s="49">
        <f>'дод 2'!T58+'дод 2'!T236</f>
        <v>0</v>
      </c>
      <c r="T208" s="49">
        <f>'дод 2'!U58+'дод 2'!U236</f>
        <v>0</v>
      </c>
      <c r="U208" s="49">
        <f>'дод 2'!V58+'дод 2'!V236</f>
        <v>0</v>
      </c>
      <c r="V208" s="49">
        <f>'дод 2'!W58+'дод 2'!W236</f>
        <v>0</v>
      </c>
      <c r="W208" s="49">
        <f>'дод 2'!X58+'дод 2'!X236</f>
        <v>0</v>
      </c>
      <c r="X208" s="49">
        <f>'дод 2'!Y58+'дод 2'!Y236</f>
        <v>0</v>
      </c>
      <c r="Y208" s="158"/>
      <c r="Z208" s="49">
        <f>'дод 2'!AA58+'дод 2'!AA236</f>
        <v>162901.19</v>
      </c>
      <c r="AA208" s="49">
        <f>'дод 2'!AB58+'дод 2'!AB236</f>
        <v>352350</v>
      </c>
    </row>
    <row r="209" spans="1:27" s="52" customFormat="1" ht="22.5" customHeight="1" x14ac:dyDescent="0.25">
      <c r="A209" s="38" t="s">
        <v>6</v>
      </c>
      <c r="B209" s="39"/>
      <c r="C209" s="2" t="s">
        <v>8</v>
      </c>
      <c r="D209" s="48">
        <f t="shared" ref="D209" si="51">D211+D210</f>
        <v>75000</v>
      </c>
      <c r="E209" s="48">
        <f t="shared" ref="E209:AA209" si="52">E211+E210</f>
        <v>75000</v>
      </c>
      <c r="F209" s="48">
        <f t="shared" si="52"/>
        <v>0</v>
      </c>
      <c r="G209" s="48">
        <f t="shared" si="52"/>
        <v>0</v>
      </c>
      <c r="H209" s="48">
        <f t="shared" si="52"/>
        <v>0</v>
      </c>
      <c r="I209" s="48">
        <f t="shared" si="52"/>
        <v>0</v>
      </c>
      <c r="J209" s="48">
        <f t="shared" si="52"/>
        <v>0</v>
      </c>
      <c r="K209" s="48">
        <f t="shared" si="52"/>
        <v>0</v>
      </c>
      <c r="L209" s="158">
        <f t="shared" si="29"/>
        <v>0</v>
      </c>
      <c r="M209" s="48">
        <f t="shared" si="52"/>
        <v>3906000</v>
      </c>
      <c r="N209" s="48">
        <f t="shared" si="52"/>
        <v>0</v>
      </c>
      <c r="O209" s="48">
        <f t="shared" si="52"/>
        <v>2576000</v>
      </c>
      <c r="P209" s="48">
        <f t="shared" si="52"/>
        <v>0</v>
      </c>
      <c r="Q209" s="48">
        <f t="shared" si="52"/>
        <v>0</v>
      </c>
      <c r="R209" s="48">
        <f t="shared" si="52"/>
        <v>1330000</v>
      </c>
      <c r="S209" s="48">
        <f t="shared" si="52"/>
        <v>330974.38</v>
      </c>
      <c r="T209" s="48">
        <f t="shared" si="52"/>
        <v>0</v>
      </c>
      <c r="U209" s="48">
        <f t="shared" si="52"/>
        <v>330974.38</v>
      </c>
      <c r="V209" s="48">
        <f t="shared" si="52"/>
        <v>0</v>
      </c>
      <c r="W209" s="48">
        <f t="shared" si="52"/>
        <v>0</v>
      </c>
      <c r="X209" s="48">
        <f t="shared" si="52"/>
        <v>0</v>
      </c>
      <c r="Y209" s="158">
        <f t="shared" si="28"/>
        <v>8.4734864311315921</v>
      </c>
      <c r="Z209" s="48">
        <f t="shared" si="52"/>
        <v>330974.38</v>
      </c>
      <c r="AA209" s="48">
        <f t="shared" si="52"/>
        <v>3981000</v>
      </c>
    </row>
    <row r="210" spans="1:27" s="52" customFormat="1" ht="33.75" customHeight="1" x14ac:dyDescent="0.25">
      <c r="A210" s="37">
        <v>8330</v>
      </c>
      <c r="B210" s="59" t="s">
        <v>94</v>
      </c>
      <c r="C210" s="3" t="s">
        <v>350</v>
      </c>
      <c r="D210" s="49">
        <f>'дод 2'!E287</f>
        <v>75000</v>
      </c>
      <c r="E210" s="49">
        <f>'дод 2'!F287</f>
        <v>75000</v>
      </c>
      <c r="F210" s="49">
        <f>'дод 2'!G287</f>
        <v>0</v>
      </c>
      <c r="G210" s="49">
        <f>'дод 2'!H287</f>
        <v>0</v>
      </c>
      <c r="H210" s="49">
        <f>'дод 2'!I287</f>
        <v>0</v>
      </c>
      <c r="I210" s="49">
        <f>'дод 2'!J287</f>
        <v>0</v>
      </c>
      <c r="J210" s="49">
        <f>'дод 2'!K287</f>
        <v>0</v>
      </c>
      <c r="K210" s="49">
        <f>'дод 2'!L287</f>
        <v>0</v>
      </c>
      <c r="L210" s="158">
        <f t="shared" si="29"/>
        <v>0</v>
      </c>
      <c r="M210" s="49">
        <f>'дод 2'!N287</f>
        <v>0</v>
      </c>
      <c r="N210" s="49">
        <f>'дод 2'!O287</f>
        <v>0</v>
      </c>
      <c r="O210" s="49">
        <f>'дод 2'!P287</f>
        <v>0</v>
      </c>
      <c r="P210" s="49">
        <f>'дод 2'!Q287</f>
        <v>0</v>
      </c>
      <c r="Q210" s="49">
        <f>'дод 2'!R287</f>
        <v>0</v>
      </c>
      <c r="R210" s="49">
        <f>'дод 2'!S287</f>
        <v>0</v>
      </c>
      <c r="S210" s="49">
        <f>'дод 2'!T287</f>
        <v>0</v>
      </c>
      <c r="T210" s="49">
        <f>'дод 2'!U287</f>
        <v>0</v>
      </c>
      <c r="U210" s="49">
        <f>'дод 2'!V287</f>
        <v>0</v>
      </c>
      <c r="V210" s="49">
        <f>'дод 2'!W287</f>
        <v>0</v>
      </c>
      <c r="W210" s="49">
        <f>'дод 2'!X287</f>
        <v>0</v>
      </c>
      <c r="X210" s="49">
        <f>'дод 2'!Y287</f>
        <v>0</v>
      </c>
      <c r="Y210" s="158"/>
      <c r="Z210" s="49">
        <f>'дод 2'!AA287</f>
        <v>0</v>
      </c>
      <c r="AA210" s="49">
        <f>'дод 2'!AB287</f>
        <v>75000</v>
      </c>
    </row>
    <row r="211" spans="1:27" s="52" customFormat="1" ht="19.5" customHeight="1" x14ac:dyDescent="0.25">
      <c r="A211" s="37" t="s">
        <v>9</v>
      </c>
      <c r="B211" s="37" t="s">
        <v>94</v>
      </c>
      <c r="C211" s="3" t="s">
        <v>10</v>
      </c>
      <c r="D211" s="49">
        <f>'дод 2'!E59+'дод 2'!E108+'дод 2'!E237+'дод 2'!E288</f>
        <v>0</v>
      </c>
      <c r="E211" s="49">
        <f>'дод 2'!F59+'дод 2'!F108+'дод 2'!F237+'дод 2'!F288</f>
        <v>0</v>
      </c>
      <c r="F211" s="49">
        <f>'дод 2'!G59+'дод 2'!G108+'дод 2'!G237+'дод 2'!G288</f>
        <v>0</v>
      </c>
      <c r="G211" s="49">
        <f>'дод 2'!H59+'дод 2'!H108+'дод 2'!H237+'дод 2'!H288</f>
        <v>0</v>
      </c>
      <c r="H211" s="49">
        <f>'дод 2'!I59+'дод 2'!I108+'дод 2'!I237+'дод 2'!I288</f>
        <v>0</v>
      </c>
      <c r="I211" s="49">
        <f>'дод 2'!J59+'дод 2'!J108+'дод 2'!J237+'дод 2'!J288</f>
        <v>0</v>
      </c>
      <c r="J211" s="49">
        <f>'дод 2'!K59+'дод 2'!K108+'дод 2'!K237+'дод 2'!K288</f>
        <v>0</v>
      </c>
      <c r="K211" s="49">
        <f>'дод 2'!L59+'дод 2'!L108+'дод 2'!L237+'дод 2'!L288</f>
        <v>0</v>
      </c>
      <c r="L211" s="158"/>
      <c r="M211" s="49">
        <f>'дод 2'!N59+'дод 2'!N108+'дод 2'!N237+'дод 2'!N288</f>
        <v>3906000</v>
      </c>
      <c r="N211" s="49">
        <f>'дод 2'!O59+'дод 2'!O108+'дод 2'!O237+'дод 2'!O288</f>
        <v>0</v>
      </c>
      <c r="O211" s="49">
        <f>'дод 2'!P59+'дод 2'!P108+'дод 2'!P237+'дод 2'!P288</f>
        <v>2576000</v>
      </c>
      <c r="P211" s="49">
        <f>'дод 2'!Q59+'дод 2'!Q108+'дод 2'!Q237+'дод 2'!Q288</f>
        <v>0</v>
      </c>
      <c r="Q211" s="49">
        <f>'дод 2'!R59+'дод 2'!R108+'дод 2'!R237+'дод 2'!R288</f>
        <v>0</v>
      </c>
      <c r="R211" s="49">
        <f>'дод 2'!S59+'дод 2'!S108+'дод 2'!S237+'дод 2'!S288</f>
        <v>1330000</v>
      </c>
      <c r="S211" s="49">
        <f>'дод 2'!T59+'дод 2'!T108+'дод 2'!T237+'дод 2'!T288</f>
        <v>330974.38</v>
      </c>
      <c r="T211" s="49">
        <f>'дод 2'!U59+'дод 2'!U108+'дод 2'!U237+'дод 2'!U288</f>
        <v>0</v>
      </c>
      <c r="U211" s="49">
        <f>'дод 2'!V59+'дод 2'!V108+'дод 2'!V237+'дод 2'!V288</f>
        <v>330974.38</v>
      </c>
      <c r="V211" s="49">
        <f>'дод 2'!W59+'дод 2'!W108+'дод 2'!W237+'дод 2'!W288</f>
        <v>0</v>
      </c>
      <c r="W211" s="49">
        <f>'дод 2'!X59+'дод 2'!X108+'дод 2'!X237+'дод 2'!X288</f>
        <v>0</v>
      </c>
      <c r="X211" s="49">
        <f>'дод 2'!Y59+'дод 2'!Y108+'дод 2'!Y237+'дод 2'!Y288</f>
        <v>0</v>
      </c>
      <c r="Y211" s="158">
        <f t="shared" si="28"/>
        <v>8.4734864311315921</v>
      </c>
      <c r="Z211" s="49">
        <f>'дод 2'!AA59+'дод 2'!AA108+'дод 2'!AA237+'дод 2'!AA288</f>
        <v>330974.38</v>
      </c>
      <c r="AA211" s="49">
        <f>'дод 2'!AB59+'дод 2'!AB108+'дод 2'!AB237+'дод 2'!AB288</f>
        <v>3906000</v>
      </c>
    </row>
    <row r="212" spans="1:27" s="52" customFormat="1" ht="20.25" hidden="1" customHeight="1" x14ac:dyDescent="0.25">
      <c r="A212" s="38" t="s">
        <v>135</v>
      </c>
      <c r="B212" s="39"/>
      <c r="C212" s="2" t="s">
        <v>77</v>
      </c>
      <c r="D212" s="48">
        <f t="shared" ref="D212:AA212" si="53">D213</f>
        <v>0</v>
      </c>
      <c r="E212" s="48">
        <f t="shared" si="53"/>
        <v>0</v>
      </c>
      <c r="F212" s="48">
        <f t="shared" si="53"/>
        <v>0</v>
      </c>
      <c r="G212" s="48">
        <f t="shared" si="53"/>
        <v>0</v>
      </c>
      <c r="H212" s="48">
        <f t="shared" si="53"/>
        <v>0</v>
      </c>
      <c r="I212" s="48">
        <f t="shared" si="53"/>
        <v>0</v>
      </c>
      <c r="J212" s="48">
        <f t="shared" si="53"/>
        <v>0</v>
      </c>
      <c r="K212" s="48">
        <f t="shared" si="53"/>
        <v>0</v>
      </c>
      <c r="L212" s="158" t="e">
        <f t="shared" ref="L212:L230" si="54">I212/D212*100</f>
        <v>#DIV/0!</v>
      </c>
      <c r="M212" s="48">
        <f t="shared" si="53"/>
        <v>0</v>
      </c>
      <c r="N212" s="48">
        <f t="shared" si="53"/>
        <v>0</v>
      </c>
      <c r="O212" s="48">
        <f t="shared" si="53"/>
        <v>0</v>
      </c>
      <c r="P212" s="48">
        <f t="shared" si="53"/>
        <v>0</v>
      </c>
      <c r="Q212" s="48">
        <f t="shared" si="53"/>
        <v>0</v>
      </c>
      <c r="R212" s="48">
        <f t="shared" si="53"/>
        <v>0</v>
      </c>
      <c r="S212" s="48">
        <f t="shared" si="53"/>
        <v>0</v>
      </c>
      <c r="T212" s="48">
        <f t="shared" si="53"/>
        <v>0</v>
      </c>
      <c r="U212" s="48">
        <f t="shared" si="53"/>
        <v>0</v>
      </c>
      <c r="V212" s="48">
        <f t="shared" si="53"/>
        <v>0</v>
      </c>
      <c r="W212" s="48">
        <f t="shared" si="53"/>
        <v>0</v>
      </c>
      <c r="X212" s="48">
        <f t="shared" si="53"/>
        <v>0</v>
      </c>
      <c r="Y212" s="158" t="e">
        <f t="shared" ref="Y212:Y231" si="55">S212/M212*100</f>
        <v>#DIV/0!</v>
      </c>
      <c r="Z212" s="48">
        <f t="shared" si="53"/>
        <v>0</v>
      </c>
      <c r="AA212" s="48">
        <f t="shared" si="53"/>
        <v>0</v>
      </c>
    </row>
    <row r="213" spans="1:27" s="52" customFormat="1" ht="21" hidden="1" customHeight="1" x14ac:dyDescent="0.25">
      <c r="A213" s="37" t="s">
        <v>257</v>
      </c>
      <c r="B213" s="42" t="s">
        <v>78</v>
      </c>
      <c r="C213" s="3" t="s">
        <v>258</v>
      </c>
      <c r="D213" s="49">
        <f>'дод 2'!E60</f>
        <v>0</v>
      </c>
      <c r="E213" s="49">
        <f>'дод 2'!F60</f>
        <v>0</v>
      </c>
      <c r="F213" s="49">
        <f>'дод 2'!G60</f>
        <v>0</v>
      </c>
      <c r="G213" s="49">
        <f>'дод 2'!H60</f>
        <v>0</v>
      </c>
      <c r="H213" s="49">
        <f>'дод 2'!I60</f>
        <v>0</v>
      </c>
      <c r="I213" s="49">
        <f>'дод 2'!J60</f>
        <v>0</v>
      </c>
      <c r="J213" s="49">
        <f>'дод 2'!K60</f>
        <v>0</v>
      </c>
      <c r="K213" s="49">
        <f>'дод 2'!L60</f>
        <v>0</v>
      </c>
      <c r="L213" s="158" t="e">
        <f t="shared" si="54"/>
        <v>#DIV/0!</v>
      </c>
      <c r="M213" s="49">
        <f>'дод 2'!N60</f>
        <v>0</v>
      </c>
      <c r="N213" s="49">
        <f>'дод 2'!O60</f>
        <v>0</v>
      </c>
      <c r="O213" s="49">
        <f>'дод 2'!P60</f>
        <v>0</v>
      </c>
      <c r="P213" s="49">
        <f>'дод 2'!Q60</f>
        <v>0</v>
      </c>
      <c r="Q213" s="49">
        <f>'дод 2'!R60</f>
        <v>0</v>
      </c>
      <c r="R213" s="49">
        <f>'дод 2'!S60</f>
        <v>0</v>
      </c>
      <c r="S213" s="49">
        <f>'дод 2'!T60</f>
        <v>0</v>
      </c>
      <c r="T213" s="49">
        <f>'дод 2'!U60</f>
        <v>0</v>
      </c>
      <c r="U213" s="49">
        <f>'дод 2'!V60</f>
        <v>0</v>
      </c>
      <c r="V213" s="49">
        <f>'дод 2'!W60</f>
        <v>0</v>
      </c>
      <c r="W213" s="49">
        <f>'дод 2'!X60</f>
        <v>0</v>
      </c>
      <c r="X213" s="49">
        <f>'дод 2'!Y60</f>
        <v>0</v>
      </c>
      <c r="Y213" s="158" t="e">
        <f t="shared" si="55"/>
        <v>#DIV/0!</v>
      </c>
      <c r="Z213" s="49">
        <f>'дод 2'!AA60</f>
        <v>0</v>
      </c>
      <c r="AA213" s="49">
        <f>'дод 2'!AB60</f>
        <v>0</v>
      </c>
    </row>
    <row r="214" spans="1:27" s="52" customFormat="1" ht="21" customHeight="1" x14ac:dyDescent="0.25">
      <c r="A214" s="38" t="s">
        <v>97</v>
      </c>
      <c r="B214" s="38" t="s">
        <v>92</v>
      </c>
      <c r="C214" s="2" t="s">
        <v>11</v>
      </c>
      <c r="D214" s="48">
        <f>'дод 2'!E289</f>
        <v>1964239</v>
      </c>
      <c r="E214" s="48">
        <f>'дод 2'!F289</f>
        <v>1964239</v>
      </c>
      <c r="F214" s="48">
        <f>'дод 2'!G289</f>
        <v>0</v>
      </c>
      <c r="G214" s="48">
        <f>'дод 2'!H289</f>
        <v>0</v>
      </c>
      <c r="H214" s="48">
        <f>'дод 2'!I289</f>
        <v>0</v>
      </c>
      <c r="I214" s="48">
        <f>'дод 2'!J289</f>
        <v>774822.96</v>
      </c>
      <c r="J214" s="48">
        <f>'дод 2'!K289</f>
        <v>0</v>
      </c>
      <c r="K214" s="48">
        <f>'дод 2'!L289</f>
        <v>0</v>
      </c>
      <c r="L214" s="158">
        <f t="shared" si="54"/>
        <v>39.446470617883058</v>
      </c>
      <c r="M214" s="48">
        <f>'дод 2'!N289</f>
        <v>0</v>
      </c>
      <c r="N214" s="48">
        <f>'дод 2'!O289</f>
        <v>0</v>
      </c>
      <c r="O214" s="48">
        <f>'дод 2'!P289</f>
        <v>0</v>
      </c>
      <c r="P214" s="48">
        <f>'дод 2'!Q289</f>
        <v>0</v>
      </c>
      <c r="Q214" s="48">
        <f>'дод 2'!R289</f>
        <v>0</v>
      </c>
      <c r="R214" s="48">
        <f>'дод 2'!S289</f>
        <v>0</v>
      </c>
      <c r="S214" s="48">
        <f>'дод 2'!T289</f>
        <v>0</v>
      </c>
      <c r="T214" s="48">
        <f>'дод 2'!U289</f>
        <v>0</v>
      </c>
      <c r="U214" s="48">
        <f>'дод 2'!V289</f>
        <v>0</v>
      </c>
      <c r="V214" s="48">
        <f>'дод 2'!W289</f>
        <v>0</v>
      </c>
      <c r="W214" s="48">
        <f>'дод 2'!X289</f>
        <v>0</v>
      </c>
      <c r="X214" s="48">
        <f>'дод 2'!Y289</f>
        <v>0</v>
      </c>
      <c r="Y214" s="158"/>
      <c r="Z214" s="48">
        <f>'дод 2'!AA289</f>
        <v>774822.96</v>
      </c>
      <c r="AA214" s="48">
        <f>'дод 2'!AB289</f>
        <v>1964239</v>
      </c>
    </row>
    <row r="215" spans="1:27" s="52" customFormat="1" ht="25.5" customHeight="1" x14ac:dyDescent="0.25">
      <c r="A215" s="38">
        <v>8710</v>
      </c>
      <c r="B215" s="38" t="s">
        <v>95</v>
      </c>
      <c r="C215" s="2" t="s">
        <v>526</v>
      </c>
      <c r="D215" s="48">
        <f>'дод 2'!E290</f>
        <v>971473.43999999948</v>
      </c>
      <c r="E215" s="48">
        <f>'дод 2'!F290</f>
        <v>0</v>
      </c>
      <c r="F215" s="48">
        <f>'дод 2'!G290</f>
        <v>0</v>
      </c>
      <c r="G215" s="48">
        <f>'дод 2'!H290</f>
        <v>0</v>
      </c>
      <c r="H215" s="48">
        <f>'дод 2'!I290</f>
        <v>0</v>
      </c>
      <c r="I215" s="48">
        <f>'дод 2'!J290</f>
        <v>0</v>
      </c>
      <c r="J215" s="48">
        <f>'дод 2'!K290</f>
        <v>0</v>
      </c>
      <c r="K215" s="48">
        <f>'дод 2'!L290</f>
        <v>0</v>
      </c>
      <c r="L215" s="158">
        <f t="shared" si="54"/>
        <v>0</v>
      </c>
      <c r="M215" s="48">
        <f>'дод 2'!N290</f>
        <v>0</v>
      </c>
      <c r="N215" s="48">
        <f>'дод 2'!O290</f>
        <v>0</v>
      </c>
      <c r="O215" s="48">
        <f>'дод 2'!P290</f>
        <v>0</v>
      </c>
      <c r="P215" s="48">
        <f>'дод 2'!Q290</f>
        <v>0</v>
      </c>
      <c r="Q215" s="48">
        <f>'дод 2'!R290</f>
        <v>0</v>
      </c>
      <c r="R215" s="48">
        <f>'дод 2'!S290</f>
        <v>0</v>
      </c>
      <c r="S215" s="48">
        <f>'дод 2'!T290</f>
        <v>0</v>
      </c>
      <c r="T215" s="48">
        <f>'дод 2'!U290</f>
        <v>0</v>
      </c>
      <c r="U215" s="48">
        <f>'дод 2'!V290</f>
        <v>0</v>
      </c>
      <c r="V215" s="48">
        <f>'дод 2'!W290</f>
        <v>0</v>
      </c>
      <c r="W215" s="48">
        <f>'дод 2'!X290</f>
        <v>0</v>
      </c>
      <c r="X215" s="48">
        <f>'дод 2'!Y290</f>
        <v>0</v>
      </c>
      <c r="Y215" s="158"/>
      <c r="Z215" s="48">
        <f>'дод 2'!AA290</f>
        <v>0</v>
      </c>
      <c r="AA215" s="48">
        <f>'дод 2'!AB290</f>
        <v>971473.43999999948</v>
      </c>
    </row>
    <row r="216" spans="1:27" s="52" customFormat="1" ht="24" customHeight="1" x14ac:dyDescent="0.25">
      <c r="A216" s="38" t="s">
        <v>12</v>
      </c>
      <c r="B216" s="38"/>
      <c r="C216" s="2" t="s">
        <v>555</v>
      </c>
      <c r="D216" s="48">
        <f>D218+D220+D224+D227</f>
        <v>163831099</v>
      </c>
      <c r="E216" s="48">
        <f t="shared" ref="E216:AA216" si="56">E218+E220+E224+E227</f>
        <v>163831099</v>
      </c>
      <c r="F216" s="48">
        <f t="shared" si="56"/>
        <v>0</v>
      </c>
      <c r="G216" s="48">
        <f t="shared" si="56"/>
        <v>0</v>
      </c>
      <c r="H216" s="48">
        <f t="shared" si="56"/>
        <v>0</v>
      </c>
      <c r="I216" s="48">
        <f t="shared" si="56"/>
        <v>81725439</v>
      </c>
      <c r="J216" s="48">
        <f t="shared" si="56"/>
        <v>0</v>
      </c>
      <c r="K216" s="48">
        <f t="shared" si="56"/>
        <v>0</v>
      </c>
      <c r="L216" s="158">
        <f t="shared" si="54"/>
        <v>49.883959455097106</v>
      </c>
      <c r="M216" s="48">
        <f t="shared" si="56"/>
        <v>13393111.6</v>
      </c>
      <c r="N216" s="48">
        <f t="shared" si="56"/>
        <v>13393111.6</v>
      </c>
      <c r="O216" s="48">
        <f t="shared" si="56"/>
        <v>0</v>
      </c>
      <c r="P216" s="48">
        <f t="shared" si="56"/>
        <v>0</v>
      </c>
      <c r="Q216" s="48">
        <f t="shared" si="56"/>
        <v>0</v>
      </c>
      <c r="R216" s="48">
        <f t="shared" si="56"/>
        <v>13393111.6</v>
      </c>
      <c r="S216" s="48">
        <f t="shared" si="56"/>
        <v>1829759.1</v>
      </c>
      <c r="T216" s="48">
        <f t="shared" si="56"/>
        <v>1829759.1</v>
      </c>
      <c r="U216" s="48">
        <f t="shared" si="56"/>
        <v>0</v>
      </c>
      <c r="V216" s="48">
        <f t="shared" si="56"/>
        <v>0</v>
      </c>
      <c r="W216" s="48">
        <f t="shared" si="56"/>
        <v>0</v>
      </c>
      <c r="X216" s="48">
        <f t="shared" si="56"/>
        <v>1829759.1</v>
      </c>
      <c r="Y216" s="158">
        <f t="shared" si="55"/>
        <v>13.661941710393871</v>
      </c>
      <c r="Z216" s="48">
        <f t="shared" si="56"/>
        <v>83555198.099999994</v>
      </c>
      <c r="AA216" s="48">
        <f t="shared" si="56"/>
        <v>177224210.59999999</v>
      </c>
    </row>
    <row r="217" spans="1:27" s="52" customFormat="1" ht="36.75" customHeight="1" x14ac:dyDescent="0.25">
      <c r="A217" s="38"/>
      <c r="B217" s="38"/>
      <c r="C217" s="79" t="s">
        <v>551</v>
      </c>
      <c r="D217" s="78">
        <f>D221</f>
        <v>693000</v>
      </c>
      <c r="E217" s="78">
        <f t="shared" ref="E217:AA217" si="57">E221</f>
        <v>693000</v>
      </c>
      <c r="F217" s="78">
        <f t="shared" si="57"/>
        <v>0</v>
      </c>
      <c r="G217" s="78">
        <f t="shared" si="57"/>
        <v>0</v>
      </c>
      <c r="H217" s="78">
        <f t="shared" si="57"/>
        <v>0</v>
      </c>
      <c r="I217" s="78">
        <f t="shared" si="57"/>
        <v>0</v>
      </c>
      <c r="J217" s="78">
        <f t="shared" si="57"/>
        <v>0</v>
      </c>
      <c r="K217" s="78">
        <f t="shared" si="57"/>
        <v>0</v>
      </c>
      <c r="L217" s="158">
        <f t="shared" si="54"/>
        <v>0</v>
      </c>
      <c r="M217" s="78">
        <f t="shared" si="57"/>
        <v>3307000</v>
      </c>
      <c r="N217" s="78">
        <f t="shared" si="57"/>
        <v>3307000</v>
      </c>
      <c r="O217" s="78">
        <f t="shared" si="57"/>
        <v>0</v>
      </c>
      <c r="P217" s="78">
        <f t="shared" si="57"/>
        <v>0</v>
      </c>
      <c r="Q217" s="78">
        <f t="shared" si="57"/>
        <v>0</v>
      </c>
      <c r="R217" s="78">
        <f t="shared" si="57"/>
        <v>3307000</v>
      </c>
      <c r="S217" s="78">
        <f t="shared" si="57"/>
        <v>0</v>
      </c>
      <c r="T217" s="78">
        <f t="shared" si="57"/>
        <v>0</v>
      </c>
      <c r="U217" s="78">
        <f t="shared" si="57"/>
        <v>0</v>
      </c>
      <c r="V217" s="78">
        <f t="shared" si="57"/>
        <v>0</v>
      </c>
      <c r="W217" s="78">
        <f t="shared" si="57"/>
        <v>0</v>
      </c>
      <c r="X217" s="78">
        <f t="shared" si="57"/>
        <v>0</v>
      </c>
      <c r="Y217" s="158">
        <f t="shared" si="55"/>
        <v>0</v>
      </c>
      <c r="Z217" s="78">
        <f t="shared" si="57"/>
        <v>0</v>
      </c>
      <c r="AA217" s="78">
        <f t="shared" si="57"/>
        <v>4000000</v>
      </c>
    </row>
    <row r="218" spans="1:27" s="52" customFormat="1" ht="21.75" customHeight="1" x14ac:dyDescent="0.25">
      <c r="A218" s="38" t="s">
        <v>255</v>
      </c>
      <c r="B218" s="38"/>
      <c r="C218" s="2" t="s">
        <v>300</v>
      </c>
      <c r="D218" s="48">
        <f t="shared" ref="D218:AA218" si="58">D219</f>
        <v>100870700</v>
      </c>
      <c r="E218" s="48">
        <f t="shared" si="58"/>
        <v>100870700</v>
      </c>
      <c r="F218" s="48">
        <f t="shared" si="58"/>
        <v>0</v>
      </c>
      <c r="G218" s="48">
        <f t="shared" si="58"/>
        <v>0</v>
      </c>
      <c r="H218" s="48">
        <f t="shared" si="58"/>
        <v>0</v>
      </c>
      <c r="I218" s="48">
        <f t="shared" si="58"/>
        <v>50435400</v>
      </c>
      <c r="J218" s="48">
        <f t="shared" si="58"/>
        <v>0</v>
      </c>
      <c r="K218" s="48">
        <f t="shared" si="58"/>
        <v>0</v>
      </c>
      <c r="L218" s="158">
        <f t="shared" si="54"/>
        <v>50.000049568407867</v>
      </c>
      <c r="M218" s="48">
        <f t="shared" si="58"/>
        <v>0</v>
      </c>
      <c r="N218" s="48">
        <f t="shared" si="58"/>
        <v>0</v>
      </c>
      <c r="O218" s="48">
        <f t="shared" si="58"/>
        <v>0</v>
      </c>
      <c r="P218" s="48">
        <f t="shared" si="58"/>
        <v>0</v>
      </c>
      <c r="Q218" s="48">
        <f t="shared" si="58"/>
        <v>0</v>
      </c>
      <c r="R218" s="48">
        <f t="shared" si="58"/>
        <v>0</v>
      </c>
      <c r="S218" s="48">
        <f t="shared" si="58"/>
        <v>0</v>
      </c>
      <c r="T218" s="48">
        <f t="shared" si="58"/>
        <v>0</v>
      </c>
      <c r="U218" s="48">
        <f t="shared" si="58"/>
        <v>0</v>
      </c>
      <c r="V218" s="48">
        <f t="shared" si="58"/>
        <v>0</v>
      </c>
      <c r="W218" s="48">
        <f t="shared" si="58"/>
        <v>0</v>
      </c>
      <c r="X218" s="48">
        <f t="shared" si="58"/>
        <v>0</v>
      </c>
      <c r="Y218" s="158"/>
      <c r="Z218" s="48">
        <f t="shared" si="58"/>
        <v>50435400</v>
      </c>
      <c r="AA218" s="48">
        <f t="shared" si="58"/>
        <v>100870700</v>
      </c>
    </row>
    <row r="219" spans="1:27" s="52" customFormat="1" ht="21" customHeight="1" x14ac:dyDescent="0.25">
      <c r="A219" s="37" t="s">
        <v>93</v>
      </c>
      <c r="B219" s="42" t="s">
        <v>46</v>
      </c>
      <c r="C219" s="3" t="s">
        <v>112</v>
      </c>
      <c r="D219" s="49">
        <f>'дод 2'!E291</f>
        <v>100870700</v>
      </c>
      <c r="E219" s="49">
        <f>'дод 2'!F291</f>
        <v>100870700</v>
      </c>
      <c r="F219" s="49">
        <f>'дод 2'!G291</f>
        <v>0</v>
      </c>
      <c r="G219" s="49">
        <f>'дод 2'!H291</f>
        <v>0</v>
      </c>
      <c r="H219" s="49">
        <f>'дод 2'!I291</f>
        <v>0</v>
      </c>
      <c r="I219" s="49">
        <f>'дод 2'!J291</f>
        <v>50435400</v>
      </c>
      <c r="J219" s="49">
        <f>'дод 2'!K291</f>
        <v>0</v>
      </c>
      <c r="K219" s="49">
        <f>'дод 2'!L291</f>
        <v>0</v>
      </c>
      <c r="L219" s="158">
        <f t="shared" si="54"/>
        <v>50.000049568407867</v>
      </c>
      <c r="M219" s="49">
        <f>'дод 2'!N291</f>
        <v>0</v>
      </c>
      <c r="N219" s="49">
        <f>'дод 2'!O291</f>
        <v>0</v>
      </c>
      <c r="O219" s="49">
        <f>'дод 2'!P291</f>
        <v>0</v>
      </c>
      <c r="P219" s="49">
        <f>'дод 2'!Q291</f>
        <v>0</v>
      </c>
      <c r="Q219" s="49">
        <f>'дод 2'!R291</f>
        <v>0</v>
      </c>
      <c r="R219" s="49">
        <f>'дод 2'!S291</f>
        <v>0</v>
      </c>
      <c r="S219" s="49">
        <f>'дод 2'!T291</f>
        <v>0</v>
      </c>
      <c r="T219" s="49">
        <f>'дод 2'!U291</f>
        <v>0</v>
      </c>
      <c r="U219" s="49">
        <f>'дод 2'!V291</f>
        <v>0</v>
      </c>
      <c r="V219" s="49">
        <f>'дод 2'!W291</f>
        <v>0</v>
      </c>
      <c r="W219" s="49">
        <f>'дод 2'!X291</f>
        <v>0</v>
      </c>
      <c r="X219" s="49">
        <f>'дод 2'!Y291</f>
        <v>0</v>
      </c>
      <c r="Y219" s="158"/>
      <c r="Z219" s="49">
        <f>'дод 2'!AA291</f>
        <v>50435400</v>
      </c>
      <c r="AA219" s="49">
        <f>'дод 2'!AB291</f>
        <v>100870700</v>
      </c>
    </row>
    <row r="220" spans="1:27" s="52" customFormat="1" ht="69" customHeight="1" x14ac:dyDescent="0.25">
      <c r="A220" s="38">
        <v>9300</v>
      </c>
      <c r="B220" s="108"/>
      <c r="C220" s="2" t="s">
        <v>548</v>
      </c>
      <c r="D220" s="48">
        <f>D222</f>
        <v>693000</v>
      </c>
      <c r="E220" s="48">
        <f t="shared" ref="E220:AA220" si="59">E222</f>
        <v>693000</v>
      </c>
      <c r="F220" s="48">
        <f t="shared" si="59"/>
        <v>0</v>
      </c>
      <c r="G220" s="48">
        <f t="shared" si="59"/>
        <v>0</v>
      </c>
      <c r="H220" s="48">
        <f t="shared" si="59"/>
        <v>0</v>
      </c>
      <c r="I220" s="48">
        <f t="shared" si="59"/>
        <v>0</v>
      </c>
      <c r="J220" s="48">
        <f t="shared" si="59"/>
        <v>0</v>
      </c>
      <c r="K220" s="48">
        <f t="shared" si="59"/>
        <v>0</v>
      </c>
      <c r="L220" s="158">
        <f t="shared" si="54"/>
        <v>0</v>
      </c>
      <c r="M220" s="48">
        <f t="shared" si="59"/>
        <v>3307000</v>
      </c>
      <c r="N220" s="48">
        <f t="shared" si="59"/>
        <v>3307000</v>
      </c>
      <c r="O220" s="48">
        <f t="shared" si="59"/>
        <v>0</v>
      </c>
      <c r="P220" s="48">
        <f t="shared" si="59"/>
        <v>0</v>
      </c>
      <c r="Q220" s="48">
        <f t="shared" si="59"/>
        <v>0</v>
      </c>
      <c r="R220" s="48">
        <f t="shared" si="59"/>
        <v>3307000</v>
      </c>
      <c r="S220" s="48">
        <f t="shared" si="59"/>
        <v>0</v>
      </c>
      <c r="T220" s="48">
        <f t="shared" si="59"/>
        <v>0</v>
      </c>
      <c r="U220" s="48">
        <f t="shared" si="59"/>
        <v>0</v>
      </c>
      <c r="V220" s="48">
        <f t="shared" si="59"/>
        <v>0</v>
      </c>
      <c r="W220" s="48">
        <f t="shared" si="59"/>
        <v>0</v>
      </c>
      <c r="X220" s="48">
        <f t="shared" si="59"/>
        <v>0</v>
      </c>
      <c r="Y220" s="158">
        <f t="shared" si="55"/>
        <v>0</v>
      </c>
      <c r="Z220" s="48">
        <f t="shared" si="59"/>
        <v>0</v>
      </c>
      <c r="AA220" s="48">
        <f t="shared" si="59"/>
        <v>4000000</v>
      </c>
    </row>
    <row r="221" spans="1:27" s="52" customFormat="1" ht="36.75" customHeight="1" x14ac:dyDescent="0.25">
      <c r="A221" s="38"/>
      <c r="B221" s="105"/>
      <c r="C221" s="79" t="s">
        <v>551</v>
      </c>
      <c r="D221" s="78">
        <f>D223</f>
        <v>693000</v>
      </c>
      <c r="E221" s="78">
        <f t="shared" ref="E221:AA221" si="60">E223</f>
        <v>693000</v>
      </c>
      <c r="F221" s="78">
        <f t="shared" si="60"/>
        <v>0</v>
      </c>
      <c r="G221" s="78">
        <f t="shared" si="60"/>
        <v>0</v>
      </c>
      <c r="H221" s="78">
        <f t="shared" si="60"/>
        <v>0</v>
      </c>
      <c r="I221" s="78">
        <f t="shared" si="60"/>
        <v>0</v>
      </c>
      <c r="J221" s="78">
        <f t="shared" si="60"/>
        <v>0</v>
      </c>
      <c r="K221" s="78">
        <f t="shared" si="60"/>
        <v>0</v>
      </c>
      <c r="L221" s="158">
        <f t="shared" si="54"/>
        <v>0</v>
      </c>
      <c r="M221" s="78">
        <f t="shared" si="60"/>
        <v>3307000</v>
      </c>
      <c r="N221" s="78">
        <f t="shared" si="60"/>
        <v>3307000</v>
      </c>
      <c r="O221" s="78">
        <f t="shared" si="60"/>
        <v>0</v>
      </c>
      <c r="P221" s="78">
        <f t="shared" si="60"/>
        <v>0</v>
      </c>
      <c r="Q221" s="78">
        <f t="shared" si="60"/>
        <v>0</v>
      </c>
      <c r="R221" s="78">
        <f t="shared" si="60"/>
        <v>3307000</v>
      </c>
      <c r="S221" s="78">
        <f t="shared" si="60"/>
        <v>0</v>
      </c>
      <c r="T221" s="78">
        <f t="shared" si="60"/>
        <v>0</v>
      </c>
      <c r="U221" s="78">
        <f t="shared" si="60"/>
        <v>0</v>
      </c>
      <c r="V221" s="78">
        <f t="shared" si="60"/>
        <v>0</v>
      </c>
      <c r="W221" s="78">
        <f t="shared" si="60"/>
        <v>0</v>
      </c>
      <c r="X221" s="78">
        <f t="shared" si="60"/>
        <v>0</v>
      </c>
      <c r="Y221" s="158">
        <f t="shared" si="55"/>
        <v>0</v>
      </c>
      <c r="Z221" s="78">
        <f t="shared" si="60"/>
        <v>0</v>
      </c>
      <c r="AA221" s="78">
        <f t="shared" si="60"/>
        <v>4000000</v>
      </c>
    </row>
    <row r="222" spans="1:27" s="52" customFormat="1" ht="53.25" customHeight="1" x14ac:dyDescent="0.25">
      <c r="A222" s="37">
        <v>9320</v>
      </c>
      <c r="B222" s="105" t="s">
        <v>46</v>
      </c>
      <c r="C222" s="6" t="s">
        <v>549</v>
      </c>
      <c r="D222" s="49">
        <f>'дод 2'!E110</f>
        <v>693000</v>
      </c>
      <c r="E222" s="49">
        <f>'дод 2'!F110</f>
        <v>693000</v>
      </c>
      <c r="F222" s="49">
        <f>'дод 2'!G110</f>
        <v>0</v>
      </c>
      <c r="G222" s="49">
        <f>'дод 2'!H110</f>
        <v>0</v>
      </c>
      <c r="H222" s="49">
        <f>'дод 2'!I110</f>
        <v>0</v>
      </c>
      <c r="I222" s="49">
        <f>'дод 2'!J110</f>
        <v>0</v>
      </c>
      <c r="J222" s="49">
        <f>'дод 2'!K110</f>
        <v>0</v>
      </c>
      <c r="K222" s="49">
        <f>'дод 2'!L110</f>
        <v>0</v>
      </c>
      <c r="L222" s="158">
        <f t="shared" si="54"/>
        <v>0</v>
      </c>
      <c r="M222" s="49">
        <f>'дод 2'!N110</f>
        <v>3307000</v>
      </c>
      <c r="N222" s="49">
        <f>'дод 2'!O110</f>
        <v>3307000</v>
      </c>
      <c r="O222" s="49">
        <f>'дод 2'!P110</f>
        <v>0</v>
      </c>
      <c r="P222" s="49">
        <f>'дод 2'!Q110</f>
        <v>0</v>
      </c>
      <c r="Q222" s="49">
        <f>'дод 2'!R110</f>
        <v>0</v>
      </c>
      <c r="R222" s="49">
        <f>'дод 2'!S110</f>
        <v>3307000</v>
      </c>
      <c r="S222" s="49">
        <f>'дод 2'!T110</f>
        <v>0</v>
      </c>
      <c r="T222" s="49">
        <f>'дод 2'!U110</f>
        <v>0</v>
      </c>
      <c r="U222" s="49">
        <f>'дод 2'!V110</f>
        <v>0</v>
      </c>
      <c r="V222" s="49">
        <f>'дод 2'!W110</f>
        <v>0</v>
      </c>
      <c r="W222" s="49">
        <f>'дод 2'!X110</f>
        <v>0</v>
      </c>
      <c r="X222" s="49">
        <f>'дод 2'!Y110</f>
        <v>0</v>
      </c>
      <c r="Y222" s="158">
        <f t="shared" si="55"/>
        <v>0</v>
      </c>
      <c r="Z222" s="49">
        <f>'дод 2'!AA110</f>
        <v>0</v>
      </c>
      <c r="AA222" s="49">
        <f>'дод 2'!AB110</f>
        <v>4000000</v>
      </c>
    </row>
    <row r="223" spans="1:27" s="53" customFormat="1" ht="36.75" customHeight="1" x14ac:dyDescent="0.25">
      <c r="A223" s="80"/>
      <c r="B223" s="107"/>
      <c r="C223" s="89" t="s">
        <v>551</v>
      </c>
      <c r="D223" s="82">
        <f>'дод 2'!E111</f>
        <v>693000</v>
      </c>
      <c r="E223" s="82">
        <f>'дод 2'!F111</f>
        <v>693000</v>
      </c>
      <c r="F223" s="82">
        <f>'дод 2'!G111</f>
        <v>0</v>
      </c>
      <c r="G223" s="82">
        <f>'дод 2'!H111</f>
        <v>0</v>
      </c>
      <c r="H223" s="82">
        <f>'дод 2'!I111</f>
        <v>0</v>
      </c>
      <c r="I223" s="82">
        <f>'дод 2'!J111</f>
        <v>0</v>
      </c>
      <c r="J223" s="82">
        <f>'дод 2'!K111</f>
        <v>0</v>
      </c>
      <c r="K223" s="82">
        <f>'дод 2'!L111</f>
        <v>0</v>
      </c>
      <c r="L223" s="158">
        <f t="shared" si="54"/>
        <v>0</v>
      </c>
      <c r="M223" s="82">
        <f>'дод 2'!N111</f>
        <v>3307000</v>
      </c>
      <c r="N223" s="82">
        <f>'дод 2'!O111</f>
        <v>3307000</v>
      </c>
      <c r="O223" s="82">
        <f>'дод 2'!P111</f>
        <v>0</v>
      </c>
      <c r="P223" s="82">
        <f>'дод 2'!Q111</f>
        <v>0</v>
      </c>
      <c r="Q223" s="82">
        <f>'дод 2'!R111</f>
        <v>0</v>
      </c>
      <c r="R223" s="82">
        <f>'дод 2'!S111</f>
        <v>3307000</v>
      </c>
      <c r="S223" s="82">
        <f>'дод 2'!T111</f>
        <v>0</v>
      </c>
      <c r="T223" s="82">
        <f>'дод 2'!U111</f>
        <v>0</v>
      </c>
      <c r="U223" s="82">
        <f>'дод 2'!V111</f>
        <v>0</v>
      </c>
      <c r="V223" s="82">
        <f>'дод 2'!W111</f>
        <v>0</v>
      </c>
      <c r="W223" s="82">
        <f>'дод 2'!X111</f>
        <v>0</v>
      </c>
      <c r="X223" s="82">
        <f>'дод 2'!Y111</f>
        <v>0</v>
      </c>
      <c r="Y223" s="158">
        <f t="shared" si="55"/>
        <v>0</v>
      </c>
      <c r="Z223" s="82">
        <f>'дод 2'!AA111</f>
        <v>0</v>
      </c>
      <c r="AA223" s="82">
        <f>'дод 2'!AB111</f>
        <v>4000000</v>
      </c>
    </row>
    <row r="224" spans="1:27" s="52" customFormat="1" ht="57.75" customHeight="1" x14ac:dyDescent="0.25">
      <c r="A224" s="38" t="s">
        <v>13</v>
      </c>
      <c r="B224" s="108"/>
      <c r="C224" s="2" t="s">
        <v>349</v>
      </c>
      <c r="D224" s="48">
        <f>D225+D226</f>
        <v>61810000</v>
      </c>
      <c r="E224" s="48">
        <f t="shared" ref="E224:AA224" si="61">E225+E226</f>
        <v>61810000</v>
      </c>
      <c r="F224" s="48">
        <f t="shared" si="61"/>
        <v>0</v>
      </c>
      <c r="G224" s="48">
        <f t="shared" si="61"/>
        <v>0</v>
      </c>
      <c r="H224" s="48">
        <f t="shared" si="61"/>
        <v>0</v>
      </c>
      <c r="I224" s="48">
        <f t="shared" si="61"/>
        <v>30991450</v>
      </c>
      <c r="J224" s="48">
        <f t="shared" si="61"/>
        <v>0</v>
      </c>
      <c r="K224" s="48">
        <f t="shared" si="61"/>
        <v>0</v>
      </c>
      <c r="L224" s="158">
        <f t="shared" si="54"/>
        <v>50.139864099660244</v>
      </c>
      <c r="M224" s="48">
        <f t="shared" si="61"/>
        <v>10086111.6</v>
      </c>
      <c r="N224" s="48">
        <f t="shared" si="61"/>
        <v>10086111.6</v>
      </c>
      <c r="O224" s="48">
        <f t="shared" si="61"/>
        <v>0</v>
      </c>
      <c r="P224" s="48">
        <f t="shared" si="61"/>
        <v>0</v>
      </c>
      <c r="Q224" s="48">
        <f t="shared" si="61"/>
        <v>0</v>
      </c>
      <c r="R224" s="48">
        <f t="shared" si="61"/>
        <v>10086111.6</v>
      </c>
      <c r="S224" s="48">
        <f t="shared" si="61"/>
        <v>1829759.1</v>
      </c>
      <c r="T224" s="48">
        <f t="shared" si="61"/>
        <v>1829759.1</v>
      </c>
      <c r="U224" s="48">
        <f t="shared" si="61"/>
        <v>0</v>
      </c>
      <c r="V224" s="48">
        <f t="shared" si="61"/>
        <v>0</v>
      </c>
      <c r="W224" s="48">
        <f t="shared" si="61"/>
        <v>0</v>
      </c>
      <c r="X224" s="48">
        <f t="shared" si="61"/>
        <v>1829759.1</v>
      </c>
      <c r="Y224" s="158">
        <f t="shared" si="55"/>
        <v>18.141372736744259</v>
      </c>
      <c r="Z224" s="48">
        <f t="shared" si="61"/>
        <v>32821209.100000001</v>
      </c>
      <c r="AA224" s="48">
        <f t="shared" si="61"/>
        <v>71896111.599999994</v>
      </c>
    </row>
    <row r="225" spans="1:524" ht="31.5" x14ac:dyDescent="0.25">
      <c r="A225" s="37">
        <v>9750</v>
      </c>
      <c r="B225" s="42" t="s">
        <v>46</v>
      </c>
      <c r="C225" s="61" t="s">
        <v>539</v>
      </c>
      <c r="D225" s="49">
        <f>'дод 2'!E260</f>
        <v>0</v>
      </c>
      <c r="E225" s="49">
        <f>'дод 2'!F260</f>
        <v>0</v>
      </c>
      <c r="F225" s="49">
        <f>'дод 2'!G260</f>
        <v>0</v>
      </c>
      <c r="G225" s="49">
        <f>'дод 2'!H260</f>
        <v>0</v>
      </c>
      <c r="H225" s="49">
        <f>'дод 2'!I260</f>
        <v>0</v>
      </c>
      <c r="I225" s="49">
        <f>'дод 2'!J260</f>
        <v>0</v>
      </c>
      <c r="J225" s="49">
        <f>'дод 2'!K260</f>
        <v>0</v>
      </c>
      <c r="K225" s="49">
        <f>'дод 2'!L260</f>
        <v>0</v>
      </c>
      <c r="L225" s="158"/>
      <c r="M225" s="49">
        <f>'дод 2'!N260</f>
        <v>86000</v>
      </c>
      <c r="N225" s="49">
        <f>'дод 2'!O260</f>
        <v>86000</v>
      </c>
      <c r="O225" s="49">
        <f>'дод 2'!P260</f>
        <v>0</v>
      </c>
      <c r="P225" s="49">
        <f>'дод 2'!Q260</f>
        <v>0</v>
      </c>
      <c r="Q225" s="49">
        <f>'дод 2'!R260</f>
        <v>0</v>
      </c>
      <c r="R225" s="49">
        <f>'дод 2'!S260</f>
        <v>86000</v>
      </c>
      <c r="S225" s="49">
        <f>'дод 2'!T260</f>
        <v>0</v>
      </c>
      <c r="T225" s="49">
        <f>'дод 2'!U260</f>
        <v>0</v>
      </c>
      <c r="U225" s="49">
        <f>'дод 2'!V260</f>
        <v>0</v>
      </c>
      <c r="V225" s="49">
        <f>'дод 2'!W260</f>
        <v>0</v>
      </c>
      <c r="W225" s="49">
        <f>'дод 2'!X260</f>
        <v>0</v>
      </c>
      <c r="X225" s="49">
        <f>'дод 2'!Y260</f>
        <v>0</v>
      </c>
      <c r="Y225" s="158">
        <f t="shared" si="55"/>
        <v>0</v>
      </c>
      <c r="Z225" s="49">
        <f>'дод 2'!AA260</f>
        <v>0</v>
      </c>
      <c r="AA225" s="49">
        <f>'дод 2'!AB260</f>
        <v>86000</v>
      </c>
    </row>
    <row r="226" spans="1:524" s="52" customFormat="1" ht="22.5" customHeight="1" x14ac:dyDescent="0.25">
      <c r="A226" s="37" t="s">
        <v>14</v>
      </c>
      <c r="B226" s="42" t="s">
        <v>46</v>
      </c>
      <c r="C226" s="6" t="s">
        <v>358</v>
      </c>
      <c r="D226" s="49">
        <f>'дод 2'!E109+'дод 2'!E183+'дод 2'!E238+'дод 2'!E146</f>
        <v>61810000</v>
      </c>
      <c r="E226" s="49">
        <f>'дод 2'!F109+'дод 2'!F183+'дод 2'!F238+'дод 2'!F146</f>
        <v>61810000</v>
      </c>
      <c r="F226" s="49">
        <f>'дод 2'!G109+'дод 2'!G183+'дод 2'!G238+'дод 2'!G146</f>
        <v>0</v>
      </c>
      <c r="G226" s="49">
        <f>'дод 2'!H109+'дод 2'!H183+'дод 2'!H238+'дод 2'!H146</f>
        <v>0</v>
      </c>
      <c r="H226" s="49">
        <f>'дод 2'!I109+'дод 2'!I183+'дод 2'!I238+'дод 2'!I146</f>
        <v>0</v>
      </c>
      <c r="I226" s="49">
        <f>'дод 2'!J109+'дод 2'!J183+'дод 2'!J238+'дод 2'!J146</f>
        <v>30991450</v>
      </c>
      <c r="J226" s="49">
        <f>'дод 2'!K109+'дод 2'!K183+'дод 2'!K238+'дод 2'!K146</f>
        <v>0</v>
      </c>
      <c r="K226" s="49">
        <f>'дод 2'!L109+'дод 2'!L183+'дод 2'!L238+'дод 2'!L146</f>
        <v>0</v>
      </c>
      <c r="L226" s="158">
        <f t="shared" si="54"/>
        <v>50.139864099660244</v>
      </c>
      <c r="M226" s="49">
        <f>'дод 2'!N109+'дод 2'!N183+'дод 2'!N238+'дод 2'!N146</f>
        <v>10000111.6</v>
      </c>
      <c r="N226" s="49">
        <f>'дод 2'!O109+'дод 2'!O183+'дод 2'!O238+'дод 2'!O146</f>
        <v>10000111.6</v>
      </c>
      <c r="O226" s="49">
        <f>'дод 2'!P109+'дод 2'!P183+'дод 2'!P238+'дод 2'!P146</f>
        <v>0</v>
      </c>
      <c r="P226" s="49">
        <f>'дод 2'!Q109+'дод 2'!Q183+'дод 2'!Q238+'дод 2'!Q146</f>
        <v>0</v>
      </c>
      <c r="Q226" s="49">
        <f>'дод 2'!R109+'дод 2'!R183+'дод 2'!R238+'дод 2'!R146</f>
        <v>0</v>
      </c>
      <c r="R226" s="49">
        <f>'дод 2'!S109+'дод 2'!S183+'дод 2'!S238+'дод 2'!S146</f>
        <v>10000111.6</v>
      </c>
      <c r="S226" s="49">
        <f>'дод 2'!T109+'дод 2'!T183+'дод 2'!T238+'дод 2'!T146</f>
        <v>1829759.1</v>
      </c>
      <c r="T226" s="49">
        <f>'дод 2'!U109+'дод 2'!U183+'дод 2'!U238+'дод 2'!U146</f>
        <v>1829759.1</v>
      </c>
      <c r="U226" s="49">
        <f>'дод 2'!V109+'дод 2'!V183+'дод 2'!V238+'дод 2'!V146</f>
        <v>0</v>
      </c>
      <c r="V226" s="49">
        <f>'дод 2'!W109+'дод 2'!W183+'дод 2'!W238+'дод 2'!W146</f>
        <v>0</v>
      </c>
      <c r="W226" s="49">
        <f>'дод 2'!X109+'дод 2'!X183+'дод 2'!X238+'дод 2'!X146</f>
        <v>0</v>
      </c>
      <c r="X226" s="49">
        <f>'дод 2'!Y109+'дод 2'!Y183+'дод 2'!Y238+'дод 2'!Y146</f>
        <v>1829759.1</v>
      </c>
      <c r="Y226" s="158">
        <f t="shared" si="55"/>
        <v>18.297386801163302</v>
      </c>
      <c r="Z226" s="49">
        <f>'дод 2'!AA109+'дод 2'!AA183+'дод 2'!AA238+'дод 2'!AA146</f>
        <v>32821209.100000001</v>
      </c>
      <c r="AA226" s="49">
        <f>'дод 2'!AB109+'дод 2'!AB183+'дод 2'!AB238+'дод 2'!AB146</f>
        <v>71810111.599999994</v>
      </c>
    </row>
    <row r="227" spans="1:524" s="52" customFormat="1" ht="51" customHeight="1" x14ac:dyDescent="0.25">
      <c r="A227" s="38">
        <v>9800</v>
      </c>
      <c r="B227" s="39" t="s">
        <v>46</v>
      </c>
      <c r="C227" s="9" t="s">
        <v>369</v>
      </c>
      <c r="D227" s="48">
        <f>'дод 2'!E112+'дод 2'!E61</f>
        <v>457399</v>
      </c>
      <c r="E227" s="48">
        <f>'дод 2'!F112+'дод 2'!F61</f>
        <v>457399</v>
      </c>
      <c r="F227" s="48">
        <f>'дод 2'!G112+'дод 2'!G61</f>
        <v>0</v>
      </c>
      <c r="G227" s="48">
        <f>'дод 2'!H112+'дод 2'!H61</f>
        <v>0</v>
      </c>
      <c r="H227" s="48">
        <f>'дод 2'!I112+'дод 2'!I61</f>
        <v>0</v>
      </c>
      <c r="I227" s="48">
        <f>'дод 2'!J112+'дод 2'!J61</f>
        <v>298589</v>
      </c>
      <c r="J227" s="48">
        <f>'дод 2'!K112+'дод 2'!K61</f>
        <v>0</v>
      </c>
      <c r="K227" s="48">
        <f>'дод 2'!L112+'дод 2'!L61</f>
        <v>0</v>
      </c>
      <c r="L227" s="158">
        <f t="shared" si="54"/>
        <v>65.279766680731697</v>
      </c>
      <c r="M227" s="48">
        <f>'дод 2'!N112+'дод 2'!N61</f>
        <v>0</v>
      </c>
      <c r="N227" s="48">
        <f>'дод 2'!O112+'дод 2'!O61</f>
        <v>0</v>
      </c>
      <c r="O227" s="48">
        <f>'дод 2'!P112+'дод 2'!P61</f>
        <v>0</v>
      </c>
      <c r="P227" s="48">
        <f>'дод 2'!Q112+'дод 2'!Q61</f>
        <v>0</v>
      </c>
      <c r="Q227" s="48">
        <f>'дод 2'!R112+'дод 2'!R61</f>
        <v>0</v>
      </c>
      <c r="R227" s="48">
        <f>'дод 2'!S112+'дод 2'!S61</f>
        <v>0</v>
      </c>
      <c r="S227" s="48">
        <f>'дод 2'!T112+'дод 2'!T61</f>
        <v>0</v>
      </c>
      <c r="T227" s="48">
        <f>'дод 2'!U112+'дод 2'!U61</f>
        <v>0</v>
      </c>
      <c r="U227" s="48">
        <f>'дод 2'!V112+'дод 2'!V61</f>
        <v>0</v>
      </c>
      <c r="V227" s="48">
        <f>'дод 2'!W112+'дод 2'!W61</f>
        <v>0</v>
      </c>
      <c r="W227" s="48">
        <f>'дод 2'!X112+'дод 2'!X61</f>
        <v>0</v>
      </c>
      <c r="X227" s="48">
        <f>'дод 2'!Y112+'дод 2'!Y61</f>
        <v>0</v>
      </c>
      <c r="Y227" s="158"/>
      <c r="Z227" s="48">
        <f>'дод 2'!AA112+'дод 2'!AA61</f>
        <v>298589</v>
      </c>
      <c r="AA227" s="48">
        <f>'дод 2'!AB112+'дод 2'!AB61</f>
        <v>457399</v>
      </c>
    </row>
    <row r="228" spans="1:524" s="52" customFormat="1" ht="21.75" customHeight="1" x14ac:dyDescent="0.25">
      <c r="A228" s="7"/>
      <c r="B228" s="7"/>
      <c r="C228" s="2" t="s">
        <v>410</v>
      </c>
      <c r="D228" s="48">
        <f>D19+D26+D68+D89+D126+D131+D138+D150+D200+D216</f>
        <v>2206879947.6799998</v>
      </c>
      <c r="E228" s="48">
        <f t="shared" ref="E228:AA228" si="62">E19+E26+E68+E89+E126+E131+E138+E150+E200+E216</f>
        <v>2125048978.2399998</v>
      </c>
      <c r="F228" s="48">
        <f t="shared" si="62"/>
        <v>1079211630</v>
      </c>
      <c r="G228" s="48">
        <f t="shared" si="62"/>
        <v>99122524</v>
      </c>
      <c r="H228" s="48">
        <f t="shared" si="62"/>
        <v>80859496</v>
      </c>
      <c r="I228" s="48">
        <f t="shared" si="62"/>
        <v>1085692126.7900002</v>
      </c>
      <c r="J228" s="48">
        <f t="shared" si="62"/>
        <v>568168029.77999997</v>
      </c>
      <c r="K228" s="48">
        <f t="shared" si="62"/>
        <v>55899189.729999997</v>
      </c>
      <c r="L228" s="158">
        <f t="shared" si="54"/>
        <v>49.195794629940913</v>
      </c>
      <c r="M228" s="48">
        <f t="shared" si="62"/>
        <v>661946985.39999998</v>
      </c>
      <c r="N228" s="48">
        <f t="shared" si="62"/>
        <v>597272690.88</v>
      </c>
      <c r="O228" s="48">
        <f t="shared" si="62"/>
        <v>47386801.869999997</v>
      </c>
      <c r="P228" s="48">
        <f t="shared" si="62"/>
        <v>6033355</v>
      </c>
      <c r="Q228" s="48">
        <f t="shared" si="62"/>
        <v>266522</v>
      </c>
      <c r="R228" s="48">
        <f t="shared" si="62"/>
        <v>614560183.52999997</v>
      </c>
      <c r="S228" s="48">
        <f t="shared" si="62"/>
        <v>173230615.00999999</v>
      </c>
      <c r="T228" s="48">
        <f t="shared" si="62"/>
        <v>142273978.88</v>
      </c>
      <c r="U228" s="48">
        <f t="shared" si="62"/>
        <v>20318441.379999995</v>
      </c>
      <c r="V228" s="48">
        <f t="shared" si="62"/>
        <v>4085382.4699999997</v>
      </c>
      <c r="W228" s="48">
        <f t="shared" si="62"/>
        <v>109216.07</v>
      </c>
      <c r="X228" s="48">
        <f t="shared" si="62"/>
        <v>152912173.63</v>
      </c>
      <c r="Y228" s="158">
        <f t="shared" si="55"/>
        <v>26.169862365234664</v>
      </c>
      <c r="Z228" s="48">
        <f t="shared" si="62"/>
        <v>1258922741.8000002</v>
      </c>
      <c r="AA228" s="48">
        <f t="shared" si="62"/>
        <v>2868826933.0799999</v>
      </c>
    </row>
    <row r="229" spans="1:524" s="53" customFormat="1" ht="26.25" customHeight="1" x14ac:dyDescent="0.25">
      <c r="A229" s="88"/>
      <c r="B229" s="88"/>
      <c r="C229" s="77" t="s">
        <v>403</v>
      </c>
      <c r="D229" s="78">
        <f>D27+D34+D174+D217+D170</f>
        <v>485373327.60000002</v>
      </c>
      <c r="E229" s="78">
        <f t="shared" ref="E229:AA229" si="63">E27+E34+E174+E217+E170</f>
        <v>485373327.60000002</v>
      </c>
      <c r="F229" s="78">
        <f t="shared" si="63"/>
        <v>396066000</v>
      </c>
      <c r="G229" s="78">
        <f t="shared" si="63"/>
        <v>0</v>
      </c>
      <c r="H229" s="78">
        <f t="shared" si="63"/>
        <v>0</v>
      </c>
      <c r="I229" s="78">
        <f t="shared" si="63"/>
        <v>274163573.12</v>
      </c>
      <c r="J229" s="78">
        <f t="shared" si="63"/>
        <v>224936034.97</v>
      </c>
      <c r="K229" s="78">
        <f t="shared" si="63"/>
        <v>0</v>
      </c>
      <c r="L229" s="160">
        <f t="shared" si="54"/>
        <v>56.485092511292748</v>
      </c>
      <c r="M229" s="78">
        <f t="shared" si="63"/>
        <v>15485720.18</v>
      </c>
      <c r="N229" s="78">
        <f t="shared" si="63"/>
        <v>15485720.18</v>
      </c>
      <c r="O229" s="78">
        <f t="shared" si="63"/>
        <v>0</v>
      </c>
      <c r="P229" s="78">
        <f t="shared" si="63"/>
        <v>0</v>
      </c>
      <c r="Q229" s="78">
        <f t="shared" si="63"/>
        <v>0</v>
      </c>
      <c r="R229" s="78">
        <f t="shared" si="63"/>
        <v>15485720.18</v>
      </c>
      <c r="S229" s="78">
        <f t="shared" si="63"/>
        <v>0</v>
      </c>
      <c r="T229" s="78">
        <f t="shared" si="63"/>
        <v>0</v>
      </c>
      <c r="U229" s="78">
        <f t="shared" si="63"/>
        <v>0</v>
      </c>
      <c r="V229" s="78">
        <f t="shared" si="63"/>
        <v>0</v>
      </c>
      <c r="W229" s="78">
        <f t="shared" si="63"/>
        <v>0</v>
      </c>
      <c r="X229" s="78">
        <f t="shared" si="63"/>
        <v>0</v>
      </c>
      <c r="Y229" s="160">
        <f t="shared" si="55"/>
        <v>0</v>
      </c>
      <c r="Z229" s="78">
        <f t="shared" si="63"/>
        <v>274163573.12</v>
      </c>
      <c r="AA229" s="78">
        <f t="shared" si="63"/>
        <v>500859047.77999997</v>
      </c>
    </row>
    <row r="230" spans="1:524" s="53" customFormat="1" ht="34.5" customHeight="1" x14ac:dyDescent="0.25">
      <c r="A230" s="88"/>
      <c r="B230" s="88"/>
      <c r="C230" s="77" t="s">
        <v>404</v>
      </c>
      <c r="D230" s="78">
        <f>D28+D29+D31+D92+D206+D33+D71</f>
        <v>20445429.240000002</v>
      </c>
      <c r="E230" s="78">
        <f t="shared" ref="E230:AA230" si="64">E28+E29+E31+E92+E206+E33+E71</f>
        <v>20445429.240000002</v>
      </c>
      <c r="F230" s="78">
        <f t="shared" si="64"/>
        <v>4133559</v>
      </c>
      <c r="G230" s="78">
        <f t="shared" si="64"/>
        <v>0</v>
      </c>
      <c r="H230" s="78">
        <f t="shared" si="64"/>
        <v>0</v>
      </c>
      <c r="I230" s="78">
        <f t="shared" si="64"/>
        <v>11521741.23</v>
      </c>
      <c r="J230" s="78">
        <f t="shared" si="64"/>
        <v>1445031.96</v>
      </c>
      <c r="K230" s="78">
        <f t="shared" si="64"/>
        <v>0</v>
      </c>
      <c r="L230" s="160">
        <f t="shared" si="54"/>
        <v>56.353628455295755</v>
      </c>
      <c r="M230" s="78">
        <f t="shared" si="64"/>
        <v>98583</v>
      </c>
      <c r="N230" s="78">
        <f t="shared" si="64"/>
        <v>98583</v>
      </c>
      <c r="O230" s="78">
        <f t="shared" si="64"/>
        <v>0</v>
      </c>
      <c r="P230" s="78">
        <f t="shared" si="64"/>
        <v>0</v>
      </c>
      <c r="Q230" s="78">
        <f t="shared" si="64"/>
        <v>0</v>
      </c>
      <c r="R230" s="78">
        <f t="shared" si="64"/>
        <v>98583</v>
      </c>
      <c r="S230" s="78">
        <f t="shared" si="64"/>
        <v>0</v>
      </c>
      <c r="T230" s="78">
        <f t="shared" si="64"/>
        <v>0</v>
      </c>
      <c r="U230" s="78">
        <f t="shared" si="64"/>
        <v>0</v>
      </c>
      <c r="V230" s="78">
        <f t="shared" si="64"/>
        <v>0</v>
      </c>
      <c r="W230" s="78">
        <f t="shared" si="64"/>
        <v>0</v>
      </c>
      <c r="X230" s="78">
        <f t="shared" si="64"/>
        <v>0</v>
      </c>
      <c r="Y230" s="160">
        <f t="shared" si="55"/>
        <v>0</v>
      </c>
      <c r="Z230" s="78">
        <f t="shared" si="64"/>
        <v>11521741.23</v>
      </c>
      <c r="AA230" s="78">
        <f t="shared" si="64"/>
        <v>20544012.240000002</v>
      </c>
    </row>
    <row r="231" spans="1:524" s="53" customFormat="1" ht="23.25" customHeight="1" x14ac:dyDescent="0.25">
      <c r="A231" s="73"/>
      <c r="B231" s="73"/>
      <c r="C231" s="85" t="s">
        <v>421</v>
      </c>
      <c r="D231" s="78">
        <f>D153</f>
        <v>0</v>
      </c>
      <c r="E231" s="78">
        <f t="shared" ref="E231:AA231" si="65">E153</f>
        <v>0</v>
      </c>
      <c r="F231" s="78">
        <f t="shared" si="65"/>
        <v>0</v>
      </c>
      <c r="G231" s="78">
        <f t="shared" si="65"/>
        <v>0</v>
      </c>
      <c r="H231" s="78">
        <f t="shared" si="65"/>
        <v>0</v>
      </c>
      <c r="I231" s="78">
        <f t="shared" si="65"/>
        <v>0</v>
      </c>
      <c r="J231" s="78">
        <f t="shared" si="65"/>
        <v>0</v>
      </c>
      <c r="K231" s="78">
        <f t="shared" si="65"/>
        <v>0</v>
      </c>
      <c r="L231" s="160"/>
      <c r="M231" s="78">
        <f t="shared" si="65"/>
        <v>127771665.12</v>
      </c>
      <c r="N231" s="78">
        <f t="shared" si="65"/>
        <v>127771665.12</v>
      </c>
      <c r="O231" s="78">
        <f t="shared" si="65"/>
        <v>0</v>
      </c>
      <c r="P231" s="78">
        <f t="shared" si="65"/>
        <v>0</v>
      </c>
      <c r="Q231" s="78">
        <f t="shared" si="65"/>
        <v>0</v>
      </c>
      <c r="R231" s="78">
        <f t="shared" si="65"/>
        <v>127771665.12</v>
      </c>
      <c r="S231" s="78">
        <f t="shared" si="65"/>
        <v>2343525.58</v>
      </c>
      <c r="T231" s="78">
        <f t="shared" si="65"/>
        <v>2343525.58</v>
      </c>
      <c r="U231" s="78">
        <f t="shared" si="65"/>
        <v>0</v>
      </c>
      <c r="V231" s="78">
        <f t="shared" si="65"/>
        <v>0</v>
      </c>
      <c r="W231" s="78">
        <f t="shared" si="65"/>
        <v>0</v>
      </c>
      <c r="X231" s="78">
        <f t="shared" si="65"/>
        <v>0</v>
      </c>
      <c r="Y231" s="160">
        <f t="shared" si="55"/>
        <v>1.8341512398691984</v>
      </c>
      <c r="Z231" s="78">
        <f t="shared" si="65"/>
        <v>2343525.58</v>
      </c>
      <c r="AA231" s="78">
        <f t="shared" si="65"/>
        <v>127771665.12</v>
      </c>
    </row>
    <row r="232" spans="1:524" s="52" customFormat="1" ht="30.75" customHeight="1" x14ac:dyDescent="0.25">
      <c r="A232" s="65"/>
      <c r="B232" s="65"/>
      <c r="C232" s="66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</row>
    <row r="233" spans="1:524" s="52" customFormat="1" ht="28.5" customHeight="1" x14ac:dyDescent="0.25">
      <c r="A233" s="65"/>
      <c r="B233" s="65"/>
      <c r="C233" s="66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</row>
    <row r="234" spans="1:524" s="52" customFormat="1" ht="24" customHeight="1" x14ac:dyDescent="0.25">
      <c r="A234" s="65"/>
      <c r="B234" s="65"/>
      <c r="C234" s="66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</row>
    <row r="235" spans="1:524" s="52" customFormat="1" ht="24" customHeight="1" x14ac:dyDescent="0.25">
      <c r="A235" s="65"/>
      <c r="B235" s="65"/>
      <c r="C235" s="66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</row>
    <row r="236" spans="1:524" s="52" customFormat="1" ht="24" customHeight="1" x14ac:dyDescent="0.25">
      <c r="A236" s="65"/>
      <c r="B236" s="65"/>
      <c r="C236" s="66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</row>
    <row r="237" spans="1:524" s="172" customFormat="1" ht="43.5" customHeight="1" x14ac:dyDescent="0.6">
      <c r="A237" s="167" t="s">
        <v>475</v>
      </c>
      <c r="B237" s="168"/>
      <c r="C237" s="169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Q237" s="171"/>
      <c r="R237" s="171"/>
      <c r="S237" s="171"/>
      <c r="T237" s="171"/>
      <c r="U237" s="171"/>
      <c r="V237" s="171"/>
      <c r="W237" s="171"/>
      <c r="X237" s="170" t="s">
        <v>476</v>
      </c>
      <c r="Y237" s="170"/>
      <c r="Z237" s="171"/>
      <c r="AA237" s="171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  <c r="AP237" s="173"/>
      <c r="AQ237" s="173"/>
      <c r="AR237" s="173"/>
      <c r="AS237" s="173"/>
      <c r="AT237" s="173"/>
      <c r="AU237" s="173"/>
      <c r="AV237" s="173"/>
      <c r="AW237" s="173"/>
      <c r="AX237" s="173"/>
      <c r="AY237" s="173"/>
      <c r="AZ237" s="173"/>
      <c r="BA237" s="173"/>
      <c r="BB237" s="173"/>
      <c r="BC237" s="173"/>
      <c r="BD237" s="173"/>
      <c r="BE237" s="173"/>
      <c r="BF237" s="173"/>
      <c r="BG237" s="173"/>
      <c r="BH237" s="173"/>
      <c r="BI237" s="173"/>
      <c r="BJ237" s="173"/>
      <c r="BK237" s="173"/>
      <c r="BL237" s="173"/>
      <c r="BM237" s="173"/>
      <c r="BN237" s="173"/>
      <c r="BO237" s="173"/>
      <c r="BP237" s="173"/>
      <c r="BQ237" s="173"/>
      <c r="BR237" s="173"/>
      <c r="BS237" s="173"/>
      <c r="BT237" s="173"/>
      <c r="BU237" s="173"/>
      <c r="BV237" s="173"/>
      <c r="BW237" s="173"/>
      <c r="BX237" s="173"/>
      <c r="BY237" s="173"/>
      <c r="BZ237" s="173"/>
      <c r="CA237" s="173"/>
      <c r="CB237" s="173"/>
      <c r="CC237" s="173"/>
      <c r="CD237" s="173"/>
      <c r="CE237" s="173"/>
      <c r="CF237" s="173"/>
      <c r="CG237" s="173"/>
      <c r="CH237" s="173"/>
      <c r="CI237" s="173"/>
      <c r="CJ237" s="173"/>
      <c r="CK237" s="173"/>
      <c r="CL237" s="173"/>
      <c r="CM237" s="173"/>
      <c r="CN237" s="173"/>
      <c r="CO237" s="173"/>
      <c r="CP237" s="173"/>
      <c r="CQ237" s="173"/>
      <c r="CR237" s="173"/>
      <c r="CS237" s="173"/>
      <c r="CT237" s="173"/>
      <c r="CU237" s="173"/>
      <c r="CV237" s="173"/>
      <c r="CW237" s="173"/>
      <c r="CX237" s="173"/>
      <c r="CY237" s="173"/>
      <c r="CZ237" s="173"/>
      <c r="DA237" s="173"/>
      <c r="DB237" s="173"/>
      <c r="DC237" s="173"/>
      <c r="DD237" s="173"/>
      <c r="DE237" s="173"/>
      <c r="DF237" s="173"/>
      <c r="DG237" s="173"/>
      <c r="DH237" s="173"/>
      <c r="DI237" s="173"/>
      <c r="DJ237" s="173"/>
      <c r="DK237" s="173"/>
      <c r="DL237" s="173"/>
      <c r="DM237" s="173"/>
      <c r="DN237" s="173"/>
      <c r="DO237" s="173"/>
      <c r="DP237" s="173"/>
      <c r="DQ237" s="173"/>
      <c r="DR237" s="173"/>
      <c r="DS237" s="173"/>
      <c r="DT237" s="173"/>
      <c r="DU237" s="173"/>
      <c r="DV237" s="173"/>
      <c r="DW237" s="173"/>
      <c r="DX237" s="173"/>
      <c r="DY237" s="173"/>
      <c r="DZ237" s="173"/>
      <c r="EA237" s="173"/>
      <c r="EB237" s="173"/>
      <c r="EC237" s="173"/>
      <c r="ED237" s="173"/>
      <c r="EE237" s="173"/>
      <c r="EF237" s="173"/>
      <c r="EG237" s="173"/>
      <c r="EH237" s="173"/>
      <c r="EI237" s="173"/>
      <c r="EJ237" s="173"/>
      <c r="EK237" s="173"/>
      <c r="EL237" s="173"/>
      <c r="EM237" s="173"/>
      <c r="EN237" s="173"/>
      <c r="EO237" s="173"/>
      <c r="EP237" s="173"/>
      <c r="EQ237" s="173"/>
      <c r="ER237" s="173"/>
      <c r="ES237" s="173"/>
      <c r="ET237" s="173"/>
      <c r="EU237" s="173"/>
      <c r="EV237" s="173"/>
      <c r="EW237" s="173"/>
      <c r="EX237" s="173"/>
      <c r="EY237" s="173"/>
      <c r="EZ237" s="173"/>
      <c r="FA237" s="173"/>
      <c r="FB237" s="173"/>
      <c r="FC237" s="173"/>
      <c r="FD237" s="173"/>
      <c r="FE237" s="173"/>
      <c r="FF237" s="173"/>
      <c r="FG237" s="173"/>
      <c r="FH237" s="173"/>
      <c r="FI237" s="173"/>
      <c r="FJ237" s="173"/>
      <c r="FK237" s="173"/>
      <c r="FL237" s="173"/>
      <c r="FM237" s="173"/>
      <c r="FN237" s="173"/>
      <c r="FO237" s="173"/>
      <c r="FP237" s="173"/>
      <c r="FQ237" s="173"/>
      <c r="FR237" s="173"/>
      <c r="FS237" s="173"/>
      <c r="FT237" s="173"/>
      <c r="FU237" s="173"/>
      <c r="FV237" s="173"/>
      <c r="FW237" s="173"/>
      <c r="FX237" s="173"/>
      <c r="FY237" s="173"/>
      <c r="FZ237" s="173"/>
      <c r="GA237" s="173"/>
      <c r="GB237" s="173"/>
      <c r="GC237" s="173"/>
      <c r="GD237" s="173"/>
      <c r="GE237" s="173"/>
      <c r="GF237" s="173"/>
      <c r="GG237" s="173"/>
      <c r="GH237" s="173"/>
      <c r="GI237" s="173"/>
      <c r="GJ237" s="173"/>
      <c r="GK237" s="173"/>
      <c r="GL237" s="173"/>
      <c r="GM237" s="173"/>
      <c r="GN237" s="173"/>
      <c r="GO237" s="173"/>
      <c r="GP237" s="173"/>
      <c r="GQ237" s="173"/>
      <c r="GR237" s="173"/>
      <c r="GS237" s="173"/>
      <c r="GT237" s="173"/>
      <c r="GU237" s="173"/>
      <c r="GV237" s="173"/>
      <c r="GW237" s="173"/>
      <c r="GX237" s="173"/>
      <c r="GY237" s="173"/>
      <c r="GZ237" s="173"/>
      <c r="HA237" s="173"/>
      <c r="HB237" s="173"/>
      <c r="HC237" s="173"/>
      <c r="HD237" s="173"/>
      <c r="HE237" s="173"/>
      <c r="HF237" s="173"/>
      <c r="HG237" s="173"/>
      <c r="HH237" s="173"/>
      <c r="HI237" s="173"/>
      <c r="HJ237" s="173"/>
      <c r="HK237" s="173"/>
      <c r="HL237" s="173"/>
      <c r="HM237" s="173"/>
      <c r="HN237" s="173"/>
      <c r="HO237" s="173"/>
      <c r="HP237" s="173"/>
      <c r="HQ237" s="173"/>
      <c r="HR237" s="173"/>
      <c r="HS237" s="173"/>
      <c r="HT237" s="173"/>
      <c r="HU237" s="173"/>
      <c r="HV237" s="173"/>
      <c r="HW237" s="173"/>
      <c r="HX237" s="173"/>
      <c r="HY237" s="173"/>
      <c r="HZ237" s="173"/>
      <c r="IA237" s="173"/>
      <c r="IB237" s="173"/>
      <c r="IC237" s="173"/>
      <c r="ID237" s="173"/>
      <c r="IE237" s="173"/>
      <c r="IF237" s="173"/>
      <c r="IG237" s="173"/>
      <c r="IH237" s="173"/>
      <c r="II237" s="173"/>
      <c r="IJ237" s="173"/>
      <c r="IK237" s="173"/>
      <c r="IL237" s="173"/>
      <c r="IM237" s="173"/>
      <c r="IN237" s="173"/>
      <c r="IO237" s="173"/>
      <c r="IP237" s="173"/>
      <c r="IQ237" s="173"/>
      <c r="IR237" s="173"/>
      <c r="IS237" s="173"/>
      <c r="IT237" s="173"/>
      <c r="IU237" s="173"/>
      <c r="IV237" s="173"/>
      <c r="IW237" s="173"/>
      <c r="IX237" s="173"/>
      <c r="IY237" s="173"/>
      <c r="IZ237" s="173"/>
      <c r="JA237" s="173"/>
      <c r="JB237" s="173"/>
      <c r="JC237" s="173"/>
      <c r="JD237" s="173"/>
      <c r="JE237" s="173"/>
      <c r="JF237" s="173"/>
      <c r="JG237" s="173"/>
      <c r="JH237" s="173"/>
      <c r="JI237" s="173"/>
      <c r="JJ237" s="173"/>
      <c r="JK237" s="173"/>
      <c r="JL237" s="173"/>
      <c r="JM237" s="173"/>
      <c r="JN237" s="173"/>
      <c r="JO237" s="173"/>
      <c r="JP237" s="173"/>
      <c r="JQ237" s="173"/>
      <c r="JR237" s="173"/>
      <c r="JS237" s="173"/>
      <c r="JT237" s="173"/>
      <c r="JU237" s="173"/>
      <c r="JV237" s="173"/>
      <c r="JW237" s="173"/>
      <c r="JX237" s="173"/>
      <c r="JY237" s="173"/>
      <c r="JZ237" s="173"/>
      <c r="KA237" s="173"/>
      <c r="KB237" s="173"/>
      <c r="KC237" s="173"/>
      <c r="KD237" s="173"/>
      <c r="KE237" s="173"/>
      <c r="KF237" s="173"/>
      <c r="KG237" s="173"/>
      <c r="KH237" s="173"/>
      <c r="KI237" s="173"/>
      <c r="KJ237" s="173"/>
      <c r="KK237" s="173"/>
      <c r="KL237" s="173"/>
      <c r="KM237" s="173"/>
      <c r="KN237" s="173"/>
      <c r="KO237" s="173"/>
      <c r="KP237" s="173"/>
      <c r="KQ237" s="173"/>
      <c r="KR237" s="173"/>
      <c r="KS237" s="173"/>
      <c r="KT237" s="173"/>
      <c r="KU237" s="173"/>
      <c r="KV237" s="173"/>
      <c r="KW237" s="173"/>
      <c r="KX237" s="173"/>
      <c r="KY237" s="173"/>
      <c r="KZ237" s="173"/>
      <c r="LA237" s="173"/>
      <c r="LB237" s="173"/>
      <c r="LC237" s="173"/>
      <c r="LD237" s="173"/>
      <c r="LE237" s="173"/>
      <c r="LF237" s="173"/>
      <c r="LG237" s="173"/>
      <c r="LH237" s="173"/>
      <c r="LI237" s="173"/>
      <c r="LJ237" s="173"/>
      <c r="LK237" s="173"/>
      <c r="LL237" s="173"/>
      <c r="LM237" s="173"/>
      <c r="LN237" s="173"/>
      <c r="LO237" s="173"/>
      <c r="LP237" s="173"/>
      <c r="LQ237" s="173"/>
      <c r="LR237" s="173"/>
      <c r="LS237" s="173"/>
      <c r="LT237" s="173"/>
      <c r="LU237" s="173"/>
      <c r="LV237" s="173"/>
      <c r="LW237" s="173"/>
      <c r="LX237" s="173"/>
      <c r="LY237" s="173"/>
      <c r="LZ237" s="173"/>
      <c r="MA237" s="173"/>
      <c r="MB237" s="173"/>
      <c r="MC237" s="173"/>
      <c r="MD237" s="173"/>
      <c r="ME237" s="173"/>
      <c r="MF237" s="173"/>
      <c r="MG237" s="173"/>
      <c r="MH237" s="173"/>
      <c r="MI237" s="173"/>
      <c r="MJ237" s="173"/>
      <c r="MK237" s="173"/>
      <c r="ML237" s="173"/>
      <c r="MM237" s="173"/>
      <c r="MN237" s="173"/>
      <c r="MO237" s="173"/>
      <c r="MP237" s="173"/>
      <c r="MQ237" s="173"/>
      <c r="MR237" s="173"/>
      <c r="MS237" s="173"/>
      <c r="MT237" s="173"/>
      <c r="MU237" s="173"/>
      <c r="MV237" s="173"/>
      <c r="MW237" s="173"/>
      <c r="MX237" s="173"/>
      <c r="MY237" s="173"/>
      <c r="MZ237" s="173"/>
      <c r="NA237" s="173"/>
      <c r="NB237" s="173"/>
      <c r="NC237" s="173"/>
      <c r="ND237" s="173"/>
      <c r="NE237" s="173"/>
      <c r="NF237" s="173"/>
      <c r="NG237" s="173"/>
      <c r="NH237" s="173"/>
      <c r="NI237" s="173"/>
      <c r="NJ237" s="173"/>
      <c r="NK237" s="173"/>
      <c r="NL237" s="173"/>
      <c r="NM237" s="173"/>
      <c r="NN237" s="173"/>
      <c r="NO237" s="173"/>
      <c r="NP237" s="173"/>
      <c r="NQ237" s="173"/>
      <c r="NR237" s="173"/>
      <c r="NS237" s="173"/>
      <c r="NT237" s="173"/>
      <c r="NU237" s="173"/>
      <c r="NV237" s="173"/>
      <c r="NW237" s="173"/>
      <c r="NX237" s="173"/>
      <c r="NY237" s="173"/>
      <c r="NZ237" s="173"/>
      <c r="OA237" s="173"/>
      <c r="OB237" s="173"/>
      <c r="OC237" s="173"/>
      <c r="OD237" s="173"/>
      <c r="OE237" s="173"/>
      <c r="OF237" s="173"/>
      <c r="OG237" s="173"/>
      <c r="OH237" s="173"/>
      <c r="OI237" s="173"/>
      <c r="OJ237" s="173"/>
      <c r="OK237" s="173"/>
      <c r="OL237" s="173"/>
      <c r="OM237" s="173"/>
      <c r="ON237" s="173"/>
      <c r="OO237" s="173"/>
      <c r="OP237" s="173"/>
      <c r="OQ237" s="173"/>
      <c r="OR237" s="173"/>
      <c r="OS237" s="173"/>
      <c r="OT237" s="173"/>
      <c r="OU237" s="173"/>
      <c r="OV237" s="173"/>
      <c r="OW237" s="173"/>
      <c r="OX237" s="173"/>
      <c r="OY237" s="173"/>
      <c r="OZ237" s="173"/>
      <c r="PA237" s="173"/>
      <c r="PB237" s="173"/>
      <c r="PC237" s="173"/>
      <c r="PD237" s="173"/>
      <c r="PE237" s="173"/>
      <c r="PF237" s="173"/>
      <c r="PG237" s="173"/>
      <c r="PH237" s="173"/>
      <c r="PI237" s="173"/>
      <c r="PJ237" s="173"/>
      <c r="PK237" s="173"/>
      <c r="PL237" s="173"/>
      <c r="PM237" s="173"/>
      <c r="PN237" s="173"/>
      <c r="PO237" s="173"/>
      <c r="PP237" s="173"/>
      <c r="PQ237" s="173"/>
      <c r="PR237" s="173"/>
      <c r="PS237" s="173"/>
      <c r="PT237" s="173"/>
      <c r="PU237" s="173"/>
      <c r="PV237" s="173"/>
      <c r="PW237" s="173"/>
      <c r="PX237" s="173"/>
      <c r="PY237" s="173"/>
      <c r="PZ237" s="173"/>
      <c r="QA237" s="173"/>
      <c r="QB237" s="173"/>
      <c r="QC237" s="173"/>
      <c r="QD237" s="173"/>
      <c r="QE237" s="173"/>
      <c r="QF237" s="173"/>
      <c r="QG237" s="173"/>
      <c r="QH237" s="173"/>
      <c r="QI237" s="173"/>
      <c r="QJ237" s="173"/>
      <c r="QK237" s="173"/>
      <c r="QL237" s="173"/>
      <c r="QM237" s="173"/>
      <c r="QN237" s="173"/>
      <c r="QO237" s="173"/>
      <c r="QP237" s="173"/>
      <c r="QQ237" s="173"/>
      <c r="QR237" s="173"/>
      <c r="QS237" s="173"/>
      <c r="QT237" s="173"/>
      <c r="QU237" s="173"/>
      <c r="QV237" s="173"/>
      <c r="QW237" s="173"/>
      <c r="QX237" s="173"/>
      <c r="QY237" s="173"/>
      <c r="QZ237" s="173"/>
      <c r="RA237" s="173"/>
      <c r="RB237" s="173"/>
      <c r="RC237" s="173"/>
      <c r="RD237" s="173"/>
      <c r="RE237" s="173"/>
      <c r="RF237" s="173"/>
      <c r="RG237" s="173"/>
      <c r="RH237" s="173"/>
      <c r="RI237" s="173"/>
      <c r="RJ237" s="173"/>
      <c r="RK237" s="173"/>
      <c r="RL237" s="173"/>
      <c r="RM237" s="173"/>
      <c r="RN237" s="173"/>
      <c r="RO237" s="173"/>
      <c r="RP237" s="173"/>
      <c r="RQ237" s="173"/>
      <c r="RR237" s="173"/>
      <c r="RS237" s="173"/>
      <c r="RT237" s="173"/>
      <c r="RU237" s="173"/>
      <c r="RV237" s="173"/>
      <c r="RW237" s="173"/>
      <c r="RX237" s="173"/>
      <c r="RY237" s="173"/>
      <c r="RZ237" s="173"/>
      <c r="SA237" s="173"/>
      <c r="SB237" s="173"/>
      <c r="SC237" s="173"/>
      <c r="SD237" s="173"/>
      <c r="SE237" s="173"/>
      <c r="SF237" s="173"/>
      <c r="SG237" s="173"/>
      <c r="SH237" s="173"/>
      <c r="SI237" s="173"/>
      <c r="SJ237" s="173"/>
      <c r="SK237" s="173"/>
      <c r="SL237" s="173"/>
      <c r="SM237" s="173"/>
      <c r="SN237" s="173"/>
      <c r="SO237" s="173"/>
      <c r="SP237" s="173"/>
      <c r="SQ237" s="173"/>
      <c r="SR237" s="173"/>
      <c r="SS237" s="173"/>
      <c r="ST237" s="173"/>
      <c r="SU237" s="173"/>
      <c r="SV237" s="173"/>
      <c r="SW237" s="173"/>
      <c r="SX237" s="173"/>
      <c r="SY237" s="173"/>
      <c r="SZ237" s="173"/>
      <c r="TA237" s="173"/>
      <c r="TB237" s="173"/>
      <c r="TC237" s="173"/>
      <c r="TD237" s="173"/>
    </row>
    <row r="238" spans="1:524" s="28" customFormat="1" ht="30" customHeight="1" x14ac:dyDescent="0.25">
      <c r="A238" s="56"/>
      <c r="B238" s="62"/>
      <c r="C238" s="62"/>
      <c r="D238" s="35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</row>
    <row r="239" spans="1:524" s="165" customFormat="1" ht="40.5" x14ac:dyDescent="0.55000000000000004">
      <c r="A239" s="175" t="s">
        <v>477</v>
      </c>
      <c r="B239" s="175"/>
      <c r="C239" s="175"/>
      <c r="D239" s="175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  <c r="AA239" s="176"/>
    </row>
    <row r="240" spans="1:524" s="165" customFormat="1" ht="36" customHeight="1" x14ac:dyDescent="0.55000000000000004">
      <c r="A240" s="175" t="s">
        <v>587</v>
      </c>
      <c r="B240" s="175"/>
      <c r="C240" s="177"/>
      <c r="D240" s="178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</row>
    <row r="241" spans="1:3" s="137" customFormat="1" ht="32.25" customHeight="1" x14ac:dyDescent="0.4">
      <c r="A241" s="134"/>
      <c r="B241" s="135"/>
      <c r="C241" s="136"/>
    </row>
  </sheetData>
  <mergeCells count="35">
    <mergeCell ref="D16:H16"/>
    <mergeCell ref="M16:R16"/>
    <mergeCell ref="S16:X16"/>
    <mergeCell ref="S17:S18"/>
    <mergeCell ref="T17:T18"/>
    <mergeCell ref="U17:U18"/>
    <mergeCell ref="D17:D18"/>
    <mergeCell ref="E17:E18"/>
    <mergeCell ref="N17:N18"/>
    <mergeCell ref="F17:G17"/>
    <mergeCell ref="P17:Q17"/>
    <mergeCell ref="R17:R18"/>
    <mergeCell ref="V17:W17"/>
    <mergeCell ref="AA15:AA18"/>
    <mergeCell ref="I16:K16"/>
    <mergeCell ref="I17:I18"/>
    <mergeCell ref="J17:K17"/>
    <mergeCell ref="M15:X15"/>
    <mergeCell ref="D15:K15"/>
    <mergeCell ref="M17:M18"/>
    <mergeCell ref="L15:L18"/>
    <mergeCell ref="O17:O18"/>
    <mergeCell ref="R1:V1"/>
    <mergeCell ref="R3:Z3"/>
    <mergeCell ref="X17:X18"/>
    <mergeCell ref="Z15:Z18"/>
    <mergeCell ref="Y15:Y18"/>
    <mergeCell ref="A10:X10"/>
    <mergeCell ref="A11:Z11"/>
    <mergeCell ref="A12:Z12"/>
    <mergeCell ref="Y14:Z14"/>
    <mergeCell ref="H17:H18"/>
    <mergeCell ref="A15:A18"/>
    <mergeCell ref="B15:B18"/>
    <mergeCell ref="C15:C18"/>
  </mergeCells>
  <phoneticPr fontId="3" type="noConversion"/>
  <printOptions horizontalCentered="1"/>
  <pageMargins left="0" right="0" top="0.86614173228346458" bottom="0.59055118110236227" header="0" footer="0.31496062992125984"/>
  <pageSetup paperSize="9" scale="33" fitToHeight="100" orientation="landscape" verticalDpi="300" r:id="rId1"/>
  <headerFooter scaleWithDoc="0" alignWithMargins="0">
    <oddHeader xml:space="preserve">&amp;R
</oddHeader>
    <oddFooter>&amp;R&amp;8Сторінка &amp;P</oddFooter>
  </headerFooter>
  <rowBreaks count="1" manualBreakCount="1">
    <brk id="22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2021-07-30T05:47:01Z</cp:lastPrinted>
  <dcterms:created xsi:type="dcterms:W3CDTF">2014-01-17T10:52:16Z</dcterms:created>
  <dcterms:modified xsi:type="dcterms:W3CDTF">2021-07-30T05:47:02Z</dcterms:modified>
</cp:coreProperties>
</file>