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85" yWindow="330" windowWidth="11925" windowHeight="5805" tabRatio="913" firstSheet="2" activeTab="2"/>
  </bookViews>
  <sheets>
    <sheet name="дод. зміни 2020 " sheetId="1" state="hidden" r:id="rId1"/>
    <sheet name="дод. зміни 2020 1" sheetId="2" state="hidden" r:id="rId2"/>
    <sheet name="дод. зміни 2020" sheetId="3" r:id="rId3"/>
    <sheet name="дод.9 зміни  2018" sheetId="4" state="hidden" r:id="rId4"/>
    <sheet name="дод 2" sheetId="5" r:id="rId5"/>
    <sheet name="дод 3  Трансп.інфрастр.  " sheetId="6" r:id="rId6"/>
    <sheet name="дод 4 Свет " sheetId="7" r:id="rId7"/>
    <sheet name="дод 5 озеленення " sheetId="8" r:id="rId8"/>
    <sheet name="дод 6  Кладовща" sheetId="9" r:id="rId9"/>
    <sheet name="дод 7  сан очистка" sheetId="10" r:id="rId10"/>
    <sheet name="дод 8  Пот Благуострій" sheetId="11" r:id="rId11"/>
    <sheet name="дод 9   Тварини" sheetId="12" r:id="rId12"/>
    <sheet name="дод 10  Кап Благоустрою" sheetId="13" r:id="rId13"/>
    <sheet name="дод 11   кап ремонт житло " sheetId="14" r:id="rId14"/>
    <sheet name="дод 12 Святкові  " sheetId="15" r:id="rId15"/>
    <sheet name="дод 13   Вода " sheetId="16" r:id="rId16"/>
    <sheet name="дод 14  финпидтримка " sheetId="17" r:id="rId17"/>
    <sheet name="дод 15  Енргозбер. заходи" sheetId="18" r:id="rId18"/>
    <sheet name="дод16 статут зміцн.мат.тех.бази" sheetId="19" r:id="rId19"/>
    <sheet name="дод17  Субв. Сироватк (Красноп)" sheetId="20" r:id="rId20"/>
    <sheet name="дод 18  паспорт дом " sheetId="21" r:id="rId21"/>
    <sheet name="дод 19 Буд,реставр. та реконстр" sheetId="22" r:id="rId22"/>
    <sheet name="дод.19 Буд.реставр. та реконстр" sheetId="23" r:id="rId23"/>
    <sheet name="дод 20 Поверн  бюдж позичок" sheetId="24" r:id="rId24"/>
    <sheet name="дод 21 Надан бюдж позич " sheetId="25" r:id="rId25"/>
    <sheet name="дод.7 земля" sheetId="26" state="hidden" r:id="rId26"/>
    <sheet name="Лист3" sheetId="27" state="hidden" r:id="rId27"/>
    <sheet name="дод22  вузли комерц.обл.(ліч)" sheetId="28" r:id="rId28"/>
  </sheets>
  <definedNames>
    <definedName name="_xlnm.Print_Area" localSheetId="14">'дод 12 Святкові  '!$A$1:$K$68</definedName>
    <definedName name="_xlnm.Print_Area" localSheetId="16">'дод 14  финпидтримка '!$A$1:$K$40</definedName>
    <definedName name="_xlnm.Print_Area" localSheetId="5">'дод 3  Трансп.інфрастр.  '!$A$1:$H$46</definedName>
    <definedName name="_xlnm.Print_Area" localSheetId="7">'дод 5 озеленення '!$A$1:$L$81</definedName>
    <definedName name="_xlnm.Print_Area" localSheetId="18">'дод16 статут зміцн.мат.тех.бази'!$A$1:$J$158</definedName>
  </definedNames>
  <calcPr fullCalcOnLoad="1"/>
</workbook>
</file>

<file path=xl/sharedStrings.xml><?xml version="1.0" encoding="utf-8"?>
<sst xmlns="http://schemas.openxmlformats.org/spreadsheetml/2006/main" count="2261" uniqueCount="788">
  <si>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</si>
  <si>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</si>
  <si>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</si>
  <si>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</si>
  <si>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</si>
  <si>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</si>
  <si>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</si>
  <si>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</si>
  <si>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</si>
  <si>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</si>
  <si>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</si>
  <si>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</si>
  <si>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</si>
  <si>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</si>
  <si>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</si>
  <si>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</si>
  <si>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</si>
  <si>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</si>
  <si>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</si>
  <si>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</si>
  <si>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</si>
  <si>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</si>
  <si>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</si>
  <si>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</si>
  <si>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</si>
  <si>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</si>
  <si>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</si>
  <si>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</si>
  <si>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</si>
  <si>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</si>
  <si>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</si>
  <si>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</si>
  <si>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</si>
  <si>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</si>
  <si>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</si>
  <si>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</si>
  <si>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</si>
  <si>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__________________</t>
  </si>
  <si>
    <t xml:space="preserve">житлово-комунального господарства м.Суми </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</si>
  <si>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</si>
  <si>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</si>
  <si>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</si>
  <si>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</si>
  <si>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</si>
  <si>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</si>
  <si>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</si>
  <si>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</si>
  <si>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</si>
  <si>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Департамент інфраструктури міста Сумської міської ради, КП "Міськводоканал" СМР та інші суб'єкти господарювання</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</si>
  <si>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</si>
  <si>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</si>
  <si>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</si>
  <si>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</si>
  <si>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</si>
  <si>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</si>
  <si>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</si>
  <si>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</si>
  <si>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</si>
  <si>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</si>
  <si>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</si>
  <si>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</si>
  <si>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</si>
  <si>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</si>
  <si>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</si>
  <si>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</si>
  <si>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</si>
  <si>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</si>
  <si>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</si>
  <si>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</si>
  <si>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</si>
  <si>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</si>
  <si>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</si>
  <si>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</si>
  <si>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</si>
  <si>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</si>
  <si>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</si>
  <si>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</si>
  <si>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</si>
  <si>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</si>
  <si>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</si>
  <si>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</si>
  <si>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</si>
  <si>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</si>
  <si>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</si>
  <si>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</si>
  <si>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</si>
  <si>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</si>
  <si>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</si>
  <si>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</si>
  <si>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</si>
  <si>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</si>
  <si>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</si>
  <si>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</si>
  <si>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</si>
  <si>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</si>
  <si>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</si>
  <si>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</si>
  <si>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</si>
  <si>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 п\п</t>
  </si>
  <si>
    <t>Догляд за деревами, в тому числі:</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</si>
  <si>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</si>
  <si>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</si>
  <si>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</si>
  <si>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</si>
  <si>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</si>
  <si>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</si>
  <si>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</si>
  <si>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</si>
  <si>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</si>
  <si>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</si>
  <si>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</si>
  <si>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</si>
  <si>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прибирання скошеної трави</t>
  </si>
  <si>
    <t>підсів трави на газонах</t>
  </si>
  <si>
    <t>весняне підживлення газонів</t>
  </si>
  <si>
    <t>просічування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</si>
  <si>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</si>
  <si>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</si>
  <si>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</si>
  <si>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</si>
  <si>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</si>
  <si>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</si>
  <si>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</si>
  <si>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</si>
  <si>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</si>
  <si>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</si>
  <si>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</si>
  <si>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</si>
  <si>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</si>
  <si>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</si>
  <si>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</si>
  <si>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</si>
  <si>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</si>
  <si>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</si>
  <si>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</si>
  <si>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</si>
  <si>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</si>
  <si>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</si>
  <si>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</si>
  <si>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</si>
  <si>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</si>
  <si>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</si>
  <si>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</si>
  <si>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</si>
  <si>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</si>
  <si>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</si>
  <si>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</si>
  <si>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</si>
  <si>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</si>
  <si>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</si>
  <si>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</si>
  <si>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</si>
  <si>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 xml:space="preserve">«Про затвердження  Комплексної </t>
  </si>
  <si>
    <t xml:space="preserve">Департамент інфраструктури міста Сумської міської ради, КП "Сумикомунінвест" СМР,  КП "Сумижитло" СМР </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</si>
  <si>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</si>
  <si>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</si>
  <si>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</si>
  <si>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</si>
  <si>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</si>
  <si>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</si>
  <si>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</si>
  <si>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</si>
  <si>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</si>
  <si>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</si>
  <si>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</si>
  <si>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</si>
  <si>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</si>
  <si>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</si>
  <si>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</si>
  <si>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</si>
  <si>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</si>
  <si>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</si>
  <si>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</si>
  <si>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</si>
  <si>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</si>
  <si>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</si>
  <si>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</si>
  <si>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</si>
  <si>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</si>
  <si>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</si>
  <si>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</si>
  <si>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</si>
  <si>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</si>
  <si>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</si>
  <si>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</si>
  <si>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</si>
  <si>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</si>
  <si>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</si>
  <si>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</si>
  <si>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</si>
  <si>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</si>
  <si>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</si>
  <si>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</si>
  <si>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</si>
  <si>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</si>
  <si>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</si>
  <si>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</si>
  <si>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</si>
  <si>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</si>
  <si>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</si>
  <si>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</si>
  <si>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Департамент інфраструктури міста Сумської міської ради,  КП "Центр догляду за тваринами" СМР та інші суб'єкти господарювання</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</si>
  <si>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</si>
  <si>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</si>
  <si>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</si>
  <si>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</si>
  <si>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</si>
  <si>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</si>
  <si>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</si>
  <si>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</si>
  <si>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</si>
  <si>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</si>
  <si>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</si>
  <si>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</si>
  <si>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</si>
  <si>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</si>
  <si>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</si>
  <si>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</si>
  <si>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</si>
  <si>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</si>
  <si>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</si>
  <si>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</si>
  <si>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</si>
  <si>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</si>
  <si>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</si>
  <si>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</si>
  <si>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</si>
  <si>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</si>
  <si>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</si>
  <si>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</si>
  <si>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</si>
  <si>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</si>
  <si>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</si>
  <si>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</si>
  <si>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</si>
  <si>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</si>
  <si>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</si>
  <si>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</si>
  <si>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</si>
  <si>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</si>
  <si>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</si>
  <si>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</si>
  <si>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</si>
  <si>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</si>
  <si>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</si>
  <si>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</si>
  <si>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</si>
  <si>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</si>
  <si>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</si>
  <si>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</si>
  <si>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</si>
  <si>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</si>
  <si>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</si>
  <si>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</si>
  <si>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Капітальний ремонт  об'єктів та елементів благоустрою </t>
  </si>
  <si>
    <t xml:space="preserve">Забезпечення охорони водозаборів та очисних споруд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</si>
  <si>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</si>
  <si>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</si>
  <si>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</si>
  <si>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</si>
  <si>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</si>
  <si>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</si>
  <si>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</si>
  <si>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</si>
  <si>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</si>
  <si>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</si>
  <si>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Надання бюджетних позичок на поворотній основі</t>
  </si>
  <si>
    <t xml:space="preserve">Департамент інфраструктури міста Сумської міської ради, КП "Міськводоканал" СМР  </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</si>
  <si>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</si>
  <si>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</si>
  <si>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</si>
  <si>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 xml:space="preserve">Садіння нових дерев і кущив за рахунок цільового фонду </t>
  </si>
  <si>
    <t>Капітальний ремонт житлового фонду  , в т.ч.</t>
  </si>
  <si>
    <t>1.1</t>
  </si>
  <si>
    <t>Капітальний ремонт житлового фонду, в т.ч.  співфінансування капітального ремонту житлового фонду (40*60)</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</si>
  <si>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</si>
  <si>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</si>
  <si>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</si>
  <si>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Капітальний ремонт  діючого  каналізаційного самотічного колектора Д 500 мм по вул.Ремісничій в м. Суми</t>
  </si>
  <si>
    <t>Охорона КНС за адресою вул.Привокзальна,4/13</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</si>
  <si>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</si>
  <si>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</si>
  <si>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</si>
  <si>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Департамент інфраструктури міста Сумської міської ради  та  інші суб'єкти господарювання</t>
  </si>
  <si>
    <t>Реставрація споруди "Альтанка" в м.Суми</t>
  </si>
  <si>
    <t>1.2</t>
  </si>
  <si>
    <t>Реставрація покрівлі та фасаду житлового будинку по вул. Соборна, 32 в м.Суми</t>
  </si>
  <si>
    <t>1.3</t>
  </si>
  <si>
    <t>1.4</t>
  </si>
  <si>
    <t xml:space="preserve">Реконструкція (санація) самотічного каналізаційного колектора Д 500 мм по вул. Замостянській від перехрестя  вул. Харківська та  вул. Сумсько-Київських дивізій до перехрестя вул. Черкаська та вул. Лінійна  в м. Суми </t>
  </si>
  <si>
    <t>1.5</t>
  </si>
  <si>
    <t>Реконструкція (санація) самотічного каналізаційного колектора Д 600-800 мм  від вул. Харківська, 32 по вул. Сумсько-Київських  дивізій  до КНС-6 ,</t>
  </si>
  <si>
    <t>1.6</t>
  </si>
  <si>
    <t xml:space="preserve">Реконструкція (санація) самотічного каналізаційного колектора Д 400-500 мм від вул. Романа Атаманюка по  вул. Генерала Чибісова, Новорічній до вул. Київської </t>
  </si>
  <si>
    <t xml:space="preserve">Будівництво зливної каналізації по вул.Косівщинській, вул.Кавалерідзе, вул.Нахімова, вул. Дарвіна, вул.Жуковського, вул.Макаренка </t>
  </si>
  <si>
    <t>Будівництво кабельної лінії електроживлення (резервний кабель) каналізаційно – насосної станції по вул. Привокзальна, 4/13</t>
  </si>
  <si>
    <t>Будівництво свердловини №15 на нижню крейду з розширеним контуром на Лепехівському водозаборі м.Суми</t>
  </si>
  <si>
    <t>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</si>
  <si>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Реконструкція каналізаційного залізобетонного самотічного колектора Д=600-1000мм, який проходить по вул. Пушкіна, Садова, Засумська, Ярослава Мудрого (Пролетарська) до КНС2 від вул. Степана Бандери (Баумана) до вул.Лугової (коригування)</t>
  </si>
  <si>
    <t>Реконструкція хлорного господарства на очисних спорудах м. Суми з переведенням на гіпохлорит натрію</t>
  </si>
  <si>
    <t>Залишок субвенції на реконструкцію багатофункціонального спортивного майданчика вул. Новомістенська, 4</t>
  </si>
  <si>
    <t xml:space="preserve">Реконструкція  аварійного  самотічного колектора Д-400 по вул. Білопільський шлях  від КНС -7 до району Тепличного </t>
  </si>
  <si>
    <t xml:space="preserve">Будівництво  пандусів до житлових будинків </t>
  </si>
  <si>
    <t>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 М. Лукаша, м. Суми</t>
  </si>
  <si>
    <t>Реконструкція системи електрозабезпечення 48-квартирного будинку по вулиці Холодногірська, 30/1 м. Суми</t>
  </si>
  <si>
    <t>Будівництво міського пляжу в парку ім. І.М. Кожедуба</t>
  </si>
  <si>
    <t>Будівництво скейт-парку в парку ім. І.М. Кожедуба</t>
  </si>
  <si>
    <t>Міні-скейт парк на Роменсьеій</t>
  </si>
  <si>
    <t>Будівництво, реконструкція, та реставрація,  в т.ч:</t>
  </si>
  <si>
    <t>Будівництво напірного каналізаційного колектору від КНС-9 до пр.Михайла Лушпи в м.Суми з переврізкою в збудований напірний колектор</t>
  </si>
  <si>
    <t>Будівництво напірного каналізаційного колектору від КНС-6 до вул.Прокоф'єва в м.Суми з переврізкою в збудований напірний колектор</t>
  </si>
  <si>
    <t>Реконструкція каналізаційного самопливного колектору Д-1000 мм по вул.1-ша Набережна р.Стрілка</t>
  </si>
  <si>
    <t>Реконструкція дитячого парку "Казка"</t>
  </si>
  <si>
    <t xml:space="preserve">Розробка схеми оптимізації роботи системи централізованого водопостачання та водовідведення міста Суми </t>
  </si>
  <si>
    <t xml:space="preserve">Проведення ремонту  та утримання об'єктів транспортної інфраструктури  </t>
  </si>
  <si>
    <t>Утримання та ефективна експлуатація об’єктів житлово-комунального господарства</t>
  </si>
  <si>
    <t>Заходи з будівництва, реставрації та реконструкції</t>
  </si>
  <si>
    <t>Здійснення заходів  із землеустрою  міста Суми</t>
  </si>
  <si>
    <t>"Про внесення змін до Комплексної цільової</t>
  </si>
  <si>
    <t>на 2018- 2020  роки", затвердженої рішенням Сумської</t>
  </si>
  <si>
    <t>міської ради від 21 грудня   2017 року №  2913-МР,</t>
  </si>
  <si>
    <t xml:space="preserve">від 03 травня № 3413 - МР </t>
  </si>
  <si>
    <t>Здійснення  заходів із землеустрою міста Суми на період  до 2020 року</t>
  </si>
  <si>
    <t>2018 рік</t>
  </si>
  <si>
    <t>2019 рік</t>
  </si>
  <si>
    <t>2020рік</t>
  </si>
  <si>
    <t xml:space="preserve">Розроблення  проекту землеустрою  встановлення меж зон  санітарної охорони   водозаборів  питної води в м.Суми </t>
  </si>
  <si>
    <t>Департамент інфраструктури міста Сумської міської рад, КП "Міськводоканал" СМР , інші суб'єкти господарювання</t>
  </si>
  <si>
    <t>Департамент інфраструктури міста Сумської міської ради, КП "Сумижитло" СМР та інші суб'єкти господарювання</t>
  </si>
  <si>
    <t>Додаток 10</t>
  </si>
  <si>
    <t>Здійснення   заходів із впровадження засобів обліку витрат та регулювання споживання води та теплової енергії до 2020 року</t>
  </si>
  <si>
    <t xml:space="preserve">Встановлення вузлів  комерційного обліку </t>
  </si>
  <si>
    <t>Реконструкція I та II черг полігону для складування твердих побутових відходів на території В.Бобрицької сільської ради Краснопільського району Сумської області</t>
  </si>
  <si>
    <t>Будівництво огорожі для Комунальної установи Сумська загальноосвітня школа I-III ступенів №22, імені Ігоря Гольченка, вул.Ковпака,57</t>
  </si>
  <si>
    <t>Реконструкція дитячого та спортивного майданчику по вул.Рибалко,4 у м.Суми</t>
  </si>
  <si>
    <t>Будівництво дитячого майданчика по просп. М.Лушпи, буд.22</t>
  </si>
  <si>
    <t xml:space="preserve">Плата за видачу сертифікату у разі прийняття в експлуатацію закінченого будівництвом обєкту </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</si>
  <si>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</si>
  <si>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</si>
  <si>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</si>
  <si>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</si>
  <si>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21 грудня 2017 року № 2913-МР м.Суми. </t>
    </r>
  </si>
  <si>
    <t>Було в програмі</t>
  </si>
  <si>
    <t>Стало в програмі</t>
  </si>
  <si>
    <t>Внесено зміни в програму</t>
  </si>
  <si>
    <t>Додаток 7</t>
  </si>
  <si>
    <t xml:space="preserve">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t>
  </si>
  <si>
    <t>Управління архітектури та містобудування СМР</t>
  </si>
  <si>
    <t xml:space="preserve">від 29 серпня 2018 року   № 3794 - МР </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</si>
  <si>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</si>
  <si>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</si>
  <si>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</si>
  <si>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</si>
  <si>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</si>
  <si>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автогідропідйомника (автовишка))</t>
  </si>
  <si>
    <t>Поповнення статутного капіталу  КП "Спецкомбінат" СМР (придбання автокрану)</t>
  </si>
  <si>
    <t>Поповнення статутного капіталу  КП "Спецкомбінат" СМР (придбання екскаватора)</t>
  </si>
  <si>
    <t>Поповнення статутного капіталу  КП "Спецкомбінат" СМР (придбання автобуса)</t>
  </si>
  <si>
    <t>Поповнення статутного капіталу  КП "Спецкомбінат" СМР (придбання автомобіля легкового)</t>
  </si>
  <si>
    <t>Поповнення статутного капіталу КП "Центр догляду за тваринами" СМР (придбання спецавтомобіля)</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</si>
  <si>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</si>
  <si>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</si>
  <si>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</si>
  <si>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</si>
  <si>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</si>
  <si>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</si>
  <si>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</si>
  <si>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</si>
  <si>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</si>
  <si>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</si>
  <si>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</si>
  <si>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</si>
  <si>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</si>
  <si>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</si>
  <si>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</si>
  <si>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</si>
  <si>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</si>
  <si>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</si>
  <si>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</si>
  <si>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</si>
  <si>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Будівництво літньої естради ім.І.М.Кожедуба</t>
  </si>
  <si>
    <t>Будівництво пандуса на центральному вході до парку ім.І.М.Кожедуба ( вхідна група)</t>
  </si>
  <si>
    <t>Реконструкція сталевого водоводу Д 500 мм по пр.Курському від вул.Машинобудівників до перехрестя вул.Ремісничої та вул.Металургів в м.Суми ( Розробка ПКД по обєкту)</t>
  </si>
  <si>
    <t>2.1</t>
  </si>
  <si>
    <t>Створення та відновлення газонів по місту</t>
  </si>
  <si>
    <t>Садіння нових дерев і кущів по місту</t>
  </si>
  <si>
    <t>Департамент інфраструктури міста Сумської міської ради, Верхньосироватська сільська рада Сумського району, Сумської області</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</si>
  <si>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</si>
  <si>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</si>
  <si>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</si>
  <si>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</si>
  <si>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</si>
  <si>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Міський бюджет (цільовий фонд)</t>
  </si>
  <si>
    <t>Виконавчий комітет Сумської міської ради, КП "Міськводоканал" СМР</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</si>
  <si>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</si>
  <si>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</si>
  <si>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Субвенція на капітальний ремонт обєктів благоустрою</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</si>
  <si>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</si>
  <si>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</si>
  <si>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Реконструкція полігону для складування твердих побутових відходів на території Верхньосироватської сільської ради Сумського району Сумської області</t>
  </si>
  <si>
    <t>Департамент інфраструктури міста СМР , КП "Шляхрембуд" СМР та ішні суб'єкти господарювання</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</si>
  <si>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</si>
  <si>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</si>
  <si>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</si>
  <si>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</si>
  <si>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Асфальтування доріг та облаштування тротуарівв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</si>
  <si>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</si>
  <si>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Фінансова підтримка (оплата електроенергії)</t>
  </si>
  <si>
    <t>Виконання геофізичного дослідження свердловин з подальшим їх тампонажем</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</si>
  <si>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</si>
  <si>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</si>
  <si>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</si>
  <si>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</si>
  <si>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</si>
  <si>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</si>
  <si>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</si>
  <si>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</si>
  <si>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</si>
  <si>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Проведення ремонту об'єктів транспортної інфраструктури  м.Суми на період до 2020 року, в т.ч.</t>
  </si>
  <si>
    <t>2.2</t>
  </si>
  <si>
    <t>КПКВК</t>
  </si>
  <si>
    <t xml:space="preserve">КПКВК 1517442    </t>
  </si>
  <si>
    <t>тис.грн.</t>
  </si>
  <si>
    <t xml:space="preserve">                                                                       тис.грн.</t>
  </si>
  <si>
    <t>Обсяг ресурсів всього</t>
  </si>
  <si>
    <t>2018 (план)</t>
  </si>
  <si>
    <t>2019 (план)</t>
  </si>
  <si>
    <t>2020 (прогноз)</t>
  </si>
  <si>
    <t xml:space="preserve">Загальні витрати </t>
  </si>
  <si>
    <t>Забезпечення функціонування водопровідно-каналізаційного господарства міста Суми на 2018 - 2020 роки</t>
  </si>
  <si>
    <t>Джерела фінансуван-ня</t>
  </si>
  <si>
    <t>2018                (план)</t>
  </si>
  <si>
    <t>2019                 (план)</t>
  </si>
  <si>
    <t xml:space="preserve">Загальні витрати     </t>
  </si>
  <si>
    <t>2018                   (план)</t>
  </si>
  <si>
    <t>2019              (план)</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</si>
  <si>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</si>
  <si>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Створення сприятливих умов проживання населення та забезпечення надання життєво необхідних послуг на 2018 - 2020 роки</t>
  </si>
  <si>
    <t>Загальні витрати</t>
  </si>
  <si>
    <t>2018             (план)</t>
  </si>
  <si>
    <t>2019     (план)</t>
  </si>
  <si>
    <t>2020    (прогноз)</t>
  </si>
  <si>
    <t>Передача іншої субвенції з міського бюджету Верхньосироватській сільській раді Сумського району, Сумської області</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</si>
  <si>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</si>
  <si>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</si>
  <si>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</si>
  <si>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</si>
  <si>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</si>
  <si>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</si>
  <si>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 xml:space="preserve">на втрати  сільськогосподарського виробництва по земельній ділянці, що вилучається з обігу та надається в оренду комунальному підприємству "Сумижилкомсервіс" Сумської міської ради для розміщення полігону твердих побутових відходів для міста Суми            </t>
  </si>
  <si>
    <t>на проведення грошової оцінки земельної ділянки  під розміщення III черги полігону ТПВ</t>
  </si>
  <si>
    <t>2.7</t>
  </si>
  <si>
    <t>В.о.директора департаменту</t>
  </si>
  <si>
    <t>В.І.Павленко</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</si>
  <si>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</si>
  <si>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 xml:space="preserve">на облаштування тимчасових доріг на полігоні </t>
  </si>
  <si>
    <t>на проведення на території 1-ї та 2-ї черг полігону ізоляції побутових відходів грунтом шаром 0,25 м.</t>
  </si>
  <si>
    <t>2018        (план)</t>
  </si>
  <si>
    <t>2020     (прогноз)</t>
  </si>
  <si>
    <t>Забезпечення функціонування мереж зовнішнього освітлення міста Суми на 2018 - 2020 роки</t>
  </si>
  <si>
    <t>Збереження та утримання на належному рівні зеленої зони міста Суми та поліпшення його екологічних умов, організація громадських робіт                                 на 2018 - 2020 роки</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</si>
  <si>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2018 - 2020 роки</t>
  </si>
  <si>
    <t>(тис.грн.)</t>
  </si>
  <si>
    <t>2018   (план)</t>
  </si>
  <si>
    <t>2018              (план)</t>
  </si>
  <si>
    <t>2019    (план)</t>
  </si>
  <si>
    <t>2018                       (план)</t>
  </si>
  <si>
    <t>Забезпечення санітарної очистки території міста Суми на 2018 - 2020 роки</t>
  </si>
  <si>
    <t>2019   (план)</t>
  </si>
  <si>
    <t>Поточний ремонт та утримання в належному стані об'єктів благоустрою  міста Суми на 2018 - 2020 роки</t>
  </si>
  <si>
    <t>2018    (план)</t>
  </si>
  <si>
    <t>2020   (прогноз)</t>
  </si>
  <si>
    <t>Забезпечення сприятливих умов для співіснування людей та тварин на 2018 - 2020 роки</t>
  </si>
  <si>
    <t>(тис. грн.)</t>
  </si>
  <si>
    <t>Потреба коштів всього</t>
  </si>
  <si>
    <t>2019                       (план)</t>
  </si>
  <si>
    <t xml:space="preserve">Потреба коштів всього </t>
  </si>
  <si>
    <t>2018                  (план)</t>
  </si>
  <si>
    <t>2019                (план)</t>
  </si>
  <si>
    <t>2020      (прогноз)</t>
  </si>
  <si>
    <t>Впровадження енергозберігаючих заходів  на 2018 - 2020 роки</t>
  </si>
  <si>
    <t>Забезпечення надійного та безперебійного функціонування житлово-експлуатаційного господарства                                                                                                                                                                                                                                              на 2018 - 2020 роки</t>
  </si>
  <si>
    <t>Здійснення   заходів із впровадження засобів обліку витрат та регулювання споживання води та теплової енергії на 2018 - 2020 роки</t>
  </si>
  <si>
    <t>Заходи з будівництва, реставрації та реконструкції на 2018 - 2020 роки</t>
  </si>
  <si>
    <t>Повернення бюджетних позичок на поворотній основі на 2018 - 2020 роки</t>
  </si>
  <si>
    <r>
      <t xml:space="preserve">2018  </t>
    </r>
    <r>
      <rPr>
        <b/>
        <sz val="12"/>
        <rFont val="Times New Roman"/>
        <family val="1"/>
      </rPr>
      <t xml:space="preserve"> (план)</t>
    </r>
  </si>
  <si>
    <r>
      <t>2019</t>
    </r>
    <r>
      <rPr>
        <b/>
        <sz val="12"/>
        <rFont val="Times New Roman"/>
        <family val="1"/>
      </rPr>
      <t xml:space="preserve"> (план)</t>
    </r>
  </si>
  <si>
    <r>
      <t xml:space="preserve">2020  </t>
    </r>
    <r>
      <rPr>
        <b/>
        <sz val="12"/>
        <rFont val="Times New Roman"/>
        <family val="1"/>
      </rPr>
      <t xml:space="preserve"> (прогноз)</t>
    </r>
  </si>
  <si>
    <t>Надання бюджетних позичок на поворотній основі на 2018 - 2020 роки</t>
  </si>
  <si>
    <t>Додаток 3</t>
  </si>
  <si>
    <t>Додаток 4</t>
  </si>
  <si>
    <t>Додаток  5</t>
  </si>
  <si>
    <t>Додаток  6</t>
  </si>
  <si>
    <t xml:space="preserve">Додаток 8 </t>
  </si>
  <si>
    <t xml:space="preserve">Додаток 9 </t>
  </si>
  <si>
    <t>Додаток 11</t>
  </si>
  <si>
    <t>Додаток 13</t>
  </si>
  <si>
    <t>Додаток 14</t>
  </si>
  <si>
    <t>Додаток 15</t>
  </si>
  <si>
    <t xml:space="preserve">Додаток 16 </t>
  </si>
  <si>
    <t>Додаток 17</t>
  </si>
  <si>
    <t xml:space="preserve">Додаток 18 </t>
  </si>
  <si>
    <t>Додаток 19</t>
  </si>
  <si>
    <t>Додаток 20</t>
  </si>
  <si>
    <t>Додаток 21</t>
  </si>
  <si>
    <t>Додаток 22</t>
  </si>
  <si>
    <t>3.1</t>
  </si>
  <si>
    <t>орендна плата за користування земельною ділянкою полігону для розміщення твердих побутових відходів III черги</t>
  </si>
  <si>
    <t>5.1</t>
  </si>
  <si>
    <t>2.8</t>
  </si>
  <si>
    <t>на оплату орендної плати за користування земельною ділянкою на території Верхньосироватської ОТГ в с.В.Бобрик 1-ї та 2-ї черги</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</si>
  <si>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</si>
  <si>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 xml:space="preserve">Поповнення статутного капіталу  КП "Міськводоканал" СМР (проведення оцінки запасів питних підземних вод Сумського родовища) </t>
  </si>
  <si>
    <t xml:space="preserve">Придбання водопровідних та каналізаційних люків, </t>
  </si>
  <si>
    <t xml:space="preserve">Визначення норм надання послуг з вивезення ТПВ в м. Суми (ІІІ етап робіт -розробка звіту) </t>
  </si>
  <si>
    <t>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(розробка оцінки впливу на довкілля)</t>
  </si>
  <si>
    <t>6.1</t>
  </si>
  <si>
    <t>КПКВК 1216017</t>
  </si>
  <si>
    <t>Послуги з проведення санації шахтних колодязів</t>
  </si>
  <si>
    <t xml:space="preserve">Фінансова підтримка  КП «Міськводоканал» СМР для проведення оцінки 
запасів питних підземних вод Сумського родовища
</t>
  </si>
  <si>
    <t>Поповнення статутного капіталу  КП "Спецкомбінат" СМР (придбання кущоріза)</t>
  </si>
  <si>
    <t>Забезпечення функціонування об'єктів житлово-комунального господарства міста Суми на 2018 - 2020 роки</t>
  </si>
  <si>
    <t>В.о. директора департаменту</t>
  </si>
  <si>
    <t>В.І. Павленко</t>
  </si>
  <si>
    <t>Забезпечення святкового оформлення міста до пам'ятних та історичних дат, культурно-мистецьких, релігійних та інших заходів міста Суми                                                                   на 2018 - 2020 роки</t>
  </si>
  <si>
    <t>Реконструкція мереж газопостачання до житлових будинків військового містечка по вул. Герасима Кондратьєва, 165 в м.Суми</t>
  </si>
  <si>
    <t>Управління капітального будівництва та дорожнього господарства СМР,Департамент інфраструктури міста СМР, КП "Шляхрембуд" СМР та ішні суб'єкти господарювання</t>
  </si>
  <si>
    <t>КПКВК 1217640</t>
  </si>
  <si>
    <t>4.1</t>
  </si>
  <si>
    <t>КПКВК 1216090</t>
  </si>
  <si>
    <t>КПКВК 1216030</t>
  </si>
  <si>
    <t>Будівництво спортивного майданчика «Атом-воркаут» по просп. Курський, 103» (на реалізацію громадського проекту № 55)</t>
  </si>
  <si>
    <t>Визначення обсягів родючого шару землі на Новоселицькому кладовищі</t>
  </si>
  <si>
    <t xml:space="preserve">Фінансова підтримка  КП «Міськводоканал» СМР для геолого-економічної переоцінки експлуатаційних запасів підземних вод Сумського родовища питних підземних вод, на ділянках водозабору Комунального підприємства "Міськводоканал" Сумської міської ради
</t>
  </si>
  <si>
    <t xml:space="preserve"> </t>
  </si>
  <si>
    <t>Виконавець: Павленко В.І.</t>
  </si>
  <si>
    <t>Капітальний ремонт туалетів у сквері "Дружба"</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</si>
  <si>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</si>
  <si>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</si>
  <si>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</si>
  <si>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</si>
  <si>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</si>
  <si>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</si>
  <si>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Фінансова підтримка  КП «Міськводоканал» СМР для придбання аераційної системи в комплекті для станції очисних споруд -4 комлекта ( на період реконструкції 4-ї черги очисних споруд за кошти НЕФКО для безперервної експлуатації  черги)</t>
  </si>
  <si>
    <t>2.9</t>
  </si>
  <si>
    <t>фінансову підтримку КП «Сумижилкомсервіс» СМР для погашення пені за несвоєчасну сплату екологічного податку за період з 2013 по 2017 роки</t>
  </si>
  <si>
    <t>Реконструкція каналізаційної насосної станції  за адресою м.Суми вул.Привокзальна 4/13</t>
  </si>
  <si>
    <t>Нове будівництво мереж зовнішнього освітлення на сонячних батареях на території Піщанського старостинського округу</t>
  </si>
  <si>
    <t xml:space="preserve">Нове будівництво підземних контейнерних майданчиків </t>
  </si>
  <si>
    <t>Нове будівництво напірного каналізаційного колектору від КНС-6 до вул. Прокоф'єва в м. Суми з переврізкою в збудований напірний колектор (друга нитка)</t>
  </si>
  <si>
    <t>Нове будівництво дитячих та спортивних майданчиків</t>
  </si>
  <si>
    <t>Реконструкція підпірної гідроспоруди під Шевченківським мостом</t>
  </si>
  <si>
    <t>Реконструкція парку ім.І.М.Кожедуба</t>
  </si>
  <si>
    <t>Нове будівництво тортуару вздовж дороги в селі Верхнє Піщане по вул. Парнянській (з обох сторін проїзної частини)</t>
  </si>
  <si>
    <t>додаток 15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</si>
  <si>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</si>
  <si>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1216020</t>
  </si>
  <si>
    <t>КПКВК 1216013</t>
  </si>
  <si>
    <t>додаток 13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</si>
  <si>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</si>
  <si>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</si>
  <si>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7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</si>
  <si>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6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</si>
  <si>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</si>
  <si>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1218862</t>
  </si>
  <si>
    <t>5.2</t>
  </si>
  <si>
    <t>6.2</t>
  </si>
  <si>
    <t>6.3</t>
  </si>
  <si>
    <t>Садіння нових дерев та кущів за погодженням з замовником</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</si>
  <si>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</si>
  <si>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</si>
  <si>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Садіння квіткових рослин (цибулинних)(у тому числі і багаторічних) у квітках з усіма попередніми супровідними роботами, в тому числі догляд за трояндами</t>
  </si>
  <si>
    <t>збирання та вивезення сміття та опалого листя по загальних обєктах міста</t>
  </si>
  <si>
    <t>косіння (викошування) та прибирання скошеної трави на газонах у скверах, парках міста</t>
  </si>
  <si>
    <t>Видалення сухостійних (порослі) та аварійних дерев з навантаженням та вивезенням деревени</t>
  </si>
  <si>
    <t>Утримання майданчику для складування відходів по вул. Р.Лукаша</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</si>
  <si>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</si>
  <si>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</si>
  <si>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Поточне утримання парку ім. І.М.Кожедуба, в т.ч.догляд за газонами</t>
  </si>
  <si>
    <t>11</t>
  </si>
  <si>
    <t>12</t>
  </si>
  <si>
    <t>13</t>
  </si>
  <si>
    <t>3.2</t>
  </si>
  <si>
    <t>5.3</t>
  </si>
  <si>
    <t>6.4</t>
  </si>
  <si>
    <t>6.5</t>
  </si>
  <si>
    <t>6.6</t>
  </si>
  <si>
    <t>6.7</t>
  </si>
  <si>
    <t>7.1</t>
  </si>
  <si>
    <t>7.2</t>
  </si>
  <si>
    <t>7.3</t>
  </si>
  <si>
    <t>7.4</t>
  </si>
  <si>
    <t>7.5</t>
  </si>
  <si>
    <t>8.1</t>
  </si>
  <si>
    <t>8.2</t>
  </si>
  <si>
    <t>8.3</t>
  </si>
  <si>
    <t>9.1</t>
  </si>
  <si>
    <t>11.1</t>
  </si>
  <si>
    <t>12.1</t>
  </si>
  <si>
    <t>12.2</t>
  </si>
  <si>
    <t>12.3</t>
  </si>
  <si>
    <t>12.5</t>
  </si>
  <si>
    <t>12.8</t>
  </si>
  <si>
    <t>12.9</t>
  </si>
  <si>
    <t>12.10</t>
  </si>
  <si>
    <t>12.11</t>
  </si>
  <si>
    <t>12.13</t>
  </si>
  <si>
    <t>12.15</t>
  </si>
  <si>
    <t>12.16</t>
  </si>
  <si>
    <t>13.1</t>
  </si>
  <si>
    <t>13.2</t>
  </si>
  <si>
    <t>додаток 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</si>
  <si>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</si>
  <si>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1217340                                           КПКВК 1217310                                                 КПКВК 1217330</t>
  </si>
  <si>
    <t>додаток 19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</si>
  <si>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20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</si>
  <si>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об'єднаної територіальної громади на 2018 - 2020 роки </t>
  </si>
  <si>
    <t xml:space="preserve"> Сумський міський голова</t>
  </si>
  <si>
    <t>Проведення ремонту об'єктів транспортної інфраструктури  Сумської міської об'єднаної територіальної громади на 2018 - 2020 роки</t>
  </si>
  <si>
    <t>Забезпечення функціонування мереж зовнішнього освітлення Сумської міської об'єднаної територіальної громади на 2018 - 2020 роки</t>
  </si>
  <si>
    <t>Збереження та утримання на належному рівні зеленої зони Сумської міської об'єднаної територіальної громади  та поліпшення його екологічних умов, організація громадських робіт  на 2018 - 2020 роки</t>
  </si>
  <si>
    <t>Забезпечення благоустрою кладовищ, діяльності спецслужби, поховання безрідних та функціонування громадських вбиралень Сумської міської об'єднаної територіальної громади, організація громадських робіт на 2018 - 2020 роки</t>
  </si>
  <si>
    <t>Забезпечення санітарної очистки території Сумської міської об'єднаної територіальної громади на 2018 - 2020 роки</t>
  </si>
  <si>
    <t>Капітальний ремонт  об'єктів та елементів благоустрою Сумської міської об'єднаної територіальної громади на 2018 - 2020 роки</t>
  </si>
  <si>
    <t>Капітальний ремонт обєктів житлового господарства Сумської міської об'єднаної територіальної громади на 2018 - 2020 роки</t>
  </si>
  <si>
    <t>Забезпечення святкового оформлення міста до пам'ятних та історичних дат, культурно-мистецьких, релігійних та інших заходів Сумської міської об'єднаної територіальної громади на 2018 - 2020 роки</t>
  </si>
  <si>
    <t>Забезпечення функціонування водопровідно-каналізаційного господарства Сумської міської об'єднаної територіальної громади                                                                                           на 2018 - 2020 роки</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</si>
  <si>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об'єднаної територіальної громади на 2018 - 2020 роки</t>
    </r>
  </si>
  <si>
    <t>Забезпечення зміцнення матеріально-технічної бази підприємств комунальної форми власності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</si>
  <si>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</si>
  <si>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2.10</t>
  </si>
  <si>
    <t>Поточне утримання парку ім. І.М.Кожедуба, в т.ч.збирання та вивезення сміття та опалого листя</t>
  </si>
  <si>
    <t>Догляд за газонами, в тому числі:збирання та вивезення сміття та опалого листя по загальних обєктах міста</t>
  </si>
  <si>
    <t>Визначення норм надання послуг з вивезення ТПВ в м. Суми</t>
  </si>
  <si>
    <t xml:space="preserve">Реконструкція дитячого парку "Казка" в м.Суми </t>
  </si>
  <si>
    <t>Нове будівництво дитячого майданчика на території дитячого парку "Казка"</t>
  </si>
  <si>
    <t>12.17</t>
  </si>
  <si>
    <t>2.11</t>
  </si>
  <si>
    <t>2.12</t>
  </si>
  <si>
    <t>2.13</t>
  </si>
  <si>
    <t>2.14</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</si>
  <si>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</si>
  <si>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</si>
  <si>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</si>
  <si>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"Про внесення змін до рішення Сумської міської</t>
  </si>
  <si>
    <t>ради від 21 грудня 2017 року № 2913-МР</t>
  </si>
  <si>
    <t>на  2018- 2020  роки» ( зі змінами)</t>
  </si>
  <si>
    <t xml:space="preserve">від                                        № </t>
  </si>
  <si>
    <t>Відшкодування з міського бюджету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</si>
  <si>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Поточний ремонт та утримання в належному стані об'єктів благоустрою  на 2018 - 2020 роки</t>
  </si>
  <si>
    <t>Міський бюджет, обласний бюджет, бюджет ОТГ</t>
  </si>
  <si>
    <t>Міський бюджет, Бюджет ОТГ</t>
  </si>
  <si>
    <t>бюджет ОТГ</t>
  </si>
  <si>
    <t>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вул.Привокзальна,4/13</t>
  </si>
  <si>
    <t>Капітальний ремонт об'єктів та елементів благоустрою  по місту, в т.ч.</t>
  </si>
  <si>
    <t>на реалізацію проектів-переможців громадського (партиципаторного )бюджету</t>
  </si>
  <si>
    <t>Забезпечення проведення капітального ремонту  проїздів, велосипедних доріжок, внутрішньоквартальних проїзних доріг та тротуарів, тротуарівв до шкіл та садочків</t>
  </si>
  <si>
    <t>Капітальний ремонт пішоходного переходу на перехресті вул. Харківська та Героїв Сумщини</t>
  </si>
  <si>
    <t>Нове будівництво тротуару вздовж дороги в селі Верхнє Піщане по вул. Парнянській (з обох сторін проїзної частини)</t>
  </si>
  <si>
    <t>Нове 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</si>
  <si>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Будівництво зливової каналізації по вул.Криничній</t>
  </si>
  <si>
    <t>Фінансова підтримка, в тому числі:</t>
  </si>
  <si>
    <t>10.1</t>
  </si>
  <si>
    <t>10.2</t>
  </si>
  <si>
    <t>оплата електроенергії</t>
  </si>
  <si>
    <t>погашення заборгованості за судовим рішенням</t>
  </si>
  <si>
    <t xml:space="preserve">                                                                                                                                                                                                                                                                                                                                                                                                                                                                                        </t>
  </si>
  <si>
    <t>Реконструкція теплових мереж з підключенням навантаження від КППВ до ТЕЦ ТОВ "Сумитеплоенерго"</t>
  </si>
  <si>
    <t>3</t>
  </si>
  <si>
    <t xml:space="preserve">Реконструкція систем газопостачання м.Суми по вул.Г.Кондратьєва,165 </t>
  </si>
  <si>
    <t>Виконавець: Журба О.І.</t>
  </si>
  <si>
    <t xml:space="preserve">          Виконавець: Журба О.І.                      </t>
  </si>
  <si>
    <t>Виконавець:  Журба О.І.</t>
  </si>
  <si>
    <t>програми  реформування і розвитку житлово-</t>
  </si>
  <si>
    <t>комунального господарства Сумської об"єднаної</t>
  </si>
  <si>
    <t>територіальної громади на 2018-2020 роки,</t>
  </si>
  <si>
    <t>затвердженої рішенням Сумської міської ради</t>
  </si>
  <si>
    <t>від 21 грудня 2017 року № 2913-МР (зі змінами)</t>
  </si>
  <si>
    <t>"Про внесення змін до Комплексної цільової програми</t>
  </si>
  <si>
    <t xml:space="preserve"> реформування і розвитку житлово-комунального</t>
  </si>
  <si>
    <t xml:space="preserve">на 2018- 2020  роки, затвердженої рішенням Сумської </t>
  </si>
  <si>
    <t>міської ради від 21 грудня 2017 року № 2913-МР (зі змінами)</t>
  </si>
  <si>
    <t>"Про внесення змін до Комплексної  цільової</t>
  </si>
  <si>
    <t>програми  реформування і розвитку житлово</t>
  </si>
  <si>
    <t>комунального господарства Сумської об'єднаної</t>
  </si>
  <si>
    <t>"Про внесення змін до Комплексної  цільової програми</t>
  </si>
  <si>
    <t xml:space="preserve">реформування і розвитку житлово-комунального </t>
  </si>
  <si>
    <t>на 2018-2020 роки, затвердженої рішенням Сумської міської ради</t>
  </si>
  <si>
    <t>господарства Сумської об'єднаної територіальної громади</t>
  </si>
  <si>
    <t xml:space="preserve"> Сумський міський голова </t>
  </si>
  <si>
    <t xml:space="preserve">програми  реформування і розвитку житлово- </t>
  </si>
  <si>
    <t>від від 21 грудня 2017 року №2913-МР (зі змінами)</t>
  </si>
  <si>
    <t xml:space="preserve">комунального господарства Сумської об'єднаної </t>
  </si>
  <si>
    <t>на 2018- 2020  роки, затвердженої рішенням Сумської міської ради</t>
  </si>
  <si>
    <t>"Про внесення змін до Комплексної цльової</t>
  </si>
  <si>
    <t xml:space="preserve">програми реформування і розвитку житлово - </t>
  </si>
  <si>
    <t>територіальтної громади на 2018-2020 роки</t>
  </si>
  <si>
    <t xml:space="preserve">затвердженої рішенням Сумської міської ради </t>
  </si>
  <si>
    <t xml:space="preserve">програми реформування і розвитку житлово- </t>
  </si>
  <si>
    <t>комунального господарства Сумької об'єднаної</t>
  </si>
  <si>
    <t>" Про внесення змін до Комплексної цільової</t>
  </si>
  <si>
    <t xml:space="preserve">"Про внесення змін до Комплексної цільової </t>
  </si>
  <si>
    <t>Фінансова підтримка КП "Шляхрембуд" СМР в т.ч.</t>
  </si>
  <si>
    <t>Департамент інфраструктури міста Сумської міської ради, КП "Шляхрембуд" СМР</t>
  </si>
  <si>
    <t>Поточний ремонт приміщення комунальної власності по проспекту Курський,103</t>
  </si>
  <si>
    <t xml:space="preserve">реформування і розвитку житлово-комунального господарства </t>
  </si>
  <si>
    <t xml:space="preserve">Сумської об'єднаної територіальної  громади </t>
  </si>
  <si>
    <t xml:space="preserve">на  2018- 2020  роки, затвердженої рішенням Сумської </t>
  </si>
  <si>
    <t>Директор Департаменту</t>
  </si>
  <si>
    <t>О.І. Журба</t>
  </si>
  <si>
    <t>2.1.1</t>
  </si>
  <si>
    <t>Забезпечення проведення поточного ремонту вулично-дорожньої мережі та штучних споруд за рахунок субвенції з державного бюджету в т.ч.</t>
  </si>
  <si>
    <t>поточний ремонт вулично-дорожньої мережі та штучних споруд  м.Суми, вул.Харківська</t>
  </si>
  <si>
    <t xml:space="preserve">Забезпечення проведення утримання вулично-дорожньої мережі та штучних споруд, в т.ч. </t>
  </si>
  <si>
    <t>Департамент інфраструктури міста СМР,   КП "Шляхрембуд" СМР та інші суб'єкти господарювання</t>
  </si>
  <si>
    <t xml:space="preserve">Технічне обслуговування та поточний ремонт системи вуличного освітлення, в т.ч. : </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</si>
  <si>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</si>
  <si>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</si>
  <si>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</si>
  <si>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</si>
  <si>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</si>
  <si>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</si>
  <si>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</si>
  <si>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</si>
  <si>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</si>
  <si>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Сумської об"єднаної територіальної громади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</si>
  <si>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Встановлення вузлів  комерційного обліку в житлових будинках м.Суми</t>
  </si>
  <si>
    <t>Капітальний ремонт «Монтаж системи автоматичної пожежної сигналізації, оповіщення людей про пожежу та передавання тривожних сповіщень</t>
  </si>
  <si>
    <t>Заміна обладнання, устаткування та оснащення харчоблоку в оздоровчому таборі «Зоряний</t>
  </si>
  <si>
    <t xml:space="preserve">Нове будівництво підземного контейнерного майданчику за адресою: м. Суми, проспект Михайла Лушпи, буд. 7 </t>
  </si>
  <si>
    <t>Нове будівництво зони відпочинку на річці Псел по пров. Дачний,9</t>
  </si>
  <si>
    <t>Нове будівництво дитячого та спортивного майданчика в районі будинків по вул. Г. Кондратьєва, буд. 160в, 158/1,158/2,158/3,158/4</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</si>
  <si>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</si>
  <si>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Нове будівництво ділянки водогону за адресою: м. Суми, с. Піщане, вул. Вишнева</t>
  </si>
  <si>
    <t>Нове будівництво ділянки водогону за адресою: м. Суми, с. Піщане, вул. Шкільна від будинку № 29</t>
  </si>
  <si>
    <t xml:space="preserve">від                                         № </t>
  </si>
  <si>
    <t xml:space="preserve">від                               № </t>
  </si>
  <si>
    <t xml:space="preserve">від                                № </t>
  </si>
  <si>
    <t xml:space="preserve">від                                   № </t>
  </si>
  <si>
    <t xml:space="preserve">від                             № </t>
  </si>
  <si>
    <t xml:space="preserve">від                              № </t>
  </si>
  <si>
    <t xml:space="preserve">від                                  № </t>
  </si>
  <si>
    <t xml:space="preserve">від                                                 № </t>
  </si>
  <si>
    <t>від                                 №</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</si>
  <si>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</si>
  <si>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 xml:space="preserve"> КПКВК 1216030                                                                                                                                                                                                                                                                                                                                                                                  </t>
  </si>
  <si>
    <t xml:space="preserve">додаток  3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</si>
  <si>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 xml:space="preserve"> КПКВК 1216090       </t>
  </si>
  <si>
    <t xml:space="preserve">додаток  6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</si>
  <si>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 xml:space="preserve">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</si>
  <si>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</si>
  <si>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</si>
  <si>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</si>
  <si>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</si>
  <si>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</si>
  <si>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4</t>
  </si>
  <si>
    <t>Надання послуг з очищення свердловини в с.В.Піщане</t>
  </si>
  <si>
    <t>Забезпечення функціонування водопровідно-каналізаційного господарства Сумської міської об'єднаної територіальної громади  на 2018 - 2020 роки</t>
  </si>
  <si>
    <t>Фінансова підтримка, в тому числі: погашення заборгованості за судовим рішенням</t>
  </si>
  <si>
    <t>4.2</t>
  </si>
  <si>
    <t>4.3</t>
  </si>
  <si>
    <t>4.4</t>
  </si>
  <si>
    <t>5</t>
  </si>
  <si>
    <t xml:space="preserve">додаток 13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</si>
  <si>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від                                          № </t>
  </si>
  <si>
    <t>від                             №</t>
  </si>
  <si>
    <t xml:space="preserve">від                                 № </t>
  </si>
  <si>
    <t xml:space="preserve">від                          № </t>
  </si>
  <si>
    <t>6</t>
  </si>
  <si>
    <t>6.8</t>
  </si>
  <si>
    <t>7</t>
  </si>
  <si>
    <t xml:space="preserve">від                           №   </t>
  </si>
  <si>
    <t>від                              №</t>
  </si>
  <si>
    <t>додаток 15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</si>
  <si>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КПКВК 1217310</t>
  </si>
  <si>
    <t>КПКВК 1217330</t>
  </si>
  <si>
    <t>додаток 19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</si>
  <si>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3.5</t>
  </si>
  <si>
    <t>Здійснення просвітницької діяльності серед населення міста Суми у сфері житлово-комунального господарства (друк буклетів)</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</si>
  <si>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</si>
  <si>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</si>
  <si>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об'єднаної територіальної громади на 2018- 2020  роки, затвердженої рішенням Сумської міської ради від 21 грудня 2017 року          № 2913-МР (зі змінами)
від                                 №                                                                                                                 </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</si>
  <si>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</si>
  <si>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</si>
  <si>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</si>
  <si>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КПКВК 1218110</t>
  </si>
  <si>
    <t>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</si>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</sst>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_р_."/>
    <numFmt numFmtId="180" formatCode="0.00_ ;[Red]\-0.00\ "/>
    <numFmt numFmtId="181" formatCode="#,##0.000"/>
    <numFmt numFmtId="182" formatCode="#,##0.0"/>
    <numFmt numFmtId="183" formatCode="_(* #,##0.000_);_(* \(#,##0.000\);_(* &quot;-&quot;??_);_(@_)"/>
    <numFmt numFmtId="184" formatCode="#,##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dddd\,\ d\ mmmm\ yyyy\ &quot;г&quot;\."/>
    <numFmt numFmtId="190" formatCode="#,##0.00\ &quot;₴&quot;"/>
    <numFmt numFmtId="191" formatCode="#,##0.0000"/>
    <numFmt numFmtId="192" formatCode="_-* #,##0.000\ _₴_-;\-* #,##0.000\ _₴_-;_-* &quot;-&quot;???\ _₴_-;_-@_-"/>
  </numFmts>
  <fonts count="78">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b/>
      <sz val="14"/>
      <name val="Calibri"/>
      <family val="2"/>
    </font>
    <font>
      <b/>
      <sz val="12"/>
      <color indexed="10"/>
      <name val="Times New Roman"/>
      <family val="1"/>
    </font>
    <font>
      <sz val="12"/>
      <name val="Arial"/>
      <family val="2"/>
    </font>
    <font>
      <b/>
      <sz val="16"/>
      <name val="Times New Roman"/>
      <family val="1"/>
    </font>
    <font>
      <sz val="18"/>
      <name val="Times New Roman"/>
      <family val="1"/>
    </font>
    <font>
      <sz val="18"/>
      <name val="Arial"/>
      <family val="2"/>
    </font>
    <font>
      <b/>
      <u val="single"/>
      <sz val="14"/>
      <name val="Times New Roman"/>
      <family val="1"/>
    </font>
    <font>
      <sz val="14"/>
      <color indexed="8"/>
      <name val="Times New Roman"/>
      <family val="1"/>
    </font>
    <font>
      <sz val="12.5"/>
      <name val="Times New Roman"/>
      <family val="1"/>
    </font>
    <font>
      <b/>
      <sz val="12.5"/>
      <name val="Times New Roman"/>
      <family val="1"/>
    </font>
    <font>
      <b/>
      <sz val="13"/>
      <name val="Times New Roman"/>
      <family val="1"/>
    </font>
    <font>
      <sz val="13"/>
      <name val="Times New Roman"/>
      <family val="1"/>
    </font>
    <font>
      <sz val="11"/>
      <name val="Times New Roman"/>
      <family val="1"/>
    </font>
    <font>
      <sz val="13.5"/>
      <name val="Times New Roman"/>
      <family val="1"/>
    </font>
    <font>
      <i/>
      <sz val="14"/>
      <name val="Times New Roman"/>
      <family val="1"/>
    </font>
    <font>
      <i/>
      <sz val="12"/>
      <name val="Times New Roman"/>
      <family val="1"/>
    </font>
    <font>
      <i/>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13"/>
      <color indexed="8"/>
      <name val="Times New Roman"/>
      <family val="1"/>
    </font>
    <font>
      <sz val="12"/>
      <color indexed="10"/>
      <name val="Times New Roman"/>
      <family val="1"/>
    </font>
    <font>
      <sz val="13"/>
      <color indexed="10"/>
      <name val="Times New Roman"/>
      <family val="1"/>
    </font>
    <font>
      <i/>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FF0000"/>
      <name val="Times New Roman"/>
      <family val="1"/>
    </font>
    <font>
      <sz val="12"/>
      <color theme="1"/>
      <name val="Times New Roman"/>
      <family val="1"/>
    </font>
    <font>
      <sz val="13"/>
      <color theme="1"/>
      <name val="Times New Roman"/>
      <family val="1"/>
    </font>
    <font>
      <sz val="14"/>
      <color rgb="FF000000"/>
      <name val="Times New Roman"/>
      <family val="1"/>
    </font>
    <font>
      <sz val="12"/>
      <color rgb="FFFF0000"/>
      <name val="Times New Roman"/>
      <family val="1"/>
    </font>
    <font>
      <sz val="13"/>
      <color rgb="FFFF0000"/>
      <name val="Times New Roman"/>
      <family val="1"/>
    </font>
    <font>
      <i/>
      <sz val="12"/>
      <color rgb="FFFF0000"/>
      <name val="Times New Roman"/>
      <family val="1"/>
    </font>
    <font>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right style="thin"/>
      <top/>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68" fillId="32" borderId="0" applyNumberFormat="0" applyBorder="0" applyAlignment="0" applyProtection="0"/>
  </cellStyleXfs>
  <cellXfs count="76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78" fontId="0" fillId="0" borderId="0" xfId="0" applyNumberFormat="1" applyAlignment="1">
      <alignment/>
    </xf>
    <xf numFmtId="17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7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78"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17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82" fontId="1" fillId="0" borderId="10"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182" fontId="6" fillId="36" borderId="12" xfId="53" applyNumberFormat="1" applyFont="1" applyFill="1" applyBorder="1" applyAlignment="1">
      <alignment horizontal="center" vertical="center" wrapText="1"/>
      <protection/>
    </xf>
    <xf numFmtId="178" fontId="6" fillId="34" borderId="10" xfId="53" applyNumberFormat="1" applyFont="1" applyFill="1" applyBorder="1" applyAlignment="1">
      <alignment horizontal="center" vertical="center" wrapText="1"/>
      <protection/>
    </xf>
    <xf numFmtId="182" fontId="3" fillId="0" borderId="10" xfId="53" applyNumberFormat="1" applyFont="1" applyBorder="1" applyAlignment="1">
      <alignment horizontal="center" vertical="center" wrapText="1"/>
      <protection/>
    </xf>
    <xf numFmtId="182" fontId="2" fillId="0" borderId="12" xfId="53" applyNumberFormat="1" applyFont="1" applyBorder="1" applyAlignment="1">
      <alignment horizontal="center" vertical="center" wrapText="1"/>
      <protection/>
    </xf>
    <xf numFmtId="182" fontId="2" fillId="0"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182"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79" fontId="1" fillId="34" borderId="10" xfId="53" applyNumberFormat="1" applyFont="1" applyFill="1" applyBorder="1" applyAlignment="1">
      <alignment horizontal="left"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181" fontId="1" fillId="37"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178" fontId="3" fillId="37" borderId="0" xfId="53" applyNumberFormat="1" applyFont="1" applyFill="1" applyBorder="1" applyAlignment="1">
      <alignment horizontal="center" vertical="center" wrapText="1"/>
      <protection/>
    </xf>
    <xf numFmtId="178" fontId="3" fillId="0" borderId="0" xfId="53" applyNumberFormat="1" applyFont="1" applyFill="1" applyBorder="1" applyAlignment="1">
      <alignment horizontal="center" vertical="center" wrapText="1"/>
      <protection/>
    </xf>
    <xf numFmtId="0" fontId="7" fillId="34" borderId="0" xfId="53" applyFont="1" applyFill="1" applyBorder="1" applyAlignment="1">
      <alignment/>
      <protection/>
    </xf>
    <xf numFmtId="178" fontId="0" fillId="0" borderId="0" xfId="53" applyNumberFormat="1" applyFont="1">
      <alignment/>
      <protection/>
    </xf>
    <xf numFmtId="0" fontId="3" fillId="0" borderId="0" xfId="53" applyFont="1" applyFill="1" applyBorder="1" applyAlignment="1">
      <alignment/>
      <protection/>
    </xf>
    <xf numFmtId="0" fontId="2" fillId="0" borderId="13" xfId="53" applyFont="1" applyFill="1" applyBorder="1" applyAlignment="1">
      <alignment horizontal="left" vertical="center" wrapText="1"/>
      <protection/>
    </xf>
    <xf numFmtId="179" fontId="6" fillId="34" borderId="0" xfId="53" applyNumberFormat="1" applyFont="1" applyFill="1" applyBorder="1" applyAlignment="1">
      <alignment horizontal="left" vertical="center" wrapText="1"/>
      <protection/>
    </xf>
    <xf numFmtId="182"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79"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7" borderId="10" xfId="53" applyFont="1" applyFill="1" applyBorder="1" applyAlignment="1">
      <alignment horizontal="left" vertical="center" wrapText="1"/>
      <protection/>
    </xf>
    <xf numFmtId="182"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80" fontId="3" fillId="0" borderId="10" xfId="0" applyNumberFormat="1" applyFont="1" applyBorder="1" applyAlignment="1">
      <alignment horizontal="center" vertical="center" wrapText="1"/>
    </xf>
    <xf numFmtId="180" fontId="2" fillId="0" borderId="12" xfId="0" applyNumberFormat="1" applyFont="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12" xfId="0" applyNumberFormat="1" applyFont="1" applyBorder="1" applyAlignment="1">
      <alignment horizontal="center" vertical="center" wrapText="1"/>
    </xf>
    <xf numFmtId="0" fontId="0" fillId="35" borderId="0" xfId="0" applyFill="1" applyAlignment="1">
      <alignment/>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178"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182" fontId="1" fillId="0" borderId="10" xfId="0" applyNumberFormat="1" applyFont="1" applyFill="1" applyBorder="1" applyAlignment="1">
      <alignment horizontal="center" vertical="center"/>
    </xf>
    <xf numFmtId="182" fontId="6" fillId="0" borderId="10" xfId="0" applyNumberFormat="1" applyFont="1" applyFill="1" applyBorder="1" applyAlignment="1">
      <alignment horizontal="center" vertical="center"/>
    </xf>
    <xf numFmtId="178" fontId="6" fillId="0" borderId="10" xfId="0" applyNumberFormat="1" applyFont="1" applyBorder="1" applyAlignment="1">
      <alignment horizontal="center" vertical="center"/>
    </xf>
    <xf numFmtId="182"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178" fontId="6" fillId="0" borderId="14" xfId="0" applyNumberFormat="1" applyFont="1" applyFill="1" applyBorder="1" applyAlignment="1">
      <alignment horizontal="center" vertical="center"/>
    </xf>
    <xf numFmtId="178" fontId="8" fillId="0" borderId="10" xfId="0" applyNumberFormat="1" applyFont="1" applyBorder="1" applyAlignment="1">
      <alignment/>
    </xf>
    <xf numFmtId="182" fontId="1" fillId="0" borderId="10" xfId="0" applyNumberFormat="1" applyFont="1" applyBorder="1" applyAlignment="1">
      <alignment horizontal="center" vertical="center"/>
    </xf>
    <xf numFmtId="182" fontId="6" fillId="0" borderId="10" xfId="0" applyNumberFormat="1" applyFont="1" applyBorder="1" applyAlignment="1">
      <alignment horizontal="center" vertical="center"/>
    </xf>
    <xf numFmtId="178" fontId="1" fillId="0" borderId="10" xfId="0" applyNumberFormat="1" applyFont="1" applyBorder="1" applyAlignment="1">
      <alignment horizontal="center" vertical="center"/>
    </xf>
    <xf numFmtId="0" fontId="6" fillId="0" borderId="15" xfId="0" applyFont="1" applyBorder="1" applyAlignment="1">
      <alignment horizontal="center" vertical="center" wrapText="1"/>
    </xf>
    <xf numFmtId="0" fontId="1" fillId="0" borderId="16" xfId="0" applyFont="1" applyBorder="1" applyAlignment="1">
      <alignment horizontal="left" vertical="center" wrapText="1"/>
    </xf>
    <xf numFmtId="0" fontId="6" fillId="0" borderId="16" xfId="0" applyFont="1" applyBorder="1" applyAlignment="1">
      <alignment horizontal="left" vertical="center" wrapText="1"/>
    </xf>
    <xf numFmtId="17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183" fontId="3" fillId="37" borderId="0" xfId="63" applyNumberFormat="1" applyFont="1" applyFill="1" applyBorder="1" applyAlignment="1">
      <alignment horizontal="center" vertical="center"/>
    </xf>
    <xf numFmtId="177" fontId="3" fillId="37" borderId="0" xfId="63"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182"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177"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184" fontId="1" fillId="37" borderId="10" xfId="0" applyNumberFormat="1" applyFont="1" applyFill="1" applyBorder="1" applyAlignment="1">
      <alignment horizontal="center" vertical="center" wrapText="1"/>
    </xf>
    <xf numFmtId="0" fontId="69" fillId="37" borderId="10" xfId="0" applyFont="1" applyFill="1" applyBorder="1" applyAlignment="1">
      <alignment vertical="center" wrapText="1"/>
    </xf>
    <xf numFmtId="0" fontId="6" fillId="0" borderId="17" xfId="53" applyFont="1" applyBorder="1" applyAlignment="1">
      <alignment horizontal="center" vertical="center" wrapText="1"/>
      <protection/>
    </xf>
    <xf numFmtId="0" fontId="2" fillId="37" borderId="17"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4" fontId="1" fillId="37"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78" fontId="1" fillId="37" borderId="10" xfId="53" applyNumberFormat="1" applyFont="1" applyFill="1" applyBorder="1" applyAlignment="1">
      <alignment horizontal="center" vertical="center" wrapText="1"/>
      <protection/>
    </xf>
    <xf numFmtId="182" fontId="6" fillId="37" borderId="10" xfId="53" applyNumberFormat="1" applyFont="1" applyFill="1" applyBorder="1" applyAlignment="1">
      <alignment horizontal="center" vertical="center" wrapText="1"/>
      <protection/>
    </xf>
    <xf numFmtId="177"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182" fontId="1" fillId="37" borderId="10" xfId="0" applyNumberFormat="1" applyFont="1" applyFill="1" applyBorder="1" applyAlignment="1">
      <alignment horizontal="center" vertical="center" wrapText="1"/>
    </xf>
    <xf numFmtId="182"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6" fillId="37" borderId="15" xfId="0" applyFont="1" applyFill="1" applyBorder="1" applyAlignment="1">
      <alignment horizontal="center" vertical="center" wrapText="1"/>
    </xf>
    <xf numFmtId="182" fontId="1" fillId="37" borderId="10" xfId="0" applyNumberFormat="1" applyFont="1" applyFill="1" applyBorder="1" applyAlignment="1">
      <alignment horizontal="center" vertical="center"/>
    </xf>
    <xf numFmtId="182" fontId="6" fillId="37" borderId="10" xfId="0" applyNumberFormat="1" applyFont="1" applyFill="1" applyBorder="1" applyAlignment="1">
      <alignment horizontal="center" vertical="center"/>
    </xf>
    <xf numFmtId="179" fontId="6" fillId="37" borderId="10" xfId="0" applyNumberFormat="1" applyFont="1" applyFill="1" applyBorder="1" applyAlignment="1">
      <alignment horizontal="left" vertical="top" wrapText="1"/>
    </xf>
    <xf numFmtId="179"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179" fontId="1" fillId="34" borderId="10" xfId="53" applyNumberFormat="1" applyFont="1" applyFill="1" applyBorder="1" applyAlignment="1">
      <alignment horizontal="center" vertical="center" wrapText="1"/>
      <protection/>
    </xf>
    <xf numFmtId="0" fontId="69"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7" xfId="0" applyFont="1" applyFill="1" applyBorder="1" applyAlignment="1">
      <alignment wrapText="1"/>
    </xf>
    <xf numFmtId="49" fontId="6" fillId="37" borderId="10" xfId="0" applyNumberFormat="1" applyFont="1" applyFill="1" applyBorder="1" applyAlignment="1">
      <alignment horizontal="left" vertical="center" wrapText="1"/>
    </xf>
    <xf numFmtId="0" fontId="69" fillId="37" borderId="10" xfId="0" applyFont="1" applyFill="1" applyBorder="1" applyAlignment="1">
      <alignment horizontal="left" wrapText="1"/>
    </xf>
    <xf numFmtId="49" fontId="69" fillId="37" borderId="10" xfId="0" applyNumberFormat="1" applyFont="1" applyFill="1" applyBorder="1" applyAlignment="1">
      <alignment wrapText="1"/>
    </xf>
    <xf numFmtId="0" fontId="69" fillId="37" borderId="10" xfId="0" applyFont="1" applyFill="1" applyBorder="1" applyAlignment="1">
      <alignment wrapText="1"/>
    </xf>
    <xf numFmtId="0" fontId="69" fillId="37" borderId="10" xfId="0" applyFont="1" applyFill="1" applyBorder="1" applyAlignment="1">
      <alignment horizontal="left" vertical="center" wrapText="1"/>
    </xf>
    <xf numFmtId="0" fontId="15" fillId="37" borderId="10" xfId="53" applyFont="1" applyFill="1" applyBorder="1" applyAlignment="1">
      <alignment horizontal="center" vertical="center" wrapText="1"/>
      <protection/>
    </xf>
    <xf numFmtId="4" fontId="15"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178"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9"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4"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7"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4" xfId="53" applyFont="1" applyBorder="1" applyAlignment="1">
      <alignment horizontal="center" vertical="center" wrapText="1"/>
      <protection/>
    </xf>
    <xf numFmtId="0" fontId="1" fillId="37" borderId="18" xfId="53" applyFont="1" applyFill="1" applyBorder="1" applyAlignment="1">
      <alignment horizontal="left" vertical="center" wrapText="1"/>
      <protection/>
    </xf>
    <xf numFmtId="182" fontId="1" fillId="0" borderId="10" xfId="53" applyNumberFormat="1" applyFont="1" applyBorder="1" applyAlignment="1">
      <alignment horizontal="center" vertical="center"/>
      <protection/>
    </xf>
    <xf numFmtId="182" fontId="6" fillId="0" borderId="10" xfId="53" applyNumberFormat="1" applyFont="1" applyFill="1" applyBorder="1" applyAlignment="1">
      <alignment horizontal="center" vertical="center"/>
      <protection/>
    </xf>
    <xf numFmtId="182" fontId="6" fillId="37" borderId="10" xfId="53" applyNumberFormat="1" applyFont="1" applyFill="1" applyBorder="1" applyAlignment="1">
      <alignment horizontal="center" vertical="center"/>
      <protection/>
    </xf>
    <xf numFmtId="178" fontId="6" fillId="0" borderId="10" xfId="53" applyNumberFormat="1" applyFont="1" applyBorder="1" applyAlignment="1">
      <alignment horizontal="center" vertical="center"/>
      <protection/>
    </xf>
    <xf numFmtId="181" fontId="1" fillId="0" borderId="10" xfId="53" applyNumberFormat="1" applyFont="1" applyBorder="1" applyAlignment="1">
      <alignment horizontal="center" vertical="center"/>
      <protection/>
    </xf>
    <xf numFmtId="181" fontId="6" fillId="0" borderId="10" xfId="53" applyNumberFormat="1" applyFont="1" applyFill="1" applyBorder="1" applyAlignment="1">
      <alignment horizontal="center" vertical="center"/>
      <protection/>
    </xf>
    <xf numFmtId="49" fontId="6" fillId="37" borderId="10" xfId="53" applyNumberFormat="1" applyFont="1" applyFill="1" applyBorder="1" applyAlignment="1">
      <alignment horizontal="center" vertical="center" wrapText="1"/>
      <protection/>
    </xf>
    <xf numFmtId="0" fontId="6" fillId="37" borderId="17" xfId="53" applyFont="1" applyFill="1" applyBorder="1" applyAlignment="1">
      <alignment vertical="center" wrapText="1"/>
      <protection/>
    </xf>
    <xf numFmtId="0" fontId="6" fillId="0" borderId="10" xfId="53" applyFont="1" applyFill="1" applyBorder="1" applyAlignment="1">
      <alignment vertical="center" wrapText="1"/>
      <protection/>
    </xf>
    <xf numFmtId="4" fontId="1" fillId="0" borderId="12" xfId="53" applyNumberFormat="1" applyFont="1" applyBorder="1" applyAlignment="1">
      <alignment horizontal="center" vertical="center" wrapText="1"/>
      <protection/>
    </xf>
    <xf numFmtId="0" fontId="6" fillId="37" borderId="11"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181" fontId="1" fillId="0" borderId="10" xfId="53" applyNumberFormat="1" applyFont="1" applyBorder="1" applyAlignment="1">
      <alignment horizontal="center" vertical="center" wrapText="1"/>
      <protection/>
    </xf>
    <xf numFmtId="177" fontId="6" fillId="0" borderId="10" xfId="63" applyFont="1" applyBorder="1" applyAlignment="1">
      <alignment horizontal="center" vertical="center" wrapText="1"/>
    </xf>
    <xf numFmtId="177" fontId="6" fillId="37" borderId="12" xfId="63" applyFont="1" applyFill="1" applyBorder="1" applyAlignment="1">
      <alignment horizontal="center" vertical="center" wrapText="1"/>
    </xf>
    <xf numFmtId="177" fontId="6" fillId="0" borderId="12" xfId="63" applyFont="1" applyFill="1" applyBorder="1" applyAlignment="1">
      <alignment horizontal="center" vertical="center" wrapText="1"/>
    </xf>
    <xf numFmtId="177" fontId="6" fillId="0" borderId="12" xfId="63" applyFont="1" applyBorder="1" applyAlignment="1">
      <alignment horizontal="center" vertical="center" wrapText="1"/>
    </xf>
    <xf numFmtId="177" fontId="70" fillId="0" borderId="12" xfId="63" applyFont="1" applyBorder="1" applyAlignment="1">
      <alignment horizontal="center" vertical="center" wrapText="1"/>
    </xf>
    <xf numFmtId="177" fontId="6" fillId="0" borderId="10" xfId="63" applyFont="1" applyFill="1" applyBorder="1" applyAlignment="1">
      <alignment horizontal="center" vertical="center" wrapText="1"/>
    </xf>
    <xf numFmtId="177" fontId="70" fillId="0" borderId="12" xfId="63" applyFont="1" applyFill="1" applyBorder="1" applyAlignment="1">
      <alignment horizontal="center" vertical="center" wrapText="1"/>
    </xf>
    <xf numFmtId="0" fontId="69" fillId="37" borderId="17" xfId="0" applyFont="1" applyFill="1" applyBorder="1" applyAlignment="1">
      <alignment horizontal="left" vertical="center" wrapText="1"/>
    </xf>
    <xf numFmtId="0" fontId="69" fillId="37" borderId="12" xfId="0" applyFont="1" applyFill="1" applyBorder="1" applyAlignment="1">
      <alignment horizontal="left" vertical="center" wrapText="1"/>
    </xf>
    <xf numFmtId="183" fontId="6" fillId="0" borderId="12" xfId="63" applyNumberFormat="1" applyFont="1" applyFill="1" applyBorder="1" applyAlignment="1">
      <alignment horizontal="center" vertical="center" wrapText="1"/>
    </xf>
    <xf numFmtId="177" fontId="1" fillId="0" borderId="10" xfId="63" applyFont="1" applyBorder="1" applyAlignment="1">
      <alignment horizontal="center" vertical="center" wrapText="1"/>
    </xf>
    <xf numFmtId="177" fontId="1" fillId="37" borderId="12" xfId="63" applyFont="1" applyFill="1" applyBorder="1" applyAlignment="1">
      <alignment horizontal="center" vertical="center" wrapText="1"/>
    </xf>
    <xf numFmtId="183" fontId="1" fillId="0" borderId="10" xfId="63" applyNumberFormat="1" applyFont="1" applyBorder="1" applyAlignment="1">
      <alignment horizontal="center" vertical="center" wrapText="1"/>
    </xf>
    <xf numFmtId="183" fontId="1" fillId="37" borderId="12" xfId="63" applyNumberFormat="1" applyFont="1" applyFill="1" applyBorder="1" applyAlignment="1">
      <alignment horizontal="center" vertical="center" wrapText="1"/>
    </xf>
    <xf numFmtId="0" fontId="6" fillId="37" borderId="17" xfId="53" applyFont="1" applyFill="1" applyBorder="1" applyAlignment="1">
      <alignment horizontal="center" vertical="center" wrapText="1"/>
      <protection/>
    </xf>
    <xf numFmtId="177" fontId="6" fillId="37" borderId="14" xfId="63" applyFont="1" applyFill="1" applyBorder="1" applyAlignment="1">
      <alignment horizontal="center" vertical="center" wrapText="1"/>
    </xf>
    <xf numFmtId="177" fontId="6" fillId="0" borderId="14" xfId="63" applyFont="1" applyFill="1" applyBorder="1" applyAlignment="1">
      <alignment horizontal="center" vertical="center" wrapText="1"/>
    </xf>
    <xf numFmtId="177" fontId="70" fillId="0" borderId="14" xfId="63" applyFont="1" applyBorder="1" applyAlignment="1">
      <alignment horizontal="center" vertical="center" wrapText="1"/>
    </xf>
    <xf numFmtId="0" fontId="6" fillId="0" borderId="12" xfId="53" applyFont="1" applyFill="1" applyBorder="1" applyAlignment="1">
      <alignment horizontal="center" vertical="center" wrapText="1"/>
      <protection/>
    </xf>
    <xf numFmtId="0" fontId="6" fillId="37" borderId="19" xfId="53" applyFont="1" applyFill="1" applyBorder="1" applyAlignment="1">
      <alignment horizontal="center" vertical="center" wrapText="1"/>
      <protection/>
    </xf>
    <xf numFmtId="0" fontId="6" fillId="34"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0" xfId="53" applyFont="1" applyFill="1" applyAlignment="1">
      <alignment horizontal="center"/>
      <protection/>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3" fillId="37" borderId="0" xfId="53" applyNumberFormat="1" applyFont="1" applyFill="1" applyBorder="1" applyAlignment="1">
      <alignment horizontal="center" vertical="center" wrapText="1"/>
      <protection/>
    </xf>
    <xf numFmtId="178" fontId="13" fillId="37" borderId="0" xfId="53" applyNumberFormat="1" applyFont="1" applyFill="1" applyBorder="1" applyAlignment="1">
      <alignment horizontal="center" vertical="center" wrapText="1"/>
      <protection/>
    </xf>
    <xf numFmtId="181" fontId="14" fillId="37" borderId="0" xfId="53" applyNumberFormat="1" applyFont="1" applyFill="1">
      <alignment/>
      <protection/>
    </xf>
    <xf numFmtId="0" fontId="16" fillId="0" borderId="0" xfId="53" applyFont="1" applyBorder="1" applyAlignment="1">
      <alignment horizontal="left" vertical="center" wrapText="1"/>
      <protection/>
    </xf>
    <xf numFmtId="0" fontId="16" fillId="0" borderId="0" xfId="53" applyFont="1" applyAlignment="1">
      <alignment horizontal="center" vertical="center" wrapText="1"/>
      <protection/>
    </xf>
    <xf numFmtId="0" fontId="17" fillId="0" borderId="0" xfId="53" applyFont="1">
      <alignment/>
      <protection/>
    </xf>
    <xf numFmtId="178"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4" fillId="37" borderId="0" xfId="53" applyFont="1" applyFill="1">
      <alignment/>
      <protection/>
    </xf>
    <xf numFmtId="0" fontId="2" fillId="0" borderId="0" xfId="53" applyFont="1" applyAlignment="1">
      <alignment horizontal="left" vertical="center"/>
      <protection/>
    </xf>
    <xf numFmtId="0" fontId="2" fillId="37" borderId="0" xfId="53" applyFont="1" applyFill="1" applyAlignment="1">
      <alignment horizontal="left"/>
      <protection/>
    </xf>
    <xf numFmtId="4" fontId="2" fillId="37" borderId="10" xfId="53" applyNumberFormat="1" applyFont="1" applyFill="1" applyBorder="1" applyAlignment="1">
      <alignment horizontal="center" vertical="center" wrapText="1"/>
      <protection/>
    </xf>
    <xf numFmtId="178" fontId="2" fillId="0" borderId="0" xfId="53" applyNumberFormat="1" applyFont="1" applyAlignment="1">
      <alignment horizontal="center" vertical="center" wrapText="1"/>
      <protection/>
    </xf>
    <xf numFmtId="0" fontId="14" fillId="0" borderId="0" xfId="53" applyFont="1">
      <alignment/>
      <protection/>
    </xf>
    <xf numFmtId="0" fontId="3" fillId="0" borderId="0" xfId="53" applyFont="1" applyAlignment="1">
      <alignment horizontal="center"/>
      <protection/>
    </xf>
    <xf numFmtId="178" fontId="2" fillId="37" borderId="0" xfId="53" applyNumberFormat="1" applyFont="1" applyFill="1" applyBorder="1" applyAlignment="1">
      <alignment horizontal="center" vertical="center" wrapText="1"/>
      <protection/>
    </xf>
    <xf numFmtId="2" fontId="14"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4" fillId="37" borderId="0" xfId="53" applyNumberFormat="1" applyFont="1" applyFill="1">
      <alignment/>
      <protection/>
    </xf>
    <xf numFmtId="0" fontId="14" fillId="37" borderId="0" xfId="53" applyFont="1" applyFill="1" applyAlignment="1">
      <alignment horizontal="left"/>
      <protection/>
    </xf>
    <xf numFmtId="14" fontId="2" fillId="37" borderId="0" xfId="53" applyNumberFormat="1" applyFont="1" applyFill="1" applyAlignment="1">
      <alignment horizontal="left"/>
      <protection/>
    </xf>
    <xf numFmtId="178" fontId="14" fillId="37" borderId="0" xfId="53" applyNumberFormat="1" applyFont="1" applyFill="1">
      <alignment/>
      <protection/>
    </xf>
    <xf numFmtId="0" fontId="6" fillId="0" borderId="0" xfId="53" applyFont="1">
      <alignment/>
      <protection/>
    </xf>
    <xf numFmtId="0" fontId="6" fillId="0" borderId="10" xfId="53" applyFont="1" applyBorder="1" applyAlignment="1">
      <alignment/>
      <protection/>
    </xf>
    <xf numFmtId="17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16" fillId="0" borderId="0" xfId="53" applyFont="1" applyAlignment="1">
      <alignment vertical="center" wrapText="1"/>
      <protection/>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183" fontId="1" fillId="0" borderId="10" xfId="61" applyNumberFormat="1" applyFont="1" applyBorder="1" applyAlignment="1">
      <alignment horizontal="center" vertical="center" wrapText="1"/>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2" fillId="37" borderId="0" xfId="53" applyFont="1" applyFill="1" applyAlignment="1">
      <alignment horizontal="center" vertical="center"/>
      <protection/>
    </xf>
    <xf numFmtId="0" fontId="6" fillId="37" borderId="0" xfId="53" applyFont="1" applyFill="1" applyAlignment="1">
      <alignment/>
      <protection/>
    </xf>
    <xf numFmtId="0" fontId="6" fillId="37" borderId="0" xfId="53" applyFont="1" applyFill="1">
      <alignment/>
      <protection/>
    </xf>
    <xf numFmtId="0" fontId="1" fillId="37" borderId="20"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0" fontId="19"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1" fontId="6" fillId="37" borderId="10" xfId="53" applyNumberFormat="1" applyFont="1" applyFill="1" applyBorder="1" applyAlignment="1">
      <alignment horizontal="center" vertical="center" wrapText="1"/>
      <protection/>
    </xf>
    <xf numFmtId="0" fontId="19" fillId="0" borderId="10" xfId="0" applyFont="1" applyBorder="1" applyAlignment="1">
      <alignment horizontal="justify" vertical="center" wrapText="1"/>
    </xf>
    <xf numFmtId="0" fontId="19"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0" fontId="71" fillId="37"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72" fillId="37" borderId="10" xfId="0" applyFont="1" applyFill="1" applyBorder="1" applyAlignment="1">
      <alignment horizontal="left" vertical="center" wrapText="1"/>
    </xf>
    <xf numFmtId="0" fontId="6" fillId="0" borderId="0" xfId="0" applyFont="1" applyBorder="1" applyAlignment="1">
      <alignment horizontal="center" vertical="center" wrapText="1"/>
    </xf>
    <xf numFmtId="178" fontId="2" fillId="37"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Alignment="1">
      <alignment horizontal="right" vertical="center" wrapText="1"/>
    </xf>
    <xf numFmtId="177" fontId="6" fillId="37" borderId="10" xfId="63" applyFont="1" applyFill="1" applyBorder="1" applyAlignment="1">
      <alignment horizontal="center" vertical="center" wrapText="1"/>
    </xf>
    <xf numFmtId="0" fontId="20" fillId="0" borderId="17" xfId="53" applyFont="1" applyBorder="1" applyAlignment="1">
      <alignment horizontal="center" vertical="center" wrapText="1"/>
      <protection/>
    </xf>
    <xf numFmtId="0" fontId="20" fillId="0" borderId="12" xfId="53" applyFont="1" applyBorder="1" applyAlignment="1">
      <alignment horizontal="center" vertical="center" wrapText="1"/>
      <protection/>
    </xf>
    <xf numFmtId="0" fontId="20" fillId="0" borderId="10" xfId="53" applyFont="1" applyBorder="1" applyAlignment="1">
      <alignment horizontal="center" vertical="center" wrapText="1"/>
      <protection/>
    </xf>
    <xf numFmtId="0" fontId="20" fillId="0" borderId="10" xfId="53" applyFont="1" applyFill="1" applyBorder="1" applyAlignment="1">
      <alignment horizontal="center" vertical="center" wrapText="1"/>
      <protection/>
    </xf>
    <xf numFmtId="0" fontId="20" fillId="0" borderId="12" xfId="53" applyFont="1" applyFill="1" applyBorder="1" applyAlignment="1">
      <alignment horizontal="center" vertical="center" wrapText="1"/>
      <protection/>
    </xf>
    <xf numFmtId="0" fontId="20" fillId="37" borderId="10" xfId="53" applyFont="1" applyFill="1" applyBorder="1" applyAlignment="1">
      <alignment horizontal="center" vertical="center" wrapText="1"/>
      <protection/>
    </xf>
    <xf numFmtId="0" fontId="20" fillId="37" borderId="17" xfId="53" applyFont="1" applyFill="1" applyBorder="1" applyAlignment="1">
      <alignment horizontal="center" vertical="center" wrapText="1"/>
      <protection/>
    </xf>
    <xf numFmtId="0" fontId="20" fillId="0" borderId="10" xfId="53" applyFont="1" applyBorder="1" applyAlignment="1">
      <alignment horizontal="center"/>
      <protection/>
    </xf>
    <xf numFmtId="0" fontId="20" fillId="0" borderId="0" xfId="53" applyFont="1" applyBorder="1" applyAlignment="1">
      <alignment horizontal="center"/>
      <protection/>
    </xf>
    <xf numFmtId="2" fontId="21"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4" fontId="22" fillId="0" borderId="10" xfId="53" applyNumberFormat="1" applyFont="1" applyBorder="1" applyAlignment="1">
      <alignment horizontal="center" vertical="center" wrapText="1"/>
      <protection/>
    </xf>
    <xf numFmtId="4" fontId="23" fillId="0" borderId="12" xfId="53" applyNumberFormat="1" applyFont="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0" fillId="0" borderId="10" xfId="0" applyBorder="1" applyAlignment="1">
      <alignment horizontal="center" vertical="center"/>
    </xf>
    <xf numFmtId="0" fontId="6" fillId="0" borderId="0" xfId="0" applyFont="1" applyAlignment="1">
      <alignment/>
    </xf>
    <xf numFmtId="0" fontId="2" fillId="0" borderId="0" xfId="53" applyFont="1" applyBorder="1" applyAlignment="1">
      <alignment horizontal="left" vertical="center" wrapText="1"/>
      <protection/>
    </xf>
    <xf numFmtId="0" fontId="6"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1" fillId="37" borderId="21" xfId="53" applyFont="1" applyFill="1" applyBorder="1" applyAlignment="1">
      <alignment vertical="center" wrapText="1"/>
      <protection/>
    </xf>
    <xf numFmtId="0" fontId="1" fillId="37" borderId="15" xfId="53" applyFont="1" applyFill="1" applyBorder="1" applyAlignment="1">
      <alignment vertical="center" wrapText="1"/>
      <protection/>
    </xf>
    <xf numFmtId="0" fontId="1" fillId="37" borderId="10" xfId="53" applyFont="1" applyFill="1" applyBorder="1" applyAlignment="1">
      <alignment horizontal="center" vertical="center" wrapText="1"/>
      <protection/>
    </xf>
    <xf numFmtId="0" fontId="1" fillId="37" borderId="17"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center"/>
      <protection/>
    </xf>
    <xf numFmtId="0" fontId="2" fillId="37" borderId="0" xfId="53" applyFont="1" applyFill="1" applyAlignment="1">
      <alignment horizontal="left" vertical="center" wrapText="1"/>
      <protection/>
    </xf>
    <xf numFmtId="0" fontId="1" fillId="37" borderId="19" xfId="53" applyFont="1" applyFill="1" applyBorder="1" applyAlignment="1">
      <alignment horizontal="center" vertical="center" wrapText="1"/>
      <protection/>
    </xf>
    <xf numFmtId="0" fontId="24" fillId="37" borderId="0" xfId="53" applyFont="1" applyFill="1" applyAlignment="1">
      <alignment horizontal="center"/>
      <protection/>
    </xf>
    <xf numFmtId="0" fontId="1" fillId="37" borderId="16" xfId="53" applyFont="1" applyFill="1" applyBorder="1" applyAlignment="1">
      <alignment horizontal="center" vertical="center" wrapText="1"/>
      <protection/>
    </xf>
    <xf numFmtId="0" fontId="1" fillId="37" borderId="10" xfId="53" applyFont="1" applyFill="1" applyBorder="1" applyAlignment="1">
      <alignment vertical="center" wrapText="1"/>
      <protection/>
    </xf>
    <xf numFmtId="0" fontId="8" fillId="37" borderId="10" xfId="53" applyFont="1" applyFill="1" applyBorder="1">
      <alignment/>
      <protection/>
    </xf>
    <xf numFmtId="177" fontId="6" fillId="37" borderId="10" xfId="63" applyFont="1" applyFill="1" applyBorder="1" applyAlignment="1">
      <alignment horizontal="center" vertical="center"/>
    </xf>
    <xf numFmtId="181" fontId="6" fillId="0" borderId="10" xfId="53" applyNumberFormat="1" applyFont="1" applyFill="1" applyBorder="1" applyAlignment="1">
      <alignment horizontal="center" vertical="center" wrapText="1"/>
      <protection/>
    </xf>
    <xf numFmtId="181" fontId="8" fillId="37" borderId="10" xfId="53" applyNumberFormat="1" applyFont="1" applyFill="1" applyBorder="1">
      <alignment/>
      <protection/>
    </xf>
    <xf numFmtId="0" fontId="6" fillId="0" borderId="0" xfId="53" applyFont="1" applyAlignment="1">
      <alignment horizontal="right"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7"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4" fillId="34" borderId="10" xfId="53" applyFont="1" applyFill="1" applyBorder="1" applyAlignment="1">
      <alignment horizontal="left" vertical="center" wrapText="1"/>
      <protection/>
    </xf>
    <xf numFmtId="0" fontId="24" fillId="0" borderId="10" xfId="53"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0" applyFont="1" applyAlignment="1">
      <alignment horizontal="right" wrapText="1"/>
    </xf>
    <xf numFmtId="0" fontId="6" fillId="0" borderId="0" xfId="53" applyFont="1" applyAlignment="1">
      <alignment horizontal="right"/>
      <protection/>
    </xf>
    <xf numFmtId="0" fontId="2" fillId="37" borderId="17" xfId="53" applyFont="1" applyFill="1" applyBorder="1" applyAlignment="1">
      <alignment horizontal="center" vertical="center" wrapText="1"/>
      <protection/>
    </xf>
    <xf numFmtId="0" fontId="6" fillId="0" borderId="0" xfId="0" applyFont="1" applyAlignment="1">
      <alignment wrapText="1"/>
    </xf>
    <xf numFmtId="4" fontId="70" fillId="37" borderId="10" xfId="53" applyNumberFormat="1" applyFont="1" applyFill="1" applyBorder="1" applyAlignment="1">
      <alignment horizontal="center" vertical="center" wrapText="1"/>
      <protection/>
    </xf>
    <xf numFmtId="0" fontId="25" fillId="37" borderId="10" xfId="53" applyFont="1" applyFill="1" applyBorder="1" applyAlignment="1">
      <alignment horizontal="left" vertical="center" wrapText="1"/>
      <protection/>
    </xf>
    <xf numFmtId="0" fontId="73" fillId="0" borderId="10" xfId="0" applyFont="1" applyBorder="1" applyAlignment="1">
      <alignment wrapText="1"/>
    </xf>
    <xf numFmtId="0" fontId="74" fillId="37" borderId="10" xfId="53" applyFont="1" applyFill="1" applyBorder="1" applyAlignment="1">
      <alignment horizontal="center" vertical="center" wrapText="1"/>
      <protection/>
    </xf>
    <xf numFmtId="0" fontId="2" fillId="37" borderId="0" xfId="53" applyFont="1" applyFill="1" applyAlignment="1">
      <alignment horizontal="left"/>
      <protection/>
    </xf>
    <xf numFmtId="0" fontId="23" fillId="37" borderId="10" xfId="53" applyFont="1" applyFill="1" applyBorder="1" applyAlignment="1">
      <alignment horizontal="left" vertical="top" wrapText="1"/>
      <protection/>
    </xf>
    <xf numFmtId="0" fontId="6"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2" fillId="37" borderId="12" xfId="53" applyFont="1" applyFill="1" applyBorder="1" applyAlignment="1">
      <alignment horizontal="left" vertical="center" wrapText="1"/>
      <protection/>
    </xf>
    <xf numFmtId="0" fontId="2" fillId="37" borderId="13" xfId="53" applyFont="1" applyFill="1" applyBorder="1" applyAlignment="1">
      <alignment horizontal="center" vertical="center" wrapText="1"/>
      <protection/>
    </xf>
    <xf numFmtId="0" fontId="2" fillId="37" borderId="10" xfId="53" applyFont="1" applyFill="1" applyBorder="1" applyAlignment="1">
      <alignment horizontal="left" vertical="top" wrapText="1"/>
      <protection/>
    </xf>
    <xf numFmtId="0" fontId="2" fillId="0" borderId="10" xfId="0" applyFont="1" applyBorder="1" applyAlignment="1">
      <alignment wrapText="1"/>
    </xf>
    <xf numFmtId="0" fontId="2"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182" fontId="70" fillId="0" borderId="10" xfId="0" applyNumberFormat="1" applyFont="1" applyFill="1" applyBorder="1" applyAlignment="1">
      <alignment horizontal="center" vertical="center"/>
    </xf>
    <xf numFmtId="49" fontId="2" fillId="37" borderId="12" xfId="53" applyNumberFormat="1" applyFont="1" applyFill="1" applyBorder="1" applyAlignment="1">
      <alignment horizontal="left" vertical="center" wrapText="1"/>
      <protection/>
    </xf>
    <xf numFmtId="49" fontId="2" fillId="37" borderId="12" xfId="53" applyNumberFormat="1"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0" xfId="0" applyFont="1" applyBorder="1" applyAlignment="1">
      <alignment wrapText="1"/>
    </xf>
    <xf numFmtId="177" fontId="70" fillId="0" borderId="10" xfId="63" applyFont="1" applyBorder="1" applyAlignment="1">
      <alignment horizontal="center" vertical="center" wrapText="1"/>
    </xf>
    <xf numFmtId="0" fontId="6" fillId="37" borderId="12" xfId="53" applyFont="1" applyFill="1" applyBorder="1" applyAlignment="1">
      <alignment horizontal="center" vertical="center" wrapText="1"/>
      <protection/>
    </xf>
    <xf numFmtId="0" fontId="6" fillId="37" borderId="17" xfId="53" applyFont="1" applyFill="1" applyBorder="1" applyAlignment="1">
      <alignment horizontal="center" vertical="center" wrapText="1"/>
      <protection/>
    </xf>
    <xf numFmtId="0" fontId="69" fillId="37" borderId="17" xfId="0" applyFont="1" applyFill="1" applyBorder="1" applyAlignment="1">
      <alignment horizontal="left" vertical="center" wrapText="1"/>
    </xf>
    <xf numFmtId="0" fontId="2" fillId="37" borderId="17" xfId="53" applyFont="1" applyFill="1" applyBorder="1" applyAlignment="1">
      <alignment horizontal="center" vertical="center" wrapText="1"/>
      <protection/>
    </xf>
    <xf numFmtId="0" fontId="2" fillId="0" borderId="12" xfId="53" applyFont="1" applyBorder="1" applyAlignment="1">
      <alignment horizontal="center" vertical="center" wrapText="1"/>
      <protection/>
    </xf>
    <xf numFmtId="0" fontId="6" fillId="0" borderId="11" xfId="0" applyFont="1" applyBorder="1" applyAlignment="1">
      <alignment horizontal="center" vertical="center" wrapText="1"/>
    </xf>
    <xf numFmtId="177" fontId="1" fillId="0" borderId="12" xfId="63" applyFont="1" applyBorder="1" applyAlignment="1">
      <alignment horizontal="center" vertical="center" wrapText="1"/>
    </xf>
    <xf numFmtId="0" fontId="2" fillId="0" borderId="12"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23" fillId="34" borderId="10" xfId="53" applyFont="1" applyFill="1" applyBorder="1" applyAlignment="1">
      <alignment horizontal="center" vertical="center" wrapText="1"/>
      <protection/>
    </xf>
    <xf numFmtId="177" fontId="23" fillId="0" borderId="10" xfId="63" applyFont="1" applyBorder="1" applyAlignment="1">
      <alignment horizontal="center" vertical="center" wrapText="1"/>
    </xf>
    <xf numFmtId="177" fontId="23" fillId="37" borderId="12" xfId="63" applyFont="1" applyFill="1" applyBorder="1" applyAlignment="1">
      <alignment horizontal="center" vertical="center" wrapText="1"/>
    </xf>
    <xf numFmtId="177" fontId="23" fillId="0" borderId="12" xfId="63" applyFont="1" applyFill="1" applyBorder="1" applyAlignment="1">
      <alignment horizontal="center" vertical="center" wrapText="1"/>
    </xf>
    <xf numFmtId="177" fontId="75" fillId="0" borderId="12" xfId="63" applyFont="1" applyBorder="1" applyAlignment="1">
      <alignment horizontal="center" vertical="center" wrapText="1"/>
    </xf>
    <xf numFmtId="177" fontId="23" fillId="0" borderId="12" xfId="63" applyFont="1" applyBorder="1" applyAlignment="1">
      <alignment horizontal="center" vertical="center" wrapText="1"/>
    </xf>
    <xf numFmtId="0" fontId="23" fillId="37" borderId="17" xfId="53" applyFont="1" applyFill="1" applyBorder="1" applyAlignment="1">
      <alignment horizontal="center" vertical="center" wrapText="1"/>
      <protection/>
    </xf>
    <xf numFmtId="177" fontId="23" fillId="37" borderId="14" xfId="63" applyFont="1" applyFill="1" applyBorder="1" applyAlignment="1">
      <alignment horizontal="center" vertical="center" wrapText="1"/>
    </xf>
    <xf numFmtId="177" fontId="23" fillId="0" borderId="14" xfId="63" applyFont="1" applyFill="1" applyBorder="1" applyAlignment="1">
      <alignment horizontal="center" vertical="center" wrapText="1"/>
    </xf>
    <xf numFmtId="177" fontId="75" fillId="0" borderId="14" xfId="63" applyFont="1" applyBorder="1" applyAlignment="1">
      <alignment horizontal="center" vertical="center" wrapText="1"/>
    </xf>
    <xf numFmtId="0" fontId="23" fillId="0" borderId="10" xfId="53" applyFont="1" applyFill="1" applyBorder="1" applyAlignment="1">
      <alignment horizontal="center" vertical="center" wrapText="1"/>
      <protection/>
    </xf>
    <xf numFmtId="177" fontId="23" fillId="0" borderId="10" xfId="63" applyFont="1" applyFill="1" applyBorder="1" applyAlignment="1">
      <alignment horizontal="center" vertical="center" wrapText="1"/>
    </xf>
    <xf numFmtId="0" fontId="23" fillId="0" borderId="12" xfId="53" applyFont="1" applyFill="1" applyBorder="1" applyAlignment="1">
      <alignment horizontal="center" vertical="center" wrapText="1"/>
      <protection/>
    </xf>
    <xf numFmtId="177" fontId="75" fillId="0" borderId="12" xfId="63" applyFont="1" applyFill="1" applyBorder="1" applyAlignment="1">
      <alignment horizontal="center" vertical="center" wrapText="1"/>
    </xf>
    <xf numFmtId="177" fontId="23" fillId="37" borderId="10" xfId="63" applyFont="1" applyFill="1" applyBorder="1" applyAlignment="1">
      <alignment horizontal="center" vertical="center" wrapText="1"/>
    </xf>
    <xf numFmtId="183" fontId="23" fillId="0" borderId="12" xfId="63" applyNumberFormat="1" applyFont="1" applyFill="1" applyBorder="1" applyAlignment="1">
      <alignment horizontal="center" vertical="center" wrapText="1"/>
    </xf>
    <xf numFmtId="0" fontId="23" fillId="37" borderId="10" xfId="53" applyFont="1" applyFill="1" applyBorder="1" applyAlignment="1">
      <alignment horizontal="center" vertical="center" wrapText="1"/>
      <protection/>
    </xf>
    <xf numFmtId="0" fontId="23" fillId="37" borderId="11" xfId="53" applyFont="1" applyFill="1" applyBorder="1" applyAlignment="1">
      <alignment horizontal="center" vertical="center" wrapText="1"/>
      <protection/>
    </xf>
    <xf numFmtId="0" fontId="23" fillId="37" borderId="19" xfId="53" applyFont="1" applyFill="1" applyBorder="1" applyAlignment="1">
      <alignment horizontal="center" vertical="center" wrapText="1"/>
      <protection/>
    </xf>
    <xf numFmtId="0" fontId="23" fillId="34" borderId="15" xfId="53" applyFont="1" applyFill="1" applyBorder="1" applyAlignment="1">
      <alignment horizontal="center" vertical="center" wrapText="1"/>
      <protection/>
    </xf>
    <xf numFmtId="177" fontId="75" fillId="0" borderId="10" xfId="63" applyFont="1" applyBorder="1" applyAlignment="1">
      <alignment horizontal="center" vertical="center" wrapText="1"/>
    </xf>
    <xf numFmtId="0" fontId="23" fillId="0" borderId="10" xfId="0" applyFont="1" applyBorder="1" applyAlignment="1">
      <alignment wrapText="1"/>
    </xf>
    <xf numFmtId="4" fontId="1" fillId="0" borderId="12" xfId="53" applyNumberFormat="1" applyFont="1" applyBorder="1" applyAlignment="1">
      <alignment horizontal="center" vertical="center"/>
      <protection/>
    </xf>
    <xf numFmtId="0" fontId="2" fillId="0" borderId="10" xfId="53" applyFont="1" applyBorder="1" applyAlignment="1">
      <alignment vertical="center" wrapText="1"/>
      <protection/>
    </xf>
    <xf numFmtId="0" fontId="2" fillId="37" borderId="17"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8"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2" fillId="37" borderId="10" xfId="0" applyFont="1" applyFill="1" applyBorder="1" applyAlignment="1">
      <alignment horizontal="center" vertical="center" wrapText="1"/>
    </xf>
    <xf numFmtId="180" fontId="3" fillId="37" borderId="10" xfId="0" applyNumberFormat="1" applyFont="1" applyFill="1" applyBorder="1" applyAlignment="1">
      <alignment horizontal="center" vertical="center" wrapText="1"/>
    </xf>
    <xf numFmtId="180" fontId="2" fillId="37" borderId="12" xfId="0" applyNumberFormat="1" applyFont="1" applyFill="1" applyBorder="1" applyAlignment="1">
      <alignment horizontal="center" vertical="center" wrapText="1"/>
    </xf>
    <xf numFmtId="0" fontId="1" fillId="37" borderId="17"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6" fillId="37" borderId="14" xfId="53" applyFont="1" applyFill="1" applyBorder="1" applyAlignment="1">
      <alignment horizontal="center" vertical="center" wrapText="1"/>
      <protection/>
    </xf>
    <xf numFmtId="0" fontId="6" fillId="0" borderId="14" xfId="53" applyFont="1" applyBorder="1" applyAlignment="1">
      <alignment horizontal="center" vertical="center" wrapText="1"/>
      <protection/>
    </xf>
    <xf numFmtId="49" fontId="6" fillId="0" borderId="14" xfId="53" applyNumberFormat="1" applyFont="1" applyBorder="1" applyAlignment="1">
      <alignment horizontal="center" vertical="center" wrapText="1"/>
      <protection/>
    </xf>
    <xf numFmtId="0" fontId="6" fillId="0" borderId="14" xfId="53" applyFont="1" applyBorder="1" applyAlignment="1">
      <alignment horizontal="left" vertical="center" wrapText="1"/>
      <protection/>
    </xf>
    <xf numFmtId="49" fontId="24" fillId="0" borderId="10" xfId="53" applyNumberFormat="1" applyFont="1" applyBorder="1" applyAlignment="1">
      <alignment horizontal="center" vertical="center" wrapText="1"/>
      <protection/>
    </xf>
    <xf numFmtId="49" fontId="2" fillId="37" borderId="22" xfId="53" applyNumberFormat="1" applyFont="1" applyFill="1" applyBorder="1" applyAlignment="1">
      <alignment vertical="center" wrapText="1"/>
      <protection/>
    </xf>
    <xf numFmtId="4" fontId="70" fillId="0" borderId="10" xfId="53" applyNumberFormat="1" applyFont="1" applyBorder="1" applyAlignment="1">
      <alignment horizontal="center" vertical="center" wrapText="1"/>
      <protection/>
    </xf>
    <xf numFmtId="4" fontId="70" fillId="0" borderId="10"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0" borderId="0" xfId="53" applyFont="1" applyAlignment="1">
      <alignment horizontal="left" vertical="center"/>
      <protection/>
    </xf>
    <xf numFmtId="49" fontId="24" fillId="37" borderId="17" xfId="53" applyNumberFormat="1" applyFont="1" applyFill="1" applyBorder="1" applyAlignment="1">
      <alignment horizontal="center" vertical="center" wrapText="1"/>
      <protection/>
    </xf>
    <xf numFmtId="0" fontId="24" fillId="0" borderId="17" xfId="53" applyFont="1" applyBorder="1" applyAlignment="1">
      <alignment horizontal="left" vertical="center" wrapText="1"/>
      <protection/>
    </xf>
    <xf numFmtId="4" fontId="24" fillId="0" borderId="10" xfId="53" applyNumberFormat="1" applyFont="1" applyBorder="1" applyAlignment="1">
      <alignment horizontal="center" vertical="center" wrapText="1"/>
      <protection/>
    </xf>
    <xf numFmtId="4" fontId="24" fillId="34" borderId="10"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49" fontId="26" fillId="37" borderId="10" xfId="53" applyNumberFormat="1" applyFont="1" applyFill="1" applyBorder="1" applyAlignment="1">
      <alignment horizontal="center" vertical="center" wrapText="1"/>
      <protection/>
    </xf>
    <xf numFmtId="0" fontId="27" fillId="37" borderId="10" xfId="53" applyFont="1" applyFill="1" applyBorder="1" applyAlignment="1">
      <alignment horizontal="left" vertical="center" wrapText="1"/>
      <protection/>
    </xf>
    <xf numFmtId="0" fontId="76" fillId="37" borderId="10" xfId="53" applyFont="1" applyFill="1" applyBorder="1" applyAlignment="1">
      <alignment horizontal="center" vertical="center" wrapText="1"/>
      <protection/>
    </xf>
    <xf numFmtId="4" fontId="27" fillId="37" borderId="10" xfId="53" applyNumberFormat="1"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1" fillId="37" borderId="19"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179" fontId="6" fillId="37" borderId="12" xfId="53" applyNumberFormat="1" applyFont="1" applyFill="1" applyBorder="1" applyAlignment="1">
      <alignment horizontal="left" vertical="center" wrapText="1"/>
      <protection/>
    </xf>
    <xf numFmtId="182" fontId="1" fillId="37" borderId="10" xfId="53" applyNumberFormat="1" applyFont="1" applyFill="1" applyBorder="1" applyAlignment="1">
      <alignment horizontal="center" vertical="center" wrapText="1"/>
      <protection/>
    </xf>
    <xf numFmtId="182" fontId="6" fillId="37" borderId="12" xfId="53" applyNumberFormat="1" applyFont="1" applyFill="1" applyBorder="1" applyAlignment="1">
      <alignment horizontal="center" vertical="center" wrapText="1"/>
      <protection/>
    </xf>
    <xf numFmtId="0" fontId="23" fillId="37" borderId="10" xfId="53" applyFont="1" applyFill="1" applyBorder="1" applyAlignment="1">
      <alignment horizontal="left" vertical="center" wrapText="1"/>
      <protection/>
    </xf>
    <xf numFmtId="0" fontId="2" fillId="37" borderId="10" xfId="53" applyFont="1" applyFill="1" applyBorder="1" applyAlignment="1">
      <alignment horizontal="center" vertical="center" wrapText="1"/>
      <protection/>
    </xf>
    <xf numFmtId="49" fontId="2" fillId="37" borderId="23" xfId="53" applyNumberFormat="1" applyFont="1" applyFill="1" applyBorder="1" applyAlignment="1">
      <alignment horizontal="center" vertical="center" wrapText="1"/>
      <protection/>
    </xf>
    <xf numFmtId="0" fontId="6" fillId="37" borderId="10" xfId="53" applyFont="1" applyFill="1" applyBorder="1" applyAlignment="1">
      <alignment horizontal="center"/>
      <protection/>
    </xf>
    <xf numFmtId="0" fontId="2" fillId="37" borderId="12"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2" fillId="37" borderId="17" xfId="53" applyNumberFormat="1" applyFont="1" applyFill="1" applyBorder="1" applyAlignment="1">
      <alignment horizontal="center" vertical="center" wrapText="1"/>
      <protection/>
    </xf>
    <xf numFmtId="49" fontId="2" fillId="37" borderId="14"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23" fillId="37" borderId="12" xfId="53" applyFont="1" applyFill="1" applyBorder="1" applyAlignment="1">
      <alignment horizontal="center" vertical="top" wrapText="1"/>
      <protection/>
    </xf>
    <xf numFmtId="0" fontId="28" fillId="0" borderId="10" xfId="0" applyFont="1" applyBorder="1" applyAlignment="1">
      <alignment wrapText="1"/>
    </xf>
    <xf numFmtId="49" fontId="2" fillId="37" borderId="22" xfId="53" applyNumberFormat="1" applyFont="1" applyFill="1" applyBorder="1" applyAlignment="1">
      <alignment horizontal="center" vertical="center" wrapText="1"/>
      <protection/>
    </xf>
    <xf numFmtId="49" fontId="2" fillId="37" borderId="18" xfId="53" applyNumberFormat="1" applyFont="1" applyFill="1" applyBorder="1" applyAlignment="1">
      <alignment horizontal="center" vertical="center" wrapText="1"/>
      <protection/>
    </xf>
    <xf numFmtId="4" fontId="2" fillId="37" borderId="16" xfId="53" applyNumberFormat="1" applyFont="1" applyFill="1" applyBorder="1" applyAlignment="1">
      <alignment horizontal="center" vertical="center" wrapText="1"/>
      <protection/>
    </xf>
    <xf numFmtId="4" fontId="27" fillId="37" borderId="16" xfId="53" applyNumberFormat="1" applyFont="1" applyFill="1" applyBorder="1" applyAlignment="1">
      <alignment horizontal="center" vertical="center" wrapText="1"/>
      <protection/>
    </xf>
    <xf numFmtId="0" fontId="6" fillId="37" borderId="17"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24" fillId="0" borderId="17" xfId="53" applyFont="1" applyBorder="1" applyAlignment="1">
      <alignment horizontal="center" vertical="center" wrapText="1"/>
      <protection/>
    </xf>
    <xf numFmtId="0" fontId="71" fillId="37" borderId="17" xfId="0" applyFont="1" applyFill="1" applyBorder="1" applyAlignment="1">
      <alignment horizontal="left" vertical="center" wrapText="1"/>
    </xf>
    <xf numFmtId="0" fontId="71" fillId="37" borderId="12" xfId="0" applyFont="1" applyFill="1" applyBorder="1" applyAlignment="1">
      <alignment horizontal="left" vertical="center" wrapText="1"/>
    </xf>
    <xf numFmtId="0" fontId="71" fillId="37" borderId="10" xfId="0" applyFont="1" applyFill="1" applyBorder="1" applyAlignment="1">
      <alignment vertical="center" wrapText="1"/>
    </xf>
    <xf numFmtId="49" fontId="2" fillId="37" borderId="17"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49" fontId="2" fillId="37" borderId="14" xfId="53" applyNumberFormat="1" applyFont="1" applyFill="1" applyBorder="1" applyAlignment="1">
      <alignment horizontal="center" vertical="center" wrapText="1"/>
      <protection/>
    </xf>
    <xf numFmtId="0" fontId="2" fillId="37" borderId="17"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1" fillId="0" borderId="0" xfId="0" applyFont="1" applyAlignment="1">
      <alignment horizontal="center" vertical="center" wrapText="1"/>
    </xf>
    <xf numFmtId="0" fontId="6" fillId="0" borderId="0" xfId="53" applyFont="1" applyBorder="1" applyAlignment="1">
      <alignment horizontal="left" vertical="center" wrapText="1"/>
      <protection/>
    </xf>
    <xf numFmtId="0" fontId="1" fillId="37" borderId="16" xfId="53" applyFont="1" applyFill="1" applyBorder="1" applyAlignment="1">
      <alignment horizontal="center" vertical="center" wrapText="1"/>
      <protection/>
    </xf>
    <xf numFmtId="0" fontId="1" fillId="37" borderId="11" xfId="53" applyFont="1" applyFill="1" applyBorder="1" applyAlignment="1">
      <alignment horizontal="center" vertical="center" wrapText="1"/>
      <protection/>
    </xf>
    <xf numFmtId="0" fontId="6" fillId="37" borderId="17"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1" fillId="37" borderId="17"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22"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18"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1" fillId="37" borderId="20" xfId="53" applyFont="1" applyFill="1" applyBorder="1" applyAlignment="1">
      <alignment horizontal="center" vertical="center" wrapText="1"/>
      <protection/>
    </xf>
    <xf numFmtId="0" fontId="1" fillId="37" borderId="0" xfId="53" applyFont="1" applyFill="1" applyAlignment="1">
      <alignment horizontal="center" vertical="center" wrapText="1"/>
      <protection/>
    </xf>
    <xf numFmtId="0" fontId="2" fillId="37" borderId="13" xfId="53" applyFont="1" applyFill="1" applyBorder="1" applyAlignment="1">
      <alignment horizontal="right"/>
      <protection/>
    </xf>
    <xf numFmtId="0" fontId="6" fillId="37" borderId="0" xfId="53" applyFont="1" applyFill="1" applyAlignment="1">
      <alignment horizontal="center"/>
      <protection/>
    </xf>
    <xf numFmtId="0" fontId="6" fillId="0" borderId="17"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37" borderId="17"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0" fontId="6" fillId="0" borderId="0" xfId="53" applyFont="1" applyAlignment="1">
      <alignment horizontal="left"/>
      <protection/>
    </xf>
    <xf numFmtId="0" fontId="1" fillId="0" borderId="17"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0" xfId="53" applyFont="1" applyAlignment="1">
      <alignment horizontal="center" wrapText="1"/>
      <protection/>
    </xf>
    <xf numFmtId="0" fontId="2" fillId="0" borderId="0" xfId="53" applyFont="1" applyBorder="1" applyAlignment="1">
      <alignment horizontal="left" vertical="center" wrapText="1"/>
      <protection/>
    </xf>
    <xf numFmtId="0" fontId="1" fillId="0" borderId="10" xfId="53" applyFont="1" applyBorder="1" applyAlignment="1">
      <alignment horizontal="center" vertical="center" wrapText="1"/>
      <protection/>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2" fillId="0" borderId="0" xfId="53" applyFont="1" applyAlignment="1">
      <alignment horizontal="left"/>
      <protection/>
    </xf>
    <xf numFmtId="0" fontId="2" fillId="0" borderId="0" xfId="0" applyFont="1" applyAlignment="1">
      <alignment horizontal="left" wrapText="1"/>
    </xf>
    <xf numFmtId="0" fontId="6" fillId="0" borderId="0" xfId="0" applyFont="1" applyAlignment="1">
      <alignment horizontal="left"/>
    </xf>
    <xf numFmtId="0" fontId="1" fillId="0" borderId="0" xfId="0" applyFont="1" applyAlignment="1">
      <alignment horizont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8"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6" fillId="0" borderId="0" xfId="0" applyFont="1" applyBorder="1" applyAlignment="1">
      <alignment horizontal="left"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7" xfId="0" applyFont="1" applyBorder="1" applyAlignment="1">
      <alignment horizontal="left" vertical="center" wrapText="1"/>
    </xf>
    <xf numFmtId="0" fontId="1" fillId="0" borderId="12" xfId="0" applyFont="1" applyBorder="1" applyAlignment="1">
      <alignment horizontal="left" vertical="center" wrapText="1"/>
    </xf>
    <xf numFmtId="0" fontId="8" fillId="0" borderId="14" xfId="0" applyFont="1" applyBorder="1" applyAlignment="1">
      <alignment horizontal="center" vertical="center"/>
    </xf>
    <xf numFmtId="0" fontId="1" fillId="37" borderId="17" xfId="0" applyFont="1" applyFill="1" applyBorder="1" applyAlignment="1">
      <alignment horizontal="center" vertical="center" wrapText="1"/>
    </xf>
    <xf numFmtId="0" fontId="1" fillId="37" borderId="14"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37" borderId="22" xfId="0" applyFont="1" applyFill="1" applyBorder="1" applyAlignment="1">
      <alignment horizontal="center" vertical="center" wrapText="1"/>
    </xf>
    <xf numFmtId="0" fontId="1" fillId="37" borderId="18" xfId="0" applyFont="1" applyFill="1" applyBorder="1" applyAlignment="1">
      <alignment horizontal="center" vertical="center" wrapText="1"/>
    </xf>
    <xf numFmtId="0" fontId="6" fillId="0" borderId="10" xfId="53" applyFont="1" applyBorder="1" applyAlignment="1">
      <alignment horizontal="center" vertical="center" wrapText="1"/>
      <protection/>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1" fillId="0" borderId="1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37" borderId="17"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3" fillId="0" borderId="17"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2" fillId="0" borderId="0" xfId="53" applyFont="1" applyFill="1" applyAlignment="1">
      <alignment horizontal="left"/>
      <protection/>
    </xf>
    <xf numFmtId="0" fontId="2" fillId="0" borderId="17"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3" fillId="0" borderId="24"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2" fillId="0" borderId="17" xfId="53" applyFont="1" applyFill="1" applyBorder="1" applyAlignment="1">
      <alignment horizontal="center" vertical="center" wrapText="1"/>
      <protection/>
    </xf>
    <xf numFmtId="0" fontId="2" fillId="0" borderId="12" xfId="53" applyFont="1" applyFill="1" applyBorder="1" applyAlignment="1">
      <alignment horizontal="center" vertical="center" wrapText="1"/>
      <protection/>
    </xf>
    <xf numFmtId="0" fontId="1" fillId="34" borderId="0" xfId="53" applyFont="1" applyFill="1" applyAlignment="1">
      <alignment horizontal="center" wrapText="1"/>
      <protection/>
    </xf>
    <xf numFmtId="0" fontId="6" fillId="0" borderId="0" xfId="53" applyFont="1" applyBorder="1" applyAlignment="1">
      <alignment wrapText="1"/>
      <protection/>
    </xf>
    <xf numFmtId="0" fontId="69" fillId="37" borderId="17" xfId="0" applyFont="1" applyFill="1" applyBorder="1" applyAlignment="1">
      <alignment horizontal="center" vertical="center" wrapText="1"/>
    </xf>
    <xf numFmtId="0" fontId="69" fillId="37" borderId="12"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left"/>
    </xf>
    <xf numFmtId="0" fontId="9" fillId="0" borderId="0" xfId="0" applyFont="1" applyAlignment="1">
      <alignment horizontal="center"/>
    </xf>
    <xf numFmtId="0" fontId="2" fillId="0" borderId="0" xfId="0" applyFont="1" applyBorder="1" applyAlignment="1">
      <alignment horizontal="left" vertical="center" wrapText="1"/>
    </xf>
    <xf numFmtId="0" fontId="1" fillId="0" borderId="19"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0" xfId="53" applyFont="1" applyFill="1" applyAlignment="1">
      <alignment horizontal="left"/>
      <protection/>
    </xf>
    <xf numFmtId="49" fontId="6" fillId="37" borderId="17"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7"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0" xfId="53" applyFont="1" applyFill="1" applyAlignment="1">
      <alignment horizontal="center" vertical="center" wrapText="1"/>
      <protection/>
    </xf>
    <xf numFmtId="0" fontId="8" fillId="0" borderId="17"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0" borderId="17"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179" fontId="6" fillId="37" borderId="17" xfId="53" applyNumberFormat="1" applyFont="1" applyFill="1" applyBorder="1" applyAlignment="1">
      <alignment horizontal="center" vertical="center" wrapText="1"/>
      <protection/>
    </xf>
    <xf numFmtId="179" fontId="6" fillId="37" borderId="12" xfId="53" applyNumberFormat="1" applyFont="1" applyFill="1" applyBorder="1" applyAlignment="1">
      <alignment horizontal="center" vertical="center" wrapText="1"/>
      <protection/>
    </xf>
    <xf numFmtId="0" fontId="8" fillId="34" borderId="17" xfId="53" applyFont="1" applyFill="1" applyBorder="1" applyAlignment="1">
      <alignment horizontal="center" vertical="center" wrapText="1"/>
      <protection/>
    </xf>
    <xf numFmtId="0" fontId="8" fillId="34" borderId="12" xfId="53" applyFont="1" applyFill="1" applyBorder="1" applyAlignment="1">
      <alignment horizontal="center" vertical="center" wrapText="1"/>
      <protection/>
    </xf>
    <xf numFmtId="0" fontId="8" fillId="0" borderId="17" xfId="53" applyFont="1" applyFill="1" applyBorder="1" applyAlignment="1">
      <alignment horizontal="center" vertical="center" wrapText="1"/>
      <protection/>
    </xf>
    <xf numFmtId="0" fontId="8" fillId="0" borderId="12" xfId="53" applyFont="1" applyFill="1" applyBorder="1" applyAlignment="1">
      <alignment horizontal="center" vertical="center" wrapText="1"/>
      <protection/>
    </xf>
    <xf numFmtId="0" fontId="2" fillId="0" borderId="0" xfId="0" applyFont="1" applyFill="1" applyAlignment="1">
      <alignment horizontal="left"/>
    </xf>
    <xf numFmtId="0" fontId="23" fillId="37" borderId="17" xfId="53" applyFont="1" applyFill="1" applyBorder="1" applyAlignment="1">
      <alignment horizontal="center" vertical="top" wrapText="1"/>
      <protection/>
    </xf>
    <xf numFmtId="0" fontId="23" fillId="37" borderId="12" xfId="53" applyFont="1" applyFill="1" applyBorder="1" applyAlignment="1">
      <alignment horizontal="center" vertical="top" wrapText="1"/>
      <protection/>
    </xf>
    <xf numFmtId="0" fontId="2" fillId="0" borderId="14" xfId="53" applyFont="1" applyBorder="1" applyAlignment="1">
      <alignment horizontal="center" vertical="center" wrapText="1"/>
      <protection/>
    </xf>
    <xf numFmtId="0" fontId="1" fillId="0" borderId="22" xfId="53" applyFont="1" applyBorder="1" applyAlignment="1">
      <alignment horizontal="center" vertical="center" wrapText="1"/>
      <protection/>
    </xf>
    <xf numFmtId="0" fontId="2" fillId="37" borderId="0" xfId="53" applyFont="1" applyFill="1" applyAlignment="1">
      <alignment horizontal="left"/>
      <protection/>
    </xf>
    <xf numFmtId="0" fontId="1" fillId="0" borderId="18"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23" xfId="53" applyFont="1" applyBorder="1" applyAlignment="1">
      <alignment horizontal="center" vertical="center" wrapText="1"/>
      <protection/>
    </xf>
    <xf numFmtId="179" fontId="1" fillId="34" borderId="17" xfId="53" applyNumberFormat="1" applyFont="1" applyFill="1" applyBorder="1" applyAlignment="1">
      <alignment horizontal="center" vertical="center" wrapText="1"/>
      <protection/>
    </xf>
    <xf numFmtId="179" fontId="1" fillId="34" borderId="12" xfId="53" applyNumberFormat="1" applyFont="1" applyFill="1" applyBorder="1" applyAlignment="1">
      <alignment horizontal="center" vertical="center" wrapText="1"/>
      <protection/>
    </xf>
    <xf numFmtId="179" fontId="6" fillId="37" borderId="17" xfId="0" applyNumberFormat="1" applyFont="1" applyFill="1" applyBorder="1" applyAlignment="1">
      <alignment horizontal="center" vertical="center" wrapText="1"/>
    </xf>
    <xf numFmtId="179" fontId="6" fillId="37" borderId="12" xfId="0" applyNumberFormat="1" applyFont="1" applyFill="1" applyBorder="1" applyAlignment="1">
      <alignment horizontal="center" vertical="center" wrapText="1"/>
    </xf>
    <xf numFmtId="49" fontId="6" fillId="37" borderId="17" xfId="0" applyNumberFormat="1" applyFont="1" applyFill="1" applyBorder="1" applyAlignment="1">
      <alignment horizontal="center" vertical="center" wrapText="1"/>
    </xf>
    <xf numFmtId="49" fontId="6" fillId="37" borderId="12" xfId="0" applyNumberFormat="1" applyFont="1" applyFill="1" applyBorder="1" applyAlignment="1">
      <alignment horizontal="center" vertical="center" wrapText="1"/>
    </xf>
    <xf numFmtId="0" fontId="72" fillId="37" borderId="17" xfId="0" applyFont="1" applyFill="1" applyBorder="1" applyAlignment="1">
      <alignment horizontal="center" vertical="center" wrapText="1"/>
    </xf>
    <xf numFmtId="0" fontId="72" fillId="37" borderId="12" xfId="0" applyFont="1" applyFill="1" applyBorder="1" applyAlignment="1">
      <alignment horizontal="center" vertical="center" wrapText="1"/>
    </xf>
    <xf numFmtId="0" fontId="20" fillId="0" borderId="17" xfId="53" applyFont="1" applyBorder="1" applyAlignment="1">
      <alignment horizontal="center" vertical="center" wrapText="1"/>
      <protection/>
    </xf>
    <xf numFmtId="0" fontId="20" fillId="0" borderId="12" xfId="53" applyFont="1" applyBorder="1" applyAlignment="1">
      <alignment horizontal="center" vertical="center" wrapText="1"/>
      <protection/>
    </xf>
    <xf numFmtId="0" fontId="20" fillId="0" borderId="14" xfId="53" applyFont="1" applyBorder="1" applyAlignment="1">
      <alignment horizontal="center" vertical="center" wrapText="1"/>
      <protection/>
    </xf>
    <xf numFmtId="0" fontId="6" fillId="37" borderId="17" xfId="0" applyFont="1" applyFill="1" applyBorder="1" applyAlignment="1">
      <alignment horizontal="left" vertical="center" wrapText="1"/>
    </xf>
    <xf numFmtId="0" fontId="6" fillId="37" borderId="12" xfId="0" applyFont="1" applyFill="1" applyBorder="1" applyAlignment="1">
      <alignment horizontal="left" vertical="center" wrapText="1"/>
    </xf>
    <xf numFmtId="0" fontId="20" fillId="0" borderId="17" xfId="53" applyFont="1" applyFill="1" applyBorder="1" applyAlignment="1">
      <alignment horizontal="center" vertical="center" wrapText="1"/>
      <protection/>
    </xf>
    <xf numFmtId="0" fontId="20" fillId="0" borderId="12" xfId="53" applyFont="1" applyFill="1" applyBorder="1" applyAlignment="1">
      <alignment horizontal="center" vertical="center" wrapText="1"/>
      <protection/>
    </xf>
    <xf numFmtId="0" fontId="69" fillId="37" borderId="17" xfId="0" applyFont="1" applyFill="1" applyBorder="1" applyAlignment="1">
      <alignment horizontal="left" vertical="center" wrapText="1"/>
    </xf>
    <xf numFmtId="0" fontId="69" fillId="37" borderId="12" xfId="0" applyFont="1" applyFill="1" applyBorder="1" applyAlignment="1">
      <alignment horizontal="left" vertical="center" wrapText="1"/>
    </xf>
    <xf numFmtId="0" fontId="2" fillId="37" borderId="17" xfId="0" applyFont="1" applyFill="1" applyBorder="1" applyAlignment="1">
      <alignment horizontal="left" vertical="center" wrapText="1"/>
    </xf>
    <xf numFmtId="0" fontId="2" fillId="37" borderId="12" xfId="0" applyFont="1" applyFill="1" applyBorder="1" applyAlignment="1">
      <alignment horizontal="left" vertical="center" wrapText="1"/>
    </xf>
    <xf numFmtId="0" fontId="71" fillId="37" borderId="17" xfId="0" applyFont="1" applyFill="1" applyBorder="1" applyAlignment="1">
      <alignment horizontal="left" vertical="center" wrapText="1"/>
    </xf>
    <xf numFmtId="0" fontId="71" fillId="37" borderId="12" xfId="0" applyFont="1" applyFill="1" applyBorder="1" applyAlignment="1">
      <alignment horizontal="left" vertical="center" wrapText="1"/>
    </xf>
    <xf numFmtId="0" fontId="71" fillId="37" borderId="17" xfId="0" applyFont="1" applyFill="1" applyBorder="1" applyAlignment="1">
      <alignment horizontal="center" vertical="center" wrapText="1"/>
    </xf>
    <xf numFmtId="0" fontId="71" fillId="37" borderId="12" xfId="0" applyFont="1" applyFill="1" applyBorder="1" applyAlignment="1">
      <alignment horizontal="center" vertical="center" wrapText="1"/>
    </xf>
    <xf numFmtId="0" fontId="77" fillId="0" borderId="17" xfId="0" applyFont="1" applyBorder="1" applyAlignment="1">
      <alignment horizontal="left" wrapText="1"/>
    </xf>
    <xf numFmtId="0" fontId="77" fillId="0" borderId="12" xfId="0" applyFont="1" applyBorder="1" applyAlignment="1">
      <alignment horizontal="left" wrapText="1"/>
    </xf>
    <xf numFmtId="0" fontId="2" fillId="0" borderId="17" xfId="0" applyFont="1" applyBorder="1" applyAlignment="1">
      <alignment horizontal="left" wrapText="1"/>
    </xf>
    <xf numFmtId="0" fontId="2" fillId="0" borderId="12" xfId="0" applyFont="1" applyBorder="1" applyAlignment="1">
      <alignment horizontal="left" wrapText="1"/>
    </xf>
    <xf numFmtId="0" fontId="24" fillId="0" borderId="17" xfId="53" applyFont="1" applyBorder="1" applyAlignment="1">
      <alignment horizontal="center" vertical="center" wrapText="1"/>
      <protection/>
    </xf>
    <xf numFmtId="0" fontId="24" fillId="0" borderId="12" xfId="53" applyFont="1" applyBorder="1" applyAlignment="1">
      <alignment horizontal="center" vertical="center" wrapText="1"/>
      <protection/>
    </xf>
    <xf numFmtId="0" fontId="2" fillId="0" borderId="17" xfId="0" applyFont="1" applyBorder="1" applyAlignment="1">
      <alignment horizontal="center" wrapText="1"/>
    </xf>
    <xf numFmtId="0" fontId="2" fillId="0" borderId="12" xfId="0" applyFont="1" applyBorder="1" applyAlignment="1">
      <alignment horizont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left" wrapText="1"/>
    </xf>
    <xf numFmtId="0" fontId="6" fillId="0" borderId="0" xfId="53" applyFont="1" applyFill="1" applyAlignment="1">
      <alignment horizontal="left" vertical="center"/>
      <protection/>
    </xf>
    <xf numFmtId="0" fontId="6" fillId="0" borderId="0" xfId="53" applyFont="1" applyAlignment="1">
      <alignment horizontal="left" vertical="center"/>
      <protection/>
    </xf>
    <xf numFmtId="0" fontId="18" fillId="0" borderId="0" xfId="53" applyFont="1" applyAlignment="1">
      <alignment horizontal="center"/>
      <protection/>
    </xf>
    <xf numFmtId="0" fontId="6" fillId="0" borderId="0" xfId="53" applyFont="1" applyAlignment="1">
      <alignment horizontal="left" vertical="center" wrapText="1"/>
      <protection/>
    </xf>
    <xf numFmtId="0" fontId="16" fillId="0" borderId="0" xfId="53" applyFont="1" applyBorder="1" applyAlignment="1">
      <alignment horizontal="left" vertical="center" wrapText="1"/>
      <protection/>
    </xf>
    <xf numFmtId="0" fontId="6" fillId="0" borderId="0" xfId="53" applyFont="1" applyFill="1" applyAlignment="1">
      <alignment horizontal="left"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89"/>
  <sheetViews>
    <sheetView zoomScale="75" zoomScaleNormal="75" zoomScalePageLayoutView="0" workbookViewId="0" topLeftCell="A2">
      <selection activeCell="B72" sqref="B72"/>
    </sheetView>
  </sheetViews>
  <sheetFormatPr defaultColWidth="9.140625" defaultRowHeight="12.75"/>
  <cols>
    <col min="1" max="1" width="8.7109375" style="342" customWidth="1"/>
    <col min="2" max="2" width="42.00390625" style="342" customWidth="1"/>
    <col min="3" max="3" width="17.140625" style="342" customWidth="1"/>
    <col min="4" max="5" width="15.7109375" style="342" customWidth="1"/>
    <col min="6" max="6" width="48.57421875" style="342" customWidth="1"/>
    <col min="7" max="7" width="65.57421875" style="342" customWidth="1"/>
    <col min="8" max="8" width="15.7109375" style="342" customWidth="1"/>
    <col min="9" max="9" width="16.00390625" style="342" customWidth="1"/>
    <col min="10" max="10" width="14.140625" style="342" customWidth="1"/>
    <col min="11" max="11" width="12.421875" style="342" hidden="1" customWidth="1"/>
    <col min="12" max="12" width="14.8515625" style="342" customWidth="1"/>
    <col min="13" max="13" width="14.28125" style="342" customWidth="1"/>
    <col min="14" max="14" width="27.7109375" style="342" customWidth="1"/>
    <col min="15" max="15" width="19.140625" style="342" customWidth="1"/>
    <col min="16" max="16" width="15.140625" style="342" customWidth="1"/>
    <col min="17" max="17" width="14.140625" style="342" customWidth="1"/>
    <col min="18" max="18" width="17.28125" style="342" customWidth="1"/>
    <col min="19" max="19" width="13.8515625" style="342" customWidth="1"/>
  </cols>
  <sheetData>
    <row r="1" spans="1:16" s="342" customFormat="1" ht="24.75" customHeight="1">
      <c r="A1" s="330"/>
      <c r="B1" s="330"/>
      <c r="C1" s="369"/>
      <c r="D1" s="344"/>
      <c r="E1" s="448"/>
      <c r="F1" s="368"/>
      <c r="G1" s="23"/>
      <c r="H1" s="23"/>
      <c r="I1" s="23"/>
      <c r="J1" s="370"/>
      <c r="K1" s="370"/>
      <c r="O1" s="350"/>
      <c r="P1" s="350"/>
    </row>
    <row r="2" spans="1:11" s="342" customFormat="1" ht="24.75" customHeight="1">
      <c r="A2" s="330"/>
      <c r="B2" s="330"/>
      <c r="C2" s="369"/>
      <c r="D2" s="344"/>
      <c r="E2" s="448"/>
      <c r="F2" s="368"/>
      <c r="G2" s="371"/>
      <c r="H2" s="368"/>
      <c r="I2" s="368"/>
      <c r="J2" s="368"/>
      <c r="K2" s="368"/>
    </row>
    <row r="3" spans="1:11" s="342" customFormat="1" ht="24.75" customHeight="1">
      <c r="A3" s="330"/>
      <c r="B3" s="330"/>
      <c r="C3" s="369"/>
      <c r="D3" s="344"/>
      <c r="E3" s="448"/>
      <c r="F3" s="368"/>
      <c r="G3" s="368"/>
      <c r="H3" s="368"/>
      <c r="I3" s="368"/>
      <c r="J3" s="368"/>
      <c r="K3" s="368"/>
    </row>
    <row r="4" spans="1:11" s="342" customFormat="1" ht="51.75" customHeight="1">
      <c r="A4" s="577" t="s">
        <v>341</v>
      </c>
      <c r="B4" s="577"/>
      <c r="C4" s="577"/>
      <c r="D4" s="577"/>
      <c r="E4" s="577"/>
      <c r="F4" s="577"/>
      <c r="G4" s="577"/>
      <c r="H4" s="368"/>
      <c r="I4" s="368"/>
      <c r="J4" s="368"/>
      <c r="K4" s="368"/>
    </row>
    <row r="5" spans="1:11" s="342" customFormat="1" ht="1.5" customHeight="1">
      <c r="A5" s="577"/>
      <c r="B5" s="577"/>
      <c r="C5" s="577"/>
      <c r="D5" s="577"/>
      <c r="E5" s="577"/>
      <c r="F5" s="577"/>
      <c r="G5" s="577"/>
      <c r="H5" s="368"/>
      <c r="I5" s="368"/>
      <c r="J5" s="368"/>
      <c r="K5" s="368"/>
    </row>
    <row r="6" spans="1:11" s="342" customFormat="1" ht="3" customHeight="1" hidden="1">
      <c r="A6" s="330"/>
      <c r="B6" s="330"/>
      <c r="C6" s="369"/>
      <c r="D6" s="330"/>
      <c r="E6" s="330"/>
      <c r="F6" s="368"/>
      <c r="G6" s="368"/>
      <c r="H6" s="368"/>
      <c r="I6" s="368"/>
      <c r="J6" s="368"/>
      <c r="K6" s="368"/>
    </row>
    <row r="7" spans="1:11" s="342" customFormat="1" ht="37.5" customHeight="1">
      <c r="A7" s="585" t="s">
        <v>6</v>
      </c>
      <c r="B7" s="585" t="s">
        <v>134</v>
      </c>
      <c r="C7" s="408" t="s">
        <v>342</v>
      </c>
      <c r="D7" s="372" t="s">
        <v>343</v>
      </c>
      <c r="E7" s="585" t="s">
        <v>417</v>
      </c>
      <c r="F7" s="588" t="s">
        <v>344</v>
      </c>
      <c r="G7" s="589"/>
      <c r="H7" s="368"/>
      <c r="I7" s="368"/>
      <c r="J7" s="368"/>
      <c r="K7" s="368"/>
    </row>
    <row r="8" spans="1:11" s="342" customFormat="1" ht="15" customHeight="1">
      <c r="A8" s="586"/>
      <c r="B8" s="586"/>
      <c r="C8" s="585">
        <v>2020</v>
      </c>
      <c r="D8" s="594">
        <v>2020</v>
      </c>
      <c r="E8" s="586"/>
      <c r="F8" s="590"/>
      <c r="G8" s="591"/>
      <c r="H8" s="368"/>
      <c r="I8" s="368"/>
      <c r="J8" s="368"/>
      <c r="K8" s="368"/>
    </row>
    <row r="9" spans="1:11" s="342" customFormat="1" ht="18" customHeight="1">
      <c r="A9" s="587"/>
      <c r="B9" s="587"/>
      <c r="C9" s="587"/>
      <c r="D9" s="595"/>
      <c r="E9" s="587"/>
      <c r="F9" s="592"/>
      <c r="G9" s="593"/>
      <c r="H9" s="368"/>
      <c r="I9" s="368"/>
      <c r="J9" s="368"/>
      <c r="K9" s="368"/>
    </row>
    <row r="10" spans="1:11" s="342" customFormat="1" ht="43.5" customHeight="1">
      <c r="A10" s="458">
        <v>1</v>
      </c>
      <c r="B10" s="458" t="s">
        <v>459</v>
      </c>
      <c r="C10" s="452">
        <v>69000</v>
      </c>
      <c r="D10" s="459">
        <v>75377.3</v>
      </c>
      <c r="E10" s="452">
        <v>6377.3</v>
      </c>
      <c r="F10" s="574" t="s">
        <v>530</v>
      </c>
      <c r="G10" s="574" t="s">
        <v>563</v>
      </c>
      <c r="H10" s="128"/>
      <c r="I10" s="128"/>
      <c r="J10" s="128"/>
      <c r="K10" s="128"/>
    </row>
    <row r="11" spans="1:11" s="342" customFormat="1" ht="33" customHeight="1">
      <c r="A11" s="467" t="s">
        <v>273</v>
      </c>
      <c r="B11" s="458" t="s">
        <v>79</v>
      </c>
      <c r="C11" s="452">
        <v>20000</v>
      </c>
      <c r="D11" s="459">
        <v>26377.3</v>
      </c>
      <c r="E11" s="452">
        <v>6377.3</v>
      </c>
      <c r="F11" s="576"/>
      <c r="G11" s="576"/>
      <c r="H11" s="128"/>
      <c r="I11" s="128"/>
      <c r="J11" s="128"/>
      <c r="K11" s="128"/>
    </row>
    <row r="12" spans="1:11" s="342" customFormat="1" ht="87" customHeight="1">
      <c r="A12" s="458">
        <v>2</v>
      </c>
      <c r="B12" s="458" t="s">
        <v>460</v>
      </c>
      <c r="C12" s="456">
        <v>45315</v>
      </c>
      <c r="D12" s="459">
        <v>45315</v>
      </c>
      <c r="E12" s="456">
        <f>D12-C12</f>
        <v>0</v>
      </c>
      <c r="F12" s="455"/>
      <c r="G12" s="574" t="s">
        <v>611</v>
      </c>
      <c r="H12" s="128"/>
      <c r="I12" s="128"/>
      <c r="J12" s="128"/>
      <c r="K12" s="128"/>
    </row>
    <row r="13" spans="1:11" s="342" customFormat="1" ht="25.5" customHeight="1">
      <c r="A13" s="464" t="s">
        <v>383</v>
      </c>
      <c r="B13" s="458" t="s">
        <v>245</v>
      </c>
      <c r="C13" s="456">
        <v>75</v>
      </c>
      <c r="D13" s="459">
        <f>75+15</f>
        <v>90</v>
      </c>
      <c r="E13" s="456">
        <f>D13-C13</f>
        <v>15</v>
      </c>
      <c r="F13" s="455"/>
      <c r="G13" s="575"/>
      <c r="H13" s="128"/>
      <c r="I13" s="128"/>
      <c r="J13" s="128"/>
      <c r="K13" s="128"/>
    </row>
    <row r="14" spans="1:11" s="342" customFormat="1" ht="22.5" customHeight="1">
      <c r="A14" s="464" t="s">
        <v>419</v>
      </c>
      <c r="B14" s="458" t="s">
        <v>104</v>
      </c>
      <c r="C14" s="456">
        <v>85</v>
      </c>
      <c r="D14" s="459">
        <f>85+41</f>
        <v>126</v>
      </c>
      <c r="E14" s="456">
        <f aca="true" t="shared" si="0" ref="E14:E27">D14-C14</f>
        <v>41</v>
      </c>
      <c r="F14" s="455"/>
      <c r="G14" s="575"/>
      <c r="H14" s="128"/>
      <c r="I14" s="128"/>
      <c r="J14" s="128"/>
      <c r="K14" s="128"/>
    </row>
    <row r="15" spans="1:11" s="342" customFormat="1" ht="42" customHeight="1">
      <c r="A15" s="464" t="s">
        <v>445</v>
      </c>
      <c r="B15" s="458" t="s">
        <v>107</v>
      </c>
      <c r="C15" s="456">
        <v>480</v>
      </c>
      <c r="D15" s="459">
        <f>480+360</f>
        <v>840</v>
      </c>
      <c r="E15" s="456">
        <f t="shared" si="0"/>
        <v>360</v>
      </c>
      <c r="F15" s="455"/>
      <c r="G15" s="575"/>
      <c r="H15" s="128"/>
      <c r="I15" s="128"/>
      <c r="J15" s="128"/>
      <c r="K15" s="128"/>
    </row>
    <row r="16" spans="1:11" s="342" customFormat="1" ht="56.25" customHeight="1">
      <c r="A16" s="464" t="s">
        <v>446</v>
      </c>
      <c r="B16" s="458" t="s">
        <v>573</v>
      </c>
      <c r="C16" s="456">
        <v>1500</v>
      </c>
      <c r="D16" s="459">
        <f>1500+200</f>
        <v>1700</v>
      </c>
      <c r="E16" s="456">
        <f t="shared" si="0"/>
        <v>200</v>
      </c>
      <c r="F16" s="455"/>
      <c r="G16" s="575"/>
      <c r="H16" s="128"/>
      <c r="I16" s="128"/>
      <c r="J16" s="128"/>
      <c r="K16" s="128"/>
    </row>
    <row r="17" spans="1:11" s="342" customFormat="1" ht="25.5" customHeight="1">
      <c r="A17" s="464" t="s">
        <v>447</v>
      </c>
      <c r="B17" s="458" t="s">
        <v>113</v>
      </c>
      <c r="C17" s="456">
        <v>4</v>
      </c>
      <c r="D17" s="459">
        <f>4+21</f>
        <v>25</v>
      </c>
      <c r="E17" s="456">
        <f t="shared" si="0"/>
        <v>21</v>
      </c>
      <c r="F17" s="455"/>
      <c r="G17" s="575"/>
      <c r="H17" s="128"/>
      <c r="I17" s="128"/>
      <c r="J17" s="128"/>
      <c r="K17" s="128"/>
    </row>
    <row r="18" spans="1:11" s="342" customFormat="1" ht="42" customHeight="1">
      <c r="A18" s="464" t="s">
        <v>448</v>
      </c>
      <c r="B18" s="458" t="s">
        <v>570</v>
      </c>
      <c r="C18" s="456">
        <v>69</v>
      </c>
      <c r="D18" s="459">
        <f>11+69</f>
        <v>80</v>
      </c>
      <c r="E18" s="456">
        <f t="shared" si="0"/>
        <v>11</v>
      </c>
      <c r="F18" s="455"/>
      <c r="G18" s="575"/>
      <c r="H18" s="128"/>
      <c r="I18" s="128"/>
      <c r="J18" s="128"/>
      <c r="K18" s="128"/>
    </row>
    <row r="19" spans="1:11" s="342" customFormat="1" ht="42.75" customHeight="1">
      <c r="A19" s="464" t="s">
        <v>451</v>
      </c>
      <c r="B19" s="458" t="s">
        <v>568</v>
      </c>
      <c r="C19" s="456">
        <v>120</v>
      </c>
      <c r="D19" s="459">
        <v>315</v>
      </c>
      <c r="E19" s="456">
        <f t="shared" si="0"/>
        <v>195</v>
      </c>
      <c r="F19" s="455"/>
      <c r="G19" s="575"/>
      <c r="H19" s="128"/>
      <c r="I19" s="128"/>
      <c r="J19" s="128"/>
      <c r="K19" s="128"/>
    </row>
    <row r="20" spans="1:11" s="342" customFormat="1" ht="57.75" customHeight="1">
      <c r="A20" s="468" t="s">
        <v>509</v>
      </c>
      <c r="B20" s="458" t="s">
        <v>632</v>
      </c>
      <c r="C20" s="470">
        <v>0</v>
      </c>
      <c r="D20" s="459">
        <v>790.4</v>
      </c>
      <c r="E20" s="470">
        <f t="shared" si="0"/>
        <v>790.4</v>
      </c>
      <c r="F20" s="469"/>
      <c r="G20" s="575"/>
      <c r="H20" s="128"/>
      <c r="I20" s="128"/>
      <c r="J20" s="128"/>
      <c r="K20" s="128"/>
    </row>
    <row r="21" spans="1:11" s="342" customFormat="1" ht="84" customHeight="1">
      <c r="A21" s="468" t="s">
        <v>544</v>
      </c>
      <c r="B21" s="458" t="s">
        <v>571</v>
      </c>
      <c r="C21" s="470">
        <v>300</v>
      </c>
      <c r="D21" s="459">
        <v>1979</v>
      </c>
      <c r="E21" s="470">
        <f t="shared" si="0"/>
        <v>1679</v>
      </c>
      <c r="F21" s="469"/>
      <c r="G21" s="575"/>
      <c r="H21" s="128"/>
      <c r="I21" s="128"/>
      <c r="J21" s="128"/>
      <c r="K21" s="128"/>
    </row>
    <row r="22" spans="1:11" s="342" customFormat="1" ht="41.25" customHeight="1">
      <c r="A22" s="464" t="s">
        <v>630</v>
      </c>
      <c r="B22" s="458" t="s">
        <v>575</v>
      </c>
      <c r="C22" s="456">
        <v>0</v>
      </c>
      <c r="D22" s="459">
        <v>500</v>
      </c>
      <c r="E22" s="456">
        <f t="shared" si="0"/>
        <v>500</v>
      </c>
      <c r="F22" s="455"/>
      <c r="G22" s="575"/>
      <c r="H22" s="128"/>
      <c r="I22" s="128"/>
      <c r="J22" s="128"/>
      <c r="K22" s="128"/>
    </row>
    <row r="23" spans="1:11" s="342" customFormat="1" ht="17.25" customHeight="1">
      <c r="A23" s="474"/>
      <c r="B23" s="458"/>
      <c r="C23" s="472"/>
      <c r="D23" s="459"/>
      <c r="E23" s="472"/>
      <c r="F23" s="473"/>
      <c r="G23" s="575"/>
      <c r="H23" s="128"/>
      <c r="I23" s="128"/>
      <c r="J23" s="128"/>
      <c r="K23" s="128"/>
    </row>
    <row r="24" spans="1:11" s="342" customFormat="1" ht="59.25" customHeight="1">
      <c r="A24" s="468" t="s">
        <v>637</v>
      </c>
      <c r="B24" s="458" t="s">
        <v>577</v>
      </c>
      <c r="C24" s="470">
        <v>100</v>
      </c>
      <c r="D24" s="459">
        <v>210</v>
      </c>
      <c r="E24" s="470">
        <f t="shared" si="0"/>
        <v>110</v>
      </c>
      <c r="F24" s="469"/>
      <c r="G24" s="575"/>
      <c r="H24" s="128"/>
      <c r="I24" s="128"/>
      <c r="J24" s="128"/>
      <c r="K24" s="128"/>
    </row>
    <row r="25" spans="1:11" s="342" customFormat="1" ht="48.75" customHeight="1">
      <c r="A25" s="468" t="s">
        <v>638</v>
      </c>
      <c r="B25" s="458" t="s">
        <v>249</v>
      </c>
      <c r="C25" s="470">
        <v>18000</v>
      </c>
      <c r="D25" s="459">
        <f>0+18000-1679-110</f>
        <v>16211</v>
      </c>
      <c r="E25" s="470">
        <f t="shared" si="0"/>
        <v>-1789</v>
      </c>
      <c r="F25" s="469"/>
      <c r="G25" s="575"/>
      <c r="H25" s="128"/>
      <c r="I25" s="128"/>
      <c r="J25" s="128"/>
      <c r="K25" s="128"/>
    </row>
    <row r="26" spans="1:11" s="342" customFormat="1" ht="41.25" customHeight="1">
      <c r="A26" s="464" t="s">
        <v>639</v>
      </c>
      <c r="B26" s="458" t="s">
        <v>578</v>
      </c>
      <c r="C26" s="456">
        <v>2100</v>
      </c>
      <c r="D26" s="459">
        <v>0</v>
      </c>
      <c r="E26" s="456">
        <f t="shared" si="0"/>
        <v>-2100</v>
      </c>
      <c r="F26" s="455"/>
      <c r="G26" s="576"/>
      <c r="H26" s="128"/>
      <c r="I26" s="128"/>
      <c r="J26" s="128"/>
      <c r="K26" s="128"/>
    </row>
    <row r="27" spans="1:11" s="342" customFormat="1" ht="55.5" customHeight="1">
      <c r="A27" s="468" t="s">
        <v>640</v>
      </c>
      <c r="B27" s="458" t="s">
        <v>631</v>
      </c>
      <c r="C27" s="470">
        <v>480</v>
      </c>
      <c r="D27" s="459">
        <f>480-33.4</f>
        <v>446.6</v>
      </c>
      <c r="E27" s="470">
        <f t="shared" si="0"/>
        <v>-33.39999999999998</v>
      </c>
      <c r="F27" s="469"/>
      <c r="G27" s="469"/>
      <c r="H27" s="128"/>
      <c r="I27" s="128"/>
      <c r="J27" s="128"/>
      <c r="K27" s="128"/>
    </row>
    <row r="28" spans="1:7" s="342" customFormat="1" ht="89.25" customHeight="1">
      <c r="A28" s="462">
        <v>3</v>
      </c>
      <c r="B28" s="458" t="s">
        <v>461</v>
      </c>
      <c r="C28" s="452">
        <v>23454</v>
      </c>
      <c r="D28" s="459">
        <v>24960</v>
      </c>
      <c r="E28" s="452">
        <v>1506</v>
      </c>
      <c r="F28" s="574" t="s">
        <v>530</v>
      </c>
      <c r="G28" s="574" t="s">
        <v>562</v>
      </c>
    </row>
    <row r="29" spans="1:7" s="342" customFormat="1" ht="66" customHeight="1">
      <c r="A29" s="464" t="s">
        <v>506</v>
      </c>
      <c r="B29" s="458" t="s">
        <v>209</v>
      </c>
      <c r="C29" s="452">
        <v>4</v>
      </c>
      <c r="D29" s="459">
        <v>10</v>
      </c>
      <c r="E29" s="452">
        <v>6</v>
      </c>
      <c r="F29" s="575"/>
      <c r="G29" s="575"/>
    </row>
    <row r="30" spans="1:7" s="342" customFormat="1" ht="39" customHeight="1">
      <c r="A30" s="464" t="s">
        <v>582</v>
      </c>
      <c r="B30" s="458" t="s">
        <v>536</v>
      </c>
      <c r="C30" s="452">
        <v>0</v>
      </c>
      <c r="D30" s="459">
        <v>1500</v>
      </c>
      <c r="E30" s="452">
        <v>1500</v>
      </c>
      <c r="F30" s="576"/>
      <c r="G30" s="576"/>
    </row>
    <row r="31" spans="1:7" s="342" customFormat="1" ht="42.75" customHeight="1">
      <c r="A31" s="462">
        <v>4</v>
      </c>
      <c r="B31" s="458" t="s">
        <v>467</v>
      </c>
      <c r="C31" s="452">
        <v>0</v>
      </c>
      <c r="D31" s="459">
        <v>3750</v>
      </c>
      <c r="E31" s="452">
        <v>3750</v>
      </c>
      <c r="F31" s="574" t="s">
        <v>530</v>
      </c>
      <c r="G31" s="574" t="s">
        <v>561</v>
      </c>
    </row>
    <row r="32" spans="1:7" s="342" customFormat="1" ht="71.25" customHeight="1">
      <c r="A32" s="464" t="s">
        <v>528</v>
      </c>
      <c r="B32" s="458" t="s">
        <v>406</v>
      </c>
      <c r="C32" s="452">
        <v>0</v>
      </c>
      <c r="D32" s="459">
        <v>3750</v>
      </c>
      <c r="E32" s="452">
        <v>3750</v>
      </c>
      <c r="F32" s="576"/>
      <c r="G32" s="576"/>
    </row>
    <row r="33" spans="1:7" s="342" customFormat="1" ht="61.5" customHeight="1">
      <c r="A33" s="462">
        <v>5</v>
      </c>
      <c r="B33" s="458" t="s">
        <v>469</v>
      </c>
      <c r="C33" s="452">
        <v>21575</v>
      </c>
      <c r="D33" s="459">
        <v>21820</v>
      </c>
      <c r="E33" s="452">
        <v>245</v>
      </c>
      <c r="F33" s="574" t="s">
        <v>530</v>
      </c>
      <c r="G33" s="574" t="s">
        <v>560</v>
      </c>
    </row>
    <row r="34" spans="1:7" s="342" customFormat="1" ht="42" customHeight="1">
      <c r="A34" s="464" t="s">
        <v>508</v>
      </c>
      <c r="B34" s="458" t="s">
        <v>65</v>
      </c>
      <c r="C34" s="452">
        <v>700</v>
      </c>
      <c r="D34" s="459">
        <v>800</v>
      </c>
      <c r="E34" s="452">
        <v>100</v>
      </c>
      <c r="F34" s="575"/>
      <c r="G34" s="575"/>
    </row>
    <row r="35" spans="1:7" s="342" customFormat="1" ht="33" customHeight="1">
      <c r="A35" s="464" t="s">
        <v>565</v>
      </c>
      <c r="B35" s="162" t="s">
        <v>67</v>
      </c>
      <c r="C35" s="452">
        <v>130</v>
      </c>
      <c r="D35" s="459">
        <v>190</v>
      </c>
      <c r="E35" s="452">
        <v>60</v>
      </c>
      <c r="F35" s="575"/>
      <c r="G35" s="575"/>
    </row>
    <row r="36" spans="1:7" s="342" customFormat="1" ht="58.5" customHeight="1">
      <c r="A36" s="464" t="s">
        <v>583</v>
      </c>
      <c r="B36" s="162" t="s">
        <v>68</v>
      </c>
      <c r="C36" s="452">
        <v>415</v>
      </c>
      <c r="D36" s="459">
        <v>500</v>
      </c>
      <c r="E36" s="452">
        <v>85</v>
      </c>
      <c r="F36" s="576"/>
      <c r="G36" s="576"/>
    </row>
    <row r="37" spans="1:11" s="342" customFormat="1" ht="100.5" customHeight="1">
      <c r="A37" s="462">
        <v>6</v>
      </c>
      <c r="B37" s="458" t="s">
        <v>524</v>
      </c>
      <c r="C37" s="452">
        <v>4564.942</v>
      </c>
      <c r="D37" s="459">
        <v>5253.292</v>
      </c>
      <c r="E37" s="452">
        <v>688.35</v>
      </c>
      <c r="F37" s="574" t="s">
        <v>529</v>
      </c>
      <c r="G37" s="574" t="s">
        <v>559</v>
      </c>
      <c r="H37" s="368"/>
      <c r="I37" s="368"/>
      <c r="J37" s="368"/>
      <c r="K37" s="368"/>
    </row>
    <row r="38" spans="1:11" s="342" customFormat="1" ht="21.75" customHeight="1">
      <c r="A38" s="472"/>
      <c r="B38" s="458"/>
      <c r="C38" s="472"/>
      <c r="D38" s="459"/>
      <c r="E38" s="472"/>
      <c r="F38" s="575"/>
      <c r="G38" s="575"/>
      <c r="H38" s="368"/>
      <c r="I38" s="368"/>
      <c r="J38" s="368"/>
      <c r="K38" s="368"/>
    </row>
    <row r="39" spans="1:11" s="342" customFormat="1" ht="66.75" customHeight="1">
      <c r="A39" s="464" t="s">
        <v>516</v>
      </c>
      <c r="B39" s="458" t="s">
        <v>410</v>
      </c>
      <c r="C39" s="452">
        <v>50</v>
      </c>
      <c r="D39" s="459">
        <v>75</v>
      </c>
      <c r="E39" s="452">
        <v>25</v>
      </c>
      <c r="F39" s="575"/>
      <c r="G39" s="575"/>
      <c r="H39" s="368"/>
      <c r="I39" s="368"/>
      <c r="J39" s="368"/>
      <c r="K39" s="368"/>
    </row>
    <row r="40" spans="1:11" s="342" customFormat="1" ht="62.25" customHeight="1">
      <c r="A40" s="464" t="s">
        <v>566</v>
      </c>
      <c r="B40" s="458" t="s">
        <v>336</v>
      </c>
      <c r="C40" s="452">
        <v>0</v>
      </c>
      <c r="D40" s="459">
        <v>48.35</v>
      </c>
      <c r="E40" s="452">
        <v>48.35</v>
      </c>
      <c r="F40" s="575"/>
      <c r="G40" s="575"/>
      <c r="H40" s="368"/>
      <c r="I40" s="368"/>
      <c r="J40" s="368"/>
      <c r="K40" s="368"/>
    </row>
    <row r="41" spans="1:11" s="342" customFormat="1" ht="46.5" customHeight="1">
      <c r="A41" s="464" t="s">
        <v>567</v>
      </c>
      <c r="B41" s="458" t="s">
        <v>518</v>
      </c>
      <c r="C41" s="452">
        <v>0</v>
      </c>
      <c r="D41" s="459">
        <v>30</v>
      </c>
      <c r="E41" s="452">
        <v>30</v>
      </c>
      <c r="F41" s="575"/>
      <c r="G41" s="575"/>
      <c r="H41" s="368"/>
      <c r="I41" s="368"/>
      <c r="J41" s="368"/>
      <c r="K41" s="368"/>
    </row>
    <row r="42" spans="1:11" s="342" customFormat="1" ht="57" customHeight="1">
      <c r="A42" s="464" t="s">
        <v>584</v>
      </c>
      <c r="B42" s="461" t="s">
        <v>539</v>
      </c>
      <c r="C42" s="452">
        <v>0</v>
      </c>
      <c r="D42" s="459">
        <v>150</v>
      </c>
      <c r="E42" s="452">
        <v>150</v>
      </c>
      <c r="F42" s="575"/>
      <c r="G42" s="575"/>
      <c r="H42" s="368"/>
      <c r="I42" s="368"/>
      <c r="J42" s="368"/>
      <c r="K42" s="368"/>
    </row>
    <row r="43" spans="1:11" s="342" customFormat="1" ht="57" customHeight="1">
      <c r="A43" s="464" t="s">
        <v>585</v>
      </c>
      <c r="B43" s="461" t="s">
        <v>540</v>
      </c>
      <c r="C43" s="452">
        <v>0</v>
      </c>
      <c r="D43" s="459">
        <v>50</v>
      </c>
      <c r="E43" s="452">
        <v>50</v>
      </c>
      <c r="F43" s="575"/>
      <c r="G43" s="575"/>
      <c r="H43" s="368"/>
      <c r="I43" s="368"/>
      <c r="J43" s="368"/>
      <c r="K43" s="368"/>
    </row>
    <row r="44" spans="1:11" s="342" customFormat="1" ht="39.75" customHeight="1">
      <c r="A44" s="464" t="s">
        <v>586</v>
      </c>
      <c r="B44" s="461" t="s">
        <v>541</v>
      </c>
      <c r="C44" s="452">
        <v>0</v>
      </c>
      <c r="D44" s="459">
        <v>85</v>
      </c>
      <c r="E44" s="452">
        <v>85</v>
      </c>
      <c r="F44" s="575"/>
      <c r="G44" s="575"/>
      <c r="H44" s="368"/>
      <c r="I44" s="368"/>
      <c r="J44" s="368"/>
      <c r="K44" s="368"/>
    </row>
    <row r="45" spans="1:11" s="342" customFormat="1" ht="42" customHeight="1">
      <c r="A45" s="464" t="s">
        <v>587</v>
      </c>
      <c r="B45" s="461" t="s">
        <v>542</v>
      </c>
      <c r="C45" s="452">
        <v>0</v>
      </c>
      <c r="D45" s="459">
        <v>300</v>
      </c>
      <c r="E45" s="452">
        <v>300</v>
      </c>
      <c r="F45" s="576"/>
      <c r="G45" s="576"/>
      <c r="H45" s="368"/>
      <c r="I45" s="368"/>
      <c r="J45" s="368"/>
      <c r="K45" s="368"/>
    </row>
    <row r="46" spans="1:11" s="342" customFormat="1" ht="73.5" customHeight="1">
      <c r="A46" s="462">
        <v>7</v>
      </c>
      <c r="B46" s="162" t="s">
        <v>429</v>
      </c>
      <c r="C46" s="452">
        <v>9650</v>
      </c>
      <c r="D46" s="459">
        <v>38775</v>
      </c>
      <c r="E46" s="452">
        <v>29125</v>
      </c>
      <c r="F46" s="574" t="s">
        <v>557</v>
      </c>
      <c r="G46" s="574" t="s">
        <v>558</v>
      </c>
      <c r="H46" s="128"/>
      <c r="I46" s="128"/>
      <c r="J46" s="128"/>
      <c r="K46" s="128"/>
    </row>
    <row r="47" spans="1:11" s="342" customFormat="1" ht="45" customHeight="1">
      <c r="A47" s="464" t="s">
        <v>588</v>
      </c>
      <c r="B47" s="458" t="s">
        <v>408</v>
      </c>
      <c r="C47" s="452">
        <v>150</v>
      </c>
      <c r="D47" s="459">
        <v>200</v>
      </c>
      <c r="E47" s="452">
        <v>200</v>
      </c>
      <c r="F47" s="575"/>
      <c r="G47" s="575"/>
      <c r="H47" s="128"/>
      <c r="I47" s="128"/>
      <c r="J47" s="128"/>
      <c r="K47" s="128"/>
    </row>
    <row r="48" spans="1:11" s="342" customFormat="1" ht="43.5" customHeight="1">
      <c r="A48" s="464" t="s">
        <v>589</v>
      </c>
      <c r="B48" s="162" t="s">
        <v>279</v>
      </c>
      <c r="C48" s="452">
        <v>0</v>
      </c>
      <c r="D48" s="459">
        <v>225</v>
      </c>
      <c r="E48" s="452">
        <v>225</v>
      </c>
      <c r="F48" s="575"/>
      <c r="G48" s="575"/>
      <c r="H48" s="128"/>
      <c r="I48" s="128"/>
      <c r="J48" s="128"/>
      <c r="K48" s="128"/>
    </row>
    <row r="49" spans="1:11" s="342" customFormat="1" ht="47.25" customHeight="1">
      <c r="A49" s="464" t="s">
        <v>590</v>
      </c>
      <c r="B49" s="162" t="s">
        <v>407</v>
      </c>
      <c r="C49" s="452">
        <v>0</v>
      </c>
      <c r="D49" s="459">
        <v>26000</v>
      </c>
      <c r="E49" s="452">
        <v>26000</v>
      </c>
      <c r="F49" s="575"/>
      <c r="G49" s="575"/>
      <c r="H49" s="128"/>
      <c r="I49" s="128"/>
      <c r="J49" s="128"/>
      <c r="K49" s="128"/>
    </row>
    <row r="50" spans="1:11" s="342" customFormat="1" ht="138" customHeight="1">
      <c r="A50" s="464" t="s">
        <v>591</v>
      </c>
      <c r="B50" s="460" t="s">
        <v>533</v>
      </c>
      <c r="C50" s="452">
        <v>0</v>
      </c>
      <c r="D50" s="459">
        <v>1000</v>
      </c>
      <c r="E50" s="452">
        <v>1000</v>
      </c>
      <c r="F50" s="575"/>
      <c r="G50" s="575"/>
      <c r="H50" s="128"/>
      <c r="I50" s="128"/>
      <c r="J50" s="128"/>
      <c r="K50" s="128"/>
    </row>
    <row r="51" spans="1:11" s="342" customFormat="1" ht="129.75" customHeight="1">
      <c r="A51" s="464" t="s">
        <v>592</v>
      </c>
      <c r="B51" s="460" t="s">
        <v>543</v>
      </c>
      <c r="C51" s="452">
        <v>0</v>
      </c>
      <c r="D51" s="459">
        <v>1700</v>
      </c>
      <c r="E51" s="452">
        <v>1700</v>
      </c>
      <c r="F51" s="576"/>
      <c r="G51" s="576"/>
      <c r="H51" s="128"/>
      <c r="I51" s="128"/>
      <c r="J51" s="128"/>
      <c r="K51" s="128"/>
    </row>
    <row r="52" spans="1:11" s="342" customFormat="1" ht="58.5" customHeight="1">
      <c r="A52" s="463">
        <v>8</v>
      </c>
      <c r="B52" s="458" t="s">
        <v>521</v>
      </c>
      <c r="C52" s="453">
        <v>1650</v>
      </c>
      <c r="D52" s="457">
        <v>3945.23</v>
      </c>
      <c r="E52" s="453">
        <v>2295.23</v>
      </c>
      <c r="F52" s="581" t="s">
        <v>556</v>
      </c>
      <c r="G52" s="574" t="s">
        <v>555</v>
      </c>
      <c r="H52" s="128"/>
      <c r="I52" s="128"/>
      <c r="J52" s="128"/>
      <c r="K52" s="128"/>
    </row>
    <row r="53" spans="1:11" s="342" customFormat="1" ht="45" customHeight="1">
      <c r="A53" s="465" t="s">
        <v>593</v>
      </c>
      <c r="B53" s="458" t="s">
        <v>444</v>
      </c>
      <c r="C53" s="453">
        <v>0</v>
      </c>
      <c r="D53" s="457">
        <v>2295.23</v>
      </c>
      <c r="E53" s="453">
        <v>2295.23</v>
      </c>
      <c r="F53" s="583"/>
      <c r="G53" s="575"/>
      <c r="H53" s="128"/>
      <c r="I53" s="128"/>
      <c r="J53" s="128"/>
      <c r="K53" s="128"/>
    </row>
    <row r="54" spans="1:11" s="342" customFormat="1" ht="52.5" customHeight="1">
      <c r="A54" s="465" t="s">
        <v>594</v>
      </c>
      <c r="B54" s="436" t="s">
        <v>507</v>
      </c>
      <c r="C54" s="453">
        <v>0</v>
      </c>
      <c r="D54" s="237">
        <v>1541.96</v>
      </c>
      <c r="E54" s="237">
        <v>1541.96</v>
      </c>
      <c r="F54" s="583"/>
      <c r="G54" s="575"/>
      <c r="H54" s="128"/>
      <c r="I54" s="128"/>
      <c r="J54" s="128"/>
      <c r="K54" s="128"/>
    </row>
    <row r="55" spans="1:11" s="342" customFormat="1" ht="87.75" customHeight="1">
      <c r="A55" s="465" t="s">
        <v>595</v>
      </c>
      <c r="B55" s="436" t="s">
        <v>545</v>
      </c>
      <c r="C55" s="453">
        <v>0</v>
      </c>
      <c r="D55" s="237">
        <v>753.27</v>
      </c>
      <c r="E55" s="237">
        <v>753.27</v>
      </c>
      <c r="F55" s="582"/>
      <c r="G55" s="576"/>
      <c r="H55" s="128"/>
      <c r="I55" s="128"/>
      <c r="J55" s="128"/>
      <c r="K55" s="128"/>
    </row>
    <row r="56" spans="1:11" s="342" customFormat="1" ht="57.75" customHeight="1">
      <c r="A56" s="463">
        <v>9</v>
      </c>
      <c r="B56" s="452" t="s">
        <v>480</v>
      </c>
      <c r="C56" s="453">
        <v>1500</v>
      </c>
      <c r="D56" s="457">
        <v>2050</v>
      </c>
      <c r="E56" s="453">
        <v>550</v>
      </c>
      <c r="F56" s="581" t="s">
        <v>527</v>
      </c>
      <c r="G56" s="574" t="s">
        <v>554</v>
      </c>
      <c r="H56" s="128"/>
      <c r="I56" s="128"/>
      <c r="J56" s="128"/>
      <c r="K56" s="128"/>
    </row>
    <row r="57" spans="1:11" s="342" customFormat="1" ht="118.5" customHeight="1">
      <c r="A57" s="465" t="s">
        <v>596</v>
      </c>
      <c r="B57" s="458" t="s">
        <v>75</v>
      </c>
      <c r="C57" s="453">
        <v>0</v>
      </c>
      <c r="D57" s="457">
        <v>750</v>
      </c>
      <c r="E57" s="453">
        <v>550</v>
      </c>
      <c r="F57" s="582"/>
      <c r="G57" s="576"/>
      <c r="H57" s="128"/>
      <c r="I57" s="128"/>
      <c r="J57" s="128"/>
      <c r="K57" s="128"/>
    </row>
    <row r="58" spans="1:11" s="342" customFormat="1" ht="75.75" customHeight="1">
      <c r="A58" s="465" t="s">
        <v>579</v>
      </c>
      <c r="B58" s="162" t="s">
        <v>481</v>
      </c>
      <c r="C58" s="345">
        <v>0</v>
      </c>
      <c r="D58" s="345">
        <v>100</v>
      </c>
      <c r="E58" s="345">
        <f>D58-C58</f>
        <v>100</v>
      </c>
      <c r="F58" s="571" t="s">
        <v>517</v>
      </c>
      <c r="G58" s="571" t="s">
        <v>612</v>
      </c>
      <c r="H58" s="368"/>
      <c r="I58" s="368"/>
      <c r="J58" s="368"/>
      <c r="K58" s="368"/>
    </row>
    <row r="59" spans="1:11" s="342" customFormat="1" ht="55.5" customHeight="1">
      <c r="A59" s="454" t="s">
        <v>597</v>
      </c>
      <c r="B59" s="162" t="s">
        <v>133</v>
      </c>
      <c r="C59" s="345">
        <v>0</v>
      </c>
      <c r="D59" s="345">
        <v>100</v>
      </c>
      <c r="E59" s="345">
        <v>100</v>
      </c>
      <c r="F59" s="572"/>
      <c r="G59" s="572"/>
      <c r="H59" s="368"/>
      <c r="I59" s="368"/>
      <c r="J59" s="368"/>
      <c r="K59" s="368"/>
    </row>
    <row r="60" spans="1:11" s="342" customFormat="1" ht="54" customHeight="1">
      <c r="A60" s="465" t="s">
        <v>580</v>
      </c>
      <c r="B60" s="162" t="s">
        <v>483</v>
      </c>
      <c r="C60" s="345">
        <v>95000</v>
      </c>
      <c r="D60" s="345">
        <v>95000</v>
      </c>
      <c r="E60" s="345">
        <f>D60-C60</f>
        <v>0</v>
      </c>
      <c r="F60" s="571" t="s">
        <v>613</v>
      </c>
      <c r="G60" s="574" t="s">
        <v>614</v>
      </c>
      <c r="H60" s="368"/>
      <c r="I60" s="368"/>
      <c r="J60" s="368"/>
      <c r="K60" s="368"/>
    </row>
    <row r="61" spans="1:11" s="342" customFormat="1" ht="58.5" customHeight="1">
      <c r="A61" s="454" t="s">
        <v>598</v>
      </c>
      <c r="B61" s="162" t="s">
        <v>286</v>
      </c>
      <c r="C61" s="345">
        <v>0</v>
      </c>
      <c r="D61" s="345">
        <v>3000</v>
      </c>
      <c r="E61" s="345">
        <v>3000</v>
      </c>
      <c r="F61" s="573"/>
      <c r="G61" s="575"/>
      <c r="H61" s="368"/>
      <c r="I61" s="368"/>
      <c r="J61" s="368"/>
      <c r="K61" s="368"/>
    </row>
    <row r="62" spans="1:11" s="342" customFormat="1" ht="67.5" customHeight="1">
      <c r="A62" s="454" t="s">
        <v>599</v>
      </c>
      <c r="B62" s="162" t="s">
        <v>294</v>
      </c>
      <c r="C62" s="345">
        <v>0</v>
      </c>
      <c r="D62" s="345">
        <v>1000</v>
      </c>
      <c r="E62" s="345">
        <v>1000</v>
      </c>
      <c r="F62" s="573"/>
      <c r="G62" s="575"/>
      <c r="H62" s="368"/>
      <c r="I62" s="368"/>
      <c r="J62" s="368"/>
      <c r="K62" s="368"/>
    </row>
    <row r="63" spans="1:11" s="342" customFormat="1" ht="109.5" customHeight="1">
      <c r="A63" s="454" t="s">
        <v>600</v>
      </c>
      <c r="B63" s="162" t="s">
        <v>297</v>
      </c>
      <c r="C63" s="345">
        <v>0</v>
      </c>
      <c r="D63" s="345">
        <v>1220</v>
      </c>
      <c r="E63" s="345">
        <v>1220</v>
      </c>
      <c r="F63" s="573"/>
      <c r="G63" s="575"/>
      <c r="H63" s="368"/>
      <c r="I63" s="368"/>
      <c r="J63" s="368"/>
      <c r="K63" s="368"/>
    </row>
    <row r="64" spans="1:11" s="342" customFormat="1" ht="33.75" customHeight="1">
      <c r="A64" s="454" t="s">
        <v>601</v>
      </c>
      <c r="B64" s="162" t="s">
        <v>302</v>
      </c>
      <c r="C64" s="345">
        <v>0</v>
      </c>
      <c r="D64" s="345">
        <v>500</v>
      </c>
      <c r="E64" s="345">
        <v>500</v>
      </c>
      <c r="F64" s="573"/>
      <c r="G64" s="575"/>
      <c r="H64" s="368"/>
      <c r="I64" s="368"/>
      <c r="J64" s="368"/>
      <c r="K64" s="368"/>
    </row>
    <row r="65" spans="1:11" s="342" customFormat="1" ht="56.25" customHeight="1">
      <c r="A65" s="454" t="s">
        <v>602</v>
      </c>
      <c r="B65" s="162" t="s">
        <v>525</v>
      </c>
      <c r="C65" s="345">
        <v>0</v>
      </c>
      <c r="D65" s="345">
        <v>1800</v>
      </c>
      <c r="E65" s="345">
        <v>1800</v>
      </c>
      <c r="F65" s="573"/>
      <c r="G65" s="575"/>
      <c r="H65" s="368"/>
      <c r="I65" s="368"/>
      <c r="J65" s="368"/>
      <c r="K65" s="368"/>
    </row>
    <row r="66" spans="1:11" s="342" customFormat="1" ht="46.5" customHeight="1">
      <c r="A66" s="454" t="s">
        <v>603</v>
      </c>
      <c r="B66" s="162" t="s">
        <v>546</v>
      </c>
      <c r="C66" s="345">
        <v>0</v>
      </c>
      <c r="D66" s="345">
        <v>750</v>
      </c>
      <c r="E66" s="345">
        <v>750</v>
      </c>
      <c r="F66" s="573"/>
      <c r="G66" s="575"/>
      <c r="H66" s="368"/>
      <c r="I66" s="368"/>
      <c r="J66" s="368"/>
      <c r="K66" s="368"/>
    </row>
    <row r="67" spans="1:11" s="342" customFormat="1" ht="52.5" customHeight="1">
      <c r="A67" s="454" t="s">
        <v>604</v>
      </c>
      <c r="B67" s="443" t="s">
        <v>547</v>
      </c>
      <c r="C67" s="345">
        <v>0</v>
      </c>
      <c r="D67" s="345">
        <v>240</v>
      </c>
      <c r="E67" s="345">
        <v>240</v>
      </c>
      <c r="F67" s="573"/>
      <c r="G67" s="575"/>
      <c r="H67" s="368"/>
      <c r="I67" s="368"/>
      <c r="J67" s="368"/>
      <c r="K67" s="368"/>
    </row>
    <row r="68" spans="1:11" s="342" customFormat="1" ht="52.5" customHeight="1">
      <c r="A68" s="454" t="s">
        <v>605</v>
      </c>
      <c r="B68" s="443" t="s">
        <v>548</v>
      </c>
      <c r="C68" s="345">
        <v>0</v>
      </c>
      <c r="D68" s="345">
        <v>1200</v>
      </c>
      <c r="E68" s="345">
        <v>1200</v>
      </c>
      <c r="F68" s="573"/>
      <c r="G68" s="575"/>
      <c r="H68" s="368"/>
      <c r="I68" s="368"/>
      <c r="J68" s="368"/>
      <c r="K68" s="368"/>
    </row>
    <row r="69" spans="1:11" s="342" customFormat="1" ht="46.5" customHeight="1">
      <c r="A69" s="454" t="s">
        <v>606</v>
      </c>
      <c r="B69" s="443" t="s">
        <v>550</v>
      </c>
      <c r="C69" s="345">
        <v>0</v>
      </c>
      <c r="D69" s="345">
        <v>1950</v>
      </c>
      <c r="E69" s="345">
        <v>1950</v>
      </c>
      <c r="F69" s="573"/>
      <c r="G69" s="575"/>
      <c r="H69" s="368"/>
      <c r="I69" s="368"/>
      <c r="J69" s="368"/>
      <c r="K69" s="368"/>
    </row>
    <row r="70" spans="1:11" s="342" customFormat="1" ht="46.5" customHeight="1">
      <c r="A70" s="454" t="s">
        <v>607</v>
      </c>
      <c r="B70" s="443" t="s">
        <v>552</v>
      </c>
      <c r="C70" s="345">
        <v>0</v>
      </c>
      <c r="D70" s="345">
        <v>9700</v>
      </c>
      <c r="E70" s="345">
        <v>9700</v>
      </c>
      <c r="F70" s="573"/>
      <c r="G70" s="575"/>
      <c r="H70" s="368"/>
      <c r="I70" s="368"/>
      <c r="J70" s="368"/>
      <c r="K70" s="368"/>
    </row>
    <row r="71" spans="1:11" s="342" customFormat="1" ht="46.5" customHeight="1">
      <c r="A71" s="475" t="s">
        <v>608</v>
      </c>
      <c r="B71" s="476" t="s">
        <v>634</v>
      </c>
      <c r="C71" s="345">
        <v>0</v>
      </c>
      <c r="D71" s="345">
        <v>250</v>
      </c>
      <c r="E71" s="345">
        <v>250</v>
      </c>
      <c r="F71" s="573"/>
      <c r="G71" s="575"/>
      <c r="H71" s="368"/>
      <c r="I71" s="368"/>
      <c r="J71" s="368"/>
      <c r="K71" s="368"/>
    </row>
    <row r="72" spans="1:11" s="342" customFormat="1" ht="53.25" customHeight="1">
      <c r="A72" s="475" t="s">
        <v>636</v>
      </c>
      <c r="B72" s="476" t="s">
        <v>635</v>
      </c>
      <c r="C72" s="345">
        <v>0</v>
      </c>
      <c r="D72" s="345">
        <v>300</v>
      </c>
      <c r="E72" s="345">
        <v>300</v>
      </c>
      <c r="F72" s="573"/>
      <c r="G72" s="575"/>
      <c r="H72" s="368"/>
      <c r="I72" s="368"/>
      <c r="J72" s="368"/>
      <c r="K72" s="368"/>
    </row>
    <row r="73" spans="1:11" s="342" customFormat="1" ht="75.75" customHeight="1">
      <c r="A73" s="454" t="s">
        <v>608</v>
      </c>
      <c r="B73" s="443" t="s">
        <v>553</v>
      </c>
      <c r="C73" s="345">
        <v>0</v>
      </c>
      <c r="D73" s="345">
        <v>72</v>
      </c>
      <c r="E73" s="345">
        <v>72</v>
      </c>
      <c r="F73" s="572"/>
      <c r="G73" s="576"/>
      <c r="H73" s="368"/>
      <c r="I73" s="368"/>
      <c r="J73" s="368"/>
      <c r="K73" s="368"/>
    </row>
    <row r="74" spans="1:11" s="342" customFormat="1" ht="38.25" customHeight="1">
      <c r="A74" s="465" t="s">
        <v>581</v>
      </c>
      <c r="B74" s="162" t="s">
        <v>484</v>
      </c>
      <c r="C74" s="345">
        <v>0</v>
      </c>
      <c r="D74" s="345">
        <v>-2794.09</v>
      </c>
      <c r="E74" s="345">
        <f>D74-C74</f>
        <v>-2794.09</v>
      </c>
      <c r="F74" s="571" t="s">
        <v>564</v>
      </c>
      <c r="G74" s="574" t="s">
        <v>615</v>
      </c>
      <c r="H74" s="368"/>
      <c r="I74" s="368"/>
      <c r="J74" s="368"/>
      <c r="K74" s="368"/>
    </row>
    <row r="75" spans="1:11" s="342" customFormat="1" ht="32.25" customHeight="1">
      <c r="A75" s="454" t="s">
        <v>609</v>
      </c>
      <c r="B75" s="47" t="s">
        <v>151</v>
      </c>
      <c r="C75" s="345">
        <v>0</v>
      </c>
      <c r="D75" s="345">
        <v>-2054.09</v>
      </c>
      <c r="E75" s="345">
        <f>D75-C75</f>
        <v>-2054.09</v>
      </c>
      <c r="F75" s="573"/>
      <c r="G75" s="575"/>
      <c r="H75" s="368"/>
      <c r="I75" s="368"/>
      <c r="J75" s="368"/>
      <c r="K75" s="368"/>
    </row>
    <row r="76" spans="1:11" s="342" customFormat="1" ht="35.25" customHeight="1">
      <c r="A76" s="454" t="s">
        <v>610</v>
      </c>
      <c r="B76" s="47" t="s">
        <v>151</v>
      </c>
      <c r="C76" s="345">
        <v>0</v>
      </c>
      <c r="D76" s="345">
        <v>-740</v>
      </c>
      <c r="E76" s="345">
        <f>D76-C76</f>
        <v>-740</v>
      </c>
      <c r="F76" s="572"/>
      <c r="G76" s="576"/>
      <c r="H76" s="368"/>
      <c r="I76" s="368"/>
      <c r="J76" s="368"/>
      <c r="K76" s="368"/>
    </row>
    <row r="77" spans="1:11" s="342" customFormat="1" ht="18.75" customHeight="1">
      <c r="A77" s="579" t="s">
        <v>5</v>
      </c>
      <c r="B77" s="580"/>
      <c r="C77" s="130">
        <f>C10+C12+C28+C31+C33+C37+C46+C52+C56+C58+C60+C74</f>
        <v>271708.94200000004</v>
      </c>
      <c r="D77" s="130">
        <f>D10+D12+D28+D31+D33+D37+D46+D52+D56+D58+D60+D74</f>
        <v>313551.73199999996</v>
      </c>
      <c r="E77" s="130">
        <f>E10+E12+E28+E31+E33+E37+E46+E52+E56+E58+E60+E74</f>
        <v>41842.79000000001</v>
      </c>
      <c r="F77" s="373"/>
      <c r="G77" s="373"/>
      <c r="H77" s="368"/>
      <c r="I77" s="368"/>
      <c r="J77" s="368"/>
      <c r="K77" s="368"/>
    </row>
    <row r="78" spans="1:11" s="342" customFormat="1" ht="18.75" customHeight="1">
      <c r="A78" s="578" t="s">
        <v>522</v>
      </c>
      <c r="B78" s="578"/>
      <c r="C78" s="578"/>
      <c r="D78" s="184"/>
      <c r="E78" s="184"/>
      <c r="F78" s="68"/>
      <c r="G78" s="240" t="s">
        <v>523</v>
      </c>
      <c r="H78" s="368"/>
      <c r="I78" s="368"/>
      <c r="J78" s="368"/>
      <c r="K78" s="368"/>
    </row>
    <row r="79" spans="1:11" s="342" customFormat="1" ht="18.75">
      <c r="A79" s="375"/>
      <c r="B79" s="375"/>
      <c r="C79" s="376"/>
      <c r="D79" s="136"/>
      <c r="E79" s="136"/>
      <c r="F79" s="338"/>
      <c r="G79" s="368"/>
      <c r="H79" s="368"/>
      <c r="I79" s="368"/>
      <c r="J79" s="368"/>
      <c r="K79" s="368"/>
    </row>
    <row r="80" spans="1:11" s="342" customFormat="1" ht="18.75">
      <c r="A80" s="584"/>
      <c r="B80" s="584"/>
      <c r="C80" s="165"/>
      <c r="D80" s="377"/>
      <c r="E80" s="377"/>
      <c r="F80" s="368"/>
      <c r="G80" s="368"/>
      <c r="H80" s="368"/>
      <c r="I80" s="368"/>
      <c r="J80" s="368"/>
      <c r="K80" s="368"/>
    </row>
    <row r="81" s="342" customFormat="1" ht="15">
      <c r="A81" s="355"/>
    </row>
    <row r="82" s="342" customFormat="1" ht="15">
      <c r="A82" s="355"/>
    </row>
    <row r="83" s="342" customFormat="1" ht="15">
      <c r="A83" s="355"/>
    </row>
    <row r="84" s="342" customFormat="1" ht="15">
      <c r="A84" s="355"/>
    </row>
    <row r="85" s="342" customFormat="1" ht="15">
      <c r="A85" s="355"/>
    </row>
    <row r="86" s="342" customFormat="1" ht="15">
      <c r="A86" s="355"/>
    </row>
    <row r="87" s="342" customFormat="1" ht="15">
      <c r="A87" s="355"/>
    </row>
    <row r="88" s="342" customFormat="1" ht="15">
      <c r="A88" s="355"/>
    </row>
    <row r="89" s="342" customFormat="1" ht="15">
      <c r="A89" s="355"/>
    </row>
    <row r="90" s="342" customFormat="1" ht="15"/>
  </sheetData>
  <sheetProtection/>
  <mergeCells count="33">
    <mergeCell ref="F10:F11"/>
    <mergeCell ref="G10:G11"/>
    <mergeCell ref="G37:G45"/>
    <mergeCell ref="F46:F51"/>
    <mergeCell ref="G46:G51"/>
    <mergeCell ref="F37:F45"/>
    <mergeCell ref="F31:F32"/>
    <mergeCell ref="A80:B80"/>
    <mergeCell ref="A7:A9"/>
    <mergeCell ref="B7:B9"/>
    <mergeCell ref="F7:G9"/>
    <mergeCell ref="C8:C9"/>
    <mergeCell ref="D8:D9"/>
    <mergeCell ref="E7:E9"/>
    <mergeCell ref="G31:G32"/>
    <mergeCell ref="F28:F30"/>
    <mergeCell ref="G28:G30"/>
    <mergeCell ref="A4:G5"/>
    <mergeCell ref="A78:C78"/>
    <mergeCell ref="A77:B77"/>
    <mergeCell ref="F56:F57"/>
    <mergeCell ref="G56:G57"/>
    <mergeCell ref="F52:F55"/>
    <mergeCell ref="G52:G55"/>
    <mergeCell ref="G12:G26"/>
    <mergeCell ref="F74:F76"/>
    <mergeCell ref="G74:G76"/>
    <mergeCell ref="F58:F59"/>
    <mergeCell ref="G58:G59"/>
    <mergeCell ref="F60:F73"/>
    <mergeCell ref="G60:G73"/>
    <mergeCell ref="F33:F36"/>
    <mergeCell ref="G33:G36"/>
  </mergeCells>
  <printOptions/>
  <pageMargins left="0.7086614173228347" right="0.7086614173228347" top="0.7480314960629921" bottom="0.7480314960629921" header="0.31496062992125984" footer="0.31496062992125984"/>
  <pageSetup fitToHeight="0" horizontalDpi="600" verticalDpi="600" orientation="landscape" paperSize="9" scale="60"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N40"/>
  <sheetViews>
    <sheetView view="pageBreakPreview" zoomScaleSheetLayoutView="100" zoomScalePageLayoutView="0" workbookViewId="0" topLeftCell="A16">
      <selection activeCell="B10" sqref="B10:K10"/>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68" t="s">
        <v>345</v>
      </c>
      <c r="K1" s="668"/>
      <c r="L1" s="13" t="s">
        <v>19</v>
      </c>
    </row>
    <row r="2" spans="2:12" ht="15.75">
      <c r="B2" s="15"/>
      <c r="C2" s="15"/>
      <c r="D2" s="15"/>
      <c r="E2" s="15"/>
      <c r="F2" s="15"/>
      <c r="G2" s="15"/>
      <c r="H2" s="15"/>
      <c r="I2" s="12" t="s">
        <v>11</v>
      </c>
      <c r="J2" s="616" t="s">
        <v>11</v>
      </c>
      <c r="K2" s="616"/>
      <c r="L2" s="12" t="s">
        <v>11</v>
      </c>
    </row>
    <row r="3" spans="2:12" ht="15.75">
      <c r="B3" s="15"/>
      <c r="C3" s="15"/>
      <c r="D3" s="15"/>
      <c r="E3" s="15"/>
      <c r="F3" s="15"/>
      <c r="G3" s="15"/>
      <c r="H3" s="15"/>
      <c r="I3" s="12"/>
      <c r="J3" s="12" t="s">
        <v>318</v>
      </c>
      <c r="K3" s="12"/>
      <c r="L3" s="12"/>
    </row>
    <row r="4" spans="2:12" ht="15.75">
      <c r="B4" s="15"/>
      <c r="C4" s="15"/>
      <c r="D4" s="15"/>
      <c r="E4" s="15"/>
      <c r="F4" s="15"/>
      <c r="G4" s="15"/>
      <c r="H4" s="15"/>
      <c r="I4" s="12" t="s">
        <v>21</v>
      </c>
      <c r="J4" s="12" t="s">
        <v>690</v>
      </c>
      <c r="K4" s="12"/>
      <c r="L4" s="12" t="s">
        <v>21</v>
      </c>
    </row>
    <row r="5" spans="2:12" ht="15.75">
      <c r="B5" s="15"/>
      <c r="C5" s="15"/>
      <c r="D5" s="15"/>
      <c r="E5" s="15"/>
      <c r="F5" s="15"/>
      <c r="G5" s="15"/>
      <c r="H5" s="15"/>
      <c r="I5" s="12" t="s">
        <v>23</v>
      </c>
      <c r="J5" s="12" t="s">
        <v>692</v>
      </c>
      <c r="K5" s="12"/>
      <c r="L5" s="12" t="s">
        <v>23</v>
      </c>
    </row>
    <row r="6" spans="2:12" ht="15.75">
      <c r="B6" s="15"/>
      <c r="C6" s="15"/>
      <c r="D6" s="15"/>
      <c r="E6" s="15"/>
      <c r="F6" s="15"/>
      <c r="G6" s="15"/>
      <c r="H6" s="15"/>
      <c r="I6" s="12"/>
      <c r="J6" s="12" t="s">
        <v>675</v>
      </c>
      <c r="K6" s="12"/>
      <c r="L6" s="12"/>
    </row>
    <row r="7" spans="2:12" ht="15.75">
      <c r="B7" s="15"/>
      <c r="C7" s="15"/>
      <c r="D7" s="15"/>
      <c r="E7" s="15"/>
      <c r="F7" s="15"/>
      <c r="G7" s="15"/>
      <c r="H7" s="15"/>
      <c r="I7" s="12"/>
      <c r="J7" s="12" t="s">
        <v>676</v>
      </c>
      <c r="K7" s="12"/>
      <c r="L7" s="12"/>
    </row>
    <row r="8" spans="2:12" ht="15.75">
      <c r="B8" s="15"/>
      <c r="C8" s="15"/>
      <c r="D8" s="15"/>
      <c r="E8" s="15"/>
      <c r="F8" s="15"/>
      <c r="G8" s="15"/>
      <c r="H8" s="15"/>
      <c r="I8" s="12"/>
      <c r="J8" s="12" t="s">
        <v>691</v>
      </c>
      <c r="K8" s="12"/>
      <c r="L8" s="12"/>
    </row>
    <row r="9" spans="2:12" ht="15.75">
      <c r="B9" s="15"/>
      <c r="C9" s="15"/>
      <c r="D9" s="15"/>
      <c r="E9" s="15"/>
      <c r="F9" s="15"/>
      <c r="G9" s="15"/>
      <c r="H9" s="15"/>
      <c r="I9" s="15"/>
      <c r="J9" s="15" t="s">
        <v>740</v>
      </c>
      <c r="K9" s="15"/>
      <c r="L9" s="15"/>
    </row>
    <row r="10" spans="2:12" ht="36.75" customHeight="1">
      <c r="B10" s="611" t="s">
        <v>622</v>
      </c>
      <c r="C10" s="611"/>
      <c r="D10" s="611"/>
      <c r="E10" s="611"/>
      <c r="F10" s="611"/>
      <c r="G10" s="611"/>
      <c r="H10" s="611"/>
      <c r="I10" s="611"/>
      <c r="J10" s="611"/>
      <c r="K10" s="611"/>
      <c r="L10" s="15"/>
    </row>
    <row r="11" spans="2:12" ht="15.75">
      <c r="B11" s="15"/>
      <c r="C11" s="15"/>
      <c r="D11" s="614"/>
      <c r="E11" s="614"/>
      <c r="F11" s="614"/>
      <c r="G11" s="614"/>
      <c r="H11" s="614"/>
      <c r="I11" s="15"/>
      <c r="J11" s="15"/>
      <c r="K11" s="35" t="s">
        <v>462</v>
      </c>
      <c r="L11" s="15"/>
    </row>
    <row r="12" spans="1:12" ht="15.75" customHeight="1">
      <c r="A12" s="664" t="s">
        <v>32</v>
      </c>
      <c r="B12" s="664" t="s">
        <v>12</v>
      </c>
      <c r="C12" s="664" t="s">
        <v>13</v>
      </c>
      <c r="D12" s="664" t="s">
        <v>428</v>
      </c>
      <c r="E12" s="671" t="s">
        <v>9</v>
      </c>
      <c r="F12" s="671"/>
      <c r="G12" s="671"/>
      <c r="H12" s="671"/>
      <c r="I12" s="671"/>
      <c r="J12" s="672"/>
      <c r="K12" s="667" t="s">
        <v>15</v>
      </c>
      <c r="L12" s="15"/>
    </row>
    <row r="13" spans="1:12" ht="15.75">
      <c r="A13" s="665"/>
      <c r="B13" s="665"/>
      <c r="C13" s="665"/>
      <c r="D13" s="665"/>
      <c r="E13" s="664" t="s">
        <v>463</v>
      </c>
      <c r="F13" s="664" t="s">
        <v>468</v>
      </c>
      <c r="G13" s="664" t="s">
        <v>27</v>
      </c>
      <c r="H13" s="664" t="s">
        <v>28</v>
      </c>
      <c r="I13" s="664" t="s">
        <v>29</v>
      </c>
      <c r="J13" s="667" t="s">
        <v>441</v>
      </c>
      <c r="K13" s="667"/>
      <c r="L13" s="15"/>
    </row>
    <row r="14" spans="1:12" ht="10.5" customHeight="1">
      <c r="A14" s="666"/>
      <c r="B14" s="666"/>
      <c r="C14" s="666"/>
      <c r="D14" s="666"/>
      <c r="E14" s="666"/>
      <c r="F14" s="666"/>
      <c r="G14" s="666"/>
      <c r="H14" s="666"/>
      <c r="I14" s="666"/>
      <c r="J14" s="667"/>
      <c r="K14" s="667"/>
      <c r="L14" s="15"/>
    </row>
    <row r="15" spans="1:12" ht="40.5" customHeight="1">
      <c r="A15" s="603">
        <v>1</v>
      </c>
      <c r="B15" s="669" t="s">
        <v>81</v>
      </c>
      <c r="C15" s="84" t="s">
        <v>16</v>
      </c>
      <c r="D15" s="159">
        <f>E15+F15+J15</f>
        <v>4971.4</v>
      </c>
      <c r="E15" s="160">
        <v>2971.4</v>
      </c>
      <c r="F15" s="161">
        <f>3000-1000</f>
        <v>2000</v>
      </c>
      <c r="G15" s="160"/>
      <c r="H15" s="160"/>
      <c r="I15" s="160"/>
      <c r="J15" s="160"/>
      <c r="K15" s="669" t="s">
        <v>206</v>
      </c>
      <c r="L15" s="15"/>
    </row>
    <row r="16" spans="1:14" ht="16.5" customHeight="1">
      <c r="A16" s="604"/>
      <c r="B16" s="670"/>
      <c r="C16" s="84" t="s">
        <v>643</v>
      </c>
      <c r="D16" s="159">
        <f aca="true" t="shared" si="0" ref="D16:D25">E16+F16+J16</f>
        <v>3100</v>
      </c>
      <c r="E16" s="161"/>
      <c r="F16" s="160"/>
      <c r="G16" s="160"/>
      <c r="H16" s="160"/>
      <c r="I16" s="160"/>
      <c r="J16" s="160">
        <v>3100</v>
      </c>
      <c r="K16" s="670"/>
      <c r="L16" s="15"/>
      <c r="N16" s="55"/>
    </row>
    <row r="17" spans="1:14" ht="56.25" customHeight="1">
      <c r="A17" s="603">
        <v>2</v>
      </c>
      <c r="B17" s="673" t="s">
        <v>406</v>
      </c>
      <c r="C17" s="84" t="s">
        <v>16</v>
      </c>
      <c r="D17" s="159">
        <f t="shared" si="0"/>
        <v>4000</v>
      </c>
      <c r="E17" s="161">
        <v>0</v>
      </c>
      <c r="F17" s="160">
        <f>0+4000</f>
        <v>4000</v>
      </c>
      <c r="G17" s="160"/>
      <c r="H17" s="160"/>
      <c r="I17" s="160"/>
      <c r="J17" s="160"/>
      <c r="K17" s="669" t="s">
        <v>206</v>
      </c>
      <c r="L17" s="15"/>
      <c r="N17" s="55"/>
    </row>
    <row r="18" spans="1:14" ht="22.5" customHeight="1">
      <c r="A18" s="604"/>
      <c r="B18" s="674"/>
      <c r="C18" s="84" t="s">
        <v>643</v>
      </c>
      <c r="D18" s="159">
        <f t="shared" si="0"/>
        <v>3750</v>
      </c>
      <c r="E18" s="161"/>
      <c r="F18" s="160"/>
      <c r="G18" s="160"/>
      <c r="H18" s="160"/>
      <c r="I18" s="160"/>
      <c r="J18" s="160">
        <v>3750</v>
      </c>
      <c r="K18" s="670"/>
      <c r="L18" s="15"/>
      <c r="N18" s="55"/>
    </row>
    <row r="19" spans="1:14" ht="28.5" customHeight="1">
      <c r="A19" s="603">
        <v>3</v>
      </c>
      <c r="B19" s="574" t="s">
        <v>82</v>
      </c>
      <c r="C19" s="84" t="s">
        <v>16</v>
      </c>
      <c r="D19" s="159">
        <f t="shared" si="0"/>
        <v>400</v>
      </c>
      <c r="E19" s="163">
        <v>200</v>
      </c>
      <c r="F19" s="163">
        <v>200</v>
      </c>
      <c r="G19" s="163">
        <v>100</v>
      </c>
      <c r="H19" s="163">
        <v>100</v>
      </c>
      <c r="I19" s="163">
        <v>100</v>
      </c>
      <c r="J19" s="163"/>
      <c r="K19" s="669" t="s">
        <v>31</v>
      </c>
      <c r="L19" s="15"/>
      <c r="N19" s="55"/>
    </row>
    <row r="20" spans="1:14" ht="17.25" customHeight="1">
      <c r="A20" s="604"/>
      <c r="B20" s="576"/>
      <c r="C20" s="84" t="s">
        <v>643</v>
      </c>
      <c r="D20" s="159">
        <f t="shared" si="0"/>
        <v>200</v>
      </c>
      <c r="E20" s="163"/>
      <c r="F20" s="163"/>
      <c r="G20" s="163"/>
      <c r="H20" s="163"/>
      <c r="I20" s="163"/>
      <c r="J20" s="163">
        <v>200</v>
      </c>
      <c r="K20" s="670"/>
      <c r="L20" s="15"/>
      <c r="N20" s="55"/>
    </row>
    <row r="21" spans="1:14" ht="32.25" customHeight="1">
      <c r="A21" s="603">
        <v>4</v>
      </c>
      <c r="B21" s="574" t="s">
        <v>83</v>
      </c>
      <c r="C21" s="164" t="s">
        <v>16</v>
      </c>
      <c r="D21" s="159">
        <f t="shared" si="0"/>
        <v>750</v>
      </c>
      <c r="E21" s="163">
        <v>350</v>
      </c>
      <c r="F21" s="163">
        <v>400</v>
      </c>
      <c r="G21" s="163"/>
      <c r="H21" s="163"/>
      <c r="I21" s="163"/>
      <c r="J21" s="163"/>
      <c r="K21" s="574" t="s">
        <v>205</v>
      </c>
      <c r="L21" s="15"/>
      <c r="N21" s="55"/>
    </row>
    <row r="22" spans="1:14" ht="25.5" customHeight="1">
      <c r="A22" s="604"/>
      <c r="B22" s="576"/>
      <c r="C22" s="511" t="s">
        <v>643</v>
      </c>
      <c r="D22" s="159">
        <f t="shared" si="0"/>
        <v>460</v>
      </c>
      <c r="E22" s="163"/>
      <c r="F22" s="163"/>
      <c r="G22" s="163"/>
      <c r="H22" s="163"/>
      <c r="I22" s="163"/>
      <c r="J22" s="163">
        <v>460</v>
      </c>
      <c r="K22" s="576"/>
      <c r="L22" s="15"/>
      <c r="N22" s="55"/>
    </row>
    <row r="23" spans="1:14" ht="32.25" customHeight="1">
      <c r="A23" s="603">
        <v>5</v>
      </c>
      <c r="B23" s="574" t="s">
        <v>84</v>
      </c>
      <c r="C23" s="236" t="s">
        <v>16</v>
      </c>
      <c r="D23" s="159">
        <f t="shared" si="0"/>
        <v>3800</v>
      </c>
      <c r="E23" s="163">
        <v>1900</v>
      </c>
      <c r="F23" s="163">
        <v>1900</v>
      </c>
      <c r="G23" s="163"/>
      <c r="H23" s="163"/>
      <c r="I23" s="163"/>
      <c r="J23" s="163"/>
      <c r="K23" s="574" t="s">
        <v>85</v>
      </c>
      <c r="L23" s="15"/>
      <c r="N23" s="55"/>
    </row>
    <row r="24" spans="1:14" ht="24" customHeight="1">
      <c r="A24" s="604"/>
      <c r="B24" s="576"/>
      <c r="C24" s="511" t="s">
        <v>643</v>
      </c>
      <c r="D24" s="159">
        <f t="shared" si="0"/>
        <v>1900</v>
      </c>
      <c r="E24" s="163"/>
      <c r="F24" s="163"/>
      <c r="G24" s="163"/>
      <c r="H24" s="163"/>
      <c r="I24" s="163"/>
      <c r="J24" s="163">
        <v>1900</v>
      </c>
      <c r="K24" s="576"/>
      <c r="L24" s="15"/>
      <c r="N24" s="55"/>
    </row>
    <row r="25" spans="1:14" ht="57.75" customHeight="1">
      <c r="A25" s="235">
        <v>6</v>
      </c>
      <c r="B25" s="442" t="s">
        <v>514</v>
      </c>
      <c r="C25" s="442" t="s">
        <v>16</v>
      </c>
      <c r="D25" s="159">
        <f t="shared" si="0"/>
        <v>111</v>
      </c>
      <c r="E25" s="163"/>
      <c r="F25" s="163">
        <f>15+96</f>
        <v>111</v>
      </c>
      <c r="G25" s="163"/>
      <c r="H25" s="163"/>
      <c r="I25" s="163"/>
      <c r="J25" s="163"/>
      <c r="K25" s="164" t="s">
        <v>85</v>
      </c>
      <c r="L25" s="15"/>
      <c r="N25" s="55"/>
    </row>
    <row r="26" spans="1:12" ht="32.25" customHeight="1">
      <c r="A26" s="85"/>
      <c r="B26" s="83" t="s">
        <v>5</v>
      </c>
      <c r="C26" s="164"/>
      <c r="D26" s="159">
        <f>E26+F26+J26</f>
        <v>23442.4</v>
      </c>
      <c r="E26" s="159">
        <f>E23+E21+E19+E15</f>
        <v>5421.4</v>
      </c>
      <c r="F26" s="159">
        <f>F23+F21+F19+F15+F17+F25</f>
        <v>8611</v>
      </c>
      <c r="G26" s="159">
        <f>G23+G21+G19+G15</f>
        <v>100</v>
      </c>
      <c r="H26" s="159">
        <f>H23+H21+H19+H15</f>
        <v>100</v>
      </c>
      <c r="I26" s="159">
        <f>I23+I21+I19+I15</f>
        <v>100</v>
      </c>
      <c r="J26" s="159">
        <f>J23+J21+J19+J15+J17+J16+J18+J20+J22+J24+J25</f>
        <v>9410</v>
      </c>
      <c r="K26" s="84"/>
      <c r="L26" s="15"/>
    </row>
    <row r="27" spans="2:12" ht="15.75">
      <c r="B27" s="18"/>
      <c r="C27" s="165"/>
      <c r="D27" s="19"/>
      <c r="E27" s="19"/>
      <c r="F27" s="19"/>
      <c r="G27" s="19"/>
      <c r="H27" s="19"/>
      <c r="I27" s="19"/>
      <c r="J27" s="19"/>
      <c r="K27" s="166"/>
      <c r="L27" s="15"/>
    </row>
    <row r="28" spans="2:12" ht="15.75" hidden="1">
      <c r="B28" s="18"/>
      <c r="C28" s="18"/>
      <c r="D28" s="19"/>
      <c r="E28" s="19"/>
      <c r="F28" s="19"/>
      <c r="G28" s="19"/>
      <c r="H28" s="19"/>
      <c r="I28" s="19"/>
      <c r="J28" s="19"/>
      <c r="K28" s="20"/>
      <c r="L28" s="15"/>
    </row>
    <row r="29" spans="2:12" ht="15.75">
      <c r="B29" s="18"/>
      <c r="C29" s="18"/>
      <c r="D29" s="19"/>
      <c r="E29" s="19"/>
      <c r="F29" s="19"/>
      <c r="G29" s="19"/>
      <c r="H29" s="19"/>
      <c r="I29" s="19"/>
      <c r="J29" s="19"/>
      <c r="K29" s="20"/>
      <c r="L29" s="15"/>
    </row>
    <row r="30" spans="2:12" ht="15.75">
      <c r="B30" s="18"/>
      <c r="C30" s="18"/>
      <c r="D30" s="19"/>
      <c r="E30" s="19"/>
      <c r="F30" s="19"/>
      <c r="G30" s="19"/>
      <c r="H30" s="19"/>
      <c r="I30" s="19"/>
      <c r="J30" s="19"/>
      <c r="K30" s="20"/>
      <c r="L30" s="15"/>
    </row>
    <row r="31" spans="2:12" ht="18.75">
      <c r="B31" s="52"/>
      <c r="C31" s="53"/>
      <c r="E31" s="19"/>
      <c r="F31" s="19"/>
      <c r="G31" s="19"/>
      <c r="H31" s="19"/>
      <c r="I31" s="19"/>
      <c r="J31" s="19"/>
      <c r="K31" s="53"/>
      <c r="L31" s="15"/>
    </row>
    <row r="32" spans="2:12" ht="21.75" customHeight="1">
      <c r="B32" s="634" t="s">
        <v>689</v>
      </c>
      <c r="C32" s="634"/>
      <c r="D32" s="374"/>
      <c r="E32" s="22"/>
      <c r="F32" s="22"/>
      <c r="G32" s="16"/>
      <c r="H32" s="16"/>
      <c r="I32" s="16"/>
      <c r="J32" s="23"/>
      <c r="K32" s="23" t="s">
        <v>30</v>
      </c>
      <c r="L32" s="23"/>
    </row>
    <row r="33" spans="2:12" ht="6.75" customHeight="1">
      <c r="B33" s="374"/>
      <c r="C33" s="374"/>
      <c r="D33" s="374"/>
      <c r="E33" s="22"/>
      <c r="F33" s="22"/>
      <c r="G33" s="16"/>
      <c r="H33" s="16"/>
      <c r="I33" s="16"/>
      <c r="J33" s="23"/>
      <c r="K33" s="23"/>
      <c r="L33" s="23"/>
    </row>
    <row r="34" spans="2:11" ht="18.75">
      <c r="B34" s="612" t="s">
        <v>670</v>
      </c>
      <c r="C34" s="612"/>
      <c r="D34" s="25"/>
      <c r="E34" s="26"/>
      <c r="F34" s="26"/>
      <c r="G34" s="26"/>
      <c r="H34" s="26"/>
      <c r="I34" s="26"/>
      <c r="J34" s="15"/>
      <c r="K34" s="15"/>
    </row>
    <row r="35" spans="2:13" ht="15.75">
      <c r="B35" s="27" t="s">
        <v>10</v>
      </c>
      <c r="C35" s="27"/>
      <c r="D35" s="26"/>
      <c r="E35" s="26"/>
      <c r="F35" s="26"/>
      <c r="G35" s="26"/>
      <c r="H35" s="26"/>
      <c r="I35" s="26"/>
      <c r="J35" s="15"/>
      <c r="K35" s="15"/>
      <c r="M35" s="12"/>
    </row>
    <row r="36" spans="2:11" ht="15.75">
      <c r="B36" s="28"/>
      <c r="C36" s="29"/>
      <c r="D36" s="30"/>
      <c r="E36" s="26"/>
      <c r="F36" s="26"/>
      <c r="G36" s="26"/>
      <c r="H36" s="26"/>
      <c r="I36" s="26"/>
      <c r="J36" s="15"/>
      <c r="K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33">
    <mergeCell ref="A21:A22"/>
    <mergeCell ref="B21:B22"/>
    <mergeCell ref="K21:K22"/>
    <mergeCell ref="A23:A24"/>
    <mergeCell ref="B23:B24"/>
    <mergeCell ref="K23:K24"/>
    <mergeCell ref="K15:K16"/>
    <mergeCell ref="A17:A18"/>
    <mergeCell ref="B17:B18"/>
    <mergeCell ref="K17:K18"/>
    <mergeCell ref="A19:A20"/>
    <mergeCell ref="B19:B20"/>
    <mergeCell ref="K19:K20"/>
    <mergeCell ref="B34:C34"/>
    <mergeCell ref="K12:K14"/>
    <mergeCell ref="E13:E14"/>
    <mergeCell ref="F13:F14"/>
    <mergeCell ref="G13:G14"/>
    <mergeCell ref="H13:H14"/>
    <mergeCell ref="C12:C14"/>
    <mergeCell ref="D12:D14"/>
    <mergeCell ref="E12:J12"/>
    <mergeCell ref="I13:I14"/>
    <mergeCell ref="A12:A14"/>
    <mergeCell ref="B12:B14"/>
    <mergeCell ref="B32:C32"/>
    <mergeCell ref="J13:J14"/>
    <mergeCell ref="J1:K1"/>
    <mergeCell ref="J2:K2"/>
    <mergeCell ref="B10:K10"/>
    <mergeCell ref="D11:H11"/>
    <mergeCell ref="A15:A16"/>
    <mergeCell ref="B15:B16"/>
  </mergeCells>
  <printOptions horizontalCentered="1"/>
  <pageMargins left="0" right="0" top="1.1811023622047245" bottom="0" header="0" footer="0"/>
  <pageSetup fitToHeight="1" fitToWidth="1" horizontalDpi="600" verticalDpi="600" orientation="landscape" paperSize="9" scale="68" r:id="rId1"/>
</worksheet>
</file>

<file path=xl/worksheets/sheet11.xml><?xml version="1.0" encoding="utf-8"?>
<worksheet xmlns="http://schemas.openxmlformats.org/spreadsheetml/2006/main" xmlns:r="http://schemas.openxmlformats.org/officeDocument/2006/relationships">
  <sheetPr>
    <tabColor rgb="FFFFFF00"/>
  </sheetPr>
  <dimension ref="A1:M137"/>
  <sheetViews>
    <sheetView view="pageBreakPreview" zoomScale="74" zoomScaleSheetLayoutView="74" zoomScalePageLayoutView="0" workbookViewId="0" topLeftCell="A1">
      <selection activeCell="D36" sqref="D36"/>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59" t="s">
        <v>493</v>
      </c>
      <c r="I1" s="59"/>
      <c r="J1" s="12"/>
      <c r="K1" s="12"/>
    </row>
    <row r="2" spans="8:11" ht="18.75">
      <c r="H2" s="59" t="s">
        <v>11</v>
      </c>
      <c r="I2" s="59"/>
      <c r="J2" s="12"/>
      <c r="K2" s="12"/>
    </row>
    <row r="3" spans="8:11" ht="18.75">
      <c r="H3" s="59" t="s">
        <v>678</v>
      </c>
      <c r="I3" s="59"/>
      <c r="J3" s="12"/>
      <c r="K3" s="12"/>
    </row>
    <row r="4" spans="8:11" ht="18.75">
      <c r="H4" s="607" t="s">
        <v>679</v>
      </c>
      <c r="I4" s="607"/>
      <c r="J4" s="12"/>
      <c r="K4" s="12"/>
    </row>
    <row r="5" spans="8:13" ht="18.75">
      <c r="H5" s="73" t="s">
        <v>688</v>
      </c>
      <c r="I5" s="73"/>
      <c r="J5" s="17"/>
      <c r="K5" s="17"/>
      <c r="L5" s="17"/>
      <c r="M5" s="17"/>
    </row>
    <row r="6" spans="2:11" ht="18.75">
      <c r="B6" s="15"/>
      <c r="C6" s="15"/>
      <c r="D6" s="15"/>
      <c r="H6" s="607" t="s">
        <v>693</v>
      </c>
      <c r="I6" s="607"/>
      <c r="J6" s="12"/>
      <c r="K6" s="12"/>
    </row>
    <row r="7" spans="2:11" ht="18.75">
      <c r="B7" s="15"/>
      <c r="C7" s="15"/>
      <c r="D7" s="15"/>
      <c r="H7" s="59" t="s">
        <v>677</v>
      </c>
      <c r="I7" s="59"/>
      <c r="J7" s="12"/>
      <c r="K7" s="12"/>
    </row>
    <row r="8" spans="2:13" ht="15.75" customHeight="1">
      <c r="B8" s="15"/>
      <c r="C8" s="15"/>
      <c r="D8" s="15"/>
      <c r="H8" s="366" t="s">
        <v>736</v>
      </c>
      <c r="I8" s="56"/>
      <c r="J8" s="17"/>
      <c r="K8" s="17"/>
      <c r="L8" s="17"/>
      <c r="M8" s="17"/>
    </row>
    <row r="9" spans="2:9" ht="12" customHeight="1">
      <c r="B9" s="15"/>
      <c r="C9" s="15"/>
      <c r="D9" s="15"/>
      <c r="E9" s="15"/>
      <c r="F9" s="15"/>
      <c r="G9" s="15"/>
      <c r="H9" s="12"/>
      <c r="I9" s="12"/>
    </row>
    <row r="10" spans="2:9" ht="17.25" customHeight="1">
      <c r="B10" s="675" t="s">
        <v>649</v>
      </c>
      <c r="C10" s="675"/>
      <c r="D10" s="675"/>
      <c r="E10" s="675"/>
      <c r="F10" s="675"/>
      <c r="G10" s="675"/>
      <c r="H10" s="675"/>
      <c r="I10" s="15"/>
    </row>
    <row r="11" spans="2:9" ht="21.75" customHeight="1">
      <c r="B11" s="34"/>
      <c r="C11" s="34"/>
      <c r="D11" s="34"/>
      <c r="E11" s="34"/>
      <c r="F11" s="34"/>
      <c r="G11" s="34"/>
      <c r="H11" s="430" t="s">
        <v>462</v>
      </c>
      <c r="I11" s="15"/>
    </row>
    <row r="12" spans="1:9" ht="19.5" customHeight="1">
      <c r="A12" s="608" t="s">
        <v>32</v>
      </c>
      <c r="B12" s="608" t="s">
        <v>12</v>
      </c>
      <c r="C12" s="608" t="s">
        <v>13</v>
      </c>
      <c r="D12" s="608" t="s">
        <v>438</v>
      </c>
      <c r="E12" s="613" t="s">
        <v>9</v>
      </c>
      <c r="F12" s="613"/>
      <c r="G12" s="613"/>
      <c r="H12" s="613" t="s">
        <v>15</v>
      </c>
      <c r="I12" s="15"/>
    </row>
    <row r="13" spans="1:9" ht="15.75" customHeight="1">
      <c r="A13" s="609"/>
      <c r="B13" s="609"/>
      <c r="C13" s="609"/>
      <c r="D13" s="609"/>
      <c r="E13" s="585" t="s">
        <v>470</v>
      </c>
      <c r="F13" s="585" t="s">
        <v>468</v>
      </c>
      <c r="G13" s="585" t="s">
        <v>471</v>
      </c>
      <c r="H13" s="613"/>
      <c r="I13" s="15"/>
    </row>
    <row r="14" spans="1:9" ht="29.25" customHeight="1">
      <c r="A14" s="610"/>
      <c r="B14" s="610"/>
      <c r="C14" s="610"/>
      <c r="D14" s="610"/>
      <c r="E14" s="587"/>
      <c r="F14" s="587"/>
      <c r="G14" s="587"/>
      <c r="H14" s="613"/>
      <c r="I14" s="15"/>
    </row>
    <row r="15" spans="1:9" ht="33.75" customHeight="1" hidden="1">
      <c r="A15" s="66">
        <v>1</v>
      </c>
      <c r="B15" s="61" t="s">
        <v>34</v>
      </c>
      <c r="C15" s="36" t="s">
        <v>16</v>
      </c>
      <c r="D15" s="74" t="e">
        <f>#REF!+E15+F15+G15</f>
        <v>#REF!</v>
      </c>
      <c r="E15" s="108"/>
      <c r="F15" s="108"/>
      <c r="G15" s="108"/>
      <c r="H15" s="36" t="s">
        <v>35</v>
      </c>
      <c r="I15" s="15"/>
    </row>
    <row r="16" spans="1:9" ht="33.75" customHeight="1">
      <c r="A16" s="581">
        <v>1</v>
      </c>
      <c r="B16" s="581" t="s">
        <v>202</v>
      </c>
      <c r="C16" s="237" t="s">
        <v>16</v>
      </c>
      <c r="D16" s="244">
        <f aca="true" t="shared" si="0" ref="D16:D34">E16+F16+G16</f>
        <v>1333</v>
      </c>
      <c r="E16" s="245">
        <v>633</v>
      </c>
      <c r="F16" s="245">
        <v>700</v>
      </c>
      <c r="G16" s="245"/>
      <c r="H16" s="581" t="s">
        <v>55</v>
      </c>
      <c r="I16" s="15"/>
    </row>
    <row r="17" spans="1:9" ht="18" customHeight="1">
      <c r="A17" s="582"/>
      <c r="B17" s="582"/>
      <c r="C17" s="237" t="s">
        <v>643</v>
      </c>
      <c r="D17" s="244">
        <f t="shared" si="0"/>
        <v>750</v>
      </c>
      <c r="E17" s="245"/>
      <c r="F17" s="245"/>
      <c r="G17" s="245">
        <v>750</v>
      </c>
      <c r="H17" s="582"/>
      <c r="I17" s="15"/>
    </row>
    <row r="18" spans="1:9" ht="36" customHeight="1">
      <c r="A18" s="581">
        <v>2</v>
      </c>
      <c r="B18" s="581" t="s">
        <v>64</v>
      </c>
      <c r="C18" s="237" t="s">
        <v>16</v>
      </c>
      <c r="D18" s="244">
        <f t="shared" si="0"/>
        <v>450</v>
      </c>
      <c r="E18" s="245">
        <v>200</v>
      </c>
      <c r="F18" s="245">
        <v>250</v>
      </c>
      <c r="G18" s="245"/>
      <c r="H18" s="581" t="s">
        <v>31</v>
      </c>
      <c r="I18" s="15"/>
    </row>
    <row r="19" spans="1:9" ht="18.75">
      <c r="A19" s="582"/>
      <c r="B19" s="582"/>
      <c r="C19" s="237" t="s">
        <v>643</v>
      </c>
      <c r="D19" s="244">
        <f t="shared" si="0"/>
        <v>300</v>
      </c>
      <c r="E19" s="245"/>
      <c r="F19" s="245"/>
      <c r="G19" s="245">
        <v>300</v>
      </c>
      <c r="H19" s="582"/>
      <c r="I19" s="15"/>
    </row>
    <row r="20" spans="1:9" ht="30.75" customHeight="1">
      <c r="A20" s="581">
        <v>3</v>
      </c>
      <c r="B20" s="581" t="s">
        <v>63</v>
      </c>
      <c r="C20" s="237" t="s">
        <v>16</v>
      </c>
      <c r="D20" s="244">
        <f t="shared" si="0"/>
        <v>135</v>
      </c>
      <c r="E20" s="245">
        <v>60</v>
      </c>
      <c r="F20" s="245">
        <v>75</v>
      </c>
      <c r="G20" s="245"/>
      <c r="H20" s="581" t="s">
        <v>31</v>
      </c>
      <c r="I20" s="15"/>
    </row>
    <row r="21" spans="1:9" ht="13.5" customHeight="1">
      <c r="A21" s="582"/>
      <c r="B21" s="582"/>
      <c r="C21" s="237" t="s">
        <v>643</v>
      </c>
      <c r="D21" s="244">
        <f t="shared" si="0"/>
        <v>80</v>
      </c>
      <c r="E21" s="245"/>
      <c r="F21" s="245"/>
      <c r="G21" s="245">
        <v>80</v>
      </c>
      <c r="H21" s="582"/>
      <c r="I21" s="15"/>
    </row>
    <row r="22" spans="1:9" ht="36" customHeight="1">
      <c r="A22" s="581">
        <v>4</v>
      </c>
      <c r="B22" s="677" t="s">
        <v>203</v>
      </c>
      <c r="C22" s="237" t="s">
        <v>16</v>
      </c>
      <c r="D22" s="246">
        <f t="shared" si="0"/>
        <v>8000</v>
      </c>
      <c r="E22" s="245">
        <v>5000</v>
      </c>
      <c r="F22" s="245">
        <f>6000-3000</f>
        <v>3000</v>
      </c>
      <c r="G22" s="245"/>
      <c r="H22" s="581" t="s">
        <v>31</v>
      </c>
      <c r="I22" s="15"/>
    </row>
    <row r="23" spans="1:9" ht="18.75" customHeight="1">
      <c r="A23" s="582"/>
      <c r="B23" s="678"/>
      <c r="C23" s="237" t="s">
        <v>643</v>
      </c>
      <c r="D23" s="246">
        <f t="shared" si="0"/>
        <v>7000</v>
      </c>
      <c r="E23" s="245"/>
      <c r="F23" s="245"/>
      <c r="G23" s="245">
        <v>7000</v>
      </c>
      <c r="H23" s="582"/>
      <c r="I23" s="15"/>
    </row>
    <row r="24" spans="1:9" ht="48" customHeight="1">
      <c r="A24" s="603">
        <v>5</v>
      </c>
      <c r="B24" s="581" t="s">
        <v>204</v>
      </c>
      <c r="C24" s="237" t="s">
        <v>16</v>
      </c>
      <c r="D24" s="244">
        <f t="shared" si="0"/>
        <v>25700</v>
      </c>
      <c r="E24" s="245">
        <v>11700</v>
      </c>
      <c r="F24" s="245">
        <f>11800+2200</f>
        <v>14000</v>
      </c>
      <c r="G24" s="245"/>
      <c r="H24" s="581" t="s">
        <v>250</v>
      </c>
      <c r="I24" s="15"/>
    </row>
    <row r="25" spans="1:9" ht="69.75" customHeight="1">
      <c r="A25" s="604"/>
      <c r="B25" s="582"/>
      <c r="C25" s="237" t="s">
        <v>643</v>
      </c>
      <c r="D25" s="244">
        <f t="shared" si="0"/>
        <v>11900</v>
      </c>
      <c r="E25" s="245"/>
      <c r="F25" s="245"/>
      <c r="G25" s="245">
        <v>11900</v>
      </c>
      <c r="H25" s="582"/>
      <c r="I25" s="15"/>
    </row>
    <row r="26" spans="1:9" ht="31.5" customHeight="1">
      <c r="A26" s="603">
        <v>6</v>
      </c>
      <c r="B26" s="581" t="s">
        <v>65</v>
      </c>
      <c r="C26" s="237" t="s">
        <v>16</v>
      </c>
      <c r="D26" s="244">
        <f t="shared" si="0"/>
        <v>3075.7</v>
      </c>
      <c r="E26" s="245">
        <v>1762</v>
      </c>
      <c r="F26" s="245">
        <f>650+663.7</f>
        <v>1313.7</v>
      </c>
      <c r="G26" s="245"/>
      <c r="H26" s="581" t="s">
        <v>66</v>
      </c>
      <c r="I26" s="15"/>
    </row>
    <row r="27" spans="1:9" ht="17.25" customHeight="1">
      <c r="A27" s="604"/>
      <c r="B27" s="582"/>
      <c r="C27" s="247" t="s">
        <v>643</v>
      </c>
      <c r="D27" s="244">
        <f t="shared" si="0"/>
        <v>800</v>
      </c>
      <c r="E27" s="245"/>
      <c r="F27" s="245"/>
      <c r="G27" s="245">
        <v>800</v>
      </c>
      <c r="H27" s="582"/>
      <c r="I27" s="15"/>
    </row>
    <row r="28" spans="1:9" ht="37.5">
      <c r="A28" s="603">
        <v>7</v>
      </c>
      <c r="B28" s="581" t="s">
        <v>67</v>
      </c>
      <c r="C28" s="237" t="s">
        <v>16</v>
      </c>
      <c r="D28" s="244">
        <f t="shared" si="0"/>
        <v>325</v>
      </c>
      <c r="E28" s="245">
        <f>115+25</f>
        <v>140</v>
      </c>
      <c r="F28" s="245">
        <f>120+65</f>
        <v>185</v>
      </c>
      <c r="G28" s="245"/>
      <c r="H28" s="581" t="s">
        <v>48</v>
      </c>
      <c r="I28" s="15"/>
    </row>
    <row r="29" spans="1:9" ht="18.75">
      <c r="A29" s="604"/>
      <c r="B29" s="582"/>
      <c r="C29" s="237" t="s">
        <v>643</v>
      </c>
      <c r="D29" s="244">
        <f t="shared" si="0"/>
        <v>190</v>
      </c>
      <c r="E29" s="245"/>
      <c r="F29" s="245"/>
      <c r="G29" s="245">
        <v>190</v>
      </c>
      <c r="H29" s="582"/>
      <c r="I29" s="15"/>
    </row>
    <row r="30" spans="1:9" ht="33.75" customHeight="1">
      <c r="A30" s="603">
        <v>8</v>
      </c>
      <c r="B30" s="581" t="s">
        <v>68</v>
      </c>
      <c r="C30" s="237" t="s">
        <v>16</v>
      </c>
      <c r="D30" s="244">
        <f t="shared" si="0"/>
        <v>815</v>
      </c>
      <c r="E30" s="245">
        <v>405</v>
      </c>
      <c r="F30" s="245">
        <v>410</v>
      </c>
      <c r="G30" s="245"/>
      <c r="H30" s="581" t="s">
        <v>69</v>
      </c>
      <c r="I30" s="15"/>
    </row>
    <row r="31" spans="1:9" ht="18.75">
      <c r="A31" s="604"/>
      <c r="B31" s="582"/>
      <c r="C31" s="237" t="s">
        <v>643</v>
      </c>
      <c r="D31" s="244">
        <f t="shared" si="0"/>
        <v>500</v>
      </c>
      <c r="E31" s="245"/>
      <c r="F31" s="245"/>
      <c r="G31" s="245">
        <v>500</v>
      </c>
      <c r="H31" s="582"/>
      <c r="I31" s="15"/>
    </row>
    <row r="32" spans="1:9" ht="32.25" customHeight="1">
      <c r="A32" s="603">
        <v>9</v>
      </c>
      <c r="B32" s="581" t="s">
        <v>70</v>
      </c>
      <c r="C32" s="237" t="s">
        <v>16</v>
      </c>
      <c r="D32" s="244">
        <f t="shared" si="0"/>
        <v>450</v>
      </c>
      <c r="E32" s="245">
        <v>200</v>
      </c>
      <c r="F32" s="245">
        <v>250</v>
      </c>
      <c r="G32" s="245"/>
      <c r="H32" s="581" t="s">
        <v>31</v>
      </c>
      <c r="I32" s="15"/>
    </row>
    <row r="33" spans="1:9" ht="18.75">
      <c r="A33" s="604"/>
      <c r="B33" s="582"/>
      <c r="C33" s="237" t="s">
        <v>643</v>
      </c>
      <c r="D33" s="244">
        <f t="shared" si="0"/>
        <v>300</v>
      </c>
      <c r="E33" s="245"/>
      <c r="F33" s="245"/>
      <c r="G33" s="245">
        <v>300</v>
      </c>
      <c r="H33" s="582"/>
      <c r="I33" s="15"/>
    </row>
    <row r="34" spans="1:9" ht="96.75" customHeight="1" hidden="1">
      <c r="A34" s="286"/>
      <c r="B34" s="536"/>
      <c r="C34" s="237" t="s">
        <v>643</v>
      </c>
      <c r="D34" s="244">
        <f t="shared" si="0"/>
        <v>0</v>
      </c>
      <c r="E34" s="245"/>
      <c r="F34" s="245"/>
      <c r="G34" s="245"/>
      <c r="H34" s="565" t="s">
        <v>31</v>
      </c>
      <c r="I34" s="15"/>
    </row>
    <row r="35" spans="1:9" ht="18.75">
      <c r="A35" s="77"/>
      <c r="B35" s="78" t="s">
        <v>5</v>
      </c>
      <c r="C35" s="78"/>
      <c r="D35" s="102">
        <f>D16+D18+D20+D22+D24+D26+D28+D30+D32+D17+D19+D21+D23+D25+D27+D29+D31+D33+D34</f>
        <v>62103.7</v>
      </c>
      <c r="E35" s="102">
        <f>E16+E18+E20+E22+E24+E26+E28+E30+E32</f>
        <v>20100</v>
      </c>
      <c r="F35" s="102">
        <f>F16+F18+F20+F22+F24+F26+F28+F30+F32</f>
        <v>20183.7</v>
      </c>
      <c r="G35" s="102">
        <f>G16+G18+G20+G22+G24+G26+G28+G30+G32+G17+G19+G21+G23+G25+G27+G29+G31+G33+G34</f>
        <v>21820</v>
      </c>
      <c r="H35" s="72"/>
      <c r="I35" s="15"/>
    </row>
    <row r="36" spans="2:9" ht="18.75">
      <c r="B36" s="248"/>
      <c r="C36" s="15"/>
      <c r="D36" s="15"/>
      <c r="E36" s="15"/>
      <c r="F36" s="15"/>
      <c r="G36" s="15"/>
      <c r="H36" s="15"/>
      <c r="I36" s="15"/>
    </row>
    <row r="37" spans="2:11" ht="33" customHeight="1">
      <c r="B37" s="676" t="s">
        <v>18</v>
      </c>
      <c r="C37" s="676"/>
      <c r="D37" s="374"/>
      <c r="E37" s="22"/>
      <c r="F37" s="22"/>
      <c r="G37" s="16"/>
      <c r="H37" s="240" t="s">
        <v>30</v>
      </c>
      <c r="J37" s="23"/>
      <c r="K37" s="24"/>
    </row>
    <row r="38" spans="2:11" ht="12.75" customHeight="1">
      <c r="B38" s="374"/>
      <c r="C38" s="374"/>
      <c r="D38" s="374"/>
      <c r="E38" s="22"/>
      <c r="F38" s="22"/>
      <c r="G38" s="16"/>
      <c r="H38" s="240"/>
      <c r="J38" s="23"/>
      <c r="K38" s="24"/>
    </row>
    <row r="39" spans="2:11" ht="18.75">
      <c r="B39" s="612" t="s">
        <v>670</v>
      </c>
      <c r="C39" s="612"/>
      <c r="D39" s="25"/>
      <c r="E39" s="26"/>
      <c r="F39" s="26"/>
      <c r="G39" s="26"/>
      <c r="H39" s="26"/>
      <c r="I39" s="26"/>
      <c r="J39" s="15"/>
      <c r="K39" s="15"/>
    </row>
    <row r="40" spans="2:11" ht="15.75">
      <c r="B40" s="27" t="s">
        <v>37</v>
      </c>
      <c r="C40" s="27"/>
      <c r="D40" s="26"/>
      <c r="E40" s="26"/>
      <c r="F40" s="26"/>
      <c r="G40" s="26"/>
      <c r="H40" s="26"/>
      <c r="I40" s="26"/>
      <c r="J40" s="15"/>
      <c r="K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sheetData>
  <sheetProtection/>
  <mergeCells count="41">
    <mergeCell ref="H32:H33"/>
    <mergeCell ref="A28:A29"/>
    <mergeCell ref="B28:B29"/>
    <mergeCell ref="H28:H29"/>
    <mergeCell ref="A30:A31"/>
    <mergeCell ref="B30:B31"/>
    <mergeCell ref="H30:H31"/>
    <mergeCell ref="H22:H23"/>
    <mergeCell ref="A24:A25"/>
    <mergeCell ref="B24:B25"/>
    <mergeCell ref="H24:H25"/>
    <mergeCell ref="A26:A27"/>
    <mergeCell ref="B26:B27"/>
    <mergeCell ref="H26:H27"/>
    <mergeCell ref="H16:H17"/>
    <mergeCell ref="A18:A19"/>
    <mergeCell ref="B18:B19"/>
    <mergeCell ref="H18:H19"/>
    <mergeCell ref="A20:A21"/>
    <mergeCell ref="B20:B21"/>
    <mergeCell ref="H20:H21"/>
    <mergeCell ref="F13:F14"/>
    <mergeCell ref="G13:G14"/>
    <mergeCell ref="B37:C37"/>
    <mergeCell ref="B39:C39"/>
    <mergeCell ref="A16:A17"/>
    <mergeCell ref="B16:B17"/>
    <mergeCell ref="A22:A23"/>
    <mergeCell ref="B22:B23"/>
    <mergeCell ref="A32:A33"/>
    <mergeCell ref="B32:B33"/>
    <mergeCell ref="H4:I4"/>
    <mergeCell ref="H6:I6"/>
    <mergeCell ref="B10:H10"/>
    <mergeCell ref="A12:A14"/>
    <mergeCell ref="B12:B14"/>
    <mergeCell ref="C12:C14"/>
    <mergeCell ref="D12:D14"/>
    <mergeCell ref="E12:G12"/>
    <mergeCell ref="H12:H14"/>
    <mergeCell ref="E13:E14"/>
  </mergeCells>
  <printOptions horizontalCentered="1"/>
  <pageMargins left="0" right="0" top="1.1811023622047245" bottom="0" header="0" footer="0"/>
  <pageSetup fitToHeight="2" horizontalDpi="600" verticalDpi="600" orientation="landscape" paperSize="9" scale="50"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N30"/>
  <sheetViews>
    <sheetView view="pageBreakPreview" zoomScale="82" zoomScaleSheetLayoutView="82" zoomScalePageLayoutView="0" workbookViewId="0" topLeftCell="A1">
      <selection activeCell="B10" sqref="B10:K10"/>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687" t="s">
        <v>494</v>
      </c>
      <c r="K1" s="687"/>
      <c r="L1" s="2" t="s">
        <v>19</v>
      </c>
    </row>
    <row r="2" spans="2:12" ht="15.75">
      <c r="B2" s="1"/>
      <c r="C2" s="1"/>
      <c r="D2" s="1"/>
      <c r="E2" s="1"/>
      <c r="F2" s="1"/>
      <c r="G2" s="1"/>
      <c r="H2" s="1"/>
      <c r="I2" s="3" t="s">
        <v>11</v>
      </c>
      <c r="J2" s="687" t="s">
        <v>11</v>
      </c>
      <c r="K2" s="687"/>
      <c r="L2" s="3" t="s">
        <v>11</v>
      </c>
    </row>
    <row r="3" spans="2:12" ht="15.75">
      <c r="B3" s="1"/>
      <c r="C3" s="1"/>
      <c r="D3" s="1"/>
      <c r="E3" s="1"/>
      <c r="F3" s="1"/>
      <c r="G3" s="1"/>
      <c r="H3" s="1"/>
      <c r="I3" s="3"/>
      <c r="J3" s="3" t="s">
        <v>694</v>
      </c>
      <c r="K3" s="3"/>
      <c r="L3" s="3"/>
    </row>
    <row r="4" spans="2:12" ht="15.75">
      <c r="B4" s="1"/>
      <c r="C4" s="1"/>
      <c r="D4" s="1"/>
      <c r="E4" s="1"/>
      <c r="F4" s="1"/>
      <c r="G4" s="1"/>
      <c r="H4" s="1"/>
      <c r="I4" s="3" t="s">
        <v>21</v>
      </c>
      <c r="J4" s="3" t="s">
        <v>695</v>
      </c>
      <c r="K4" s="3"/>
      <c r="L4" s="3" t="s">
        <v>21</v>
      </c>
    </row>
    <row r="5" spans="2:12" ht="15.75">
      <c r="B5" s="1"/>
      <c r="C5" s="1"/>
      <c r="D5" s="1"/>
      <c r="E5" s="1"/>
      <c r="F5" s="1"/>
      <c r="G5" s="1"/>
      <c r="H5" s="1"/>
      <c r="I5" s="3" t="s">
        <v>23</v>
      </c>
      <c r="J5" s="3" t="s">
        <v>684</v>
      </c>
      <c r="K5" s="3"/>
      <c r="L5" s="3" t="s">
        <v>23</v>
      </c>
    </row>
    <row r="6" spans="2:12" ht="15.75">
      <c r="B6" s="1"/>
      <c r="C6" s="1"/>
      <c r="D6" s="1"/>
      <c r="E6" s="1"/>
      <c r="F6" s="1"/>
      <c r="G6" s="1"/>
      <c r="H6" s="1"/>
      <c r="I6" s="3"/>
      <c r="J6" s="3" t="s">
        <v>675</v>
      </c>
      <c r="K6" s="3"/>
      <c r="L6" s="3"/>
    </row>
    <row r="7" spans="2:12" ht="15.75">
      <c r="B7" s="1"/>
      <c r="C7" s="1"/>
      <c r="D7" s="1"/>
      <c r="E7" s="1"/>
      <c r="F7" s="1"/>
      <c r="G7" s="1"/>
      <c r="H7" s="9"/>
      <c r="I7" s="3" t="s">
        <v>24</v>
      </c>
      <c r="J7" s="3" t="s">
        <v>676</v>
      </c>
      <c r="K7" s="3"/>
      <c r="L7" s="3" t="s">
        <v>24</v>
      </c>
    </row>
    <row r="8" spans="2:12" ht="15.75">
      <c r="B8" s="1"/>
      <c r="C8" s="1"/>
      <c r="D8" s="1"/>
      <c r="E8" s="1"/>
      <c r="F8" s="1"/>
      <c r="G8" s="1"/>
      <c r="H8" s="9"/>
      <c r="I8" s="3"/>
      <c r="J8" s="3" t="s">
        <v>677</v>
      </c>
      <c r="K8" s="3"/>
      <c r="L8" s="3"/>
    </row>
    <row r="9" spans="2:12" ht="15.75">
      <c r="B9" s="1"/>
      <c r="C9" s="1"/>
      <c r="D9" s="1"/>
      <c r="E9" s="1"/>
      <c r="F9" s="1"/>
      <c r="G9" s="1"/>
      <c r="H9" s="1"/>
      <c r="I9" s="1"/>
      <c r="J9" s="1" t="s">
        <v>741</v>
      </c>
      <c r="K9" s="1"/>
      <c r="L9" s="1"/>
    </row>
    <row r="10" spans="2:12" ht="35.25" customHeight="1">
      <c r="B10" s="619" t="s">
        <v>472</v>
      </c>
      <c r="C10" s="619"/>
      <c r="D10" s="619"/>
      <c r="E10" s="619"/>
      <c r="F10" s="619"/>
      <c r="G10" s="619"/>
      <c r="H10" s="619"/>
      <c r="I10" s="619"/>
      <c r="J10" s="619"/>
      <c r="K10" s="619"/>
      <c r="L10" s="1"/>
    </row>
    <row r="11" spans="2:12" ht="15.75">
      <c r="B11" s="1"/>
      <c r="C11" s="1"/>
      <c r="D11" s="688"/>
      <c r="E11" s="688"/>
      <c r="F11" s="688"/>
      <c r="G11" s="688"/>
      <c r="H11" s="688"/>
      <c r="I11" s="1"/>
      <c r="J11" s="1"/>
      <c r="K11" s="46" t="s">
        <v>473</v>
      </c>
      <c r="L11" s="1"/>
    </row>
    <row r="12" spans="1:12" ht="15.75" customHeight="1">
      <c r="A12" s="681" t="s">
        <v>32</v>
      </c>
      <c r="B12" s="681" t="s">
        <v>12</v>
      </c>
      <c r="C12" s="681" t="s">
        <v>13</v>
      </c>
      <c r="D12" s="681" t="s">
        <v>438</v>
      </c>
      <c r="E12" s="684" t="s">
        <v>9</v>
      </c>
      <c r="F12" s="684"/>
      <c r="G12" s="684"/>
      <c r="H12" s="684"/>
      <c r="I12" s="684"/>
      <c r="J12" s="685"/>
      <c r="K12" s="686" t="s">
        <v>15</v>
      </c>
      <c r="L12" s="1"/>
    </row>
    <row r="13" spans="1:12" ht="15.75">
      <c r="A13" s="682"/>
      <c r="B13" s="682"/>
      <c r="C13" s="682"/>
      <c r="D13" s="682"/>
      <c r="E13" s="681" t="s">
        <v>463</v>
      </c>
      <c r="F13" s="681" t="s">
        <v>465</v>
      </c>
      <c r="G13" s="681" t="s">
        <v>27</v>
      </c>
      <c r="H13" s="681" t="s">
        <v>28</v>
      </c>
      <c r="I13" s="681" t="s">
        <v>29</v>
      </c>
      <c r="J13" s="686" t="s">
        <v>471</v>
      </c>
      <c r="K13" s="686"/>
      <c r="L13" s="1"/>
    </row>
    <row r="14" spans="1:12" ht="15.75">
      <c r="A14" s="683"/>
      <c r="B14" s="683"/>
      <c r="C14" s="683"/>
      <c r="D14" s="683"/>
      <c r="E14" s="683"/>
      <c r="F14" s="683"/>
      <c r="G14" s="683"/>
      <c r="H14" s="683"/>
      <c r="I14" s="683"/>
      <c r="J14" s="686"/>
      <c r="K14" s="686"/>
      <c r="L14" s="1"/>
    </row>
    <row r="15" spans="1:12" ht="32.25" customHeight="1">
      <c r="A15" s="620">
        <v>1</v>
      </c>
      <c r="B15" s="679" t="s">
        <v>247</v>
      </c>
      <c r="C15" s="172" t="s">
        <v>16</v>
      </c>
      <c r="D15" s="173">
        <f>E15+F15+J15</f>
        <v>2200</v>
      </c>
      <c r="E15" s="174">
        <v>1000</v>
      </c>
      <c r="F15" s="175">
        <v>1200</v>
      </c>
      <c r="G15" s="176"/>
      <c r="H15" s="176"/>
      <c r="I15" s="176"/>
      <c r="J15" s="176"/>
      <c r="K15" s="679" t="s">
        <v>201</v>
      </c>
      <c r="L15" s="1"/>
    </row>
    <row r="16" spans="1:14" ht="25.5" customHeight="1">
      <c r="A16" s="622"/>
      <c r="B16" s="680"/>
      <c r="C16" s="516" t="s">
        <v>643</v>
      </c>
      <c r="D16" s="517">
        <f>SUM(E16:J16)</f>
        <v>1400</v>
      </c>
      <c r="E16" s="518">
        <v>0</v>
      </c>
      <c r="F16" s="176"/>
      <c r="G16" s="176"/>
      <c r="H16" s="176"/>
      <c r="I16" s="176"/>
      <c r="J16" s="176">
        <v>1400</v>
      </c>
      <c r="K16" s="680"/>
      <c r="L16" s="1"/>
      <c r="N16" s="177"/>
    </row>
    <row r="17" spans="1:12" ht="32.25" customHeight="1">
      <c r="A17" s="178"/>
      <c r="B17" s="171" t="s">
        <v>5</v>
      </c>
      <c r="C17" s="179"/>
      <c r="D17" s="173">
        <f>D15+D16</f>
        <v>3600</v>
      </c>
      <c r="E17" s="173">
        <f>E15</f>
        <v>1000</v>
      </c>
      <c r="F17" s="173">
        <f>F15</f>
        <v>1200</v>
      </c>
      <c r="G17" s="173">
        <f>G15</f>
        <v>0</v>
      </c>
      <c r="H17" s="173">
        <f>H15</f>
        <v>0</v>
      </c>
      <c r="I17" s="173">
        <f>I15</f>
        <v>0</v>
      </c>
      <c r="J17" s="173">
        <f>J15+J16</f>
        <v>1400</v>
      </c>
      <c r="K17" s="180"/>
      <c r="L17" s="1"/>
    </row>
    <row r="18" spans="2:12" ht="15.75">
      <c r="B18" s="4"/>
      <c r="C18" s="4"/>
      <c r="D18" s="6"/>
      <c r="E18" s="6"/>
      <c r="F18" s="6"/>
      <c r="G18" s="6"/>
      <c r="H18" s="6"/>
      <c r="I18" s="6"/>
      <c r="J18" s="6"/>
      <c r="K18" s="42"/>
      <c r="L18" s="1"/>
    </row>
    <row r="19" spans="2:12" ht="15.75" hidden="1">
      <c r="B19" s="4"/>
      <c r="C19" s="4"/>
      <c r="D19" s="6"/>
      <c r="E19" s="6"/>
      <c r="F19" s="6"/>
      <c r="G19" s="6"/>
      <c r="H19" s="6"/>
      <c r="I19" s="6"/>
      <c r="J19" s="6"/>
      <c r="K19" s="42"/>
      <c r="L19" s="1"/>
    </row>
    <row r="20" spans="2:12" ht="18.75">
      <c r="B20" s="148"/>
      <c r="C20" s="149"/>
      <c r="E20" s="6"/>
      <c r="F20" s="6"/>
      <c r="G20" s="6"/>
      <c r="H20" s="6"/>
      <c r="I20" s="6"/>
      <c r="J20" s="6"/>
      <c r="K20" s="149"/>
      <c r="L20" s="1"/>
    </row>
    <row r="21" spans="2:12" ht="48" customHeight="1">
      <c r="B21" s="676" t="s">
        <v>617</v>
      </c>
      <c r="C21" s="676"/>
      <c r="D21" s="384"/>
      <c r="E21" s="8"/>
      <c r="F21" s="8"/>
      <c r="G21" s="9"/>
      <c r="H21" s="9"/>
      <c r="I21" s="9"/>
      <c r="J21" s="48"/>
      <c r="K21" s="440" t="s">
        <v>30</v>
      </c>
      <c r="L21" s="48"/>
    </row>
    <row r="22" spans="2:12" ht="9.75" customHeight="1">
      <c r="B22" s="144"/>
      <c r="C22" s="144"/>
      <c r="D22" s="11"/>
      <c r="E22" s="8"/>
      <c r="F22" s="8"/>
      <c r="J22" s="48"/>
      <c r="K22" s="181"/>
      <c r="L22" s="48"/>
    </row>
    <row r="23" spans="2:12" ht="12.75" customHeight="1">
      <c r="B23" s="144"/>
      <c r="C23" s="144"/>
      <c r="D23" s="11"/>
      <c r="E23" s="8"/>
      <c r="F23" s="8"/>
      <c r="J23" s="48"/>
      <c r="K23" s="181"/>
      <c r="L23" s="48"/>
    </row>
    <row r="24" spans="2:11" ht="18.75">
      <c r="B24" s="689" t="s">
        <v>670</v>
      </c>
      <c r="C24" s="689"/>
      <c r="D24" s="49"/>
      <c r="E24" s="7"/>
      <c r="F24" s="7"/>
      <c r="G24" s="7"/>
      <c r="H24" s="7"/>
      <c r="I24" s="7"/>
      <c r="J24" s="1"/>
      <c r="K24" s="1"/>
    </row>
    <row r="25" spans="2:13" ht="15.75">
      <c r="B25" s="50" t="s">
        <v>10</v>
      </c>
      <c r="C25" s="50"/>
      <c r="D25" s="7"/>
      <c r="E25" s="7"/>
      <c r="F25" s="7"/>
      <c r="G25" s="7"/>
      <c r="H25" s="7"/>
      <c r="I25" s="7"/>
      <c r="J25" s="1"/>
      <c r="K25" s="1"/>
      <c r="M25" s="3"/>
    </row>
    <row r="26" spans="2:11" ht="15.75">
      <c r="B26" s="43"/>
      <c r="C26" s="10"/>
      <c r="D26" s="44"/>
      <c r="E26" s="7"/>
      <c r="F26" s="7"/>
      <c r="G26" s="7"/>
      <c r="H26" s="7"/>
      <c r="I26" s="7"/>
      <c r="J26" s="1"/>
      <c r="K26" s="1"/>
    </row>
    <row r="27" spans="3:10" ht="15.75">
      <c r="C27" s="44"/>
      <c r="D27" s="7"/>
      <c r="E27" s="7"/>
      <c r="F27" s="7"/>
      <c r="G27" s="7"/>
      <c r="H27" s="7"/>
      <c r="I27" s="7"/>
      <c r="J27" s="7"/>
    </row>
    <row r="28" spans="3:10" ht="15.75">
      <c r="C28" s="45"/>
      <c r="D28" s="7"/>
      <c r="E28" s="7"/>
      <c r="F28" s="7"/>
      <c r="G28" s="7"/>
      <c r="H28" s="7"/>
      <c r="I28" s="7"/>
      <c r="J28" s="7"/>
    </row>
    <row r="30" ht="12.75">
      <c r="H30" s="5"/>
    </row>
  </sheetData>
  <sheetProtection/>
  <mergeCells count="21">
    <mergeCell ref="B21:C21"/>
    <mergeCell ref="B24:C24"/>
    <mergeCell ref="K12:K14"/>
    <mergeCell ref="E13:E14"/>
    <mergeCell ref="F13:F14"/>
    <mergeCell ref="G13:G14"/>
    <mergeCell ref="H13:H14"/>
    <mergeCell ref="D12:D14"/>
    <mergeCell ref="J1:K1"/>
    <mergeCell ref="J2:K2"/>
    <mergeCell ref="B10:K10"/>
    <mergeCell ref="D11:H11"/>
    <mergeCell ref="I13:I14"/>
    <mergeCell ref="C12:C14"/>
    <mergeCell ref="A15:A16"/>
    <mergeCell ref="B15:B16"/>
    <mergeCell ref="K15:K16"/>
    <mergeCell ref="A12:A14"/>
    <mergeCell ref="B12:B14"/>
    <mergeCell ref="E12:J12"/>
    <mergeCell ref="J13:J14"/>
  </mergeCells>
  <printOptions horizontalCentered="1"/>
  <pageMargins left="0" right="0" top="1.1811023622047245" bottom="0" header="0" footer="0"/>
  <pageSetup fitToHeight="1" fitToWidth="1" horizontalDpi="600" verticalDpi="600" orientation="landscape" paperSize="9" scale="94"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M32"/>
  <sheetViews>
    <sheetView view="pageBreakPreview" zoomScale="78" zoomScaleSheetLayoutView="78" zoomScalePageLayoutView="0" workbookViewId="0" topLeftCell="A1">
      <selection activeCell="J17" sqref="J17"/>
    </sheetView>
  </sheetViews>
  <sheetFormatPr defaultColWidth="9.140625" defaultRowHeight="12.75"/>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692" t="s">
        <v>329</v>
      </c>
      <c r="K1" s="692"/>
      <c r="L1" s="13" t="s">
        <v>19</v>
      </c>
    </row>
    <row r="2" spans="2:12" ht="18.75">
      <c r="B2" s="15"/>
      <c r="C2" s="15"/>
      <c r="D2" s="15"/>
      <c r="E2" s="15"/>
      <c r="F2" s="15"/>
      <c r="G2" s="15"/>
      <c r="H2" s="15"/>
      <c r="I2" s="12" t="s">
        <v>11</v>
      </c>
      <c r="J2" s="607" t="s">
        <v>11</v>
      </c>
      <c r="K2" s="607"/>
      <c r="L2" s="12" t="s">
        <v>11</v>
      </c>
    </row>
    <row r="3" spans="2:12" ht="18.75">
      <c r="B3" s="15"/>
      <c r="C3" s="15"/>
      <c r="D3" s="15"/>
      <c r="E3" s="15"/>
      <c r="F3" s="15"/>
      <c r="G3" s="15"/>
      <c r="H3" s="15"/>
      <c r="I3" s="12"/>
      <c r="J3" s="59" t="s">
        <v>318</v>
      </c>
      <c r="K3" s="59"/>
      <c r="L3" s="12"/>
    </row>
    <row r="4" spans="2:12" ht="18.75">
      <c r="B4" s="15"/>
      <c r="C4" s="15"/>
      <c r="D4" s="15"/>
      <c r="E4" s="15"/>
      <c r="F4" s="15"/>
      <c r="G4" s="15"/>
      <c r="H4" s="15"/>
      <c r="I4" s="12" t="s">
        <v>21</v>
      </c>
      <c r="J4" s="59" t="s">
        <v>673</v>
      </c>
      <c r="K4" s="59"/>
      <c r="L4" s="12" t="s">
        <v>21</v>
      </c>
    </row>
    <row r="5" spans="2:12" ht="18.75">
      <c r="B5" s="15"/>
      <c r="C5" s="15"/>
      <c r="D5" s="15"/>
      <c r="E5" s="15"/>
      <c r="F5" s="15"/>
      <c r="G5" s="15"/>
      <c r="H5" s="15"/>
      <c r="I5" s="12" t="s">
        <v>23</v>
      </c>
      <c r="J5" s="59" t="s">
        <v>692</v>
      </c>
      <c r="K5" s="59"/>
      <c r="L5" s="12" t="s">
        <v>23</v>
      </c>
    </row>
    <row r="6" spans="2:12" ht="18.75">
      <c r="B6" s="15"/>
      <c r="C6" s="15"/>
      <c r="D6" s="15"/>
      <c r="E6" s="15"/>
      <c r="F6" s="15"/>
      <c r="G6" s="15"/>
      <c r="H6" s="15"/>
      <c r="I6" s="12"/>
      <c r="J6" s="59" t="s">
        <v>675</v>
      </c>
      <c r="K6" s="59"/>
      <c r="L6" s="12"/>
    </row>
    <row r="7" spans="2:12" ht="18.75">
      <c r="B7" s="15"/>
      <c r="C7" s="15"/>
      <c r="D7" s="15"/>
      <c r="E7" s="15"/>
      <c r="F7" s="15"/>
      <c r="G7" s="15"/>
      <c r="H7" s="15"/>
      <c r="I7" s="12"/>
      <c r="J7" s="59" t="s">
        <v>676</v>
      </c>
      <c r="K7" s="59"/>
      <c r="L7" s="12"/>
    </row>
    <row r="8" spans="2:12" ht="18.75">
      <c r="B8" s="15"/>
      <c r="C8" s="15"/>
      <c r="D8" s="15"/>
      <c r="E8" s="15"/>
      <c r="F8" s="15"/>
      <c r="G8" s="15"/>
      <c r="H8" s="16"/>
      <c r="I8" s="12" t="s">
        <v>24</v>
      </c>
      <c r="J8" s="59" t="s">
        <v>677</v>
      </c>
      <c r="K8" s="59"/>
      <c r="L8" s="12" t="s">
        <v>24</v>
      </c>
    </row>
    <row r="9" spans="2:12" ht="15.75">
      <c r="B9" s="15"/>
      <c r="C9" s="15"/>
      <c r="D9" s="15"/>
      <c r="E9" s="15"/>
      <c r="F9" s="15"/>
      <c r="G9" s="15"/>
      <c r="H9" s="15"/>
      <c r="I9" s="15"/>
      <c r="J9" s="15" t="s">
        <v>742</v>
      </c>
      <c r="K9" s="15"/>
      <c r="L9" s="15"/>
    </row>
    <row r="10" spans="2:12" ht="42" customHeight="1">
      <c r="B10" s="611" t="s">
        <v>623</v>
      </c>
      <c r="C10" s="611"/>
      <c r="D10" s="611"/>
      <c r="E10" s="611"/>
      <c r="F10" s="611"/>
      <c r="G10" s="611"/>
      <c r="H10" s="611"/>
      <c r="I10" s="611"/>
      <c r="J10" s="611"/>
      <c r="K10" s="611"/>
      <c r="L10" s="15"/>
    </row>
    <row r="11" spans="2:12" ht="37.5" customHeight="1">
      <c r="B11" s="15"/>
      <c r="C11" s="15"/>
      <c r="D11" s="614"/>
      <c r="E11" s="614"/>
      <c r="F11" s="614"/>
      <c r="G11" s="614"/>
      <c r="H11" s="614"/>
      <c r="I11" s="15"/>
      <c r="J11" s="15"/>
      <c r="K11" s="441" t="s">
        <v>462</v>
      </c>
      <c r="L11" s="15"/>
    </row>
    <row r="12" spans="1:12" ht="15.75" customHeight="1">
      <c r="A12" s="608" t="s">
        <v>6</v>
      </c>
      <c r="B12" s="608" t="s">
        <v>12</v>
      </c>
      <c r="C12" s="608" t="s">
        <v>13</v>
      </c>
      <c r="D12" s="608" t="s">
        <v>438</v>
      </c>
      <c r="E12" s="615" t="s">
        <v>9</v>
      </c>
      <c r="F12" s="615"/>
      <c r="G12" s="615"/>
      <c r="H12" s="615"/>
      <c r="I12" s="615"/>
      <c r="J12" s="690"/>
      <c r="K12" s="613" t="s">
        <v>15</v>
      </c>
      <c r="L12" s="15"/>
    </row>
    <row r="13" spans="1:12" ht="15.75">
      <c r="A13" s="609"/>
      <c r="B13" s="609"/>
      <c r="C13" s="609"/>
      <c r="D13" s="609"/>
      <c r="E13" s="608" t="s">
        <v>463</v>
      </c>
      <c r="F13" s="608" t="s">
        <v>465</v>
      </c>
      <c r="G13" s="608" t="s">
        <v>27</v>
      </c>
      <c r="H13" s="608" t="s">
        <v>28</v>
      </c>
      <c r="I13" s="608" t="s">
        <v>29</v>
      </c>
      <c r="J13" s="613" t="s">
        <v>471</v>
      </c>
      <c r="K13" s="613"/>
      <c r="L13" s="15"/>
    </row>
    <row r="14" spans="1:12" ht="21.75" customHeight="1">
      <c r="A14" s="610"/>
      <c r="B14" s="610"/>
      <c r="C14" s="610"/>
      <c r="D14" s="610"/>
      <c r="E14" s="610"/>
      <c r="F14" s="610"/>
      <c r="G14" s="610"/>
      <c r="H14" s="610"/>
      <c r="I14" s="610"/>
      <c r="J14" s="613"/>
      <c r="K14" s="613"/>
      <c r="L14" s="15"/>
    </row>
    <row r="15" spans="1:12" ht="39" customHeight="1">
      <c r="A15" s="603">
        <v>1</v>
      </c>
      <c r="B15" s="603" t="s">
        <v>654</v>
      </c>
      <c r="C15" s="36" t="s">
        <v>16</v>
      </c>
      <c r="D15" s="62">
        <f aca="true" t="shared" si="0" ref="D15:D20">SUM(E15:J15)</f>
        <v>23765</v>
      </c>
      <c r="E15" s="63">
        <v>11780</v>
      </c>
      <c r="F15" s="64">
        <f>12000-15</f>
        <v>11985</v>
      </c>
      <c r="G15" s="63"/>
      <c r="H15" s="63"/>
      <c r="I15" s="63"/>
      <c r="J15" s="127"/>
      <c r="K15" s="603" t="s">
        <v>31</v>
      </c>
      <c r="L15" s="15"/>
    </row>
    <row r="16" spans="1:12" ht="18.75">
      <c r="A16" s="604"/>
      <c r="B16" s="604"/>
      <c r="C16" s="243" t="s">
        <v>643</v>
      </c>
      <c r="D16" s="62">
        <f t="shared" si="0"/>
        <v>23582</v>
      </c>
      <c r="E16" s="63"/>
      <c r="F16" s="64"/>
      <c r="G16" s="63"/>
      <c r="H16" s="63"/>
      <c r="I16" s="63"/>
      <c r="J16" s="63">
        <f>12100-18+11500</f>
        <v>23582</v>
      </c>
      <c r="K16" s="691"/>
      <c r="L16" s="15"/>
    </row>
    <row r="17" spans="1:12" ht="35.25" customHeight="1">
      <c r="A17" s="524" t="s">
        <v>273</v>
      </c>
      <c r="B17" s="525" t="s">
        <v>655</v>
      </c>
      <c r="C17" s="243" t="s">
        <v>643</v>
      </c>
      <c r="D17" s="62">
        <f t="shared" si="0"/>
        <v>11500</v>
      </c>
      <c r="E17" s="63"/>
      <c r="F17" s="64"/>
      <c r="G17" s="63"/>
      <c r="H17" s="63"/>
      <c r="I17" s="63"/>
      <c r="J17" s="63">
        <v>11500</v>
      </c>
      <c r="K17" s="604"/>
      <c r="L17" s="15"/>
    </row>
    <row r="18" spans="1:12" ht="37.5" customHeight="1">
      <c r="A18" s="603">
        <v>2</v>
      </c>
      <c r="B18" s="603" t="s">
        <v>396</v>
      </c>
      <c r="C18" s="243" t="s">
        <v>62</v>
      </c>
      <c r="D18" s="62">
        <f t="shared" si="0"/>
        <v>20183.8</v>
      </c>
      <c r="E18" s="63">
        <f>0+5075</f>
        <v>5075</v>
      </c>
      <c r="F18" s="64">
        <f>6097+6401+20+500+636+670</f>
        <v>14324</v>
      </c>
      <c r="G18" s="63"/>
      <c r="H18" s="63"/>
      <c r="I18" s="63"/>
      <c r="J18" s="63">
        <v>784.8</v>
      </c>
      <c r="K18" s="603" t="s">
        <v>31</v>
      </c>
      <c r="L18" s="15"/>
    </row>
    <row r="19" spans="1:12" ht="18.75">
      <c r="A19" s="691"/>
      <c r="B19" s="691"/>
      <c r="C19" s="243" t="s">
        <v>16</v>
      </c>
      <c r="D19" s="62">
        <f t="shared" si="0"/>
        <v>352.2</v>
      </c>
      <c r="E19" s="63">
        <f>0+152.2</f>
        <v>152.2</v>
      </c>
      <c r="F19" s="64">
        <f>185+15</f>
        <v>200</v>
      </c>
      <c r="G19" s="63"/>
      <c r="H19" s="63"/>
      <c r="I19" s="63"/>
      <c r="J19" s="63"/>
      <c r="K19" s="604"/>
      <c r="L19" s="15"/>
    </row>
    <row r="20" spans="1:12" ht="18.75">
      <c r="A20" s="604"/>
      <c r="B20" s="604"/>
      <c r="C20" s="243" t="s">
        <v>643</v>
      </c>
      <c r="D20" s="62">
        <f t="shared" si="0"/>
        <v>18</v>
      </c>
      <c r="E20" s="63"/>
      <c r="F20" s="64"/>
      <c r="G20" s="63"/>
      <c r="H20" s="63"/>
      <c r="I20" s="63"/>
      <c r="J20" s="63">
        <v>18</v>
      </c>
      <c r="K20" s="286"/>
      <c r="L20" s="15"/>
    </row>
    <row r="21" spans="1:12" ht="27.75" customHeight="1">
      <c r="A21" s="70"/>
      <c r="B21" s="60" t="s">
        <v>5</v>
      </c>
      <c r="C21" s="71"/>
      <c r="D21" s="62">
        <f>D16+D15+D18+D19</f>
        <v>67883</v>
      </c>
      <c r="E21" s="62">
        <f>E15+E18+E19</f>
        <v>17007.2</v>
      </c>
      <c r="F21" s="62">
        <f>F15+F18+F19</f>
        <v>26509</v>
      </c>
      <c r="G21" s="62">
        <f>G15+G18+G19</f>
        <v>0</v>
      </c>
      <c r="H21" s="62">
        <f>H15+H18+H19</f>
        <v>0</v>
      </c>
      <c r="I21" s="62">
        <f>I15+I18+I19</f>
        <v>0</v>
      </c>
      <c r="J21" s="62">
        <f>J15+J18+J19+J16+J20</f>
        <v>24384.8</v>
      </c>
      <c r="K21" s="72"/>
      <c r="L21" s="15"/>
    </row>
    <row r="22" spans="1:12" ht="17.25" customHeight="1">
      <c r="A22" s="39"/>
      <c r="B22" s="18"/>
      <c r="C22" s="18"/>
      <c r="D22" s="40"/>
      <c r="E22" s="40"/>
      <c r="F22" s="40"/>
      <c r="G22" s="40"/>
      <c r="H22" s="40"/>
      <c r="I22" s="40"/>
      <c r="J22" s="40"/>
      <c r="K22" s="20"/>
      <c r="L22" s="15"/>
    </row>
    <row r="23" spans="1:12" ht="53.25" customHeight="1">
      <c r="A23" s="39"/>
      <c r="C23" s="18"/>
      <c r="D23" s="19"/>
      <c r="E23" s="19"/>
      <c r="F23" s="19"/>
      <c r="G23" s="19"/>
      <c r="H23" s="19"/>
      <c r="I23" s="19"/>
      <c r="J23" s="19"/>
      <c r="K23" s="20"/>
      <c r="L23" s="15"/>
    </row>
    <row r="24" spans="2:12" ht="36.75" customHeight="1">
      <c r="B24" s="374" t="s">
        <v>18</v>
      </c>
      <c r="C24" s="374"/>
      <c r="D24" s="374"/>
      <c r="E24" s="22"/>
      <c r="F24" s="22"/>
      <c r="G24" s="16"/>
      <c r="H24" s="16"/>
      <c r="I24" s="16"/>
      <c r="J24" s="23"/>
      <c r="K24" s="23" t="s">
        <v>30</v>
      </c>
      <c r="L24" s="23"/>
    </row>
    <row r="25" spans="2:12" ht="15" customHeight="1">
      <c r="B25" s="21"/>
      <c r="C25" s="21"/>
      <c r="D25" s="21"/>
      <c r="E25" s="22"/>
      <c r="F25" s="22"/>
      <c r="J25" s="23"/>
      <c r="K25" s="24"/>
      <c r="L25" s="23"/>
    </row>
    <row r="26" spans="2:11" ht="18.75">
      <c r="B26" s="411" t="s">
        <v>670</v>
      </c>
      <c r="C26" s="54"/>
      <c r="D26" s="25"/>
      <c r="E26" s="26"/>
      <c r="F26" s="26"/>
      <c r="G26" s="26"/>
      <c r="H26" s="26"/>
      <c r="I26" s="26"/>
      <c r="J26" s="15"/>
      <c r="K26" s="15"/>
    </row>
    <row r="27" spans="2:13" ht="15.75">
      <c r="B27" s="27" t="s">
        <v>10</v>
      </c>
      <c r="C27" s="27"/>
      <c r="D27" s="26"/>
      <c r="E27" s="26"/>
      <c r="F27" s="26"/>
      <c r="G27" s="26"/>
      <c r="H27" s="26"/>
      <c r="I27" s="26"/>
      <c r="J27" s="15"/>
      <c r="K27" s="15"/>
      <c r="M27" s="12"/>
    </row>
    <row r="28" spans="2:11" ht="15.75">
      <c r="B28" s="28"/>
      <c r="C28" s="29"/>
      <c r="D28" s="30"/>
      <c r="E28" s="26"/>
      <c r="F28" s="26"/>
      <c r="G28" s="26"/>
      <c r="H28" s="26"/>
      <c r="I28" s="26"/>
      <c r="J28" s="15"/>
      <c r="K28" s="15"/>
    </row>
    <row r="29" spans="3:10" ht="15.75">
      <c r="C29" s="30"/>
      <c r="D29" s="26"/>
      <c r="E29" s="26"/>
      <c r="F29" s="26"/>
      <c r="G29" s="26"/>
      <c r="H29" s="26"/>
      <c r="I29" s="26"/>
      <c r="J29" s="26"/>
    </row>
    <row r="30" spans="3:10" ht="15.75">
      <c r="C30" s="31"/>
      <c r="D30" s="26"/>
      <c r="E30" s="26"/>
      <c r="F30" s="26"/>
      <c r="G30" s="26"/>
      <c r="H30" s="26"/>
      <c r="I30" s="26"/>
      <c r="J30" s="26"/>
    </row>
    <row r="32" ht="12.75">
      <c r="H32" s="32"/>
    </row>
  </sheetData>
  <sheetProtection/>
  <mergeCells count="22">
    <mergeCell ref="J1:K1"/>
    <mergeCell ref="J2:K2"/>
    <mergeCell ref="B10:K10"/>
    <mergeCell ref="K12:K14"/>
    <mergeCell ref="E13:E14"/>
    <mergeCell ref="F13:F14"/>
    <mergeCell ref="H13:H14"/>
    <mergeCell ref="I13:I14"/>
    <mergeCell ref="J13:J14"/>
    <mergeCell ref="G13:G14"/>
    <mergeCell ref="B15:B16"/>
    <mergeCell ref="A15:A16"/>
    <mergeCell ref="K18:K19"/>
    <mergeCell ref="A18:A20"/>
    <mergeCell ref="B18:B20"/>
    <mergeCell ref="K15:K17"/>
    <mergeCell ref="D11:H11"/>
    <mergeCell ref="A12:A14"/>
    <mergeCell ref="B12:B14"/>
    <mergeCell ref="C12:C14"/>
    <mergeCell ref="D12:D14"/>
    <mergeCell ref="E12:J12"/>
  </mergeCells>
  <printOptions horizontalCentered="1"/>
  <pageMargins left="0" right="0" top="1.1811023622047245" bottom="0" header="0" footer="0"/>
  <pageSetup fitToHeight="1" fitToWidth="1"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K45"/>
  <sheetViews>
    <sheetView view="pageBreakPreview" zoomScale="82" zoomScaleSheetLayoutView="82" zoomScalePageLayoutView="0" workbookViewId="0" topLeftCell="A19">
      <selection activeCell="B31" sqref="B31"/>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6384" width="9.140625" style="14" customWidth="1"/>
  </cols>
  <sheetData>
    <row r="1" spans="2:11" ht="18.75">
      <c r="B1" s="15"/>
      <c r="C1" s="15"/>
      <c r="D1" s="15"/>
      <c r="E1" s="15"/>
      <c r="F1" s="15"/>
      <c r="G1" s="15"/>
      <c r="H1" s="15"/>
      <c r="I1" s="13" t="s">
        <v>19</v>
      </c>
      <c r="J1" s="607" t="s">
        <v>495</v>
      </c>
      <c r="K1" s="607"/>
    </row>
    <row r="2" spans="2:11" ht="18.75">
      <c r="B2" s="15"/>
      <c r="C2" s="15"/>
      <c r="D2" s="15"/>
      <c r="E2" s="15"/>
      <c r="F2" s="15"/>
      <c r="G2" s="15"/>
      <c r="H2" s="15"/>
      <c r="I2" s="12" t="s">
        <v>11</v>
      </c>
      <c r="J2" s="607" t="s">
        <v>11</v>
      </c>
      <c r="K2" s="607"/>
    </row>
    <row r="3" spans="2:11" ht="18.75">
      <c r="B3" s="15"/>
      <c r="C3" s="15"/>
      <c r="D3" s="15"/>
      <c r="E3" s="15"/>
      <c r="F3" s="15"/>
      <c r="G3" s="15"/>
      <c r="H3" s="15"/>
      <c r="I3" s="12"/>
      <c r="J3" s="59" t="s">
        <v>318</v>
      </c>
      <c r="K3" s="59"/>
    </row>
    <row r="4" spans="2:11" ht="18.75">
      <c r="B4" s="15"/>
      <c r="C4" s="15"/>
      <c r="D4" s="15"/>
      <c r="E4" s="15"/>
      <c r="F4" s="15"/>
      <c r="G4" s="15"/>
      <c r="H4" s="15"/>
      <c r="I4" s="12" t="s">
        <v>21</v>
      </c>
      <c r="J4" s="59" t="s">
        <v>673</v>
      </c>
      <c r="K4" s="59"/>
    </row>
    <row r="5" spans="2:11" ht="18.75">
      <c r="B5" s="15"/>
      <c r="C5" s="15"/>
      <c r="D5" s="15"/>
      <c r="E5" s="15"/>
      <c r="F5" s="15"/>
      <c r="G5" s="15"/>
      <c r="H5" s="15"/>
      <c r="I5" s="12" t="s">
        <v>23</v>
      </c>
      <c r="J5" s="59" t="s">
        <v>692</v>
      </c>
      <c r="K5" s="59"/>
    </row>
    <row r="6" spans="2:11" ht="18.75">
      <c r="B6" s="15"/>
      <c r="C6" s="15"/>
      <c r="D6" s="15"/>
      <c r="E6" s="15"/>
      <c r="F6" s="15"/>
      <c r="G6" s="15"/>
      <c r="H6" s="15"/>
      <c r="I6" s="12"/>
      <c r="J6" s="59" t="s">
        <v>675</v>
      </c>
      <c r="K6" s="59"/>
    </row>
    <row r="7" spans="2:11" ht="18.75">
      <c r="B7" s="15"/>
      <c r="C7" s="15"/>
      <c r="D7" s="15"/>
      <c r="E7" s="15"/>
      <c r="F7" s="15"/>
      <c r="G7" s="15"/>
      <c r="H7" s="15"/>
      <c r="I7" s="12"/>
      <c r="J7" s="59" t="s">
        <v>676</v>
      </c>
      <c r="K7" s="59"/>
    </row>
    <row r="8" spans="2:11" ht="18.75">
      <c r="B8" s="15"/>
      <c r="C8" s="15"/>
      <c r="D8" s="15"/>
      <c r="E8" s="15"/>
      <c r="F8" s="15"/>
      <c r="G8" s="15"/>
      <c r="H8" s="16"/>
      <c r="I8" s="12" t="s">
        <v>24</v>
      </c>
      <c r="J8" s="59" t="s">
        <v>677</v>
      </c>
      <c r="K8" s="59"/>
    </row>
    <row r="9" spans="2:11" ht="15.75">
      <c r="B9" s="15"/>
      <c r="C9" s="15"/>
      <c r="D9" s="15"/>
      <c r="E9" s="15"/>
      <c r="F9" s="15"/>
      <c r="G9" s="15"/>
      <c r="H9" s="15"/>
      <c r="I9" s="15"/>
      <c r="J9" s="15" t="s">
        <v>735</v>
      </c>
      <c r="K9" s="15"/>
    </row>
    <row r="10" spans="2:11" ht="18.75">
      <c r="B10" s="611" t="s">
        <v>624</v>
      </c>
      <c r="C10" s="611"/>
      <c r="D10" s="611"/>
      <c r="E10" s="611"/>
      <c r="F10" s="611"/>
      <c r="G10" s="611"/>
      <c r="H10" s="611"/>
      <c r="I10" s="611"/>
      <c r="J10" s="611"/>
      <c r="K10" s="611"/>
    </row>
    <row r="11" spans="2:11" ht="18.75">
      <c r="B11" s="15"/>
      <c r="C11" s="15"/>
      <c r="D11" s="614"/>
      <c r="E11" s="614"/>
      <c r="F11" s="614"/>
      <c r="G11" s="614"/>
      <c r="H11" s="614"/>
      <c r="I11" s="15"/>
      <c r="J11" s="15"/>
      <c r="K11" s="441" t="s">
        <v>462</v>
      </c>
    </row>
    <row r="12" spans="1:11" ht="18.75">
      <c r="A12" s="698" t="s">
        <v>6</v>
      </c>
      <c r="B12" s="608" t="s">
        <v>12</v>
      </c>
      <c r="C12" s="608" t="s">
        <v>13</v>
      </c>
      <c r="D12" s="608" t="s">
        <v>474</v>
      </c>
      <c r="E12" s="615" t="s">
        <v>9</v>
      </c>
      <c r="F12" s="615"/>
      <c r="G12" s="615"/>
      <c r="H12" s="615"/>
      <c r="I12" s="615"/>
      <c r="J12" s="690"/>
      <c r="K12" s="613" t="s">
        <v>15</v>
      </c>
    </row>
    <row r="13" spans="1:11" ht="17.25" customHeight="1">
      <c r="A13" s="699"/>
      <c r="B13" s="609"/>
      <c r="C13" s="609"/>
      <c r="D13" s="609"/>
      <c r="E13" s="608" t="s">
        <v>466</v>
      </c>
      <c r="F13" s="608" t="s">
        <v>475</v>
      </c>
      <c r="G13" s="608" t="s">
        <v>27</v>
      </c>
      <c r="H13" s="608" t="s">
        <v>28</v>
      </c>
      <c r="I13" s="608" t="s">
        <v>29</v>
      </c>
      <c r="J13" s="613" t="s">
        <v>441</v>
      </c>
      <c r="K13" s="613"/>
    </row>
    <row r="14" spans="1:11" ht="27" customHeight="1">
      <c r="A14" s="700"/>
      <c r="B14" s="610"/>
      <c r="C14" s="610"/>
      <c r="D14" s="610"/>
      <c r="E14" s="610"/>
      <c r="F14" s="610"/>
      <c r="G14" s="610"/>
      <c r="H14" s="610"/>
      <c r="I14" s="610"/>
      <c r="J14" s="613"/>
      <c r="K14" s="613"/>
    </row>
    <row r="15" spans="1:11" ht="40.5" customHeight="1">
      <c r="A15" s="291"/>
      <c r="B15" s="288" t="s">
        <v>272</v>
      </c>
      <c r="C15" s="289"/>
      <c r="D15" s="302">
        <f>SUM(E15:J15)</f>
        <v>169972.1</v>
      </c>
      <c r="E15" s="302">
        <f>45960+1522+245.7+8354+675.6</f>
        <v>56757.299999999996</v>
      </c>
      <c r="F15" s="302">
        <f>48000+742.6+5339.3+4663.3+4487-170</f>
        <v>63062.200000000004</v>
      </c>
      <c r="G15" s="302"/>
      <c r="H15" s="302"/>
      <c r="I15" s="302"/>
      <c r="J15" s="302">
        <f>50000+152.6+0.8-0.8</f>
        <v>50152.6</v>
      </c>
      <c r="K15" s="287"/>
    </row>
    <row r="16" spans="1:11" ht="33" customHeight="1">
      <c r="A16" s="693" t="s">
        <v>273</v>
      </c>
      <c r="B16" s="581" t="s">
        <v>274</v>
      </c>
      <c r="C16" s="237" t="s">
        <v>16</v>
      </c>
      <c r="D16" s="242">
        <f>E16+F16+J16</f>
        <v>94372.6</v>
      </c>
      <c r="E16" s="64">
        <f>45000+800</f>
        <v>45800</v>
      </c>
      <c r="F16" s="127">
        <f>48000+742.6-170</f>
        <v>48572.6</v>
      </c>
      <c r="G16" s="127"/>
      <c r="H16" s="127"/>
      <c r="I16" s="127"/>
      <c r="J16" s="127"/>
      <c r="K16" s="581" t="s">
        <v>36</v>
      </c>
    </row>
    <row r="17" spans="1:11" ht="18.75">
      <c r="A17" s="694"/>
      <c r="B17" s="582"/>
      <c r="C17" s="237" t="s">
        <v>643</v>
      </c>
      <c r="D17" s="242">
        <f>E17+F17+J17</f>
        <v>49999.2</v>
      </c>
      <c r="E17" s="64"/>
      <c r="F17" s="127"/>
      <c r="G17" s="127"/>
      <c r="H17" s="127"/>
      <c r="I17" s="127"/>
      <c r="J17" s="127">
        <f>50000-0.8</f>
        <v>49999.2</v>
      </c>
      <c r="K17" s="582"/>
    </row>
    <row r="18" spans="1:11" ht="75">
      <c r="A18" s="367" t="s">
        <v>285</v>
      </c>
      <c r="B18" s="301" t="s">
        <v>337</v>
      </c>
      <c r="C18" s="237" t="s">
        <v>62</v>
      </c>
      <c r="D18" s="242">
        <f aca="true" t="shared" si="0" ref="D18:D30">E18+F18+J18</f>
        <v>160</v>
      </c>
      <c r="E18" s="127">
        <f>160</f>
        <v>160</v>
      </c>
      <c r="F18" s="127">
        <v>0</v>
      </c>
      <c r="G18" s="127"/>
      <c r="H18" s="127"/>
      <c r="I18" s="127"/>
      <c r="J18" s="127">
        <v>0</v>
      </c>
      <c r="K18" s="300" t="s">
        <v>36</v>
      </c>
    </row>
    <row r="19" spans="1:11" ht="51.75" customHeight="1">
      <c r="A19" s="693" t="s">
        <v>287</v>
      </c>
      <c r="B19" s="701" t="s">
        <v>338</v>
      </c>
      <c r="C19" s="237" t="s">
        <v>62</v>
      </c>
      <c r="D19" s="242">
        <f t="shared" si="0"/>
        <v>548</v>
      </c>
      <c r="E19" s="127">
        <v>548</v>
      </c>
      <c r="F19" s="127">
        <v>0</v>
      </c>
      <c r="G19" s="127"/>
      <c r="H19" s="127"/>
      <c r="I19" s="127"/>
      <c r="J19" s="127">
        <v>0</v>
      </c>
      <c r="K19" s="581" t="s">
        <v>36</v>
      </c>
    </row>
    <row r="20" spans="1:11" ht="24" customHeight="1">
      <c r="A20" s="694"/>
      <c r="B20" s="702"/>
      <c r="C20" s="237" t="s">
        <v>16</v>
      </c>
      <c r="D20" s="242">
        <f t="shared" si="0"/>
        <v>16.5</v>
      </c>
      <c r="E20" s="127">
        <v>16.5</v>
      </c>
      <c r="F20" s="127">
        <v>0</v>
      </c>
      <c r="G20" s="127"/>
      <c r="H20" s="127"/>
      <c r="I20" s="127"/>
      <c r="J20" s="127">
        <v>0</v>
      </c>
      <c r="K20" s="582"/>
    </row>
    <row r="21" spans="1:11" ht="34.5" customHeight="1">
      <c r="A21" s="693" t="s">
        <v>288</v>
      </c>
      <c r="B21" s="695" t="s">
        <v>340</v>
      </c>
      <c r="C21" s="237" t="s">
        <v>62</v>
      </c>
      <c r="D21" s="242">
        <f t="shared" si="0"/>
        <v>389.2</v>
      </c>
      <c r="E21" s="127">
        <v>344</v>
      </c>
      <c r="F21" s="127">
        <v>45.2</v>
      </c>
      <c r="G21" s="127"/>
      <c r="H21" s="127"/>
      <c r="I21" s="127"/>
      <c r="J21" s="127">
        <v>0</v>
      </c>
      <c r="K21" s="581" t="s">
        <v>36</v>
      </c>
    </row>
    <row r="22" spans="1:11" ht="20.25" customHeight="1">
      <c r="A22" s="694"/>
      <c r="B22" s="696"/>
      <c r="C22" s="237" t="s">
        <v>16</v>
      </c>
      <c r="D22" s="242">
        <f t="shared" si="0"/>
        <v>233.9</v>
      </c>
      <c r="E22" s="127">
        <v>210.3</v>
      </c>
      <c r="F22" s="127">
        <v>23.6</v>
      </c>
      <c r="G22" s="127"/>
      <c r="H22" s="127"/>
      <c r="I22" s="127"/>
      <c r="J22" s="127">
        <v>0</v>
      </c>
      <c r="K22" s="582"/>
    </row>
    <row r="23" spans="1:11" ht="47.25" customHeight="1">
      <c r="A23" s="693" t="s">
        <v>290</v>
      </c>
      <c r="B23" s="695" t="s">
        <v>339</v>
      </c>
      <c r="C23" s="237" t="s">
        <v>62</v>
      </c>
      <c r="D23" s="242">
        <f t="shared" si="0"/>
        <v>1251.1</v>
      </c>
      <c r="E23" s="127">
        <v>630</v>
      </c>
      <c r="F23" s="127">
        <v>621.1</v>
      </c>
      <c r="G23" s="127"/>
      <c r="H23" s="127"/>
      <c r="I23" s="127"/>
      <c r="J23" s="127">
        <v>0</v>
      </c>
      <c r="K23" s="581" t="s">
        <v>36</v>
      </c>
    </row>
    <row r="24" spans="1:11" ht="24.75" customHeight="1">
      <c r="A24" s="694"/>
      <c r="B24" s="696"/>
      <c r="C24" s="237" t="s">
        <v>16</v>
      </c>
      <c r="D24" s="242">
        <f t="shared" si="0"/>
        <v>37.5</v>
      </c>
      <c r="E24" s="127">
        <v>18.9</v>
      </c>
      <c r="F24" s="127">
        <v>18.6</v>
      </c>
      <c r="G24" s="127"/>
      <c r="H24" s="127"/>
      <c r="I24" s="127"/>
      <c r="J24" s="127">
        <v>0</v>
      </c>
      <c r="K24" s="582"/>
    </row>
    <row r="25" spans="1:11" ht="44.25" customHeight="1">
      <c r="A25" s="693" t="s">
        <v>292</v>
      </c>
      <c r="B25" s="695" t="s">
        <v>395</v>
      </c>
      <c r="C25" s="237" t="s">
        <v>62</v>
      </c>
      <c r="D25" s="242">
        <f>E25+F25+J25</f>
        <v>23614.899999999998</v>
      </c>
      <c r="E25" s="127">
        <f>0+8354</f>
        <v>8354</v>
      </c>
      <c r="F25" s="127">
        <f>4673+4663.3+4487+990+295</f>
        <v>15108.3</v>
      </c>
      <c r="G25" s="127"/>
      <c r="H25" s="127"/>
      <c r="I25" s="127"/>
      <c r="J25" s="127">
        <v>152.6</v>
      </c>
      <c r="K25" s="581" t="s">
        <v>36</v>
      </c>
    </row>
    <row r="26" spans="1:11" ht="33" customHeight="1">
      <c r="A26" s="694"/>
      <c r="B26" s="696"/>
      <c r="C26" s="237" t="s">
        <v>16</v>
      </c>
      <c r="D26" s="242">
        <f t="shared" si="0"/>
        <v>826.4</v>
      </c>
      <c r="E26" s="127">
        <f>0+675.6</f>
        <v>675.6</v>
      </c>
      <c r="F26" s="127">
        <v>150</v>
      </c>
      <c r="G26" s="127"/>
      <c r="H26" s="127"/>
      <c r="I26" s="127"/>
      <c r="J26" s="127">
        <v>0.8</v>
      </c>
      <c r="K26" s="582"/>
    </row>
    <row r="27" spans="1:11" ht="31.5" customHeight="1">
      <c r="A27" s="693">
        <v>2</v>
      </c>
      <c r="B27" s="581" t="s">
        <v>275</v>
      </c>
      <c r="C27" s="237" t="s">
        <v>16</v>
      </c>
      <c r="D27" s="242">
        <f t="shared" si="0"/>
        <v>29000</v>
      </c>
      <c r="E27" s="127">
        <v>15000</v>
      </c>
      <c r="F27" s="127">
        <v>14000</v>
      </c>
      <c r="G27" s="127"/>
      <c r="H27" s="127"/>
      <c r="I27" s="127"/>
      <c r="J27" s="127"/>
      <c r="K27" s="581" t="s">
        <v>36</v>
      </c>
    </row>
    <row r="28" spans="1:11" ht="18.75">
      <c r="A28" s="694"/>
      <c r="B28" s="582"/>
      <c r="C28" s="237" t="s">
        <v>643</v>
      </c>
      <c r="D28" s="242">
        <f t="shared" si="0"/>
        <v>13000</v>
      </c>
      <c r="E28" s="127"/>
      <c r="F28" s="127"/>
      <c r="G28" s="127"/>
      <c r="H28" s="127"/>
      <c r="I28" s="127"/>
      <c r="J28" s="127">
        <v>13000</v>
      </c>
      <c r="K28" s="582"/>
    </row>
    <row r="29" spans="1:11" ht="24.75" customHeight="1">
      <c r="A29" s="693">
        <v>3</v>
      </c>
      <c r="B29" s="703" t="s">
        <v>783</v>
      </c>
      <c r="C29" s="237" t="s">
        <v>16</v>
      </c>
      <c r="D29" s="242">
        <f t="shared" si="0"/>
        <v>11000</v>
      </c>
      <c r="E29" s="127">
        <v>5000</v>
      </c>
      <c r="F29" s="127">
        <v>6000</v>
      </c>
      <c r="G29" s="127"/>
      <c r="H29" s="127"/>
      <c r="I29" s="127"/>
      <c r="J29" s="127"/>
      <c r="K29" s="581" t="s">
        <v>76</v>
      </c>
    </row>
    <row r="30" spans="1:11" ht="18.75">
      <c r="A30" s="694"/>
      <c r="B30" s="704"/>
      <c r="C30" s="237" t="s">
        <v>643</v>
      </c>
      <c r="D30" s="242">
        <f t="shared" si="0"/>
        <v>7000</v>
      </c>
      <c r="E30" s="127"/>
      <c r="F30" s="127"/>
      <c r="G30" s="127"/>
      <c r="H30" s="127"/>
      <c r="I30" s="127"/>
      <c r="J30" s="127">
        <v>7000</v>
      </c>
      <c r="K30" s="582"/>
    </row>
    <row r="31" spans="1:11" ht="5.25" customHeight="1">
      <c r="A31" s="537"/>
      <c r="B31" s="546"/>
      <c r="C31" s="237"/>
      <c r="D31" s="242"/>
      <c r="E31" s="127"/>
      <c r="F31" s="127"/>
      <c r="G31" s="127"/>
      <c r="H31" s="127"/>
      <c r="I31" s="127"/>
      <c r="J31" s="127"/>
      <c r="K31" s="247"/>
    </row>
    <row r="32" spans="1:11" ht="18.75">
      <c r="A32" s="77"/>
      <c r="B32" s="60" t="s">
        <v>5</v>
      </c>
      <c r="C32" s="60"/>
      <c r="D32" s="62">
        <f>D29+D27+D15+D28+D30+D31</f>
        <v>229972.1</v>
      </c>
      <c r="E32" s="62">
        <f>E29+E27+E15</f>
        <v>76757.29999999999</v>
      </c>
      <c r="F32" s="62">
        <f>F29+F27+F15</f>
        <v>83062.20000000001</v>
      </c>
      <c r="G32" s="62">
        <f>G29+G27+G15</f>
        <v>0</v>
      </c>
      <c r="H32" s="62">
        <f>H29+H27+H15</f>
        <v>0</v>
      </c>
      <c r="I32" s="62">
        <f>I29+I27+I15</f>
        <v>0</v>
      </c>
      <c r="J32" s="62">
        <f>J29+J27+J15+J28+J30+J31</f>
        <v>70152.6</v>
      </c>
      <c r="K32" s="247"/>
    </row>
    <row r="33" spans="1:11" ht="18.75">
      <c r="A33" s="91"/>
      <c r="B33" s="142"/>
      <c r="C33" s="18"/>
      <c r="D33" s="19"/>
      <c r="E33" s="19"/>
      <c r="F33" s="19"/>
      <c r="G33" s="19"/>
      <c r="H33" s="19"/>
      <c r="I33" s="19"/>
      <c r="J33" s="19"/>
      <c r="K33" s="94"/>
    </row>
    <row r="34" spans="1:11" ht="0.75" customHeight="1">
      <c r="A34" s="91"/>
      <c r="B34" s="18"/>
      <c r="C34" s="18"/>
      <c r="D34" s="19"/>
      <c r="E34" s="19"/>
      <c r="F34" s="19"/>
      <c r="G34" s="19"/>
      <c r="H34" s="19"/>
      <c r="I34" s="19"/>
      <c r="J34" s="19"/>
      <c r="K34" s="99"/>
    </row>
    <row r="35" spans="1:11" ht="3" customHeight="1">
      <c r="A35" s="91"/>
      <c r="B35" s="18"/>
      <c r="C35" s="18"/>
      <c r="D35" s="19"/>
      <c r="E35" s="19"/>
      <c r="F35" s="19"/>
      <c r="G35" s="19"/>
      <c r="H35" s="19"/>
      <c r="I35" s="19"/>
      <c r="J35" s="19"/>
      <c r="K35" s="99"/>
    </row>
    <row r="36" spans="2:11" ht="18.75">
      <c r="B36" s="52"/>
      <c r="C36" s="53"/>
      <c r="E36" s="19"/>
      <c r="F36" s="19"/>
      <c r="G36" s="19"/>
      <c r="H36" s="19"/>
      <c r="I36" s="19"/>
      <c r="J36" s="19"/>
      <c r="K36" s="15"/>
    </row>
    <row r="37" spans="2:10" ht="35.25" customHeight="1">
      <c r="B37" s="379" t="s">
        <v>18</v>
      </c>
      <c r="C37" s="379"/>
      <c r="D37" s="91"/>
      <c r="E37" s="379"/>
      <c r="F37" s="697" t="s">
        <v>30</v>
      </c>
      <c r="G37" s="697"/>
      <c r="H37" s="697"/>
      <c r="I37" s="697"/>
      <c r="J37" s="697"/>
    </row>
    <row r="38" spans="2:10" ht="18.75">
      <c r="B38" s="379"/>
      <c r="C38" s="379"/>
      <c r="D38" s="91"/>
      <c r="E38" s="379"/>
      <c r="F38" s="380"/>
      <c r="G38" s="380"/>
      <c r="H38" s="380"/>
      <c r="I38" s="380"/>
      <c r="J38" s="380"/>
    </row>
    <row r="39" spans="2:10" ht="18.75">
      <c r="B39" s="96" t="s">
        <v>670</v>
      </c>
      <c r="C39" s="96"/>
      <c r="D39" s="91"/>
      <c r="E39" s="97"/>
      <c r="F39" s="98"/>
      <c r="G39" s="98"/>
      <c r="H39" s="98"/>
      <c r="I39" s="98"/>
      <c r="J39" s="98"/>
    </row>
    <row r="40" spans="2:10" ht="15.75">
      <c r="B40" s="100" t="s">
        <v>10</v>
      </c>
      <c r="C40" s="91"/>
      <c r="D40" s="100"/>
      <c r="E40" s="98"/>
      <c r="F40" s="98"/>
      <c r="G40" s="98"/>
      <c r="H40" s="98"/>
      <c r="I40" s="98"/>
      <c r="J40" s="98"/>
    </row>
    <row r="41" spans="2:10" ht="15.75">
      <c r="B41" s="28"/>
      <c r="C41" s="29"/>
      <c r="D41" s="30"/>
      <c r="E41" s="26"/>
      <c r="F41" s="26"/>
      <c r="G41" s="26"/>
      <c r="H41" s="26"/>
      <c r="I41" s="26"/>
      <c r="J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38">
    <mergeCell ref="A29:A30"/>
    <mergeCell ref="B29:B30"/>
    <mergeCell ref="K29:K30"/>
    <mergeCell ref="A16:A17"/>
    <mergeCell ref="B16:B17"/>
    <mergeCell ref="K16:K17"/>
    <mergeCell ref="A27:A28"/>
    <mergeCell ref="B27:B28"/>
    <mergeCell ref="K27:K28"/>
    <mergeCell ref="K25:K26"/>
    <mergeCell ref="K23:K24"/>
    <mergeCell ref="A23:A24"/>
    <mergeCell ref="B23:B24"/>
    <mergeCell ref="A19:A20"/>
    <mergeCell ref="B19:B20"/>
    <mergeCell ref="K19:K20"/>
    <mergeCell ref="A21:A22"/>
    <mergeCell ref="B21:B22"/>
    <mergeCell ref="K21:K22"/>
    <mergeCell ref="J1:K1"/>
    <mergeCell ref="J2:K2"/>
    <mergeCell ref="B10:K10"/>
    <mergeCell ref="D11:H11"/>
    <mergeCell ref="I13:I14"/>
    <mergeCell ref="J13:J14"/>
    <mergeCell ref="K12:K14"/>
    <mergeCell ref="E13:E14"/>
    <mergeCell ref="F13:F14"/>
    <mergeCell ref="A25:A26"/>
    <mergeCell ref="B25:B26"/>
    <mergeCell ref="F37:J37"/>
    <mergeCell ref="B12:B14"/>
    <mergeCell ref="C12:C14"/>
    <mergeCell ref="D12:D14"/>
    <mergeCell ref="E12:J12"/>
    <mergeCell ref="H13:H14"/>
    <mergeCell ref="A12:A14"/>
    <mergeCell ref="G13:G14"/>
  </mergeCells>
  <printOptions horizontalCentered="1"/>
  <pageMargins left="0" right="0" top="1.1811023622047245" bottom="0" header="0" footer="0"/>
  <pageSetup fitToHeight="1" fitToWidth="1" horizontalDpi="600" verticalDpi="600" orientation="landscape" paperSize="9" scale="53"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N74"/>
  <sheetViews>
    <sheetView view="pageBreakPreview" zoomScale="80" zoomScaleSheetLayoutView="80" zoomScalePageLayoutView="0" workbookViewId="0" topLeftCell="A52">
      <selection activeCell="J62" sqref="J62"/>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692" t="s">
        <v>390</v>
      </c>
      <c r="K1" s="692"/>
      <c r="L1" s="13" t="s">
        <v>19</v>
      </c>
    </row>
    <row r="2" spans="2:12" ht="18.75">
      <c r="B2" s="15"/>
      <c r="C2" s="15"/>
      <c r="D2" s="15"/>
      <c r="E2" s="15"/>
      <c r="F2" s="15"/>
      <c r="G2" s="15"/>
      <c r="H2" s="15"/>
      <c r="I2" s="12" t="s">
        <v>11</v>
      </c>
      <c r="J2" s="607" t="s">
        <v>11</v>
      </c>
      <c r="K2" s="607"/>
      <c r="L2" s="12" t="s">
        <v>11</v>
      </c>
    </row>
    <row r="3" spans="2:12" ht="18.75">
      <c r="B3" s="15"/>
      <c r="C3" s="15"/>
      <c r="D3" s="15"/>
      <c r="E3" s="15"/>
      <c r="F3" s="15"/>
      <c r="G3" s="15"/>
      <c r="H3" s="15"/>
      <c r="I3" s="12"/>
      <c r="J3" s="59" t="s">
        <v>678</v>
      </c>
      <c r="K3" s="59"/>
      <c r="L3" s="12"/>
    </row>
    <row r="4" spans="2:12" ht="18.75">
      <c r="B4" s="15"/>
      <c r="C4" s="15"/>
      <c r="D4" s="15"/>
      <c r="E4" s="15"/>
      <c r="F4" s="15"/>
      <c r="G4" s="15"/>
      <c r="H4" s="15"/>
      <c r="I4" s="12" t="s">
        <v>21</v>
      </c>
      <c r="J4" s="59" t="s">
        <v>705</v>
      </c>
      <c r="K4" s="59"/>
      <c r="L4" s="12" t="s">
        <v>21</v>
      </c>
    </row>
    <row r="5" spans="2:12" ht="18.75">
      <c r="B5" s="15"/>
      <c r="C5" s="15"/>
      <c r="D5" s="15"/>
      <c r="E5" s="15"/>
      <c r="F5" s="15"/>
      <c r="G5" s="15"/>
      <c r="H5" s="15"/>
      <c r="I5" s="12" t="s">
        <v>23</v>
      </c>
      <c r="J5" s="59" t="s">
        <v>706</v>
      </c>
      <c r="K5" s="59"/>
      <c r="L5" s="12" t="s">
        <v>23</v>
      </c>
    </row>
    <row r="6" spans="2:12" ht="18.75">
      <c r="B6" s="15"/>
      <c r="C6" s="15"/>
      <c r="D6" s="15"/>
      <c r="E6" s="15"/>
      <c r="F6" s="15"/>
      <c r="G6" s="15"/>
      <c r="H6" s="16"/>
      <c r="I6" s="12" t="s">
        <v>24</v>
      </c>
      <c r="J6" s="59" t="s">
        <v>707</v>
      </c>
      <c r="K6" s="59"/>
      <c r="L6" s="12" t="s">
        <v>24</v>
      </c>
    </row>
    <row r="7" spans="2:12" ht="18.75">
      <c r="B7" s="15"/>
      <c r="C7" s="15"/>
      <c r="D7" s="15"/>
      <c r="E7" s="15"/>
      <c r="F7" s="15"/>
      <c r="G7" s="15"/>
      <c r="H7" s="16"/>
      <c r="I7" s="12"/>
      <c r="J7" s="59" t="s">
        <v>681</v>
      </c>
      <c r="K7" s="59"/>
      <c r="L7" s="12"/>
    </row>
    <row r="8" spans="2:12" ht="18.75">
      <c r="B8" s="15"/>
      <c r="C8" s="15"/>
      <c r="D8" s="15"/>
      <c r="E8" s="15"/>
      <c r="F8" s="15"/>
      <c r="G8" s="15"/>
      <c r="H8" s="15"/>
      <c r="I8" s="15"/>
      <c r="J8" s="358" t="s">
        <v>743</v>
      </c>
      <c r="K8" s="358"/>
      <c r="L8" s="15"/>
    </row>
    <row r="9" spans="2:12" ht="36" customHeight="1">
      <c r="B9" s="611" t="s">
        <v>625</v>
      </c>
      <c r="C9" s="611"/>
      <c r="D9" s="611"/>
      <c r="E9" s="611"/>
      <c r="F9" s="611"/>
      <c r="G9" s="611"/>
      <c r="H9" s="611"/>
      <c r="I9" s="611"/>
      <c r="J9" s="611"/>
      <c r="K9" s="611"/>
      <c r="L9" s="15"/>
    </row>
    <row r="10" spans="2:12" ht="18.75">
      <c r="B10" s="15"/>
      <c r="C10" s="15"/>
      <c r="D10" s="614"/>
      <c r="E10" s="614"/>
      <c r="F10" s="614"/>
      <c r="G10" s="614"/>
      <c r="H10" s="614"/>
      <c r="I10" s="15"/>
      <c r="J10" s="15"/>
      <c r="K10" s="441" t="s">
        <v>462</v>
      </c>
      <c r="L10" s="15"/>
    </row>
    <row r="11" spans="1:12" ht="15.75" customHeight="1">
      <c r="A11" s="698" t="s">
        <v>6</v>
      </c>
      <c r="B11" s="608" t="s">
        <v>12</v>
      </c>
      <c r="C11" s="608" t="s">
        <v>13</v>
      </c>
      <c r="D11" s="608" t="s">
        <v>476</v>
      </c>
      <c r="E11" s="615" t="s">
        <v>9</v>
      </c>
      <c r="F11" s="615"/>
      <c r="G11" s="615"/>
      <c r="H11" s="615"/>
      <c r="I11" s="615"/>
      <c r="J11" s="690"/>
      <c r="K11" s="613" t="s">
        <v>15</v>
      </c>
      <c r="L11" s="15"/>
    </row>
    <row r="12" spans="1:12" ht="15.75">
      <c r="A12" s="699"/>
      <c r="B12" s="609"/>
      <c r="C12" s="609"/>
      <c r="D12" s="609"/>
      <c r="E12" s="608" t="s">
        <v>477</v>
      </c>
      <c r="F12" s="608" t="s">
        <v>478</v>
      </c>
      <c r="G12" s="608" t="s">
        <v>27</v>
      </c>
      <c r="H12" s="608" t="s">
        <v>28</v>
      </c>
      <c r="I12" s="608" t="s">
        <v>29</v>
      </c>
      <c r="J12" s="613" t="s">
        <v>479</v>
      </c>
      <c r="K12" s="613"/>
      <c r="L12" s="15"/>
    </row>
    <row r="13" spans="1:12" ht="21.75" customHeight="1">
      <c r="A13" s="700"/>
      <c r="B13" s="610"/>
      <c r="C13" s="610"/>
      <c r="D13" s="610"/>
      <c r="E13" s="610"/>
      <c r="F13" s="610"/>
      <c r="G13" s="610"/>
      <c r="H13" s="610"/>
      <c r="I13" s="610"/>
      <c r="J13" s="613"/>
      <c r="K13" s="613"/>
      <c r="L13" s="15"/>
    </row>
    <row r="14" spans="1:12" ht="28.5" customHeight="1">
      <c r="A14" s="698">
        <v>1</v>
      </c>
      <c r="B14" s="581" t="s">
        <v>265</v>
      </c>
      <c r="C14" s="237" t="s">
        <v>16</v>
      </c>
      <c r="D14" s="242">
        <f>E14+F14+J14</f>
        <v>3716.9</v>
      </c>
      <c r="E14" s="127">
        <v>2000</v>
      </c>
      <c r="F14" s="127">
        <f>2000-272-11.1</f>
        <v>1716.9</v>
      </c>
      <c r="G14" s="127"/>
      <c r="H14" s="127"/>
      <c r="I14" s="127"/>
      <c r="J14" s="127"/>
      <c r="K14" s="581" t="s">
        <v>54</v>
      </c>
      <c r="L14" s="15"/>
    </row>
    <row r="15" spans="1:12" ht="25.5" customHeight="1">
      <c r="A15" s="700"/>
      <c r="B15" s="582"/>
      <c r="C15" s="237" t="s">
        <v>643</v>
      </c>
      <c r="D15" s="242">
        <f>E15+F15+J15</f>
        <v>2000</v>
      </c>
      <c r="E15" s="127"/>
      <c r="F15" s="127"/>
      <c r="G15" s="127"/>
      <c r="H15" s="127"/>
      <c r="I15" s="127"/>
      <c r="J15" s="127">
        <v>2000</v>
      </c>
      <c r="K15" s="582"/>
      <c r="L15" s="15"/>
    </row>
    <row r="16" spans="1:12" ht="31.5" customHeight="1">
      <c r="A16" s="698">
        <v>2</v>
      </c>
      <c r="B16" s="581" t="s">
        <v>56</v>
      </c>
      <c r="C16" s="237" t="s">
        <v>16</v>
      </c>
      <c r="D16" s="242">
        <f aca="true" t="shared" si="0" ref="D16:D54">E16+F16+J16</f>
        <v>1550</v>
      </c>
      <c r="E16" s="127">
        <f>700</f>
        <v>700</v>
      </c>
      <c r="F16" s="127">
        <f>800+50</f>
        <v>850</v>
      </c>
      <c r="G16" s="127"/>
      <c r="H16" s="127"/>
      <c r="I16" s="127"/>
      <c r="J16" s="127"/>
      <c r="K16" s="581" t="s">
        <v>57</v>
      </c>
      <c r="L16" s="15"/>
    </row>
    <row r="17" spans="1:12" ht="21" customHeight="1">
      <c r="A17" s="700"/>
      <c r="B17" s="582"/>
      <c r="C17" s="237" t="s">
        <v>643</v>
      </c>
      <c r="D17" s="242">
        <f t="shared" si="0"/>
        <v>900</v>
      </c>
      <c r="E17" s="127"/>
      <c r="F17" s="127"/>
      <c r="G17" s="127"/>
      <c r="H17" s="127"/>
      <c r="I17" s="127"/>
      <c r="J17" s="127">
        <v>900</v>
      </c>
      <c r="K17" s="582"/>
      <c r="L17" s="15"/>
    </row>
    <row r="18" spans="1:12" ht="30" customHeight="1">
      <c r="A18" s="698">
        <v>3</v>
      </c>
      <c r="B18" s="581" t="s">
        <v>61</v>
      </c>
      <c r="C18" s="237" t="s">
        <v>16</v>
      </c>
      <c r="D18" s="242">
        <f t="shared" si="0"/>
        <v>463</v>
      </c>
      <c r="E18" s="127">
        <f>250-87</f>
        <v>163</v>
      </c>
      <c r="F18" s="127">
        <v>300</v>
      </c>
      <c r="G18" s="127"/>
      <c r="H18" s="127"/>
      <c r="I18" s="127"/>
      <c r="J18" s="127"/>
      <c r="K18" s="581" t="s">
        <v>31</v>
      </c>
      <c r="L18" s="15"/>
    </row>
    <row r="19" spans="1:12" ht="21.75" customHeight="1">
      <c r="A19" s="700"/>
      <c r="B19" s="582"/>
      <c r="C19" s="237" t="s">
        <v>643</v>
      </c>
      <c r="D19" s="242">
        <f t="shared" si="0"/>
        <v>350</v>
      </c>
      <c r="E19" s="127"/>
      <c r="F19" s="127"/>
      <c r="G19" s="127"/>
      <c r="H19" s="127"/>
      <c r="I19" s="127"/>
      <c r="J19" s="127">
        <v>350</v>
      </c>
      <c r="K19" s="582"/>
      <c r="L19" s="15"/>
    </row>
    <row r="20" spans="1:12" ht="33.75" customHeight="1">
      <c r="A20" s="698">
        <v>4</v>
      </c>
      <c r="B20" s="581" t="s">
        <v>391</v>
      </c>
      <c r="C20" s="237" t="s">
        <v>16</v>
      </c>
      <c r="D20" s="242">
        <f t="shared" si="0"/>
        <v>433.075</v>
      </c>
      <c r="E20" s="126">
        <v>209</v>
      </c>
      <c r="F20" s="126">
        <v>224.075</v>
      </c>
      <c r="G20" s="126"/>
      <c r="H20" s="126"/>
      <c r="I20" s="126"/>
      <c r="J20" s="126"/>
      <c r="K20" s="581" t="s">
        <v>59</v>
      </c>
      <c r="L20" s="15"/>
    </row>
    <row r="21" spans="1:12" ht="24.75" customHeight="1">
      <c r="A21" s="700"/>
      <c r="B21" s="582"/>
      <c r="C21" s="237" t="s">
        <v>643</v>
      </c>
      <c r="D21" s="242">
        <f t="shared" si="0"/>
        <v>537.53</v>
      </c>
      <c r="E21" s="126"/>
      <c r="F21" s="126"/>
      <c r="G21" s="126"/>
      <c r="H21" s="126"/>
      <c r="I21" s="126"/>
      <c r="J21" s="126">
        <v>537.53</v>
      </c>
      <c r="K21" s="583"/>
      <c r="L21" s="15"/>
    </row>
    <row r="22" spans="1:12" ht="33" customHeight="1">
      <c r="A22" s="705">
        <v>5</v>
      </c>
      <c r="B22" s="581" t="s">
        <v>58</v>
      </c>
      <c r="C22" s="237" t="s">
        <v>16</v>
      </c>
      <c r="D22" s="242">
        <f t="shared" si="0"/>
        <v>223.07999999999998</v>
      </c>
      <c r="E22" s="126">
        <v>103.38</v>
      </c>
      <c r="F22" s="126">
        <v>119.7</v>
      </c>
      <c r="G22" s="126"/>
      <c r="H22" s="126"/>
      <c r="I22" s="126"/>
      <c r="J22" s="126"/>
      <c r="K22" s="583"/>
      <c r="L22" s="15"/>
    </row>
    <row r="23" spans="1:12" ht="18.75">
      <c r="A23" s="706"/>
      <c r="B23" s="582"/>
      <c r="C23" s="237" t="s">
        <v>643</v>
      </c>
      <c r="D23" s="242">
        <f t="shared" si="0"/>
        <v>127.23</v>
      </c>
      <c r="E23" s="126"/>
      <c r="F23" s="126"/>
      <c r="G23" s="126"/>
      <c r="H23" s="126"/>
      <c r="I23" s="126"/>
      <c r="J23" s="126">
        <v>127.23</v>
      </c>
      <c r="K23" s="583"/>
      <c r="L23" s="15"/>
    </row>
    <row r="24" spans="1:12" ht="37.5" customHeight="1">
      <c r="A24" s="707">
        <v>6</v>
      </c>
      <c r="B24" s="581" t="s">
        <v>200</v>
      </c>
      <c r="C24" s="237" t="s">
        <v>16</v>
      </c>
      <c r="D24" s="242">
        <f t="shared" si="0"/>
        <v>909.54</v>
      </c>
      <c r="E24" s="126">
        <v>428.84</v>
      </c>
      <c r="F24" s="126">
        <v>480.7</v>
      </c>
      <c r="G24" s="126"/>
      <c r="H24" s="126"/>
      <c r="I24" s="126"/>
      <c r="J24" s="126"/>
      <c r="K24" s="583"/>
      <c r="L24" s="15"/>
    </row>
    <row r="25" spans="1:12" ht="88.5" customHeight="1">
      <c r="A25" s="708"/>
      <c r="B25" s="582"/>
      <c r="C25" s="237" t="s">
        <v>643</v>
      </c>
      <c r="D25" s="242">
        <f t="shared" si="0"/>
        <v>509.99</v>
      </c>
      <c r="E25" s="126"/>
      <c r="F25" s="126"/>
      <c r="G25" s="126"/>
      <c r="H25" s="126"/>
      <c r="I25" s="126"/>
      <c r="J25" s="126">
        <v>509.99</v>
      </c>
      <c r="K25" s="583"/>
      <c r="L25" s="15"/>
    </row>
    <row r="26" spans="1:12" ht="53.25" customHeight="1">
      <c r="A26" s="707">
        <v>7</v>
      </c>
      <c r="B26" s="581" t="s">
        <v>199</v>
      </c>
      <c r="C26" s="237" t="s">
        <v>16</v>
      </c>
      <c r="D26" s="242">
        <f t="shared" si="0"/>
        <v>547.2</v>
      </c>
      <c r="E26" s="126">
        <v>264</v>
      </c>
      <c r="F26" s="126">
        <v>283.2</v>
      </c>
      <c r="G26" s="126"/>
      <c r="H26" s="126"/>
      <c r="I26" s="126"/>
      <c r="J26" s="381"/>
      <c r="K26" s="583"/>
      <c r="L26" s="15"/>
    </row>
    <row r="27" spans="1:12" ht="18.75">
      <c r="A27" s="708"/>
      <c r="B27" s="582"/>
      <c r="C27" s="237" t="s">
        <v>643</v>
      </c>
      <c r="D27" s="242">
        <f t="shared" si="0"/>
        <v>300.192</v>
      </c>
      <c r="E27" s="126"/>
      <c r="F27" s="126"/>
      <c r="G27" s="126"/>
      <c r="H27" s="126"/>
      <c r="I27" s="126"/>
      <c r="J27" s="381">
        <v>300.192</v>
      </c>
      <c r="K27" s="582"/>
      <c r="L27" s="15"/>
    </row>
    <row r="28" spans="1:12" ht="93.75">
      <c r="A28" s="87">
        <v>8</v>
      </c>
      <c r="B28" s="382" t="s">
        <v>346</v>
      </c>
      <c r="C28" s="378" t="s">
        <v>16</v>
      </c>
      <c r="D28" s="242">
        <f t="shared" si="0"/>
        <v>250</v>
      </c>
      <c r="E28" s="126">
        <v>150</v>
      </c>
      <c r="F28" s="126">
        <v>100</v>
      </c>
      <c r="G28" s="126"/>
      <c r="H28" s="126"/>
      <c r="I28" s="126"/>
      <c r="J28" s="381">
        <v>0</v>
      </c>
      <c r="K28" s="383" t="s">
        <v>347</v>
      </c>
      <c r="L28" s="15"/>
    </row>
    <row r="29" spans="1:12" ht="42.75" customHeight="1">
      <c r="A29" s="698">
        <v>9</v>
      </c>
      <c r="B29" s="581" t="s">
        <v>60</v>
      </c>
      <c r="C29" s="237" t="s">
        <v>16</v>
      </c>
      <c r="D29" s="242">
        <f t="shared" si="0"/>
        <v>16</v>
      </c>
      <c r="E29" s="127">
        <v>10</v>
      </c>
      <c r="F29" s="127">
        <v>6</v>
      </c>
      <c r="G29" s="127"/>
      <c r="H29" s="127"/>
      <c r="I29" s="127"/>
      <c r="J29" s="127"/>
      <c r="K29" s="581" t="s">
        <v>36</v>
      </c>
      <c r="L29" s="15"/>
    </row>
    <row r="30" spans="1:12" ht="27.75" customHeight="1">
      <c r="A30" s="700"/>
      <c r="B30" s="582"/>
      <c r="C30" s="237" t="s">
        <v>643</v>
      </c>
      <c r="D30" s="242">
        <f t="shared" si="0"/>
        <v>15</v>
      </c>
      <c r="E30" s="127"/>
      <c r="F30" s="127"/>
      <c r="G30" s="127"/>
      <c r="H30" s="127"/>
      <c r="I30" s="127"/>
      <c r="J30" s="127">
        <v>15</v>
      </c>
      <c r="K30" s="582"/>
      <c r="L30" s="15"/>
    </row>
    <row r="31" spans="1:12" ht="34.5" customHeight="1">
      <c r="A31" s="698">
        <v>10</v>
      </c>
      <c r="B31" s="581" t="s">
        <v>198</v>
      </c>
      <c r="C31" s="237" t="s">
        <v>16</v>
      </c>
      <c r="D31" s="242">
        <f t="shared" si="0"/>
        <v>123</v>
      </c>
      <c r="E31" s="127">
        <v>65</v>
      </c>
      <c r="F31" s="127">
        <v>58</v>
      </c>
      <c r="G31" s="127"/>
      <c r="H31" s="127"/>
      <c r="I31" s="127"/>
      <c r="J31" s="127"/>
      <c r="K31" s="581" t="s">
        <v>36</v>
      </c>
      <c r="L31" s="15"/>
    </row>
    <row r="32" spans="1:12" ht="18.75">
      <c r="A32" s="700"/>
      <c r="B32" s="582"/>
      <c r="C32" s="237" t="s">
        <v>643</v>
      </c>
      <c r="D32" s="242">
        <f t="shared" si="0"/>
        <v>75</v>
      </c>
      <c r="E32" s="127"/>
      <c r="F32" s="127"/>
      <c r="G32" s="127"/>
      <c r="H32" s="127"/>
      <c r="I32" s="127"/>
      <c r="J32" s="127">
        <v>75</v>
      </c>
      <c r="K32" s="582"/>
      <c r="L32" s="15"/>
    </row>
    <row r="33" spans="1:12" ht="36.75" customHeight="1">
      <c r="A33" s="698">
        <v>11</v>
      </c>
      <c r="B33" s="581" t="s">
        <v>410</v>
      </c>
      <c r="C33" s="237" t="s">
        <v>16</v>
      </c>
      <c r="D33" s="242">
        <f t="shared" si="0"/>
        <v>274</v>
      </c>
      <c r="E33" s="127">
        <f>42+80+87</f>
        <v>209</v>
      </c>
      <c r="F33" s="127">
        <f>63+2</f>
        <v>65</v>
      </c>
      <c r="G33" s="127"/>
      <c r="H33" s="127"/>
      <c r="I33" s="127"/>
      <c r="J33" s="127"/>
      <c r="K33" s="581" t="s">
        <v>36</v>
      </c>
      <c r="L33" s="15"/>
    </row>
    <row r="34" spans="1:12" ht="29.25" customHeight="1">
      <c r="A34" s="700"/>
      <c r="B34" s="582"/>
      <c r="C34" s="303" t="s">
        <v>643</v>
      </c>
      <c r="D34" s="242">
        <f t="shared" si="0"/>
        <v>75</v>
      </c>
      <c r="E34" s="127"/>
      <c r="F34" s="127"/>
      <c r="G34" s="127"/>
      <c r="H34" s="127"/>
      <c r="I34" s="127"/>
      <c r="J34" s="127">
        <v>75</v>
      </c>
      <c r="K34" s="582"/>
      <c r="L34" s="15"/>
    </row>
    <row r="35" spans="1:12" ht="37.5">
      <c r="A35" s="86">
        <v>12</v>
      </c>
      <c r="B35" s="168" t="s">
        <v>276</v>
      </c>
      <c r="C35" s="303" t="s">
        <v>16</v>
      </c>
      <c r="D35" s="242">
        <f t="shared" si="0"/>
        <v>150</v>
      </c>
      <c r="E35" s="64">
        <v>150</v>
      </c>
      <c r="F35" s="127">
        <v>0</v>
      </c>
      <c r="G35" s="127">
        <v>0</v>
      </c>
      <c r="H35" s="127">
        <v>0</v>
      </c>
      <c r="I35" s="127">
        <v>0</v>
      </c>
      <c r="J35" s="127">
        <v>0</v>
      </c>
      <c r="K35" s="290" t="s">
        <v>36</v>
      </c>
      <c r="L35" s="15"/>
    </row>
    <row r="36" spans="1:12" ht="37.5">
      <c r="A36" s="86">
        <v>13</v>
      </c>
      <c r="B36" s="168" t="s">
        <v>277</v>
      </c>
      <c r="C36" s="303" t="s">
        <v>16</v>
      </c>
      <c r="D36" s="242">
        <f t="shared" si="0"/>
        <v>1</v>
      </c>
      <c r="E36" s="64">
        <v>1</v>
      </c>
      <c r="F36" s="127">
        <v>0</v>
      </c>
      <c r="G36" s="127"/>
      <c r="H36" s="127"/>
      <c r="I36" s="127"/>
      <c r="J36" s="127">
        <v>0</v>
      </c>
      <c r="K36" s="290" t="s">
        <v>36</v>
      </c>
      <c r="L36" s="15"/>
    </row>
    <row r="37" spans="1:12" ht="56.25" customHeight="1">
      <c r="A37" s="698">
        <v>14</v>
      </c>
      <c r="B37" s="581" t="s">
        <v>336</v>
      </c>
      <c r="C37" s="303" t="s">
        <v>16</v>
      </c>
      <c r="D37" s="242">
        <f t="shared" si="0"/>
        <v>85</v>
      </c>
      <c r="E37" s="64">
        <v>34</v>
      </c>
      <c r="F37" s="127">
        <v>51</v>
      </c>
      <c r="G37" s="127"/>
      <c r="H37" s="127"/>
      <c r="I37" s="127"/>
      <c r="J37" s="127"/>
      <c r="K37" s="581" t="s">
        <v>36</v>
      </c>
      <c r="L37" s="15"/>
    </row>
    <row r="38" spans="1:12" ht="18.75">
      <c r="A38" s="700"/>
      <c r="B38" s="582"/>
      <c r="C38" s="303" t="s">
        <v>643</v>
      </c>
      <c r="D38" s="242">
        <f t="shared" si="0"/>
        <v>48.35</v>
      </c>
      <c r="E38" s="64"/>
      <c r="F38" s="127"/>
      <c r="G38" s="127"/>
      <c r="H38" s="127"/>
      <c r="I38" s="127"/>
      <c r="J38" s="127">
        <v>48.35</v>
      </c>
      <c r="K38" s="582"/>
      <c r="L38" s="15"/>
    </row>
    <row r="39" spans="1:12" ht="75">
      <c r="A39" s="86">
        <v>15</v>
      </c>
      <c r="B39" s="168" t="s">
        <v>402</v>
      </c>
      <c r="C39" s="303" t="s">
        <v>16</v>
      </c>
      <c r="D39" s="242">
        <f t="shared" si="0"/>
        <v>250</v>
      </c>
      <c r="E39" s="64">
        <v>0</v>
      </c>
      <c r="F39" s="127">
        <v>250</v>
      </c>
      <c r="G39" s="127"/>
      <c r="H39" s="127"/>
      <c r="I39" s="127"/>
      <c r="J39" s="127">
        <v>0</v>
      </c>
      <c r="K39" s="412" t="s">
        <v>36</v>
      </c>
      <c r="L39" s="15"/>
    </row>
    <row r="40" spans="1:12" ht="37.5">
      <c r="A40" s="86">
        <v>16</v>
      </c>
      <c r="B40" s="168" t="s">
        <v>409</v>
      </c>
      <c r="C40" s="303" t="s">
        <v>16</v>
      </c>
      <c r="D40" s="242">
        <f t="shared" si="0"/>
        <v>200</v>
      </c>
      <c r="E40" s="64">
        <v>0</v>
      </c>
      <c r="F40" s="127">
        <v>200</v>
      </c>
      <c r="G40" s="127"/>
      <c r="H40" s="127"/>
      <c r="I40" s="127"/>
      <c r="J40" s="127">
        <v>0</v>
      </c>
      <c r="K40" s="413" t="s">
        <v>36</v>
      </c>
      <c r="L40" s="15"/>
    </row>
    <row r="41" spans="1:12" ht="86.25" customHeight="1">
      <c r="A41" s="86">
        <v>17</v>
      </c>
      <c r="B41" s="168" t="s">
        <v>411</v>
      </c>
      <c r="C41" s="303" t="s">
        <v>16</v>
      </c>
      <c r="D41" s="242">
        <f t="shared" si="0"/>
        <v>79.7</v>
      </c>
      <c r="E41" s="64">
        <v>0</v>
      </c>
      <c r="F41" s="127">
        <f>0+20+30+16.2+13.5</f>
        <v>79.7</v>
      </c>
      <c r="G41" s="127"/>
      <c r="H41" s="127"/>
      <c r="I41" s="127"/>
      <c r="J41" s="127">
        <v>0</v>
      </c>
      <c r="K41" s="413" t="s">
        <v>36</v>
      </c>
      <c r="L41" s="15"/>
    </row>
    <row r="42" spans="1:12" ht="32.25" customHeight="1">
      <c r="A42" s="698">
        <v>18</v>
      </c>
      <c r="B42" s="581" t="s">
        <v>518</v>
      </c>
      <c r="C42" s="303" t="s">
        <v>16</v>
      </c>
      <c r="D42" s="242">
        <f t="shared" si="0"/>
        <v>15</v>
      </c>
      <c r="E42" s="64">
        <v>0</v>
      </c>
      <c r="F42" s="127">
        <f>0+12+3</f>
        <v>15</v>
      </c>
      <c r="G42" s="127"/>
      <c r="H42" s="127"/>
      <c r="I42" s="127"/>
      <c r="J42" s="127"/>
      <c r="K42" s="581" t="s">
        <v>36</v>
      </c>
      <c r="L42" s="15"/>
    </row>
    <row r="43" spans="1:12" ht="21" customHeight="1">
      <c r="A43" s="700"/>
      <c r="B43" s="582"/>
      <c r="C43" s="303" t="s">
        <v>643</v>
      </c>
      <c r="D43" s="242">
        <f t="shared" si="0"/>
        <v>30</v>
      </c>
      <c r="E43" s="64"/>
      <c r="F43" s="127"/>
      <c r="G43" s="127"/>
      <c r="H43" s="127"/>
      <c r="I43" s="127"/>
      <c r="J43" s="127">
        <v>30</v>
      </c>
      <c r="K43" s="582"/>
      <c r="L43" s="15"/>
    </row>
    <row r="44" spans="1:12" ht="42" customHeight="1">
      <c r="A44" s="86">
        <v>19</v>
      </c>
      <c r="B44" s="446" t="s">
        <v>641</v>
      </c>
      <c r="C44" s="237" t="s">
        <v>16</v>
      </c>
      <c r="D44" s="242">
        <f t="shared" si="0"/>
        <v>200</v>
      </c>
      <c r="E44" s="64"/>
      <c r="F44" s="127">
        <f>0+200</f>
        <v>200</v>
      </c>
      <c r="G44" s="127"/>
      <c r="H44" s="127"/>
      <c r="I44" s="127"/>
      <c r="J44" s="127"/>
      <c r="K44" s="450" t="s">
        <v>36</v>
      </c>
      <c r="L44" s="15"/>
    </row>
    <row r="45" spans="1:12" ht="42" customHeight="1">
      <c r="A45" s="86">
        <v>20</v>
      </c>
      <c r="B45" s="476" t="s">
        <v>532</v>
      </c>
      <c r="C45" s="237" t="s">
        <v>16</v>
      </c>
      <c r="D45" s="242">
        <f t="shared" si="0"/>
        <v>80</v>
      </c>
      <c r="E45" s="64"/>
      <c r="F45" s="127">
        <f>0+80</f>
        <v>80</v>
      </c>
      <c r="G45" s="127"/>
      <c r="H45" s="127"/>
      <c r="I45" s="127"/>
      <c r="J45" s="127"/>
      <c r="K45" s="451" t="s">
        <v>36</v>
      </c>
      <c r="L45" s="15"/>
    </row>
    <row r="46" spans="1:12" ht="42" customHeight="1">
      <c r="A46" s="86">
        <v>21</v>
      </c>
      <c r="B46" s="476" t="s">
        <v>537</v>
      </c>
      <c r="C46" s="237" t="s">
        <v>16</v>
      </c>
      <c r="D46" s="242">
        <f t="shared" si="0"/>
        <v>84</v>
      </c>
      <c r="E46" s="64"/>
      <c r="F46" s="127">
        <v>84</v>
      </c>
      <c r="G46" s="127"/>
      <c r="H46" s="127"/>
      <c r="I46" s="127"/>
      <c r="J46" s="127"/>
      <c r="K46" s="451" t="s">
        <v>36</v>
      </c>
      <c r="L46" s="15"/>
    </row>
    <row r="47" spans="1:12" ht="69" customHeight="1">
      <c r="A47" s="86">
        <v>22</v>
      </c>
      <c r="B47" s="476" t="s">
        <v>538</v>
      </c>
      <c r="C47" s="237" t="s">
        <v>16</v>
      </c>
      <c r="D47" s="242">
        <f t="shared" si="0"/>
        <v>11.1</v>
      </c>
      <c r="E47" s="64"/>
      <c r="F47" s="127">
        <v>11.1</v>
      </c>
      <c r="G47" s="127"/>
      <c r="H47" s="127"/>
      <c r="I47" s="127"/>
      <c r="J47" s="127"/>
      <c r="K47" s="451" t="s">
        <v>36</v>
      </c>
      <c r="L47" s="15"/>
    </row>
    <row r="48" spans="1:12" ht="34.5" customHeight="1">
      <c r="A48" s="86">
        <v>23</v>
      </c>
      <c r="B48" s="476" t="s">
        <v>633</v>
      </c>
      <c r="C48" s="237" t="s">
        <v>16</v>
      </c>
      <c r="D48" s="242">
        <f t="shared" si="0"/>
        <v>96</v>
      </c>
      <c r="E48" s="64"/>
      <c r="F48" s="127">
        <v>96</v>
      </c>
      <c r="G48" s="127"/>
      <c r="H48" s="127"/>
      <c r="I48" s="127"/>
      <c r="J48" s="127"/>
      <c r="K48" s="471" t="s">
        <v>36</v>
      </c>
      <c r="L48" s="15"/>
    </row>
    <row r="49" spans="1:12" ht="54.75" customHeight="1">
      <c r="A49" s="86">
        <v>24</v>
      </c>
      <c r="B49" s="476" t="s">
        <v>539</v>
      </c>
      <c r="C49" s="237" t="s">
        <v>643</v>
      </c>
      <c r="D49" s="242">
        <f t="shared" si="0"/>
        <v>150</v>
      </c>
      <c r="E49" s="64"/>
      <c r="F49" s="127"/>
      <c r="G49" s="127"/>
      <c r="H49" s="127"/>
      <c r="I49" s="127"/>
      <c r="J49" s="127">
        <v>150</v>
      </c>
      <c r="K49" s="512" t="s">
        <v>36</v>
      </c>
      <c r="L49" s="15"/>
    </row>
    <row r="50" spans="1:12" ht="49.5" customHeight="1">
      <c r="A50" s="86">
        <v>25</v>
      </c>
      <c r="B50" s="476" t="s">
        <v>540</v>
      </c>
      <c r="C50" s="237" t="s">
        <v>643</v>
      </c>
      <c r="D50" s="242">
        <f t="shared" si="0"/>
        <v>50</v>
      </c>
      <c r="E50" s="64"/>
      <c r="F50" s="127"/>
      <c r="G50" s="127"/>
      <c r="H50" s="127"/>
      <c r="I50" s="127"/>
      <c r="J50" s="127">
        <v>50</v>
      </c>
      <c r="K50" s="451" t="s">
        <v>36</v>
      </c>
      <c r="L50" s="15"/>
    </row>
    <row r="51" spans="1:12" ht="39.75" customHeight="1">
      <c r="A51" s="86">
        <v>26</v>
      </c>
      <c r="B51" s="476" t="s">
        <v>541</v>
      </c>
      <c r="C51" s="237" t="s">
        <v>643</v>
      </c>
      <c r="D51" s="242">
        <f t="shared" si="0"/>
        <v>85</v>
      </c>
      <c r="E51" s="64"/>
      <c r="F51" s="127"/>
      <c r="G51" s="127"/>
      <c r="H51" s="127"/>
      <c r="I51" s="127"/>
      <c r="J51" s="127">
        <v>85</v>
      </c>
      <c r="K51" s="451" t="s">
        <v>36</v>
      </c>
      <c r="L51" s="15"/>
    </row>
    <row r="52" spans="1:12" ht="38.25" customHeight="1">
      <c r="A52" s="86">
        <v>27</v>
      </c>
      <c r="B52" s="476" t="s">
        <v>542</v>
      </c>
      <c r="C52" s="237" t="s">
        <v>643</v>
      </c>
      <c r="D52" s="242">
        <f t="shared" si="0"/>
        <v>300</v>
      </c>
      <c r="E52" s="64"/>
      <c r="F52" s="127"/>
      <c r="G52" s="127"/>
      <c r="H52" s="127"/>
      <c r="I52" s="127"/>
      <c r="J52" s="127">
        <v>300</v>
      </c>
      <c r="K52" s="451" t="s">
        <v>36</v>
      </c>
      <c r="L52" s="15"/>
    </row>
    <row r="53" spans="1:12" ht="96" customHeight="1">
      <c r="A53" s="86">
        <v>28</v>
      </c>
      <c r="B53" s="476" t="s">
        <v>642</v>
      </c>
      <c r="C53" s="237" t="s">
        <v>643</v>
      </c>
      <c r="D53" s="242">
        <f t="shared" si="0"/>
        <v>60</v>
      </c>
      <c r="E53" s="64"/>
      <c r="F53" s="127"/>
      <c r="G53" s="127"/>
      <c r="H53" s="127"/>
      <c r="I53" s="127"/>
      <c r="J53" s="127">
        <v>60</v>
      </c>
      <c r="K53" s="478" t="s">
        <v>36</v>
      </c>
      <c r="L53" s="15"/>
    </row>
    <row r="54" spans="1:12" ht="39" customHeight="1">
      <c r="A54" s="86">
        <v>29</v>
      </c>
      <c r="B54" s="476" t="s">
        <v>704</v>
      </c>
      <c r="C54" s="237" t="s">
        <v>643</v>
      </c>
      <c r="D54" s="242">
        <f t="shared" si="0"/>
        <v>190</v>
      </c>
      <c r="E54" s="64"/>
      <c r="F54" s="127"/>
      <c r="G54" s="127"/>
      <c r="H54" s="127"/>
      <c r="I54" s="127"/>
      <c r="J54" s="127">
        <v>190</v>
      </c>
      <c r="K54" s="530" t="s">
        <v>36</v>
      </c>
      <c r="L54" s="15"/>
    </row>
    <row r="55" spans="1:12" ht="109.5" customHeight="1">
      <c r="A55" s="86">
        <v>30</v>
      </c>
      <c r="B55" s="476" t="s">
        <v>744</v>
      </c>
      <c r="C55" s="237" t="s">
        <v>643</v>
      </c>
      <c r="D55" s="242">
        <f aca="true" t="shared" si="1" ref="D55:D60">E55+F55+J55</f>
        <v>4.3</v>
      </c>
      <c r="E55" s="64"/>
      <c r="F55" s="127"/>
      <c r="G55" s="127"/>
      <c r="H55" s="127"/>
      <c r="I55" s="127"/>
      <c r="J55" s="127">
        <v>4.3</v>
      </c>
      <c r="K55" s="555" t="s">
        <v>36</v>
      </c>
      <c r="L55" s="15"/>
    </row>
    <row r="56" spans="1:12" ht="54.75" customHeight="1">
      <c r="A56" s="86">
        <v>31</v>
      </c>
      <c r="B56" s="162" t="s">
        <v>750</v>
      </c>
      <c r="C56" s="237" t="s">
        <v>643</v>
      </c>
      <c r="D56" s="242">
        <f t="shared" si="1"/>
        <v>79</v>
      </c>
      <c r="E56" s="64"/>
      <c r="F56" s="127"/>
      <c r="G56" s="127"/>
      <c r="H56" s="127"/>
      <c r="I56" s="127"/>
      <c r="J56" s="127">
        <v>79</v>
      </c>
      <c r="K56" s="555" t="s">
        <v>36</v>
      </c>
      <c r="L56" s="15"/>
    </row>
    <row r="57" spans="1:12" ht="83.25" customHeight="1">
      <c r="A57" s="86">
        <v>32</v>
      </c>
      <c r="B57" s="162" t="s">
        <v>751</v>
      </c>
      <c r="C57" s="237" t="s">
        <v>643</v>
      </c>
      <c r="D57" s="242">
        <f t="shared" si="1"/>
        <v>190</v>
      </c>
      <c r="E57" s="64"/>
      <c r="F57" s="127"/>
      <c r="G57" s="127"/>
      <c r="H57" s="127"/>
      <c r="I57" s="127"/>
      <c r="J57" s="127">
        <v>190</v>
      </c>
      <c r="K57" s="555" t="s">
        <v>36</v>
      </c>
      <c r="L57" s="15"/>
    </row>
    <row r="58" spans="1:12" ht="39" customHeight="1">
      <c r="A58" s="86">
        <v>33</v>
      </c>
      <c r="B58" s="162" t="s">
        <v>752</v>
      </c>
      <c r="C58" s="237" t="s">
        <v>643</v>
      </c>
      <c r="D58" s="242">
        <f t="shared" si="1"/>
        <v>40</v>
      </c>
      <c r="E58" s="64"/>
      <c r="F58" s="127"/>
      <c r="G58" s="127"/>
      <c r="H58" s="127"/>
      <c r="I58" s="127"/>
      <c r="J58" s="127">
        <v>40</v>
      </c>
      <c r="K58" s="555" t="s">
        <v>36</v>
      </c>
      <c r="L58" s="15"/>
    </row>
    <row r="59" spans="1:12" ht="60.75" customHeight="1">
      <c r="A59" s="86">
        <v>34</v>
      </c>
      <c r="B59" s="162" t="s">
        <v>779</v>
      </c>
      <c r="C59" s="237" t="s">
        <v>643</v>
      </c>
      <c r="D59" s="242">
        <f t="shared" si="1"/>
        <v>39</v>
      </c>
      <c r="E59" s="64"/>
      <c r="F59" s="127"/>
      <c r="G59" s="127"/>
      <c r="H59" s="127"/>
      <c r="I59" s="127"/>
      <c r="J59" s="127">
        <v>39</v>
      </c>
      <c r="K59" s="555" t="s">
        <v>36</v>
      </c>
      <c r="L59" s="15"/>
    </row>
    <row r="60" spans="1:12" ht="46.5" customHeight="1">
      <c r="A60" s="86">
        <v>35</v>
      </c>
      <c r="B60" s="162" t="s">
        <v>780</v>
      </c>
      <c r="C60" s="237" t="s">
        <v>643</v>
      </c>
      <c r="D60" s="242">
        <f t="shared" si="1"/>
        <v>450</v>
      </c>
      <c r="E60" s="64"/>
      <c r="F60" s="127"/>
      <c r="G60" s="127"/>
      <c r="H60" s="127"/>
      <c r="I60" s="127"/>
      <c r="J60" s="127">
        <v>450</v>
      </c>
      <c r="K60" s="566" t="s">
        <v>36</v>
      </c>
      <c r="L60" s="15"/>
    </row>
    <row r="61" spans="1:12" ht="21.75" customHeight="1">
      <c r="A61" s="77"/>
      <c r="B61" s="60" t="s">
        <v>5</v>
      </c>
      <c r="C61" s="71"/>
      <c r="D61" s="305">
        <f>D14+D16+D18+D20+D22+D24+D26+D28+D29+D31+D33+D35+D36+D37+D39+D40+D41+D42+D44+D45+D46+D47+D49+D50+D51+D52+D48+D53+D15+D17+D19+D21+D23+D25+D27+D30+D32+D34+D38+D43+D54+D55+D56+D57+D58+D59+D60</f>
        <v>16363.187</v>
      </c>
      <c r="E61" s="305">
        <f>E14+E16+E18+E20+E22+E24+E26+E28+E29+E31+E33+E35+E36+E37+E39+E40</f>
        <v>4487.22</v>
      </c>
      <c r="F61" s="305">
        <f>F14+F16+F18+F20+F22+F24+F26+F28+F29+F31+F33+F35+F36+F37+F39+F40+F41+F42+F44+F45+F46+F47+F48</f>
        <v>5270.374999999999</v>
      </c>
      <c r="G61" s="305">
        <f>G14+G16+G18+G20+G22+G24+G26+G29+G31+G33+G35+G36</f>
        <v>0</v>
      </c>
      <c r="H61" s="305">
        <f>H14+H16+H18+H20+H22+H24+H26+H29+H31+H33+H35+H36</f>
        <v>0</v>
      </c>
      <c r="I61" s="305">
        <f>I14+I16+I18+I20+I22+I24+I26+I29+I31+I33+I35+I36</f>
        <v>0</v>
      </c>
      <c r="J61" s="305">
        <f>J14+J16+J18+J20+J22+J24+J26+J29+J31+J33+J35+J36+J37+J39+J40+J41+J42+J44+J45+J46+J47+J49+J50+J51+J52+J53+J15+J17+J19+J21+J23+J25+J27+J30+J32+J34+J38+J43+J48+J54+J55+J56+J57+J58+J59+J60</f>
        <v>6605.592</v>
      </c>
      <c r="K61" s="72"/>
      <c r="L61" s="15"/>
    </row>
    <row r="62" spans="1:12" ht="15.75">
      <c r="A62" s="41"/>
      <c r="B62" s="18"/>
      <c r="C62" s="18"/>
      <c r="D62" s="90"/>
      <c r="E62" s="90"/>
      <c r="F62" s="90"/>
      <c r="G62" s="90"/>
      <c r="H62" s="90"/>
      <c r="I62" s="90"/>
      <c r="J62" s="90"/>
      <c r="K62" s="20"/>
      <c r="L62" s="15"/>
    </row>
    <row r="63" spans="1:12" ht="15.75" hidden="1">
      <c r="A63" s="41"/>
      <c r="B63" s="18"/>
      <c r="C63" s="18"/>
      <c r="D63" s="90"/>
      <c r="E63" s="90"/>
      <c r="F63" s="90"/>
      <c r="G63" s="90"/>
      <c r="H63" s="90"/>
      <c r="I63" s="90"/>
      <c r="J63" s="90"/>
      <c r="K63" s="20"/>
      <c r="L63" s="15"/>
    </row>
    <row r="64" spans="1:13" s="91" customFormat="1" ht="18.75" customHeight="1">
      <c r="A64" s="14"/>
      <c r="B64" s="18"/>
      <c r="C64" s="18"/>
      <c r="D64" s="19"/>
      <c r="E64" s="19"/>
      <c r="F64" s="19"/>
      <c r="G64" s="19"/>
      <c r="H64" s="19"/>
      <c r="I64" s="19"/>
      <c r="J64" s="19"/>
      <c r="K64" s="20"/>
      <c r="L64" s="95" t="s">
        <v>7</v>
      </c>
      <c r="M64" s="94"/>
    </row>
    <row r="65" spans="1:13" s="91" customFormat="1" ht="18.75" customHeight="1">
      <c r="A65" s="14"/>
      <c r="B65" s="52"/>
      <c r="C65" s="53"/>
      <c r="D65" s="14"/>
      <c r="E65" s="19"/>
      <c r="F65" s="19"/>
      <c r="G65" s="19"/>
      <c r="H65" s="19"/>
      <c r="I65" s="19"/>
      <c r="J65" s="19"/>
      <c r="K65" s="53"/>
      <c r="L65" s="95"/>
      <c r="M65" s="94"/>
    </row>
    <row r="66" spans="2:12" s="91" customFormat="1" ht="33" customHeight="1">
      <c r="B66" s="379" t="s">
        <v>18</v>
      </c>
      <c r="C66" s="379"/>
      <c r="E66" s="379"/>
      <c r="F66" s="697" t="s">
        <v>30</v>
      </c>
      <c r="G66" s="697"/>
      <c r="H66" s="697"/>
      <c r="I66" s="697"/>
      <c r="J66" s="697"/>
      <c r="K66" s="94"/>
      <c r="L66" s="99"/>
    </row>
    <row r="67" spans="2:14" s="91" customFormat="1" ht="13.5" customHeight="1">
      <c r="B67" s="92"/>
      <c r="C67" s="92"/>
      <c r="E67" s="92"/>
      <c r="F67" s="93"/>
      <c r="G67" s="93"/>
      <c r="H67" s="93"/>
      <c r="I67" s="93"/>
      <c r="J67" s="93"/>
      <c r="K67" s="94"/>
      <c r="L67" s="99"/>
      <c r="N67" s="101"/>
    </row>
    <row r="68" spans="1:11" ht="18.75">
      <c r="A68" s="91"/>
      <c r="B68" s="141" t="s">
        <v>670</v>
      </c>
      <c r="C68" s="96"/>
      <c r="D68" s="91"/>
      <c r="E68" s="97"/>
      <c r="F68" s="98"/>
      <c r="G68" s="98"/>
      <c r="H68" s="98"/>
      <c r="I68" s="98"/>
      <c r="J68" s="98"/>
      <c r="K68" s="99"/>
    </row>
    <row r="69" spans="1:11" ht="15.75">
      <c r="A69" s="91"/>
      <c r="B69" s="140"/>
      <c r="C69" s="91"/>
      <c r="D69" s="100"/>
      <c r="E69" s="98"/>
      <c r="F69" s="98"/>
      <c r="G69" s="98"/>
      <c r="H69" s="98"/>
      <c r="I69" s="98"/>
      <c r="J69" s="98"/>
      <c r="K69" s="99"/>
    </row>
    <row r="70" spans="2:11" ht="15.75">
      <c r="B70" s="28"/>
      <c r="C70" s="29"/>
      <c r="D70" s="30"/>
      <c r="E70" s="26"/>
      <c r="F70" s="26"/>
      <c r="G70" s="26"/>
      <c r="H70" s="26"/>
      <c r="I70" s="26"/>
      <c r="J70" s="15"/>
      <c r="K70" s="15"/>
    </row>
    <row r="71" spans="3:10" ht="15.75">
      <c r="C71" s="30"/>
      <c r="D71" s="26"/>
      <c r="E71" s="26"/>
      <c r="F71" s="26"/>
      <c r="G71" s="26"/>
      <c r="H71" s="26"/>
      <c r="I71" s="26"/>
      <c r="J71" s="26"/>
    </row>
    <row r="72" spans="3:10" ht="15.75">
      <c r="C72" s="31"/>
      <c r="D72" s="26"/>
      <c r="E72" s="26"/>
      <c r="F72" s="26"/>
      <c r="G72" s="26"/>
      <c r="H72" s="26"/>
      <c r="I72" s="26"/>
      <c r="J72" s="26"/>
    </row>
    <row r="74" ht="12.75">
      <c r="H74" s="32"/>
    </row>
  </sheetData>
  <sheetProtection/>
  <mergeCells count="50">
    <mergeCell ref="A37:A38"/>
    <mergeCell ref="B37:B38"/>
    <mergeCell ref="K37:K38"/>
    <mergeCell ref="A42:A43"/>
    <mergeCell ref="B42:B43"/>
    <mergeCell ref="K42:K43"/>
    <mergeCell ref="A31:A32"/>
    <mergeCell ref="B31:B32"/>
    <mergeCell ref="K31:K32"/>
    <mergeCell ref="A33:A34"/>
    <mergeCell ref="B33:B34"/>
    <mergeCell ref="K33:K34"/>
    <mergeCell ref="A24:A25"/>
    <mergeCell ref="B24:B25"/>
    <mergeCell ref="A26:A27"/>
    <mergeCell ref="B26:B27"/>
    <mergeCell ref="K20:K27"/>
    <mergeCell ref="A29:A30"/>
    <mergeCell ref="B29:B30"/>
    <mergeCell ref="K29:K30"/>
    <mergeCell ref="A18:A19"/>
    <mergeCell ref="B18:B19"/>
    <mergeCell ref="K18:K19"/>
    <mergeCell ref="A20:A21"/>
    <mergeCell ref="B20:B21"/>
    <mergeCell ref="A22:A23"/>
    <mergeCell ref="B22:B23"/>
    <mergeCell ref="A14:A15"/>
    <mergeCell ref="B14:B15"/>
    <mergeCell ref="K14:K15"/>
    <mergeCell ref="A16:A17"/>
    <mergeCell ref="B16:B17"/>
    <mergeCell ref="K16:K17"/>
    <mergeCell ref="F66:J66"/>
    <mergeCell ref="K11:K13"/>
    <mergeCell ref="E12:E13"/>
    <mergeCell ref="F12:F13"/>
    <mergeCell ref="G12:G13"/>
    <mergeCell ref="H12:H13"/>
    <mergeCell ref="I12:I13"/>
    <mergeCell ref="J12:J13"/>
    <mergeCell ref="J1:K1"/>
    <mergeCell ref="J2:K2"/>
    <mergeCell ref="B9:K9"/>
    <mergeCell ref="D10:H10"/>
    <mergeCell ref="A11:A13"/>
    <mergeCell ref="B11:B13"/>
    <mergeCell ref="C11:C13"/>
    <mergeCell ref="D11:D13"/>
    <mergeCell ref="E11:J11"/>
  </mergeCells>
  <printOptions horizontalCentered="1"/>
  <pageMargins left="0" right="0" top="1.1811023622047245" bottom="0" header="0" footer="0"/>
  <pageSetup fitToHeight="2" fitToWidth="1" horizontalDpi="600" verticalDpi="600" orientation="landscape" paperSize="9" scale="40" r:id="rId1"/>
  <rowBreaks count="1" manualBreakCount="1">
    <brk id="68" max="10" man="1"/>
  </rowBreaks>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K57"/>
  <sheetViews>
    <sheetView zoomScaleSheetLayoutView="83" zoomScalePageLayoutView="75" workbookViewId="0" topLeftCell="A1">
      <selection activeCell="B32" sqref="B32"/>
    </sheetView>
  </sheetViews>
  <sheetFormatPr defaultColWidth="9.140625" defaultRowHeight="12.75"/>
  <cols>
    <col min="1" max="1" width="7.85156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5.75">
      <c r="B1" s="1"/>
      <c r="C1" s="1"/>
      <c r="D1" s="1"/>
      <c r="E1" s="1"/>
      <c r="F1" s="1"/>
      <c r="G1" s="1"/>
      <c r="H1" s="1"/>
      <c r="I1" s="2" t="s">
        <v>19</v>
      </c>
      <c r="J1" s="709" t="s">
        <v>496</v>
      </c>
      <c r="K1" s="709"/>
    </row>
    <row r="2" spans="2:11" ht="12.75" customHeight="1">
      <c r="B2" s="1"/>
      <c r="C2" s="1"/>
      <c r="D2" s="1"/>
      <c r="E2" s="1"/>
      <c r="F2" s="1"/>
      <c r="G2" s="1"/>
      <c r="H2" s="1"/>
      <c r="I2" s="3" t="s">
        <v>11</v>
      </c>
      <c r="J2" s="687" t="s">
        <v>11</v>
      </c>
      <c r="K2" s="687"/>
    </row>
    <row r="3" spans="2:11" ht="12.75" customHeight="1">
      <c r="B3" s="1"/>
      <c r="C3" s="1"/>
      <c r="D3" s="1"/>
      <c r="E3" s="1"/>
      <c r="F3" s="1"/>
      <c r="G3" s="1"/>
      <c r="H3" s="1"/>
      <c r="I3" s="3"/>
      <c r="J3" s="3" t="s">
        <v>318</v>
      </c>
      <c r="K3" s="3"/>
    </row>
    <row r="4" spans="2:11" ht="12" customHeight="1">
      <c r="B4" s="1"/>
      <c r="C4" s="1"/>
      <c r="D4" s="1"/>
      <c r="E4" s="1"/>
      <c r="F4" s="1"/>
      <c r="G4" s="1"/>
      <c r="H4" s="1"/>
      <c r="I4" s="3" t="s">
        <v>21</v>
      </c>
      <c r="J4" s="3" t="s">
        <v>690</v>
      </c>
      <c r="K4" s="3"/>
    </row>
    <row r="5" spans="2:11" ht="12.75" customHeight="1">
      <c r="B5" s="1"/>
      <c r="C5" s="1"/>
      <c r="D5" s="1"/>
      <c r="E5" s="1"/>
      <c r="F5" s="1"/>
      <c r="G5" s="1"/>
      <c r="H5" s="1"/>
      <c r="I5" s="3" t="s">
        <v>23</v>
      </c>
      <c r="J5" s="3" t="s">
        <v>684</v>
      </c>
      <c r="K5" s="3"/>
    </row>
    <row r="6" spans="2:11" ht="12.75" customHeight="1">
      <c r="B6" s="1"/>
      <c r="C6" s="1"/>
      <c r="D6" s="1"/>
      <c r="E6" s="1"/>
      <c r="F6" s="1"/>
      <c r="G6" s="1"/>
      <c r="H6" s="1"/>
      <c r="I6" s="3"/>
      <c r="J6" s="3" t="s">
        <v>675</v>
      </c>
      <c r="K6" s="3"/>
    </row>
    <row r="7" spans="9:11" s="410" customFormat="1" ht="15" customHeight="1">
      <c r="I7" s="56" t="s">
        <v>24</v>
      </c>
      <c r="J7" s="687" t="s">
        <v>676</v>
      </c>
      <c r="K7" s="687"/>
    </row>
    <row r="8" spans="9:11" s="410" customFormat="1" ht="15" customHeight="1">
      <c r="I8" s="56"/>
      <c r="J8" s="3" t="s">
        <v>677</v>
      </c>
      <c r="K8" s="3"/>
    </row>
    <row r="9" spans="9:11" s="410" customFormat="1" ht="15" customHeight="1">
      <c r="I9" s="56" t="s">
        <v>25</v>
      </c>
      <c r="J9" s="617" t="s">
        <v>736</v>
      </c>
      <c r="K9" s="687"/>
    </row>
    <row r="10" spans="9:11" s="410" customFormat="1" ht="15.75" customHeight="1">
      <c r="I10" s="56"/>
      <c r="J10" s="617"/>
      <c r="K10" s="617"/>
    </row>
    <row r="11" spans="2:11" ht="15" customHeight="1">
      <c r="B11" s="1"/>
      <c r="C11" s="1"/>
      <c r="D11" s="1"/>
      <c r="E11" s="1"/>
      <c r="F11" s="1"/>
      <c r="G11" s="1"/>
      <c r="H11" s="1"/>
      <c r="I11" s="1"/>
      <c r="J11" s="1"/>
      <c r="K11" s="1"/>
    </row>
    <row r="12" spans="2:11" ht="6" customHeight="1">
      <c r="B12" s="1"/>
      <c r="C12" s="1"/>
      <c r="D12" s="1"/>
      <c r="E12" s="1"/>
      <c r="F12" s="1"/>
      <c r="G12" s="1"/>
      <c r="H12" s="1"/>
      <c r="I12" s="1"/>
      <c r="J12" s="410"/>
      <c r="K12" s="1"/>
    </row>
    <row r="13" spans="2:11" ht="34.5" customHeight="1">
      <c r="B13" s="619" t="s">
        <v>626</v>
      </c>
      <c r="C13" s="619"/>
      <c r="D13" s="619"/>
      <c r="E13" s="619"/>
      <c r="F13" s="619"/>
      <c r="G13" s="619"/>
      <c r="H13" s="619"/>
      <c r="I13" s="619"/>
      <c r="J13" s="619"/>
      <c r="K13" s="619"/>
    </row>
    <row r="14" spans="2:11" ht="15.75">
      <c r="B14" s="1"/>
      <c r="C14" s="1"/>
      <c r="D14" s="688"/>
      <c r="E14" s="688"/>
      <c r="F14" s="688"/>
      <c r="G14" s="688"/>
      <c r="H14" s="688"/>
      <c r="I14" s="1"/>
      <c r="J14" s="1"/>
      <c r="K14" s="46" t="s">
        <v>422</v>
      </c>
    </row>
    <row r="15" spans="1:11" ht="15" customHeight="1">
      <c r="A15" s="608" t="s">
        <v>6</v>
      </c>
      <c r="B15" s="608" t="s">
        <v>12</v>
      </c>
      <c r="C15" s="608" t="s">
        <v>430</v>
      </c>
      <c r="D15" s="608" t="s">
        <v>428</v>
      </c>
      <c r="E15" s="615" t="s">
        <v>9</v>
      </c>
      <c r="F15" s="615"/>
      <c r="G15" s="615"/>
      <c r="H15" s="615"/>
      <c r="I15" s="615"/>
      <c r="J15" s="690"/>
      <c r="K15" s="613" t="s">
        <v>15</v>
      </c>
    </row>
    <row r="16" spans="1:11" ht="12.75">
      <c r="A16" s="609"/>
      <c r="B16" s="609"/>
      <c r="C16" s="609"/>
      <c r="D16" s="609"/>
      <c r="E16" s="608" t="s">
        <v>431</v>
      </c>
      <c r="F16" s="608" t="s">
        <v>432</v>
      </c>
      <c r="G16" s="608" t="s">
        <v>27</v>
      </c>
      <c r="H16" s="608" t="s">
        <v>28</v>
      </c>
      <c r="I16" s="608" t="s">
        <v>29</v>
      </c>
      <c r="J16" s="613" t="s">
        <v>427</v>
      </c>
      <c r="K16" s="613"/>
    </row>
    <row r="17" spans="1:11" ht="18" customHeight="1">
      <c r="A17" s="610"/>
      <c r="B17" s="610"/>
      <c r="C17" s="610"/>
      <c r="D17" s="610"/>
      <c r="E17" s="610"/>
      <c r="F17" s="610"/>
      <c r="G17" s="610"/>
      <c r="H17" s="610"/>
      <c r="I17" s="610"/>
      <c r="J17" s="613"/>
      <c r="K17" s="613"/>
    </row>
    <row r="18" spans="1:11" ht="67.5" customHeight="1">
      <c r="A18" s="36">
        <v>1</v>
      </c>
      <c r="B18" s="168" t="s">
        <v>51</v>
      </c>
      <c r="C18" s="237" t="s">
        <v>16</v>
      </c>
      <c r="D18" s="126">
        <f>SUM(E18:J18)</f>
        <v>70</v>
      </c>
      <c r="E18" s="127">
        <v>70</v>
      </c>
      <c r="F18" s="127"/>
      <c r="G18" s="127"/>
      <c r="H18" s="127"/>
      <c r="I18" s="127"/>
      <c r="J18" s="127"/>
      <c r="K18" s="36" t="s">
        <v>48</v>
      </c>
    </row>
    <row r="19" spans="1:11" ht="40.5" customHeight="1">
      <c r="A19" s="603">
        <v>2</v>
      </c>
      <c r="B19" s="581" t="s">
        <v>255</v>
      </c>
      <c r="C19" s="237" t="s">
        <v>16</v>
      </c>
      <c r="D19" s="126">
        <f>SUM(E19:J19)</f>
        <v>15992</v>
      </c>
      <c r="E19" s="64">
        <v>5492</v>
      </c>
      <c r="F19" s="127">
        <f>6500+4000</f>
        <v>10500</v>
      </c>
      <c r="G19" s="127"/>
      <c r="H19" s="127"/>
      <c r="I19" s="127"/>
      <c r="J19" s="127"/>
      <c r="K19" s="603" t="s">
        <v>48</v>
      </c>
    </row>
    <row r="20" spans="1:11" ht="30" customHeight="1">
      <c r="A20" s="604"/>
      <c r="B20" s="582"/>
      <c r="C20" s="237" t="s">
        <v>643</v>
      </c>
      <c r="D20" s="126">
        <f>SUM(E20:J20)</f>
        <v>7000</v>
      </c>
      <c r="E20" s="64"/>
      <c r="F20" s="127"/>
      <c r="G20" s="127"/>
      <c r="H20" s="127"/>
      <c r="I20" s="127"/>
      <c r="J20" s="127">
        <v>7000</v>
      </c>
      <c r="K20" s="604"/>
    </row>
    <row r="21" spans="1:11" ht="67.5" customHeight="1">
      <c r="A21" s="36">
        <v>3</v>
      </c>
      <c r="B21" s="168" t="s">
        <v>52</v>
      </c>
      <c r="C21" s="237" t="s">
        <v>16</v>
      </c>
      <c r="D21" s="126">
        <f aca="true" t="shared" si="0" ref="D21:D45">SUM(E21:J21)</f>
        <v>350.4</v>
      </c>
      <c r="E21" s="127">
        <v>150.4</v>
      </c>
      <c r="F21" s="127">
        <v>200</v>
      </c>
      <c r="G21" s="127"/>
      <c r="H21" s="127"/>
      <c r="I21" s="127"/>
      <c r="J21" s="127"/>
      <c r="K21" s="36" t="s">
        <v>48</v>
      </c>
    </row>
    <row r="22" spans="1:11" ht="36" customHeight="1">
      <c r="A22" s="603">
        <v>4</v>
      </c>
      <c r="B22" s="581" t="s">
        <v>408</v>
      </c>
      <c r="C22" s="237" t="s">
        <v>16</v>
      </c>
      <c r="D22" s="126">
        <f t="shared" si="0"/>
        <v>230</v>
      </c>
      <c r="E22" s="126">
        <v>100</v>
      </c>
      <c r="F22" s="126">
        <f>130+20000-3000-9000-3000-3000-2000</f>
        <v>130</v>
      </c>
      <c r="G22" s="126"/>
      <c r="H22" s="126"/>
      <c r="I22" s="126"/>
      <c r="J22" s="126"/>
      <c r="K22" s="603" t="s">
        <v>48</v>
      </c>
    </row>
    <row r="23" spans="1:11" ht="33.75" customHeight="1">
      <c r="A23" s="604"/>
      <c r="B23" s="582"/>
      <c r="C23" s="237" t="s">
        <v>643</v>
      </c>
      <c r="D23" s="126">
        <f t="shared" si="0"/>
        <v>350</v>
      </c>
      <c r="E23" s="126"/>
      <c r="F23" s="126"/>
      <c r="G23" s="126"/>
      <c r="H23" s="126"/>
      <c r="I23" s="126"/>
      <c r="J23" s="126">
        <v>350</v>
      </c>
      <c r="K23" s="604"/>
    </row>
    <row r="24" spans="1:11" ht="31.5" customHeight="1">
      <c r="A24" s="603">
        <v>5</v>
      </c>
      <c r="B24" s="581" t="s">
        <v>513</v>
      </c>
      <c r="C24" s="237" t="s">
        <v>16</v>
      </c>
      <c r="D24" s="126">
        <f t="shared" si="0"/>
        <v>850</v>
      </c>
      <c r="E24" s="126">
        <v>400</v>
      </c>
      <c r="F24" s="126">
        <v>450</v>
      </c>
      <c r="G24" s="126"/>
      <c r="H24" s="126"/>
      <c r="I24" s="126"/>
      <c r="J24" s="126"/>
      <c r="K24" s="603" t="s">
        <v>48</v>
      </c>
    </row>
    <row r="25" spans="1:11" ht="32.25" customHeight="1">
      <c r="A25" s="604"/>
      <c r="B25" s="582"/>
      <c r="C25" s="237" t="s">
        <v>643</v>
      </c>
      <c r="D25" s="126">
        <f t="shared" si="0"/>
        <v>500</v>
      </c>
      <c r="E25" s="126"/>
      <c r="F25" s="126"/>
      <c r="G25" s="126"/>
      <c r="H25" s="126"/>
      <c r="I25" s="126"/>
      <c r="J25" s="126">
        <v>500</v>
      </c>
      <c r="K25" s="604"/>
    </row>
    <row r="26" spans="1:11" ht="35.25" customHeight="1">
      <c r="A26" s="603">
        <v>6</v>
      </c>
      <c r="B26" s="581" t="s">
        <v>53</v>
      </c>
      <c r="C26" s="237" t="s">
        <v>16</v>
      </c>
      <c r="D26" s="126">
        <f t="shared" si="0"/>
        <v>3250</v>
      </c>
      <c r="E26" s="37">
        <f>1000+700+50</f>
        <v>1750</v>
      </c>
      <c r="F26" s="126">
        <v>1500</v>
      </c>
      <c r="G26" s="126"/>
      <c r="H26" s="126"/>
      <c r="I26" s="126"/>
      <c r="J26" s="126"/>
      <c r="K26" s="603" t="s">
        <v>48</v>
      </c>
    </row>
    <row r="27" spans="1:11" ht="36.75" customHeight="1">
      <c r="A27" s="604"/>
      <c r="B27" s="582"/>
      <c r="C27" s="237" t="s">
        <v>643</v>
      </c>
      <c r="D27" s="126">
        <f t="shared" si="0"/>
        <v>2000</v>
      </c>
      <c r="E27" s="37"/>
      <c r="F27" s="126"/>
      <c r="G27" s="126"/>
      <c r="H27" s="126"/>
      <c r="I27" s="126"/>
      <c r="J27" s="126">
        <v>2000</v>
      </c>
      <c r="K27" s="604"/>
    </row>
    <row r="28" spans="1:11" ht="70.5" customHeight="1">
      <c r="A28" s="36">
        <v>7</v>
      </c>
      <c r="B28" s="168" t="s">
        <v>313</v>
      </c>
      <c r="C28" s="237" t="s">
        <v>16</v>
      </c>
      <c r="D28" s="126">
        <f t="shared" si="0"/>
        <v>790</v>
      </c>
      <c r="E28" s="37">
        <v>790</v>
      </c>
      <c r="F28" s="444"/>
      <c r="G28" s="126"/>
      <c r="H28" s="126"/>
      <c r="I28" s="126"/>
      <c r="J28" s="126"/>
      <c r="K28" s="36" t="s">
        <v>48</v>
      </c>
    </row>
    <row r="29" spans="1:11" ht="70.5" customHeight="1">
      <c r="A29" s="36">
        <v>8</v>
      </c>
      <c r="B29" s="168" t="s">
        <v>278</v>
      </c>
      <c r="C29" s="237" t="s">
        <v>16</v>
      </c>
      <c r="D29" s="126">
        <f t="shared" si="0"/>
        <v>1391</v>
      </c>
      <c r="E29" s="37">
        <v>320</v>
      </c>
      <c r="F29" s="126">
        <f>0+50</f>
        <v>50</v>
      </c>
      <c r="G29" s="126"/>
      <c r="H29" s="126"/>
      <c r="I29" s="126"/>
      <c r="J29" s="126">
        <v>1021</v>
      </c>
      <c r="K29" s="36" t="s">
        <v>48</v>
      </c>
    </row>
    <row r="30" spans="1:11" ht="36" customHeight="1">
      <c r="A30" s="603">
        <v>9</v>
      </c>
      <c r="B30" s="581" t="s">
        <v>279</v>
      </c>
      <c r="C30" s="303" t="s">
        <v>16</v>
      </c>
      <c r="D30" s="126">
        <f t="shared" si="0"/>
        <v>826</v>
      </c>
      <c r="E30" s="64">
        <f>240+90+8+38</f>
        <v>376</v>
      </c>
      <c r="F30" s="127">
        <f>0+190+140+120</f>
        <v>450</v>
      </c>
      <c r="G30" s="127"/>
      <c r="H30" s="127"/>
      <c r="I30" s="127"/>
      <c r="J30" s="127"/>
      <c r="K30" s="603" t="s">
        <v>48</v>
      </c>
    </row>
    <row r="31" spans="1:11" ht="30.75" customHeight="1">
      <c r="A31" s="604"/>
      <c r="B31" s="582"/>
      <c r="C31" s="303" t="s">
        <v>643</v>
      </c>
      <c r="D31" s="126">
        <f t="shared" si="0"/>
        <v>410</v>
      </c>
      <c r="E31" s="64"/>
      <c r="F31" s="127"/>
      <c r="G31" s="127"/>
      <c r="H31" s="127"/>
      <c r="I31" s="127"/>
      <c r="J31" s="127">
        <f>225+185</f>
        <v>410</v>
      </c>
      <c r="K31" s="604"/>
    </row>
    <row r="32" spans="1:11" ht="30.75" customHeight="1">
      <c r="A32" s="523">
        <v>10</v>
      </c>
      <c r="B32" s="522" t="s">
        <v>661</v>
      </c>
      <c r="C32" s="303"/>
      <c r="D32" s="126">
        <f>D33+D34</f>
        <v>93705</v>
      </c>
      <c r="E32" s="126">
        <f aca="true" t="shared" si="1" ref="E32:J32">E33+E34</f>
        <v>14000</v>
      </c>
      <c r="F32" s="126">
        <f t="shared" si="1"/>
        <v>45705</v>
      </c>
      <c r="G32" s="126">
        <f t="shared" si="1"/>
        <v>0</v>
      </c>
      <c r="H32" s="126">
        <f t="shared" si="1"/>
        <v>0</v>
      </c>
      <c r="I32" s="126">
        <f t="shared" si="1"/>
        <v>0</v>
      </c>
      <c r="J32" s="126">
        <f t="shared" si="1"/>
        <v>34000</v>
      </c>
      <c r="K32" s="603" t="s">
        <v>280</v>
      </c>
    </row>
    <row r="33" spans="1:11" ht="30" customHeight="1">
      <c r="A33" s="526" t="s">
        <v>662</v>
      </c>
      <c r="B33" s="168" t="s">
        <v>664</v>
      </c>
      <c r="C33" s="303" t="s">
        <v>16</v>
      </c>
      <c r="D33" s="126">
        <f t="shared" si="0"/>
        <v>59705</v>
      </c>
      <c r="E33" s="64">
        <f>3000+2000+3000+1000+3000+2000</f>
        <v>14000</v>
      </c>
      <c r="F33" s="127">
        <f>0+4000+2725+3000+9000+3000+3000+3000+3200+4000+3500+5000+2280</f>
        <v>45705</v>
      </c>
      <c r="G33" s="127"/>
      <c r="H33" s="127"/>
      <c r="I33" s="127"/>
      <c r="J33" s="127"/>
      <c r="K33" s="691"/>
    </row>
    <row r="34" spans="1:11" ht="36" customHeight="1">
      <c r="A34" s="526" t="s">
        <v>663</v>
      </c>
      <c r="B34" s="168" t="s">
        <v>665</v>
      </c>
      <c r="C34" s="303" t="s">
        <v>643</v>
      </c>
      <c r="D34" s="126">
        <f t="shared" si="0"/>
        <v>34000</v>
      </c>
      <c r="E34" s="64"/>
      <c r="F34" s="127"/>
      <c r="G34" s="127"/>
      <c r="H34" s="127"/>
      <c r="I34" s="127"/>
      <c r="J34" s="127">
        <f>26000+8000</f>
        <v>34000</v>
      </c>
      <c r="K34" s="604"/>
    </row>
    <row r="35" spans="1:11" ht="117.75" customHeight="1">
      <c r="A35" s="36">
        <v>11</v>
      </c>
      <c r="B35" s="445" t="s">
        <v>412</v>
      </c>
      <c r="C35" s="303" t="s">
        <v>16</v>
      </c>
      <c r="D35" s="126">
        <f t="shared" si="0"/>
        <v>123</v>
      </c>
      <c r="E35" s="64">
        <f>35+10</f>
        <v>45</v>
      </c>
      <c r="F35" s="127">
        <f>40+15+23</f>
        <v>78</v>
      </c>
      <c r="G35" s="127"/>
      <c r="H35" s="127"/>
      <c r="I35" s="127"/>
      <c r="J35" s="127"/>
      <c r="K35" s="36" t="s">
        <v>280</v>
      </c>
    </row>
    <row r="36" spans="1:11" ht="57" customHeight="1">
      <c r="A36" s="36">
        <v>12</v>
      </c>
      <c r="B36" s="168" t="s">
        <v>349</v>
      </c>
      <c r="C36" s="303" t="s">
        <v>16</v>
      </c>
      <c r="D36" s="126">
        <f t="shared" si="0"/>
        <v>1952</v>
      </c>
      <c r="E36" s="64"/>
      <c r="F36" s="127">
        <f>2300-80-190-40-15-23</f>
        <v>1952</v>
      </c>
      <c r="G36" s="127"/>
      <c r="H36" s="127"/>
      <c r="I36" s="127"/>
      <c r="J36" s="127"/>
      <c r="K36" s="36" t="s">
        <v>280</v>
      </c>
    </row>
    <row r="37" spans="1:11" ht="58.5" customHeight="1">
      <c r="A37" s="36">
        <v>13</v>
      </c>
      <c r="B37" s="168" t="s">
        <v>394</v>
      </c>
      <c r="C37" s="303" t="s">
        <v>16</v>
      </c>
      <c r="D37" s="126">
        <f t="shared" si="0"/>
        <v>920</v>
      </c>
      <c r="E37" s="64"/>
      <c r="F37" s="127">
        <f>3200-2280</f>
        <v>920</v>
      </c>
      <c r="G37" s="127"/>
      <c r="H37" s="127"/>
      <c r="I37" s="127"/>
      <c r="J37" s="127"/>
      <c r="K37" s="36" t="s">
        <v>280</v>
      </c>
    </row>
    <row r="38" spans="1:11" ht="55.5" customHeight="1">
      <c r="A38" s="36">
        <v>14</v>
      </c>
      <c r="B38" s="168" t="s">
        <v>403</v>
      </c>
      <c r="C38" s="303" t="s">
        <v>16</v>
      </c>
      <c r="D38" s="126">
        <f t="shared" si="0"/>
        <v>1000</v>
      </c>
      <c r="E38" s="64"/>
      <c r="F38" s="127">
        <f>0+1000</f>
        <v>1000</v>
      </c>
      <c r="G38" s="127"/>
      <c r="H38" s="127"/>
      <c r="I38" s="127"/>
      <c r="J38" s="127"/>
      <c r="K38" s="36" t="s">
        <v>280</v>
      </c>
    </row>
    <row r="39" spans="1:11" ht="53.25" customHeight="1">
      <c r="A39" s="36">
        <v>15</v>
      </c>
      <c r="B39" s="168" t="s">
        <v>413</v>
      </c>
      <c r="C39" s="303" t="s">
        <v>16</v>
      </c>
      <c r="D39" s="126">
        <f t="shared" si="0"/>
        <v>80</v>
      </c>
      <c r="E39" s="64"/>
      <c r="F39" s="127">
        <f>0+80</f>
        <v>80</v>
      </c>
      <c r="G39" s="127"/>
      <c r="H39" s="127"/>
      <c r="I39" s="127"/>
      <c r="J39" s="127"/>
      <c r="K39" s="36" t="s">
        <v>280</v>
      </c>
    </row>
    <row r="40" spans="1:11" ht="66.75" customHeight="1">
      <c r="A40" s="36">
        <v>16</v>
      </c>
      <c r="B40" s="449" t="s">
        <v>519</v>
      </c>
      <c r="C40" s="303" t="s">
        <v>16</v>
      </c>
      <c r="D40" s="126">
        <f t="shared" si="0"/>
        <v>0</v>
      </c>
      <c r="E40" s="64"/>
      <c r="F40" s="127">
        <f>0+1000-1000</f>
        <v>0</v>
      </c>
      <c r="G40" s="127"/>
      <c r="H40" s="127"/>
      <c r="I40" s="127"/>
      <c r="J40" s="127"/>
      <c r="K40" s="36" t="s">
        <v>280</v>
      </c>
    </row>
    <row r="41" spans="1:11" ht="57.75" customHeight="1">
      <c r="A41" s="603">
        <v>17</v>
      </c>
      <c r="B41" s="710" t="s">
        <v>533</v>
      </c>
      <c r="C41" s="303" t="s">
        <v>16</v>
      </c>
      <c r="D41" s="126">
        <f t="shared" si="0"/>
        <v>1000</v>
      </c>
      <c r="E41" s="64"/>
      <c r="F41" s="127">
        <f>0+1000</f>
        <v>1000</v>
      </c>
      <c r="G41" s="127"/>
      <c r="H41" s="127"/>
      <c r="I41" s="127"/>
      <c r="J41" s="127"/>
      <c r="K41" s="603" t="s">
        <v>280</v>
      </c>
    </row>
    <row r="42" spans="1:11" ht="57" customHeight="1">
      <c r="A42" s="604"/>
      <c r="B42" s="711"/>
      <c r="C42" s="303" t="s">
        <v>643</v>
      </c>
      <c r="D42" s="126">
        <f t="shared" si="0"/>
        <v>1000</v>
      </c>
      <c r="E42" s="64"/>
      <c r="F42" s="127"/>
      <c r="G42" s="127"/>
      <c r="H42" s="127"/>
      <c r="I42" s="127"/>
      <c r="J42" s="127">
        <v>1000</v>
      </c>
      <c r="K42" s="604"/>
    </row>
    <row r="43" spans="1:11" ht="12" customHeight="1" hidden="1">
      <c r="A43" s="603"/>
      <c r="B43" s="710"/>
      <c r="C43" s="303" t="s">
        <v>643</v>
      </c>
      <c r="D43" s="126">
        <f t="shared" si="0"/>
        <v>0</v>
      </c>
      <c r="E43" s="64"/>
      <c r="F43" s="127"/>
      <c r="G43" s="127"/>
      <c r="H43" s="127"/>
      <c r="I43" s="127"/>
      <c r="J43" s="127"/>
      <c r="K43" s="603"/>
    </row>
    <row r="44" spans="1:11" ht="15" customHeight="1" hidden="1">
      <c r="A44" s="604"/>
      <c r="B44" s="711"/>
      <c r="C44" s="303" t="s">
        <v>643</v>
      </c>
      <c r="D44" s="126">
        <f t="shared" si="0"/>
        <v>0</v>
      </c>
      <c r="E44" s="64"/>
      <c r="F44" s="127"/>
      <c r="G44" s="127"/>
      <c r="H44" s="127"/>
      <c r="I44" s="127"/>
      <c r="J44" s="127"/>
      <c r="K44" s="604"/>
    </row>
    <row r="45" spans="1:11" ht="57" customHeight="1">
      <c r="A45" s="286">
        <v>18</v>
      </c>
      <c r="B45" s="559" t="s">
        <v>756</v>
      </c>
      <c r="C45" s="303" t="s">
        <v>643</v>
      </c>
      <c r="D45" s="126">
        <f t="shared" si="0"/>
        <v>80</v>
      </c>
      <c r="E45" s="64"/>
      <c r="F45" s="127"/>
      <c r="G45" s="127"/>
      <c r="H45" s="127"/>
      <c r="I45" s="127"/>
      <c r="J45" s="127">
        <v>80</v>
      </c>
      <c r="K45" s="286" t="s">
        <v>280</v>
      </c>
    </row>
    <row r="46" spans="1:11" ht="29.25" customHeight="1">
      <c r="A46" s="82"/>
      <c r="B46" s="57" t="s">
        <v>5</v>
      </c>
      <c r="C46" s="58"/>
      <c r="D46" s="80">
        <f>D18+D19+D21+D22+D26+D28+D29+D30+D33+D35+D24+D36+D37+D38+D39+D40+D41+D43+D20+D23+D25+D27+D31+D34+D42+D44+D45</f>
        <v>133869.4</v>
      </c>
      <c r="E46" s="80">
        <f>E18+E19+E21+E22+E26+E28+E29+E30+E33+E35+E24</f>
        <v>23493.4</v>
      </c>
      <c r="F46" s="80">
        <f>F18+F19+F21+F22+F26+F28+F29+F30+F33+F35+F24+F36+F37+F38+F39+F40+F41</f>
        <v>64015</v>
      </c>
      <c r="G46" s="80" t="e">
        <f>G18+G19+G21+G22+G26+#REF!+G28+G29+G30+G33+G35+G24</f>
        <v>#REF!</v>
      </c>
      <c r="H46" s="80" t="e">
        <f>H18+H19+H21+H22+H26+#REF!+H28+H29+H30+H33+H35+H24</f>
        <v>#REF!</v>
      </c>
      <c r="I46" s="80" t="e">
        <f>I18+I19+I21+I22+I26+#REF!+I28+I29+I30+I33+I35+I24</f>
        <v>#REF!</v>
      </c>
      <c r="J46" s="80">
        <f>J18+J19+J21+J22+J26+J28+J29+J30+J33+J35+J24+J41+J43+J20+J23+J25+J27+J31+J34+J42+J44+J45</f>
        <v>46361</v>
      </c>
      <c r="K46" s="81"/>
    </row>
    <row r="47" spans="1:11" ht="15.75">
      <c r="A47" s="51"/>
      <c r="B47" s="4"/>
      <c r="C47" s="4"/>
      <c r="D47" s="6"/>
      <c r="E47" s="6"/>
      <c r="F47" s="6"/>
      <c r="G47" s="6"/>
      <c r="H47" s="6"/>
      <c r="I47" s="6"/>
      <c r="J47" s="6"/>
      <c r="K47" s="42"/>
    </row>
    <row r="48" spans="2:11" ht="15.75">
      <c r="B48" s="4"/>
      <c r="C48" s="4"/>
      <c r="D48" s="6"/>
      <c r="E48" s="6"/>
      <c r="F48" s="6"/>
      <c r="G48" s="6"/>
      <c r="H48" s="6"/>
      <c r="I48" s="6"/>
      <c r="J48" s="6"/>
      <c r="K48" s="42"/>
    </row>
    <row r="49" spans="2:11" ht="20.25" customHeight="1">
      <c r="B49" s="634" t="s">
        <v>18</v>
      </c>
      <c r="C49" s="634"/>
      <c r="D49" s="384"/>
      <c r="E49" s="8"/>
      <c r="F49" s="8"/>
      <c r="G49" s="9"/>
      <c r="H49" s="9"/>
      <c r="I49" s="9"/>
      <c r="J49" s="48"/>
      <c r="K49" s="48" t="s">
        <v>30</v>
      </c>
    </row>
    <row r="50" spans="2:11" ht="6.75" customHeight="1">
      <c r="B50" s="384"/>
      <c r="C50" s="384"/>
      <c r="D50" s="384"/>
      <c r="E50" s="8"/>
      <c r="F50" s="8"/>
      <c r="G50" s="9"/>
      <c r="H50" s="9"/>
      <c r="I50" s="9"/>
      <c r="J50" s="48"/>
      <c r="K50" s="48"/>
    </row>
    <row r="51" spans="2:11" ht="15.75" customHeight="1">
      <c r="B51" s="689" t="s">
        <v>670</v>
      </c>
      <c r="C51" s="689"/>
      <c r="D51" s="49"/>
      <c r="E51" s="7"/>
      <c r="F51" s="7"/>
      <c r="G51" s="7"/>
      <c r="H51" s="7"/>
      <c r="I51" s="7"/>
      <c r="J51" s="1"/>
      <c r="K51" s="1"/>
    </row>
    <row r="52" spans="2:11" ht="13.5" customHeight="1">
      <c r="B52" s="170" t="s">
        <v>10</v>
      </c>
      <c r="C52" s="170"/>
      <c r="D52" s="7"/>
      <c r="E52" s="7"/>
      <c r="F52" s="7"/>
      <c r="G52" s="7"/>
      <c r="H52" s="7"/>
      <c r="I52" s="7"/>
      <c r="J52" s="1"/>
      <c r="K52" s="1"/>
    </row>
    <row r="53" spans="2:11" ht="15.75">
      <c r="B53" s="43"/>
      <c r="C53" s="10"/>
      <c r="D53" s="44"/>
      <c r="E53" s="7"/>
      <c r="F53" s="7"/>
      <c r="G53" s="7"/>
      <c r="H53" s="7"/>
      <c r="I53" s="7"/>
      <c r="J53" s="1"/>
      <c r="K53" s="1"/>
    </row>
    <row r="54" spans="3:10" ht="15.75">
      <c r="C54" s="44"/>
      <c r="D54" s="7"/>
      <c r="E54" s="7"/>
      <c r="F54" s="7"/>
      <c r="G54" s="7"/>
      <c r="H54" s="7"/>
      <c r="I54" s="7"/>
      <c r="J54" s="7"/>
    </row>
    <row r="55" spans="3:10" ht="15.75">
      <c r="C55" s="45"/>
      <c r="D55" s="7"/>
      <c r="E55" s="7"/>
      <c r="F55" s="7"/>
      <c r="G55" s="7"/>
      <c r="H55" s="7"/>
      <c r="I55" s="7"/>
      <c r="J55" s="7"/>
    </row>
    <row r="57" ht="12.75">
      <c r="H57" s="5"/>
    </row>
  </sheetData>
  <sheetProtection/>
  <mergeCells count="43">
    <mergeCell ref="A43:A44"/>
    <mergeCell ref="B43:B44"/>
    <mergeCell ref="K43:K44"/>
    <mergeCell ref="A41:A42"/>
    <mergeCell ref="B41:B42"/>
    <mergeCell ref="K41:K42"/>
    <mergeCell ref="A26:A27"/>
    <mergeCell ref="B26:B27"/>
    <mergeCell ref="K26:K27"/>
    <mergeCell ref="A30:A31"/>
    <mergeCell ref="B30:B31"/>
    <mergeCell ref="K30:K31"/>
    <mergeCell ref="A22:A23"/>
    <mergeCell ref="B22:B23"/>
    <mergeCell ref="K22:K23"/>
    <mergeCell ref="A24:A25"/>
    <mergeCell ref="B24:B25"/>
    <mergeCell ref="K24:K25"/>
    <mergeCell ref="A15:A17"/>
    <mergeCell ref="B15:B17"/>
    <mergeCell ref="C15:C17"/>
    <mergeCell ref="D15:D17"/>
    <mergeCell ref="E15:J15"/>
    <mergeCell ref="K15:K17"/>
    <mergeCell ref="E16:E17"/>
    <mergeCell ref="J10:K10"/>
    <mergeCell ref="B51:C51"/>
    <mergeCell ref="G16:G17"/>
    <mergeCell ref="H16:H17"/>
    <mergeCell ref="B49:C49"/>
    <mergeCell ref="I16:I17"/>
    <mergeCell ref="J16:J17"/>
    <mergeCell ref="K32:K34"/>
    <mergeCell ref="A19:A20"/>
    <mergeCell ref="B19:B20"/>
    <mergeCell ref="K19:K20"/>
    <mergeCell ref="J1:K1"/>
    <mergeCell ref="J2:K2"/>
    <mergeCell ref="J9:K9"/>
    <mergeCell ref="B13:K13"/>
    <mergeCell ref="D14:H14"/>
    <mergeCell ref="F16:F17"/>
    <mergeCell ref="J7:K7"/>
  </mergeCells>
  <printOptions horizontalCentered="1"/>
  <pageMargins left="1.1811023622047245" right="0.5905511811023623" top="0.984251968503937" bottom="0.5905511811023623" header="0" footer="0"/>
  <pageSetup fitToHeight="0" fitToWidth="1"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K45"/>
  <sheetViews>
    <sheetView view="pageBreakPreview" zoomScale="76" zoomScaleSheetLayoutView="76" zoomScalePageLayoutView="0" workbookViewId="0" topLeftCell="A25">
      <selection activeCell="J10" sqref="J10"/>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47.00390625" style="14" customWidth="1"/>
    <col min="12" max="16384" width="9.140625" style="14" customWidth="1"/>
  </cols>
  <sheetData>
    <row r="1" spans="2:11" ht="18.75">
      <c r="B1" s="15"/>
      <c r="C1" s="15"/>
      <c r="D1" s="15"/>
      <c r="E1" s="15"/>
      <c r="F1" s="15"/>
      <c r="G1" s="15"/>
      <c r="H1" s="15"/>
      <c r="I1" s="13" t="s">
        <v>19</v>
      </c>
      <c r="J1" s="607" t="s">
        <v>497</v>
      </c>
      <c r="K1" s="607"/>
    </row>
    <row r="2" spans="2:11" ht="18.75">
      <c r="B2" s="15"/>
      <c r="C2" s="15"/>
      <c r="D2" s="15"/>
      <c r="E2" s="15"/>
      <c r="F2" s="15"/>
      <c r="G2" s="15"/>
      <c r="H2" s="15"/>
      <c r="I2" s="12" t="s">
        <v>11</v>
      </c>
      <c r="J2" s="607" t="s">
        <v>11</v>
      </c>
      <c r="K2" s="607"/>
    </row>
    <row r="3" spans="2:11" ht="18.75">
      <c r="B3" s="15"/>
      <c r="C3" s="15"/>
      <c r="D3" s="15"/>
      <c r="E3" s="15"/>
      <c r="F3" s="15"/>
      <c r="G3" s="15"/>
      <c r="H3" s="15"/>
      <c r="I3" s="12"/>
      <c r="J3" s="59" t="s">
        <v>318</v>
      </c>
      <c r="K3" s="59"/>
    </row>
    <row r="4" spans="2:11" ht="18.75">
      <c r="B4" s="15"/>
      <c r="C4" s="15"/>
      <c r="D4" s="15"/>
      <c r="E4" s="15"/>
      <c r="F4" s="15"/>
      <c r="G4" s="15"/>
      <c r="H4" s="15"/>
      <c r="I4" s="12" t="s">
        <v>21</v>
      </c>
      <c r="J4" s="59" t="s">
        <v>690</v>
      </c>
      <c r="K4" s="59"/>
    </row>
    <row r="5" spans="2:11" ht="18.75">
      <c r="B5" s="15"/>
      <c r="C5" s="15"/>
      <c r="D5" s="15"/>
      <c r="E5" s="15"/>
      <c r="F5" s="15"/>
      <c r="G5" s="15"/>
      <c r="H5" s="15"/>
      <c r="I5" s="12" t="s">
        <v>23</v>
      </c>
      <c r="J5" s="59" t="s">
        <v>692</v>
      </c>
      <c r="K5" s="59"/>
    </row>
    <row r="6" spans="2:11" ht="18.75">
      <c r="B6" s="15"/>
      <c r="C6" s="15"/>
      <c r="D6" s="15"/>
      <c r="E6" s="15"/>
      <c r="F6" s="15"/>
      <c r="G6" s="15"/>
      <c r="H6" s="15"/>
      <c r="I6" s="12"/>
      <c r="J6" s="59" t="s">
        <v>696</v>
      </c>
      <c r="K6" s="59"/>
    </row>
    <row r="7" spans="2:11" ht="18.75">
      <c r="B7" s="15"/>
      <c r="C7" s="15"/>
      <c r="D7" s="15"/>
      <c r="E7" s="15"/>
      <c r="F7" s="15"/>
      <c r="G7" s="15"/>
      <c r="H7" s="15"/>
      <c r="I7" s="12"/>
      <c r="J7" s="59" t="s">
        <v>676</v>
      </c>
      <c r="K7" s="59"/>
    </row>
    <row r="8" spans="2:11" ht="18.75">
      <c r="B8" s="15"/>
      <c r="C8" s="15"/>
      <c r="D8" s="15"/>
      <c r="E8" s="15"/>
      <c r="F8" s="15"/>
      <c r="G8" s="15"/>
      <c r="H8" s="16"/>
      <c r="I8" s="12" t="s">
        <v>24</v>
      </c>
      <c r="J8" s="59" t="s">
        <v>677</v>
      </c>
      <c r="K8" s="59"/>
    </row>
    <row r="9" spans="2:11" ht="21" customHeight="1">
      <c r="B9" s="15"/>
      <c r="C9" s="15"/>
      <c r="D9" s="15"/>
      <c r="E9" s="15"/>
      <c r="F9" s="15"/>
      <c r="G9" s="15"/>
      <c r="H9" s="16"/>
      <c r="I9" s="12" t="s">
        <v>25</v>
      </c>
      <c r="J9" s="358" t="s">
        <v>741</v>
      </c>
      <c r="K9" s="358"/>
    </row>
    <row r="10" spans="2:11" ht="15.75">
      <c r="B10" s="15"/>
      <c r="C10" s="15"/>
      <c r="D10" s="15"/>
      <c r="E10" s="15"/>
      <c r="F10" s="15"/>
      <c r="G10" s="15"/>
      <c r="H10" s="15"/>
      <c r="I10" s="15"/>
      <c r="J10" s="15"/>
      <c r="K10" s="15"/>
    </row>
    <row r="11" spans="1:11" ht="18.75">
      <c r="A11" s="611" t="s">
        <v>627</v>
      </c>
      <c r="B11" s="611"/>
      <c r="C11" s="611"/>
      <c r="D11" s="611"/>
      <c r="E11" s="611"/>
      <c r="F11" s="611"/>
      <c r="G11" s="611"/>
      <c r="H11" s="611"/>
      <c r="I11" s="611"/>
      <c r="J11" s="611"/>
      <c r="K11" s="611"/>
    </row>
    <row r="12" spans="2:11" ht="15.75">
      <c r="B12" s="15"/>
      <c r="C12" s="15"/>
      <c r="D12" s="614"/>
      <c r="E12" s="614"/>
      <c r="F12" s="614"/>
      <c r="G12" s="614"/>
      <c r="H12" s="614"/>
      <c r="I12" s="15"/>
      <c r="J12" s="15"/>
      <c r="K12" s="35" t="s">
        <v>422</v>
      </c>
    </row>
    <row r="13" spans="1:11" ht="18.75">
      <c r="A13" s="608" t="s">
        <v>32</v>
      </c>
      <c r="B13" s="608" t="s">
        <v>12</v>
      </c>
      <c r="C13" s="608" t="s">
        <v>13</v>
      </c>
      <c r="D13" s="608" t="s">
        <v>428</v>
      </c>
      <c r="E13" s="615" t="s">
        <v>9</v>
      </c>
      <c r="F13" s="615"/>
      <c r="G13" s="615"/>
      <c r="H13" s="615"/>
      <c r="I13" s="615"/>
      <c r="J13" s="690"/>
      <c r="K13" s="613" t="s">
        <v>15</v>
      </c>
    </row>
    <row r="14" spans="1:11" ht="12.75">
      <c r="A14" s="609"/>
      <c r="B14" s="609"/>
      <c r="C14" s="609"/>
      <c r="D14" s="609"/>
      <c r="E14" s="608" t="s">
        <v>425</v>
      </c>
      <c r="F14" s="608" t="s">
        <v>426</v>
      </c>
      <c r="G14" s="608" t="s">
        <v>27</v>
      </c>
      <c r="H14" s="608" t="s">
        <v>28</v>
      </c>
      <c r="I14" s="608" t="s">
        <v>29</v>
      </c>
      <c r="J14" s="613" t="s">
        <v>427</v>
      </c>
      <c r="K14" s="613"/>
    </row>
    <row r="15" spans="1:11" ht="24.75" customHeight="1">
      <c r="A15" s="610"/>
      <c r="B15" s="610"/>
      <c r="C15" s="610"/>
      <c r="D15" s="610"/>
      <c r="E15" s="610"/>
      <c r="F15" s="610"/>
      <c r="G15" s="610"/>
      <c r="H15" s="610"/>
      <c r="I15" s="610"/>
      <c r="J15" s="613"/>
      <c r="K15" s="613"/>
    </row>
    <row r="16" spans="1:11" ht="25.5" customHeight="1">
      <c r="A16" s="603">
        <v>1</v>
      </c>
      <c r="B16" s="581" t="s">
        <v>196</v>
      </c>
      <c r="C16" s="66" t="s">
        <v>16</v>
      </c>
      <c r="D16" s="431">
        <f>F16+E16+J16</f>
        <v>3058.7</v>
      </c>
      <c r="E16" s="431">
        <v>1521.7</v>
      </c>
      <c r="F16" s="432">
        <f>1600-63</f>
        <v>1537</v>
      </c>
      <c r="G16" s="432"/>
      <c r="H16" s="432"/>
      <c r="I16" s="432"/>
      <c r="J16" s="432"/>
      <c r="K16" s="603" t="s">
        <v>197</v>
      </c>
    </row>
    <row r="17" spans="1:11" ht="23.25" customHeight="1">
      <c r="A17" s="604"/>
      <c r="B17" s="582"/>
      <c r="C17" s="66" t="s">
        <v>643</v>
      </c>
      <c r="D17" s="431">
        <f>F17+E17+J17</f>
        <v>1650</v>
      </c>
      <c r="E17" s="431"/>
      <c r="F17" s="432"/>
      <c r="G17" s="432"/>
      <c r="H17" s="432"/>
      <c r="I17" s="432"/>
      <c r="J17" s="432">
        <v>1650</v>
      </c>
      <c r="K17" s="604"/>
    </row>
    <row r="18" spans="1:11" ht="32.25" customHeight="1">
      <c r="A18" s="603">
        <v>2</v>
      </c>
      <c r="B18" s="581" t="s">
        <v>444</v>
      </c>
      <c r="C18" s="237" t="s">
        <v>16</v>
      </c>
      <c r="D18" s="431">
        <f>F18+E18+J18</f>
        <v>11549.1</v>
      </c>
      <c r="E18" s="431">
        <f>6103+500+500</f>
        <v>7103</v>
      </c>
      <c r="F18" s="432">
        <f>0+877+2209+427+232+316.5+384.6</f>
        <v>4446.1</v>
      </c>
      <c r="G18" s="432"/>
      <c r="H18" s="432"/>
      <c r="I18" s="432"/>
      <c r="J18" s="432"/>
      <c r="K18" s="603" t="s">
        <v>281</v>
      </c>
    </row>
    <row r="19" spans="1:11" ht="21" customHeight="1">
      <c r="A19" s="604"/>
      <c r="B19" s="582"/>
      <c r="C19" s="66" t="s">
        <v>643</v>
      </c>
      <c r="D19" s="431">
        <f>F19+E19+J19</f>
        <v>2295.23</v>
      </c>
      <c r="E19" s="431"/>
      <c r="F19" s="432"/>
      <c r="G19" s="432"/>
      <c r="H19" s="432"/>
      <c r="I19" s="432"/>
      <c r="J19" s="432">
        <v>2295.23</v>
      </c>
      <c r="K19" s="604"/>
    </row>
    <row r="20" spans="1:11" ht="62.25" customHeight="1">
      <c r="A20" s="435" t="s">
        <v>383</v>
      </c>
      <c r="B20" s="436" t="s">
        <v>449</v>
      </c>
      <c r="C20" s="237"/>
      <c r="D20" s="431"/>
      <c r="E20" s="431"/>
      <c r="F20" s="432">
        <v>537</v>
      </c>
      <c r="G20" s="432"/>
      <c r="H20" s="432"/>
      <c r="I20" s="432"/>
      <c r="J20" s="432"/>
      <c r="K20" s="437" t="s">
        <v>281</v>
      </c>
    </row>
    <row r="21" spans="1:11" ht="37.5" customHeight="1">
      <c r="A21" s="435" t="s">
        <v>419</v>
      </c>
      <c r="B21" s="436" t="s">
        <v>450</v>
      </c>
      <c r="C21" s="237"/>
      <c r="D21" s="431"/>
      <c r="E21" s="431"/>
      <c r="F21" s="432">
        <v>20</v>
      </c>
      <c r="G21" s="432"/>
      <c r="H21" s="432"/>
      <c r="I21" s="432"/>
      <c r="J21" s="432"/>
      <c r="K21" s="437" t="s">
        <v>281</v>
      </c>
    </row>
    <row r="22" spans="1:11" ht="27.75" customHeight="1">
      <c r="A22" s="435" t="s">
        <v>445</v>
      </c>
      <c r="B22" s="436" t="s">
        <v>510</v>
      </c>
      <c r="C22" s="237"/>
      <c r="D22" s="431"/>
      <c r="E22" s="431"/>
      <c r="F22" s="432">
        <f>86.9+232+316.5</f>
        <v>635.4</v>
      </c>
      <c r="G22" s="432"/>
      <c r="H22" s="432"/>
      <c r="I22" s="432"/>
      <c r="J22" s="432"/>
      <c r="K22" s="437" t="s">
        <v>281</v>
      </c>
    </row>
    <row r="23" spans="1:11" ht="48.75" customHeight="1">
      <c r="A23" s="435" t="s">
        <v>446</v>
      </c>
      <c r="B23" s="436" t="s">
        <v>511</v>
      </c>
      <c r="C23" s="237"/>
      <c r="D23" s="431"/>
      <c r="E23" s="431"/>
      <c r="F23" s="432">
        <v>233.1</v>
      </c>
      <c r="G23" s="432"/>
      <c r="H23" s="432"/>
      <c r="I23" s="432"/>
      <c r="J23" s="432"/>
      <c r="K23" s="437" t="s">
        <v>281</v>
      </c>
    </row>
    <row r="24" spans="1:11" ht="45" customHeight="1">
      <c r="A24" s="435" t="s">
        <v>447</v>
      </c>
      <c r="B24" s="436" t="s">
        <v>454</v>
      </c>
      <c r="C24" s="237"/>
      <c r="D24" s="431"/>
      <c r="E24" s="431"/>
      <c r="F24" s="432">
        <v>1195</v>
      </c>
      <c r="G24" s="432"/>
      <c r="H24" s="432"/>
      <c r="I24" s="432"/>
      <c r="J24" s="432"/>
      <c r="K24" s="437" t="s">
        <v>281</v>
      </c>
    </row>
    <row r="25" spans="1:11" ht="31.5" customHeight="1">
      <c r="A25" s="435" t="s">
        <v>448</v>
      </c>
      <c r="B25" s="436" t="s">
        <v>455</v>
      </c>
      <c r="C25" s="237"/>
      <c r="D25" s="431"/>
      <c r="E25" s="431"/>
      <c r="F25" s="432">
        <v>463</v>
      </c>
      <c r="G25" s="432"/>
      <c r="H25" s="432"/>
      <c r="I25" s="432"/>
      <c r="J25" s="432"/>
      <c r="K25" s="437" t="s">
        <v>281</v>
      </c>
    </row>
    <row r="26" spans="1:11" ht="33" customHeight="1">
      <c r="A26" s="435" t="s">
        <v>451</v>
      </c>
      <c r="B26" s="436" t="s">
        <v>456</v>
      </c>
      <c r="C26" s="237"/>
      <c r="D26" s="431"/>
      <c r="E26" s="431"/>
      <c r="F26" s="432">
        <v>551</v>
      </c>
      <c r="G26" s="432"/>
      <c r="H26" s="432"/>
      <c r="I26" s="432"/>
      <c r="J26" s="432"/>
      <c r="K26" s="437" t="s">
        <v>281</v>
      </c>
    </row>
    <row r="27" spans="1:11" ht="33" customHeight="1">
      <c r="A27" s="435" t="s">
        <v>509</v>
      </c>
      <c r="B27" s="436" t="s">
        <v>507</v>
      </c>
      <c r="C27" s="237"/>
      <c r="D27" s="431"/>
      <c r="E27" s="431"/>
      <c r="F27" s="432">
        <f>427+384.6</f>
        <v>811.6</v>
      </c>
      <c r="G27" s="432"/>
      <c r="H27" s="432"/>
      <c r="I27" s="432"/>
      <c r="J27" s="432">
        <v>1541.96</v>
      </c>
      <c r="K27" s="437" t="s">
        <v>281</v>
      </c>
    </row>
    <row r="28" spans="1:11" ht="33.75" customHeight="1">
      <c r="A28" s="435" t="s">
        <v>544</v>
      </c>
      <c r="B28" s="436" t="s">
        <v>545</v>
      </c>
      <c r="C28" s="237"/>
      <c r="D28" s="431"/>
      <c r="E28" s="431"/>
      <c r="F28" s="432"/>
      <c r="G28" s="432"/>
      <c r="H28" s="432"/>
      <c r="I28" s="432"/>
      <c r="J28" s="432">
        <v>753.27</v>
      </c>
      <c r="K28" s="437" t="s">
        <v>281</v>
      </c>
    </row>
    <row r="29" spans="1:11" ht="33.75" customHeight="1">
      <c r="A29" s="435" t="s">
        <v>668</v>
      </c>
      <c r="B29" s="65" t="s">
        <v>702</v>
      </c>
      <c r="C29" s="237" t="s">
        <v>643</v>
      </c>
      <c r="D29" s="431">
        <f>E29+F29+J29</f>
        <v>2000</v>
      </c>
      <c r="E29" s="431"/>
      <c r="F29" s="432"/>
      <c r="G29" s="432"/>
      <c r="H29" s="432"/>
      <c r="I29" s="432"/>
      <c r="J29" s="432">
        <v>2000</v>
      </c>
      <c r="K29" s="437" t="s">
        <v>703</v>
      </c>
    </row>
    <row r="30" spans="1:11" ht="46.5" customHeight="1">
      <c r="A30" s="435" t="s">
        <v>506</v>
      </c>
      <c r="B30" s="162" t="s">
        <v>727</v>
      </c>
      <c r="C30" s="237"/>
      <c r="D30" s="431"/>
      <c r="E30" s="431"/>
      <c r="F30" s="432"/>
      <c r="G30" s="432"/>
      <c r="H30" s="432"/>
      <c r="I30" s="432"/>
      <c r="J30" s="432">
        <v>700</v>
      </c>
      <c r="K30" s="437" t="s">
        <v>703</v>
      </c>
    </row>
    <row r="31" spans="1:11" ht="41.25" customHeight="1">
      <c r="A31" s="435" t="s">
        <v>582</v>
      </c>
      <c r="B31" s="162" t="s">
        <v>728</v>
      </c>
      <c r="C31" s="237"/>
      <c r="D31" s="431"/>
      <c r="E31" s="431"/>
      <c r="F31" s="432"/>
      <c r="G31" s="432"/>
      <c r="H31" s="432"/>
      <c r="I31" s="432"/>
      <c r="J31" s="432">
        <v>1300</v>
      </c>
      <c r="K31" s="437" t="s">
        <v>703</v>
      </c>
    </row>
    <row r="32" spans="1:11" ht="213" customHeight="1">
      <c r="A32" s="36">
        <v>4</v>
      </c>
      <c r="B32" s="65" t="s">
        <v>282</v>
      </c>
      <c r="C32" s="237" t="s">
        <v>62</v>
      </c>
      <c r="D32" s="431">
        <v>13705</v>
      </c>
      <c r="E32" s="433">
        <v>13705</v>
      </c>
      <c r="F32" s="432"/>
      <c r="G32" s="432"/>
      <c r="H32" s="432"/>
      <c r="I32" s="432"/>
      <c r="J32" s="432"/>
      <c r="K32" s="36" t="s">
        <v>283</v>
      </c>
    </row>
    <row r="33" spans="1:11" ht="18.75">
      <c r="A33" s="70"/>
      <c r="B33" s="60" t="s">
        <v>5</v>
      </c>
      <c r="C33" s="71"/>
      <c r="D33" s="167">
        <f>D16+D18+D32+D17+D19</f>
        <v>32258.03</v>
      </c>
      <c r="E33" s="167">
        <f>E16+E18+E32</f>
        <v>22329.7</v>
      </c>
      <c r="F33" s="167">
        <f>F16+F18+F32</f>
        <v>5983.1</v>
      </c>
      <c r="G33" s="167">
        <f>G16+G18+G32</f>
        <v>0</v>
      </c>
      <c r="H33" s="167">
        <f>H16+H18+H32</f>
        <v>0</v>
      </c>
      <c r="I33" s="167">
        <f>I16+I18+I32</f>
        <v>0</v>
      </c>
      <c r="J33" s="167">
        <f>J16+J18+J32+J17+J19+J29</f>
        <v>5945.23</v>
      </c>
      <c r="K33" s="72"/>
    </row>
    <row r="34" spans="1:11" ht="15.75">
      <c r="A34" s="39"/>
      <c r="B34" s="18"/>
      <c r="C34" s="18"/>
      <c r="D34" s="19"/>
      <c r="E34" s="19"/>
      <c r="F34" s="19"/>
      <c r="G34" s="19"/>
      <c r="H34" s="19"/>
      <c r="I34" s="19"/>
      <c r="J34" s="19"/>
      <c r="K34" s="20"/>
    </row>
    <row r="35" spans="2:11" ht="15.75">
      <c r="B35" s="18"/>
      <c r="C35" s="18"/>
      <c r="D35" s="19"/>
      <c r="E35" s="19"/>
      <c r="F35" s="19"/>
      <c r="G35" s="19"/>
      <c r="H35" s="19"/>
      <c r="I35" s="19"/>
      <c r="J35" s="19"/>
      <c r="K35" s="20"/>
    </row>
    <row r="36" spans="2:11" ht="18.75">
      <c r="B36" s="52"/>
      <c r="C36" s="53"/>
      <c r="E36" s="19"/>
      <c r="F36" s="19"/>
      <c r="G36" s="19"/>
      <c r="H36" s="19"/>
      <c r="I36" s="19"/>
      <c r="J36" s="19"/>
      <c r="K36" s="53"/>
    </row>
    <row r="37" spans="2:11" ht="18.75">
      <c r="B37" s="578" t="s">
        <v>617</v>
      </c>
      <c r="C37" s="578"/>
      <c r="D37" s="374"/>
      <c r="E37" s="22"/>
      <c r="F37" s="22"/>
      <c r="G37" s="16"/>
      <c r="H37" s="16"/>
      <c r="I37" s="16"/>
      <c r="J37" s="23"/>
      <c r="K37" s="23" t="s">
        <v>30</v>
      </c>
    </row>
    <row r="38" spans="2:11" ht="15" customHeight="1">
      <c r="B38" s="374"/>
      <c r="C38" s="374"/>
      <c r="D38" s="374"/>
      <c r="E38" s="22"/>
      <c r="F38" s="22"/>
      <c r="G38" s="16"/>
      <c r="H38" s="16"/>
      <c r="I38" s="16"/>
      <c r="J38" s="23"/>
      <c r="K38" s="23"/>
    </row>
    <row r="39" spans="2:11" ht="18.75">
      <c r="B39" s="612" t="s">
        <v>670</v>
      </c>
      <c r="C39" s="612"/>
      <c r="D39" s="25"/>
      <c r="E39" s="26"/>
      <c r="F39" s="26"/>
      <c r="G39" s="26"/>
      <c r="H39" s="26"/>
      <c r="I39" s="26"/>
      <c r="J39" s="15"/>
      <c r="K39" s="15"/>
    </row>
    <row r="40" spans="2:11" ht="15.75">
      <c r="B40" s="27" t="s">
        <v>10</v>
      </c>
      <c r="C40" s="27"/>
      <c r="D40" s="26"/>
      <c r="E40" s="26"/>
      <c r="F40" s="26"/>
      <c r="G40" s="26"/>
      <c r="H40" s="26"/>
      <c r="I40" s="26"/>
      <c r="J40" s="15"/>
      <c r="K40" s="15"/>
    </row>
    <row r="41" spans="2:11" ht="15.75">
      <c r="B41" s="28"/>
      <c r="C41" s="29"/>
      <c r="D41" s="30"/>
      <c r="E41" s="26"/>
      <c r="F41" s="26"/>
      <c r="G41" s="26"/>
      <c r="H41" s="26"/>
      <c r="I41" s="26"/>
      <c r="J41" s="15"/>
      <c r="K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24">
    <mergeCell ref="A16:A17"/>
    <mergeCell ref="B16:B17"/>
    <mergeCell ref="K16:K17"/>
    <mergeCell ref="A18:A19"/>
    <mergeCell ref="B18:B19"/>
    <mergeCell ref="K18:K19"/>
    <mergeCell ref="B37:C37"/>
    <mergeCell ref="B39:C39"/>
    <mergeCell ref="K13:K15"/>
    <mergeCell ref="E14:E15"/>
    <mergeCell ref="F14:F15"/>
    <mergeCell ref="G14:G15"/>
    <mergeCell ref="H14:H15"/>
    <mergeCell ref="I14:I15"/>
    <mergeCell ref="J14:J15"/>
    <mergeCell ref="J1:K1"/>
    <mergeCell ref="J2:K2"/>
    <mergeCell ref="A11:K11"/>
    <mergeCell ref="D12:H12"/>
    <mergeCell ref="A13:A15"/>
    <mergeCell ref="B13:B15"/>
    <mergeCell ref="C13:C15"/>
    <mergeCell ref="D13:D15"/>
    <mergeCell ref="E13:J13"/>
  </mergeCells>
  <printOptions horizontalCentered="1"/>
  <pageMargins left="1.1811023622047245" right="0.5905511811023623" top="1.1811023622047245" bottom="0.7874015748031497" header="0" footer="0"/>
  <pageSetup fitToWidth="0" fitToHeight="1" horizontalDpi="600" verticalDpi="600" orientation="landscape" paperSize="9" scale="38"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N32"/>
  <sheetViews>
    <sheetView view="pageBreakPreview" zoomScaleSheetLayoutView="100" zoomScalePageLayoutView="0" workbookViewId="0" topLeftCell="A1">
      <selection activeCell="B17" sqref="B17:B18"/>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16" t="s">
        <v>498</v>
      </c>
      <c r="K1" s="616"/>
      <c r="L1" s="13" t="s">
        <v>19</v>
      </c>
    </row>
    <row r="2" spans="2:12" ht="15.75">
      <c r="B2" s="15"/>
      <c r="C2" s="15"/>
      <c r="D2" s="15"/>
      <c r="E2" s="15"/>
      <c r="F2" s="15"/>
      <c r="G2" s="15"/>
      <c r="H2" s="15"/>
      <c r="I2" s="12" t="s">
        <v>11</v>
      </c>
      <c r="J2" s="616" t="s">
        <v>11</v>
      </c>
      <c r="K2" s="616"/>
      <c r="L2" s="12" t="s">
        <v>11</v>
      </c>
    </row>
    <row r="3" spans="2:12" ht="15.75">
      <c r="B3" s="15"/>
      <c r="C3" s="15"/>
      <c r="D3" s="15"/>
      <c r="E3" s="15"/>
      <c r="F3" s="15"/>
      <c r="G3" s="15"/>
      <c r="H3" s="15"/>
      <c r="I3" s="12"/>
      <c r="J3" s="12" t="s">
        <v>318</v>
      </c>
      <c r="K3" s="12"/>
      <c r="L3" s="12"/>
    </row>
    <row r="4" spans="2:12" ht="15.75">
      <c r="B4" s="15"/>
      <c r="C4" s="15"/>
      <c r="D4" s="15"/>
      <c r="E4" s="15"/>
      <c r="F4" s="15"/>
      <c r="G4" s="15"/>
      <c r="H4" s="15"/>
      <c r="I4" s="12" t="s">
        <v>21</v>
      </c>
      <c r="J4" s="12" t="s">
        <v>690</v>
      </c>
      <c r="K4" s="12"/>
      <c r="L4" s="12" t="s">
        <v>21</v>
      </c>
    </row>
    <row r="5" spans="2:12" ht="15.75">
      <c r="B5" s="15"/>
      <c r="C5" s="15"/>
      <c r="D5" s="15"/>
      <c r="E5" s="15"/>
      <c r="F5" s="15"/>
      <c r="G5" s="15"/>
      <c r="H5" s="15"/>
      <c r="I5" s="12" t="s">
        <v>23</v>
      </c>
      <c r="J5" s="12" t="s">
        <v>692</v>
      </c>
      <c r="K5" s="12"/>
      <c r="L5" s="12" t="s">
        <v>23</v>
      </c>
    </row>
    <row r="6" spans="2:12" ht="15.75">
      <c r="B6" s="15"/>
      <c r="C6" s="15"/>
      <c r="D6" s="15"/>
      <c r="E6" s="15"/>
      <c r="F6" s="15"/>
      <c r="G6" s="15"/>
      <c r="H6" s="15"/>
      <c r="I6" s="12"/>
      <c r="J6" s="12" t="s">
        <v>675</v>
      </c>
      <c r="K6" s="12"/>
      <c r="L6" s="12"/>
    </row>
    <row r="7" spans="2:12" ht="15.75">
      <c r="B7" s="15"/>
      <c r="C7" s="15"/>
      <c r="D7" s="15"/>
      <c r="E7" s="15"/>
      <c r="F7" s="15"/>
      <c r="G7" s="15"/>
      <c r="H7" s="15"/>
      <c r="I7" s="12"/>
      <c r="J7" s="12" t="s">
        <v>676</v>
      </c>
      <c r="K7" s="12"/>
      <c r="L7" s="12"/>
    </row>
    <row r="8" spans="2:12" ht="15.75">
      <c r="B8" s="15"/>
      <c r="C8" s="15"/>
      <c r="D8" s="15"/>
      <c r="E8" s="15"/>
      <c r="F8" s="15"/>
      <c r="G8" s="15"/>
      <c r="H8" s="16"/>
      <c r="I8" s="12" t="s">
        <v>24</v>
      </c>
      <c r="J8" s="12" t="s">
        <v>677</v>
      </c>
      <c r="K8" s="12"/>
      <c r="L8" s="12" t="s">
        <v>24</v>
      </c>
    </row>
    <row r="9" spans="2:12" ht="15.75">
      <c r="B9" s="15"/>
      <c r="C9" s="15"/>
      <c r="D9" s="15"/>
      <c r="E9" s="15"/>
      <c r="F9" s="15"/>
      <c r="G9" s="15"/>
      <c r="H9" s="15"/>
      <c r="I9" s="15"/>
      <c r="J9" s="15" t="s">
        <v>736</v>
      </c>
      <c r="K9" s="15"/>
      <c r="L9" s="15"/>
    </row>
    <row r="10" spans="2:12" ht="21.75" customHeight="1">
      <c r="B10" s="611" t="s">
        <v>480</v>
      </c>
      <c r="C10" s="611"/>
      <c r="D10" s="611"/>
      <c r="E10" s="611"/>
      <c r="F10" s="611"/>
      <c r="G10" s="611"/>
      <c r="H10" s="611"/>
      <c r="I10" s="611"/>
      <c r="J10" s="611"/>
      <c r="K10" s="611"/>
      <c r="L10" s="15"/>
    </row>
    <row r="11" spans="2:12" ht="15.75">
      <c r="B11" s="15"/>
      <c r="C11" s="15"/>
      <c r="D11" s="614"/>
      <c r="E11" s="614"/>
      <c r="F11" s="614"/>
      <c r="G11" s="614"/>
      <c r="H11" s="614"/>
      <c r="I11" s="15"/>
      <c r="J11" s="15"/>
      <c r="K11" s="35" t="s">
        <v>462</v>
      </c>
      <c r="L11" s="15"/>
    </row>
    <row r="12" spans="1:12" ht="15.75" customHeight="1">
      <c r="A12" s="664" t="s">
        <v>32</v>
      </c>
      <c r="B12" s="664" t="s">
        <v>12</v>
      </c>
      <c r="C12" s="664" t="s">
        <v>13</v>
      </c>
      <c r="D12" s="664" t="s">
        <v>438</v>
      </c>
      <c r="E12" s="671" t="s">
        <v>9</v>
      </c>
      <c r="F12" s="671"/>
      <c r="G12" s="671"/>
      <c r="H12" s="671"/>
      <c r="I12" s="671"/>
      <c r="J12" s="672"/>
      <c r="K12" s="667" t="s">
        <v>15</v>
      </c>
      <c r="L12" s="15"/>
    </row>
    <row r="13" spans="1:12" ht="15.75">
      <c r="A13" s="665"/>
      <c r="B13" s="665"/>
      <c r="C13" s="665"/>
      <c r="D13" s="665"/>
      <c r="E13" s="664">
        <v>2018</v>
      </c>
      <c r="F13" s="664">
        <v>2019</v>
      </c>
      <c r="G13" s="664" t="s">
        <v>27</v>
      </c>
      <c r="H13" s="664" t="s">
        <v>28</v>
      </c>
      <c r="I13" s="664" t="s">
        <v>29</v>
      </c>
      <c r="J13" s="667">
        <v>2020</v>
      </c>
      <c r="K13" s="667"/>
      <c r="L13" s="15"/>
    </row>
    <row r="14" spans="1:12" ht="15.75">
      <c r="A14" s="666"/>
      <c r="B14" s="666"/>
      <c r="C14" s="666"/>
      <c r="D14" s="666"/>
      <c r="E14" s="666"/>
      <c r="F14" s="666"/>
      <c r="G14" s="666"/>
      <c r="H14" s="666"/>
      <c r="I14" s="666"/>
      <c r="J14" s="667"/>
      <c r="K14" s="667"/>
      <c r="L14" s="15"/>
    </row>
    <row r="15" spans="1:12" ht="26.25" customHeight="1">
      <c r="A15" s="603">
        <v>1</v>
      </c>
      <c r="B15" s="669" t="s">
        <v>73</v>
      </c>
      <c r="C15" s="510" t="s">
        <v>16</v>
      </c>
      <c r="D15" s="109">
        <f>E15+F15+J15</f>
        <v>2900</v>
      </c>
      <c r="E15" s="110">
        <f>1300+100</f>
        <v>1400</v>
      </c>
      <c r="F15" s="110">
        <f>1300+200</f>
        <v>1500</v>
      </c>
      <c r="G15" s="110">
        <v>1100</v>
      </c>
      <c r="H15" s="110">
        <v>1100</v>
      </c>
      <c r="I15" s="110">
        <v>1100</v>
      </c>
      <c r="J15" s="110"/>
      <c r="K15" s="669" t="s">
        <v>74</v>
      </c>
      <c r="L15" s="15"/>
    </row>
    <row r="16" spans="1:14" ht="35.25" customHeight="1">
      <c r="A16" s="691"/>
      <c r="B16" s="670"/>
      <c r="C16" s="510" t="s">
        <v>643</v>
      </c>
      <c r="D16" s="109">
        <f>E16+F16+J16</f>
        <v>1300</v>
      </c>
      <c r="E16" s="111">
        <v>0</v>
      </c>
      <c r="F16" s="110"/>
      <c r="G16" s="110"/>
      <c r="H16" s="110"/>
      <c r="I16" s="110"/>
      <c r="J16" s="110">
        <v>1300</v>
      </c>
      <c r="K16" s="712"/>
      <c r="L16" s="15"/>
      <c r="N16" s="55">
        <v>441</v>
      </c>
    </row>
    <row r="17" spans="1:14" ht="56.25" customHeight="1">
      <c r="A17" s="691"/>
      <c r="B17" s="669" t="s">
        <v>648</v>
      </c>
      <c r="C17" s="510" t="s">
        <v>16</v>
      </c>
      <c r="D17" s="109">
        <f>E17+F17+J17</f>
        <v>1120</v>
      </c>
      <c r="E17" s="114">
        <f>200+90</f>
        <v>290</v>
      </c>
      <c r="F17" s="114">
        <f>200+100+100+130+170+130</f>
        <v>830</v>
      </c>
      <c r="G17" s="114">
        <v>200</v>
      </c>
      <c r="H17" s="114">
        <v>200</v>
      </c>
      <c r="I17" s="114">
        <v>200</v>
      </c>
      <c r="J17" s="114"/>
      <c r="K17" s="712"/>
      <c r="L17" s="15"/>
      <c r="N17" s="55"/>
    </row>
    <row r="18" spans="1:14" ht="22.5" customHeight="1">
      <c r="A18" s="604"/>
      <c r="B18" s="670"/>
      <c r="C18" s="510" t="s">
        <v>643</v>
      </c>
      <c r="D18" s="109">
        <f>E18+F18+J18</f>
        <v>1500</v>
      </c>
      <c r="E18" s="114"/>
      <c r="F18" s="114"/>
      <c r="G18" s="114"/>
      <c r="H18" s="114"/>
      <c r="I18" s="114"/>
      <c r="J18" s="114">
        <f>750+750</f>
        <v>1500</v>
      </c>
      <c r="K18" s="670"/>
      <c r="L18" s="15"/>
      <c r="N18" s="55"/>
    </row>
    <row r="19" spans="1:12" ht="32.25" customHeight="1">
      <c r="A19" s="85"/>
      <c r="B19" s="83" t="s">
        <v>5</v>
      </c>
      <c r="C19" s="112"/>
      <c r="D19" s="109">
        <f>D17+D15+D16+D18</f>
        <v>6820</v>
      </c>
      <c r="E19" s="109">
        <f>E15+E17</f>
        <v>1690</v>
      </c>
      <c r="F19" s="109">
        <f>F17+F15</f>
        <v>2330</v>
      </c>
      <c r="G19" s="109" t="e">
        <f>G15+G16+#REF!</f>
        <v>#REF!</v>
      </c>
      <c r="H19" s="109" t="e">
        <f>H15+H16+#REF!</f>
        <v>#REF!</v>
      </c>
      <c r="I19" s="109" t="e">
        <f>I15+I16+#REF!</f>
        <v>#REF!</v>
      </c>
      <c r="J19" s="109">
        <f>J17+J15+J16+J18</f>
        <v>2800</v>
      </c>
      <c r="K19" s="113"/>
      <c r="L19" s="15"/>
    </row>
    <row r="20" spans="2:12" ht="15.75">
      <c r="B20" s="18"/>
      <c r="C20" s="18"/>
      <c r="D20" s="19"/>
      <c r="E20" s="19"/>
      <c r="F20" s="19"/>
      <c r="G20" s="19"/>
      <c r="H20" s="19"/>
      <c r="I20" s="19"/>
      <c r="J20" s="19"/>
      <c r="K20" s="20"/>
      <c r="L20" s="15"/>
    </row>
    <row r="21" spans="2:12" ht="15.75" hidden="1">
      <c r="B21" s="18"/>
      <c r="C21" s="18"/>
      <c r="D21" s="19"/>
      <c r="E21" s="19"/>
      <c r="F21" s="19"/>
      <c r="G21" s="19"/>
      <c r="H21" s="19"/>
      <c r="I21" s="19"/>
      <c r="J21" s="19"/>
      <c r="K21" s="20"/>
      <c r="L21" s="15"/>
    </row>
    <row r="22" spans="2:12" ht="15.75">
      <c r="B22" s="18"/>
      <c r="C22" s="18"/>
      <c r="D22" s="19"/>
      <c r="E22" s="19"/>
      <c r="F22" s="19"/>
      <c r="G22" s="19"/>
      <c r="H22" s="19"/>
      <c r="I22" s="19"/>
      <c r="J22" s="19"/>
      <c r="K22" s="20"/>
      <c r="L22" s="15"/>
    </row>
    <row r="23" spans="2:12" ht="9.75" customHeight="1">
      <c r="B23" s="52"/>
      <c r="C23" s="53"/>
      <c r="E23" s="19"/>
      <c r="F23" s="19"/>
      <c r="G23" s="19"/>
      <c r="H23" s="19"/>
      <c r="I23" s="19"/>
      <c r="J23" s="19"/>
      <c r="K23" s="53"/>
      <c r="L23" s="15"/>
    </row>
    <row r="24" spans="2:12" ht="18.75" customHeight="1">
      <c r="B24" s="634" t="s">
        <v>18</v>
      </c>
      <c r="C24" s="634"/>
      <c r="D24" s="374"/>
      <c r="E24" s="22"/>
      <c r="F24" s="22"/>
      <c r="G24" s="16"/>
      <c r="H24" s="16"/>
      <c r="I24" s="16"/>
      <c r="J24" s="23"/>
      <c r="K24" s="23" t="s">
        <v>30</v>
      </c>
      <c r="L24" s="23"/>
    </row>
    <row r="25" spans="2:12" ht="14.25" customHeight="1">
      <c r="B25" s="374"/>
      <c r="C25" s="374"/>
      <c r="D25" s="374"/>
      <c r="E25" s="22"/>
      <c r="F25" s="22"/>
      <c r="G25" s="16"/>
      <c r="H25" s="16"/>
      <c r="I25" s="16"/>
      <c r="J25" s="23"/>
      <c r="K25" s="23"/>
      <c r="L25" s="23"/>
    </row>
    <row r="26" spans="2:11" ht="18.75">
      <c r="B26" s="612" t="s">
        <v>670</v>
      </c>
      <c r="C26" s="612"/>
      <c r="D26" s="25"/>
      <c r="E26" s="26"/>
      <c r="F26" s="26"/>
      <c r="G26" s="26"/>
      <c r="H26" s="26"/>
      <c r="I26" s="26"/>
      <c r="J26" s="15"/>
      <c r="K26" s="15"/>
    </row>
    <row r="27" spans="2:13" ht="15.75">
      <c r="B27" s="27" t="s">
        <v>10</v>
      </c>
      <c r="C27" s="27"/>
      <c r="D27" s="26"/>
      <c r="E27" s="26"/>
      <c r="F27" s="26"/>
      <c r="G27" s="26"/>
      <c r="H27" s="26"/>
      <c r="I27" s="26"/>
      <c r="J27" s="15"/>
      <c r="K27" s="15"/>
      <c r="M27" s="12"/>
    </row>
    <row r="28" spans="2:11" ht="15.75">
      <c r="B28" s="28"/>
      <c r="C28" s="29"/>
      <c r="D28" s="30"/>
      <c r="E28" s="26"/>
      <c r="F28" s="26"/>
      <c r="G28" s="26"/>
      <c r="H28" s="26"/>
      <c r="I28" s="26"/>
      <c r="J28" s="15"/>
      <c r="K28" s="15"/>
    </row>
    <row r="29" spans="3:10" ht="15.75">
      <c r="C29" s="30"/>
      <c r="D29" s="26"/>
      <c r="E29" s="26"/>
      <c r="F29" s="26"/>
      <c r="G29" s="26"/>
      <c r="H29" s="26"/>
      <c r="I29" s="26"/>
      <c r="J29" s="26"/>
    </row>
    <row r="30" spans="3:10" ht="15.75">
      <c r="C30" s="31"/>
      <c r="D30" s="26"/>
      <c r="E30" s="26"/>
      <c r="F30" s="26"/>
      <c r="G30" s="26"/>
      <c r="H30" s="26"/>
      <c r="I30" s="26"/>
      <c r="J30" s="26"/>
    </row>
    <row r="32" ht="12.75">
      <c r="H32" s="32"/>
    </row>
  </sheetData>
  <sheetProtection/>
  <mergeCells count="22">
    <mergeCell ref="B26:C26"/>
    <mergeCell ref="K12:K14"/>
    <mergeCell ref="E13:E14"/>
    <mergeCell ref="F13:F14"/>
    <mergeCell ref="G13:G14"/>
    <mergeCell ref="D12:D14"/>
    <mergeCell ref="B17:B18"/>
    <mergeCell ref="A12:A14"/>
    <mergeCell ref="B12:B14"/>
    <mergeCell ref="I13:I14"/>
    <mergeCell ref="J13:J14"/>
    <mergeCell ref="A15:A18"/>
    <mergeCell ref="C12:C14"/>
    <mergeCell ref="E12:J12"/>
    <mergeCell ref="J1:K1"/>
    <mergeCell ref="J2:K2"/>
    <mergeCell ref="B10:K10"/>
    <mergeCell ref="D11:H11"/>
    <mergeCell ref="B15:B16"/>
    <mergeCell ref="B24:C24"/>
    <mergeCell ref="H13:H14"/>
    <mergeCell ref="K15:K18"/>
  </mergeCells>
  <printOptions horizontalCentered="1"/>
  <pageMargins left="0" right="0" top="1.1811023622047245" bottom="0" header="0" footer="0"/>
  <pageSetup fitToHeight="1" fitToWidth="1" horizontalDpi="600" verticalDpi="600" orientation="landscape" paperSize="9" scale="92"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N162"/>
  <sheetViews>
    <sheetView view="pageBreakPreview" zoomScale="71" zoomScaleSheetLayoutView="71" zoomScalePageLayoutView="0" workbookViewId="0" topLeftCell="A1">
      <selection activeCell="B144" sqref="B144"/>
    </sheetView>
  </sheetViews>
  <sheetFormatPr defaultColWidth="9.140625" defaultRowHeight="12.75"/>
  <cols>
    <col min="1" max="1" width="5.28125" style="16" customWidth="1"/>
    <col min="2" max="2" width="84.00390625" style="128"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89"/>
      <c r="C1" s="15"/>
      <c r="D1" s="15"/>
      <c r="E1" s="15"/>
      <c r="F1" s="15"/>
      <c r="G1" s="15"/>
      <c r="H1" s="15"/>
      <c r="I1" s="714" t="s">
        <v>499</v>
      </c>
      <c r="J1" s="714"/>
      <c r="K1" s="13" t="s">
        <v>19</v>
      </c>
    </row>
    <row r="2" spans="2:11" ht="15.75">
      <c r="B2" s="89"/>
      <c r="C2" s="15"/>
      <c r="D2" s="15"/>
      <c r="E2" s="15"/>
      <c r="F2" s="15"/>
      <c r="G2" s="15"/>
      <c r="H2" s="15"/>
      <c r="I2" s="616" t="s">
        <v>11</v>
      </c>
      <c r="J2" s="616"/>
      <c r="K2" s="12" t="s">
        <v>11</v>
      </c>
    </row>
    <row r="3" spans="2:11" ht="15.75">
      <c r="B3" s="89"/>
      <c r="C3" s="15"/>
      <c r="D3" s="15"/>
      <c r="E3" s="15"/>
      <c r="F3" s="15"/>
      <c r="G3" s="15"/>
      <c r="H3" s="15"/>
      <c r="I3" s="12" t="s">
        <v>318</v>
      </c>
      <c r="J3" s="12"/>
      <c r="K3" s="12"/>
    </row>
    <row r="4" spans="2:11" ht="15.75">
      <c r="B4" s="89"/>
      <c r="C4" s="15"/>
      <c r="D4" s="15"/>
      <c r="E4" s="15"/>
      <c r="F4" s="15"/>
      <c r="G4" s="15"/>
      <c r="H4" s="15"/>
      <c r="I4" s="12" t="s">
        <v>690</v>
      </c>
      <c r="J4" s="12"/>
      <c r="K4" s="12" t="s">
        <v>21</v>
      </c>
    </row>
    <row r="5" spans="2:11" ht="15.75">
      <c r="B5" s="89"/>
      <c r="C5" s="15"/>
      <c r="D5" s="15"/>
      <c r="E5" s="15"/>
      <c r="F5" s="15"/>
      <c r="G5" s="15"/>
      <c r="H5" s="15"/>
      <c r="I5" s="12" t="s">
        <v>684</v>
      </c>
      <c r="J5" s="12"/>
      <c r="K5" s="12" t="s">
        <v>23</v>
      </c>
    </row>
    <row r="6" spans="2:11" ht="15.75">
      <c r="B6" s="89"/>
      <c r="C6" s="15"/>
      <c r="D6" s="15"/>
      <c r="E6" s="15"/>
      <c r="F6" s="15"/>
      <c r="G6" s="15"/>
      <c r="H6" s="15"/>
      <c r="I6" s="12" t="s">
        <v>675</v>
      </c>
      <c r="J6" s="12"/>
      <c r="K6" s="12"/>
    </row>
    <row r="7" spans="2:11" ht="15.75">
      <c r="B7" s="89"/>
      <c r="C7" s="15"/>
      <c r="D7" s="15"/>
      <c r="E7" s="15"/>
      <c r="F7" s="15"/>
      <c r="G7" s="15"/>
      <c r="H7" s="15"/>
      <c r="I7" s="12" t="s">
        <v>697</v>
      </c>
      <c r="J7" s="12"/>
      <c r="K7" s="12"/>
    </row>
    <row r="8" spans="2:11" ht="15.75">
      <c r="B8" s="89"/>
      <c r="C8" s="15"/>
      <c r="D8" s="15"/>
      <c r="E8" s="15"/>
      <c r="F8" s="15"/>
      <c r="G8" s="15"/>
      <c r="I8" s="12" t="s">
        <v>677</v>
      </c>
      <c r="J8" s="12"/>
      <c r="K8" s="12" t="s">
        <v>24</v>
      </c>
    </row>
    <row r="9" spans="2:14" ht="15.75" customHeight="1">
      <c r="B9" s="89"/>
      <c r="C9" s="15"/>
      <c r="D9" s="15"/>
      <c r="E9" s="15"/>
      <c r="F9" s="15"/>
      <c r="G9" s="15"/>
      <c r="I9" s="617" t="s">
        <v>764</v>
      </c>
      <c r="J9" s="617"/>
      <c r="K9" s="17"/>
      <c r="L9" s="17"/>
      <c r="M9" s="17"/>
      <c r="N9" s="17"/>
    </row>
    <row r="10" spans="2:11" ht="15.75">
      <c r="B10" s="89"/>
      <c r="C10" s="15"/>
      <c r="D10" s="15"/>
      <c r="E10" s="15"/>
      <c r="F10" s="15"/>
      <c r="G10" s="15"/>
      <c r="H10" s="15"/>
      <c r="I10" s="15"/>
      <c r="J10" s="15"/>
      <c r="K10" s="15"/>
    </row>
    <row r="11" spans="1:11" ht="18.75" customHeight="1">
      <c r="A11" s="675" t="s">
        <v>628</v>
      </c>
      <c r="B11" s="675"/>
      <c r="C11" s="675"/>
      <c r="D11" s="675"/>
      <c r="E11" s="675"/>
      <c r="F11" s="675"/>
      <c r="G11" s="675"/>
      <c r="H11" s="675"/>
      <c r="I11" s="675"/>
      <c r="J11" s="675"/>
      <c r="K11" s="15"/>
    </row>
    <row r="12" spans="2:11" ht="15.75">
      <c r="B12" s="89"/>
      <c r="C12" s="15"/>
      <c r="D12" s="614"/>
      <c r="E12" s="614"/>
      <c r="F12" s="614"/>
      <c r="G12" s="614"/>
      <c r="H12" s="614"/>
      <c r="I12" s="15"/>
      <c r="J12" s="35" t="s">
        <v>422</v>
      </c>
      <c r="K12" s="15"/>
    </row>
    <row r="13" spans="1:11" ht="15.75" customHeight="1">
      <c r="A13" s="613" t="s">
        <v>6</v>
      </c>
      <c r="B13" s="596" t="s">
        <v>12</v>
      </c>
      <c r="C13" s="713" t="s">
        <v>13</v>
      </c>
      <c r="D13" s="608" t="s">
        <v>433</v>
      </c>
      <c r="E13" s="713" t="s">
        <v>9</v>
      </c>
      <c r="F13" s="615"/>
      <c r="G13" s="615"/>
      <c r="H13" s="615"/>
      <c r="I13" s="615"/>
      <c r="J13" s="613" t="s">
        <v>15</v>
      </c>
      <c r="K13" s="15"/>
    </row>
    <row r="14" spans="1:11" ht="15.75" customHeight="1">
      <c r="A14" s="613"/>
      <c r="B14" s="596"/>
      <c r="C14" s="718"/>
      <c r="D14" s="609"/>
      <c r="E14" s="608" t="s">
        <v>434</v>
      </c>
      <c r="F14" s="713" t="s">
        <v>435</v>
      </c>
      <c r="G14" s="615"/>
      <c r="H14" s="690"/>
      <c r="I14" s="608" t="s">
        <v>427</v>
      </c>
      <c r="J14" s="613"/>
      <c r="K14" s="15"/>
    </row>
    <row r="15" spans="1:11" ht="23.25" customHeight="1">
      <c r="A15" s="613"/>
      <c r="B15" s="596"/>
      <c r="C15" s="715"/>
      <c r="D15" s="610"/>
      <c r="E15" s="610"/>
      <c r="F15" s="715"/>
      <c r="G15" s="716"/>
      <c r="H15" s="717"/>
      <c r="I15" s="610"/>
      <c r="J15" s="613"/>
      <c r="K15" s="15"/>
    </row>
    <row r="16" spans="1:13" ht="56.25" customHeight="1">
      <c r="A16" s="36">
        <v>1</v>
      </c>
      <c r="B16" s="117" t="s">
        <v>0</v>
      </c>
      <c r="C16" s="116" t="s">
        <v>138</v>
      </c>
      <c r="D16" s="67">
        <f aca="true" t="shared" si="0" ref="D16:D22">E16</f>
        <v>10230</v>
      </c>
      <c r="E16" s="88">
        <f>E17+E18+E19+E20+E21+E22</f>
        <v>10230</v>
      </c>
      <c r="F16" s="88">
        <f>F17+F18+F19+F20+F21+F22</f>
        <v>0</v>
      </c>
      <c r="G16" s="88">
        <f>G17+G18+G19+G20+G21+G22</f>
        <v>0</v>
      </c>
      <c r="H16" s="88">
        <f>H17+H18+H19+H20+H21+H22</f>
        <v>0</v>
      </c>
      <c r="I16" s="88">
        <f>I17+I18+I19+I20+I21+I22</f>
        <v>0</v>
      </c>
      <c r="J16" s="36" t="s">
        <v>41</v>
      </c>
      <c r="K16" s="15"/>
      <c r="M16" s="115"/>
    </row>
    <row r="17" spans="1:13" ht="42" customHeight="1">
      <c r="A17" s="36"/>
      <c r="B17" s="257" t="s">
        <v>217</v>
      </c>
      <c r="C17" s="116" t="s">
        <v>138</v>
      </c>
      <c r="D17" s="67">
        <f t="shared" si="0"/>
        <v>1980</v>
      </c>
      <c r="E17" s="258">
        <v>1980</v>
      </c>
      <c r="F17" s="75"/>
      <c r="G17" s="63"/>
      <c r="H17" s="63"/>
      <c r="I17" s="118"/>
      <c r="J17" s="36"/>
      <c r="K17" s="15"/>
      <c r="M17" s="115"/>
    </row>
    <row r="18" spans="1:13" ht="48" customHeight="1">
      <c r="A18" s="36"/>
      <c r="B18" s="257" t="s">
        <v>218</v>
      </c>
      <c r="C18" s="116" t="s">
        <v>138</v>
      </c>
      <c r="D18" s="67">
        <f t="shared" si="0"/>
        <v>3000</v>
      </c>
      <c r="E18" s="258">
        <v>3000</v>
      </c>
      <c r="F18" s="75"/>
      <c r="G18" s="63"/>
      <c r="H18" s="63"/>
      <c r="I18" s="118"/>
      <c r="J18" s="36"/>
      <c r="K18" s="15"/>
      <c r="M18" s="115"/>
    </row>
    <row r="19" spans="1:13" ht="63" customHeight="1">
      <c r="A19" s="36"/>
      <c r="B19" s="257" t="s">
        <v>436</v>
      </c>
      <c r="C19" s="116" t="s">
        <v>138</v>
      </c>
      <c r="D19" s="67">
        <f t="shared" si="0"/>
        <v>3700</v>
      </c>
      <c r="E19" s="222">
        <v>3700</v>
      </c>
      <c r="F19" s="75"/>
      <c r="G19" s="63"/>
      <c r="H19" s="63"/>
      <c r="I19" s="118"/>
      <c r="J19" s="36"/>
      <c r="K19" s="15"/>
      <c r="M19" s="115"/>
    </row>
    <row r="20" spans="1:13" ht="60.75" customHeight="1">
      <c r="A20" s="77"/>
      <c r="B20" s="257" t="s">
        <v>219</v>
      </c>
      <c r="C20" s="116" t="s">
        <v>138</v>
      </c>
      <c r="D20" s="67">
        <f t="shared" si="0"/>
        <v>350</v>
      </c>
      <c r="E20" s="222">
        <v>350</v>
      </c>
      <c r="F20" s="75"/>
      <c r="G20" s="63"/>
      <c r="H20" s="63"/>
      <c r="I20" s="118"/>
      <c r="J20" s="36"/>
      <c r="K20" s="15"/>
      <c r="M20" s="115"/>
    </row>
    <row r="21" spans="1:13" ht="56.25" customHeight="1">
      <c r="A21" s="36"/>
      <c r="B21" s="257" t="s">
        <v>220</v>
      </c>
      <c r="C21" s="116" t="s">
        <v>138</v>
      </c>
      <c r="D21" s="67">
        <f t="shared" si="0"/>
        <v>500</v>
      </c>
      <c r="E21" s="222">
        <v>500</v>
      </c>
      <c r="F21" s="75"/>
      <c r="G21" s="63"/>
      <c r="H21" s="63"/>
      <c r="I21" s="119"/>
      <c r="J21" s="36"/>
      <c r="K21" s="15"/>
      <c r="M21" s="115"/>
    </row>
    <row r="22" spans="1:13" ht="59.25" customHeight="1">
      <c r="A22" s="36"/>
      <c r="B22" s="257" t="s">
        <v>221</v>
      </c>
      <c r="C22" s="116" t="s">
        <v>138</v>
      </c>
      <c r="D22" s="67">
        <f t="shared" si="0"/>
        <v>700</v>
      </c>
      <c r="E22" s="222">
        <v>700</v>
      </c>
      <c r="F22" s="75"/>
      <c r="G22" s="63"/>
      <c r="H22" s="63"/>
      <c r="I22" s="119"/>
      <c r="J22" s="36"/>
      <c r="K22" s="15"/>
      <c r="M22" s="115"/>
    </row>
    <row r="23" spans="1:13" ht="57" customHeight="1">
      <c r="A23" s="36">
        <v>2</v>
      </c>
      <c r="B23" s="117" t="s">
        <v>1</v>
      </c>
      <c r="C23" s="116" t="s">
        <v>138</v>
      </c>
      <c r="D23" s="67">
        <f>E23+F23</f>
        <v>25400</v>
      </c>
      <c r="E23" s="88">
        <f>E24+E25+E26+E27</f>
        <v>10400</v>
      </c>
      <c r="F23" s="88">
        <f>F24+F25+F26+F27+F28+F29+F30</f>
        <v>15000</v>
      </c>
      <c r="G23" s="88">
        <f>G24+G25+G26+G27+G28+G29+G30</f>
        <v>0</v>
      </c>
      <c r="H23" s="88">
        <f>H24+H25+H26+H27+H28+H29+H30</f>
        <v>0</v>
      </c>
      <c r="I23" s="88">
        <f>I24+I25+I26+I27+I28+I29+I30</f>
        <v>0</v>
      </c>
      <c r="J23" s="36" t="s">
        <v>42</v>
      </c>
      <c r="K23" s="15"/>
      <c r="M23" s="115"/>
    </row>
    <row r="24" spans="1:13" ht="45" customHeight="1">
      <c r="A24" s="36"/>
      <c r="B24" s="257" t="s">
        <v>222</v>
      </c>
      <c r="C24" s="116" t="s">
        <v>138</v>
      </c>
      <c r="D24" s="67">
        <f aca="true" t="shared" si="1" ref="D24:D30">E24+F24</f>
        <v>4000</v>
      </c>
      <c r="E24" s="222">
        <v>4000</v>
      </c>
      <c r="F24" s="75"/>
      <c r="G24" s="63"/>
      <c r="H24" s="63"/>
      <c r="I24" s="118"/>
      <c r="J24" s="36"/>
      <c r="K24" s="15"/>
      <c r="M24" s="115"/>
    </row>
    <row r="25" spans="1:13" ht="48" customHeight="1">
      <c r="A25" s="36"/>
      <c r="B25" s="257" t="s">
        <v>223</v>
      </c>
      <c r="C25" s="116" t="s">
        <v>138</v>
      </c>
      <c r="D25" s="67">
        <f t="shared" si="1"/>
        <v>2500</v>
      </c>
      <c r="E25" s="222">
        <v>2500</v>
      </c>
      <c r="F25" s="75"/>
      <c r="G25" s="63"/>
      <c r="H25" s="63"/>
      <c r="I25" s="118"/>
      <c r="J25" s="36"/>
      <c r="K25" s="15"/>
      <c r="M25" s="115"/>
    </row>
    <row r="26" spans="1:13" ht="38.25" customHeight="1">
      <c r="A26" s="36"/>
      <c r="B26" s="257" t="s">
        <v>224</v>
      </c>
      <c r="C26" s="116" t="s">
        <v>138</v>
      </c>
      <c r="D26" s="67">
        <f t="shared" si="1"/>
        <v>3000</v>
      </c>
      <c r="E26" s="222">
        <v>3000</v>
      </c>
      <c r="F26" s="75"/>
      <c r="G26" s="63"/>
      <c r="H26" s="63"/>
      <c r="I26" s="118"/>
      <c r="J26" s="36"/>
      <c r="K26" s="15"/>
      <c r="M26" s="115"/>
    </row>
    <row r="27" spans="1:13" ht="45.75" customHeight="1">
      <c r="A27" s="36"/>
      <c r="B27" s="257" t="s">
        <v>225</v>
      </c>
      <c r="C27" s="116" t="s">
        <v>138</v>
      </c>
      <c r="D27" s="67">
        <f t="shared" si="1"/>
        <v>900</v>
      </c>
      <c r="E27" s="222">
        <v>900</v>
      </c>
      <c r="F27" s="75"/>
      <c r="G27" s="63"/>
      <c r="H27" s="63"/>
      <c r="I27" s="118"/>
      <c r="J27" s="36"/>
      <c r="K27" s="15"/>
      <c r="M27" s="115"/>
    </row>
    <row r="28" spans="1:13" ht="45.75" customHeight="1">
      <c r="A28" s="36"/>
      <c r="B28" s="257" t="s">
        <v>350</v>
      </c>
      <c r="C28" s="116" t="s">
        <v>138</v>
      </c>
      <c r="D28" s="67">
        <f t="shared" si="1"/>
        <v>5000</v>
      </c>
      <c r="E28" s="222"/>
      <c r="F28" s="75">
        <v>5000</v>
      </c>
      <c r="G28" s="63"/>
      <c r="H28" s="63"/>
      <c r="I28" s="118"/>
      <c r="J28" s="36"/>
      <c r="K28" s="15"/>
      <c r="M28" s="115"/>
    </row>
    <row r="29" spans="1:13" ht="45.75" customHeight="1">
      <c r="A29" s="36"/>
      <c r="B29" s="257" t="s">
        <v>351</v>
      </c>
      <c r="C29" s="116" t="s">
        <v>138</v>
      </c>
      <c r="D29" s="67">
        <f t="shared" si="1"/>
        <v>7000</v>
      </c>
      <c r="E29" s="222"/>
      <c r="F29" s="75">
        <v>7000</v>
      </c>
      <c r="G29" s="63"/>
      <c r="H29" s="63"/>
      <c r="I29" s="118"/>
      <c r="J29" s="36"/>
      <c r="K29" s="15"/>
      <c r="M29" s="115"/>
    </row>
    <row r="30" spans="1:13" ht="45.75" customHeight="1">
      <c r="A30" s="36"/>
      <c r="B30" s="257" t="s">
        <v>352</v>
      </c>
      <c r="C30" s="116" t="s">
        <v>138</v>
      </c>
      <c r="D30" s="67">
        <f t="shared" si="1"/>
        <v>3000</v>
      </c>
      <c r="E30" s="222"/>
      <c r="F30" s="75">
        <v>3000</v>
      </c>
      <c r="G30" s="63"/>
      <c r="H30" s="63"/>
      <c r="I30" s="118"/>
      <c r="J30" s="36"/>
      <c r="K30" s="15"/>
      <c r="M30" s="115"/>
    </row>
    <row r="31" spans="1:13" ht="50.25" customHeight="1">
      <c r="A31" s="36">
        <v>3</v>
      </c>
      <c r="B31" s="117" t="s">
        <v>46</v>
      </c>
      <c r="C31" s="116" t="s">
        <v>138</v>
      </c>
      <c r="D31" s="67">
        <f>E31+F31</f>
        <v>25454.5</v>
      </c>
      <c r="E31" s="88">
        <f>E32+E33+E34+E35+E38+E39</f>
        <v>9202.1</v>
      </c>
      <c r="F31" s="62">
        <f>F36+F37</f>
        <v>16252.400000000001</v>
      </c>
      <c r="G31" s="62">
        <f>G36+G37</f>
        <v>0</v>
      </c>
      <c r="H31" s="62">
        <f>H36+H37</f>
        <v>0</v>
      </c>
      <c r="I31" s="62">
        <f>I36+I37</f>
        <v>0</v>
      </c>
      <c r="J31" s="36" t="s">
        <v>47</v>
      </c>
      <c r="K31" s="15"/>
      <c r="M31" s="115"/>
    </row>
    <row r="32" spans="1:13" ht="62.25" customHeight="1">
      <c r="A32" s="36"/>
      <c r="B32" s="259" t="s">
        <v>226</v>
      </c>
      <c r="C32" s="116" t="s">
        <v>138</v>
      </c>
      <c r="D32" s="67">
        <f aca="true" t="shared" si="2" ref="D32:D44">E32</f>
        <v>454.8</v>
      </c>
      <c r="E32" s="260">
        <v>454.8</v>
      </c>
      <c r="F32" s="75"/>
      <c r="G32" s="63"/>
      <c r="H32" s="63"/>
      <c r="I32" s="121"/>
      <c r="J32" s="36"/>
      <c r="K32" s="15"/>
      <c r="M32" s="115"/>
    </row>
    <row r="33" spans="1:13" ht="42.75" customHeight="1">
      <c r="A33" s="36"/>
      <c r="B33" s="259" t="s">
        <v>227</v>
      </c>
      <c r="C33" s="116" t="s">
        <v>138</v>
      </c>
      <c r="D33" s="67">
        <f t="shared" si="2"/>
        <v>918.2</v>
      </c>
      <c r="E33" s="260">
        <v>918.2</v>
      </c>
      <c r="F33" s="75"/>
      <c r="G33" s="63"/>
      <c r="H33" s="63"/>
      <c r="I33" s="122"/>
      <c r="J33" s="36"/>
      <c r="K33" s="15"/>
      <c r="M33" s="115"/>
    </row>
    <row r="34" spans="1:13" ht="36.75" customHeight="1">
      <c r="A34" s="36"/>
      <c r="B34" s="259" t="s">
        <v>228</v>
      </c>
      <c r="C34" s="116" t="s">
        <v>138</v>
      </c>
      <c r="D34" s="67">
        <f t="shared" si="2"/>
        <v>5000</v>
      </c>
      <c r="E34" s="260">
        <v>5000</v>
      </c>
      <c r="F34" s="75"/>
      <c r="G34" s="63"/>
      <c r="H34" s="63"/>
      <c r="I34" s="122"/>
      <c r="J34" s="36"/>
      <c r="K34" s="15"/>
      <c r="M34" s="115"/>
    </row>
    <row r="35" spans="1:13" ht="51" customHeight="1">
      <c r="A35" s="36"/>
      <c r="B35" s="259" t="s">
        <v>229</v>
      </c>
      <c r="C35" s="116" t="s">
        <v>138</v>
      </c>
      <c r="D35" s="67">
        <f t="shared" si="2"/>
        <v>2700</v>
      </c>
      <c r="E35" s="260">
        <v>2700</v>
      </c>
      <c r="F35" s="75"/>
      <c r="G35" s="63"/>
      <c r="H35" s="63"/>
      <c r="I35" s="122"/>
      <c r="J35" s="36"/>
      <c r="K35" s="15"/>
      <c r="M35" s="115"/>
    </row>
    <row r="36" spans="1:13" ht="51" customHeight="1">
      <c r="A36" s="36"/>
      <c r="B36" s="259" t="s">
        <v>388</v>
      </c>
      <c r="C36" s="116" t="s">
        <v>138</v>
      </c>
      <c r="D36" s="67">
        <f>E36+F36</f>
        <v>9987.2</v>
      </c>
      <c r="E36" s="260"/>
      <c r="F36" s="75">
        <v>9987.2</v>
      </c>
      <c r="G36" s="63"/>
      <c r="H36" s="63"/>
      <c r="I36" s="122"/>
      <c r="J36" s="36"/>
      <c r="K36" s="15"/>
      <c r="M36" s="115"/>
    </row>
    <row r="37" spans="1:13" ht="51" customHeight="1">
      <c r="A37" s="36"/>
      <c r="B37" s="259" t="s">
        <v>389</v>
      </c>
      <c r="C37" s="116" t="s">
        <v>138</v>
      </c>
      <c r="D37" s="67">
        <f>E37+F37</f>
        <v>6265.2</v>
      </c>
      <c r="E37" s="260"/>
      <c r="F37" s="75">
        <v>6265.2</v>
      </c>
      <c r="G37" s="63"/>
      <c r="H37" s="63"/>
      <c r="I37" s="122"/>
      <c r="J37" s="36"/>
      <c r="K37" s="15"/>
      <c r="M37" s="115"/>
    </row>
    <row r="38" spans="1:13" ht="51" customHeight="1">
      <c r="A38" s="36"/>
      <c r="B38" s="259" t="s">
        <v>397</v>
      </c>
      <c r="C38" s="116" t="s">
        <v>138</v>
      </c>
      <c r="D38" s="67">
        <f>E38+F38</f>
        <v>85</v>
      </c>
      <c r="E38" s="260">
        <f>0+85</f>
        <v>85</v>
      </c>
      <c r="F38" s="75"/>
      <c r="G38" s="63"/>
      <c r="H38" s="63"/>
      <c r="I38" s="122"/>
      <c r="J38" s="36"/>
      <c r="K38" s="15"/>
      <c r="M38" s="115"/>
    </row>
    <row r="39" spans="1:13" ht="51" customHeight="1">
      <c r="A39" s="36"/>
      <c r="B39" s="259" t="s">
        <v>398</v>
      </c>
      <c r="C39" s="116" t="s">
        <v>138</v>
      </c>
      <c r="D39" s="67">
        <f>E39+F39</f>
        <v>44.1</v>
      </c>
      <c r="E39" s="260">
        <v>44.1</v>
      </c>
      <c r="F39" s="75"/>
      <c r="G39" s="63"/>
      <c r="H39" s="63"/>
      <c r="I39" s="122"/>
      <c r="J39" s="36"/>
      <c r="K39" s="15"/>
      <c r="M39" s="115"/>
    </row>
    <row r="40" spans="1:13" ht="67.5" customHeight="1">
      <c r="A40" s="36">
        <v>4</v>
      </c>
      <c r="B40" s="117" t="s">
        <v>2</v>
      </c>
      <c r="C40" s="116" t="s">
        <v>138</v>
      </c>
      <c r="D40" s="67">
        <f t="shared" si="2"/>
        <v>537.8</v>
      </c>
      <c r="E40" s="88">
        <f>E41+E42+E43+E44</f>
        <v>537.8</v>
      </c>
      <c r="F40" s="88">
        <f>F41+F42+F43+F44</f>
        <v>0</v>
      </c>
      <c r="G40" s="88">
        <f>G41+G42+G43+G44</f>
        <v>0</v>
      </c>
      <c r="H40" s="88">
        <f>H41+H42+H43+H44</f>
        <v>0</v>
      </c>
      <c r="I40" s="88">
        <f>I41+I42+I43+I44</f>
        <v>0</v>
      </c>
      <c r="J40" s="36" t="s">
        <v>43</v>
      </c>
      <c r="K40" s="15"/>
      <c r="M40" s="115"/>
    </row>
    <row r="41" spans="1:13" ht="67.5" customHeight="1">
      <c r="A41" s="36"/>
      <c r="B41" s="257" t="s">
        <v>230</v>
      </c>
      <c r="C41" s="116" t="s">
        <v>138</v>
      </c>
      <c r="D41" s="67">
        <f t="shared" si="2"/>
        <v>13</v>
      </c>
      <c r="E41" s="261">
        <v>13</v>
      </c>
      <c r="F41" s="75"/>
      <c r="G41" s="63"/>
      <c r="H41" s="63"/>
      <c r="I41" s="120"/>
      <c r="J41" s="36"/>
      <c r="K41" s="15"/>
      <c r="M41" s="115"/>
    </row>
    <row r="42" spans="1:13" ht="67.5" customHeight="1">
      <c r="A42" s="36"/>
      <c r="B42" s="257" t="s">
        <v>231</v>
      </c>
      <c r="C42" s="116" t="s">
        <v>138</v>
      </c>
      <c r="D42" s="67">
        <f t="shared" si="2"/>
        <v>9</v>
      </c>
      <c r="E42" s="261">
        <v>9</v>
      </c>
      <c r="F42" s="75"/>
      <c r="G42" s="63"/>
      <c r="H42" s="63"/>
      <c r="I42" s="120"/>
      <c r="J42" s="36"/>
      <c r="K42" s="15"/>
      <c r="M42" s="115"/>
    </row>
    <row r="43" spans="1:13" ht="67.5" customHeight="1">
      <c r="A43" s="36"/>
      <c r="B43" s="257" t="s">
        <v>252</v>
      </c>
      <c r="C43" s="116" t="s">
        <v>138</v>
      </c>
      <c r="D43" s="67">
        <f t="shared" si="2"/>
        <v>200</v>
      </c>
      <c r="E43" s="261">
        <v>200</v>
      </c>
      <c r="F43" s="75"/>
      <c r="G43" s="63"/>
      <c r="H43" s="63"/>
      <c r="I43" s="120"/>
      <c r="J43" s="36"/>
      <c r="K43" s="15"/>
      <c r="M43" s="115"/>
    </row>
    <row r="44" spans="1:13" ht="63" customHeight="1">
      <c r="A44" s="36"/>
      <c r="B44" s="257" t="s">
        <v>232</v>
      </c>
      <c r="C44" s="116" t="s">
        <v>138</v>
      </c>
      <c r="D44" s="67">
        <f t="shared" si="2"/>
        <v>315.8</v>
      </c>
      <c r="E44" s="261">
        <v>315.8</v>
      </c>
      <c r="F44" s="75"/>
      <c r="G44" s="63"/>
      <c r="H44" s="63"/>
      <c r="I44" s="121"/>
      <c r="J44" s="36"/>
      <c r="K44" s="15"/>
      <c r="M44" s="115"/>
    </row>
    <row r="45" spans="1:13" ht="25.5" customHeight="1">
      <c r="A45" s="603">
        <v>5</v>
      </c>
      <c r="B45" s="719" t="s">
        <v>3</v>
      </c>
      <c r="C45" s="116" t="s">
        <v>138</v>
      </c>
      <c r="D45" s="67">
        <f>E45+F45+I45</f>
        <v>37220</v>
      </c>
      <c r="E45" s="88">
        <f>E47+E49+E50+E51+E52+E61+E62+E63+E64+E65+E66+E67</f>
        <v>11085</v>
      </c>
      <c r="F45" s="88">
        <f>F47+F49+F50+F51+F52+F61+F62+F63+F64+F65+F66+F67+F53+F55+F56+F57+F58+F60</f>
        <v>26135</v>
      </c>
      <c r="G45" s="88">
        <f>G47+G49+G50+G51+G52+G61+G62+G63+G64+G65+G66+G67+G53+G55+G56+G57+G58+G60</f>
        <v>0</v>
      </c>
      <c r="H45" s="88">
        <f>H47+H49+H50+H51+H52+H61+H62+H63+H64+H65+H66+H67+H53+H55+H56+H57+H58+H60</f>
        <v>0</v>
      </c>
      <c r="I45" s="88"/>
      <c r="J45" s="603" t="s">
        <v>44</v>
      </c>
      <c r="K45" s="15"/>
      <c r="M45" s="115"/>
    </row>
    <row r="46" spans="1:13" ht="25.5" customHeight="1">
      <c r="A46" s="604"/>
      <c r="B46" s="720"/>
      <c r="C46" s="116" t="s">
        <v>643</v>
      </c>
      <c r="D46" s="67">
        <f>E46+F46+I46</f>
        <v>3797.4</v>
      </c>
      <c r="E46" s="88"/>
      <c r="F46" s="88"/>
      <c r="G46" s="509"/>
      <c r="H46" s="509"/>
      <c r="I46" s="88">
        <f>I48+I54+I59+I68</f>
        <v>3797.4</v>
      </c>
      <c r="J46" s="604"/>
      <c r="K46" s="15"/>
      <c r="M46" s="115"/>
    </row>
    <row r="47" spans="1:13" ht="20.25" customHeight="1">
      <c r="A47" s="603"/>
      <c r="B47" s="721" t="s">
        <v>233</v>
      </c>
      <c r="C47" s="116" t="s">
        <v>138</v>
      </c>
      <c r="D47" s="67">
        <f>E47+F47</f>
        <v>2600</v>
      </c>
      <c r="E47" s="232">
        <v>1250</v>
      </c>
      <c r="F47" s="75">
        <v>1350</v>
      </c>
      <c r="G47" s="63"/>
      <c r="H47" s="63"/>
      <c r="I47" s="122"/>
      <c r="J47" s="603"/>
      <c r="K47" s="15"/>
      <c r="M47" s="115"/>
    </row>
    <row r="48" spans="1:13" ht="21.75" customHeight="1">
      <c r="A48" s="604"/>
      <c r="B48" s="722"/>
      <c r="C48" s="116" t="s">
        <v>643</v>
      </c>
      <c r="D48" s="67">
        <f>E48+F48+I48</f>
        <v>1350</v>
      </c>
      <c r="E48" s="232"/>
      <c r="F48" s="75"/>
      <c r="G48" s="63"/>
      <c r="H48" s="63"/>
      <c r="I48" s="122">
        <v>1350</v>
      </c>
      <c r="J48" s="604"/>
      <c r="K48" s="15"/>
      <c r="M48" s="115"/>
    </row>
    <row r="49" spans="1:13" ht="42" customHeight="1">
      <c r="A49" s="36"/>
      <c r="B49" s="257" t="s">
        <v>234</v>
      </c>
      <c r="C49" s="116" t="s">
        <v>138</v>
      </c>
      <c r="D49" s="67">
        <f aca="true" t="shared" si="3" ref="D49:D64">E49+F49</f>
        <v>2310</v>
      </c>
      <c r="E49" s="232">
        <v>1110</v>
      </c>
      <c r="F49" s="75">
        <v>1200</v>
      </c>
      <c r="G49" s="63"/>
      <c r="H49" s="63"/>
      <c r="I49" s="122"/>
      <c r="J49" s="36"/>
      <c r="K49" s="15"/>
      <c r="M49" s="115"/>
    </row>
    <row r="50" spans="1:13" ht="38.25" customHeight="1">
      <c r="A50" s="36"/>
      <c r="B50" s="257" t="s">
        <v>235</v>
      </c>
      <c r="C50" s="116" t="s">
        <v>138</v>
      </c>
      <c r="D50" s="67">
        <f t="shared" si="3"/>
        <v>7100</v>
      </c>
      <c r="E50" s="232">
        <v>3500</v>
      </c>
      <c r="F50" s="75">
        <v>3600</v>
      </c>
      <c r="G50" s="63"/>
      <c r="H50" s="63"/>
      <c r="I50" s="122"/>
      <c r="J50" s="36"/>
      <c r="K50" s="15"/>
      <c r="M50" s="115"/>
    </row>
    <row r="51" spans="1:13" ht="38.25" customHeight="1">
      <c r="A51" s="36"/>
      <c r="B51" s="257" t="s">
        <v>236</v>
      </c>
      <c r="C51" s="116" t="s">
        <v>138</v>
      </c>
      <c r="D51" s="67">
        <f t="shared" si="3"/>
        <v>6500</v>
      </c>
      <c r="E51" s="232">
        <v>3200</v>
      </c>
      <c r="F51" s="75">
        <v>3300</v>
      </c>
      <c r="G51" s="63"/>
      <c r="H51" s="63"/>
      <c r="I51" s="122"/>
      <c r="J51" s="36"/>
      <c r="K51" s="15"/>
      <c r="M51" s="115"/>
    </row>
    <row r="52" spans="1:13" ht="38.25" customHeight="1">
      <c r="A52" s="36"/>
      <c r="B52" s="257" t="s">
        <v>237</v>
      </c>
      <c r="C52" s="116" t="s">
        <v>138</v>
      </c>
      <c r="D52" s="67">
        <f t="shared" si="3"/>
        <v>1300</v>
      </c>
      <c r="E52" s="232">
        <v>600</v>
      </c>
      <c r="F52" s="75">
        <v>700</v>
      </c>
      <c r="G52" s="63"/>
      <c r="H52" s="63"/>
      <c r="I52" s="122"/>
      <c r="J52" s="36"/>
      <c r="K52" s="15"/>
      <c r="M52" s="115"/>
    </row>
    <row r="53" spans="1:13" ht="22.5" customHeight="1">
      <c r="A53" s="603"/>
      <c r="B53" s="721" t="s">
        <v>353</v>
      </c>
      <c r="C53" s="116" t="s">
        <v>138</v>
      </c>
      <c r="D53" s="67">
        <f t="shared" si="3"/>
        <v>700</v>
      </c>
      <c r="E53" s="232"/>
      <c r="F53" s="75">
        <v>700</v>
      </c>
      <c r="G53" s="63"/>
      <c r="H53" s="63"/>
      <c r="I53" s="122"/>
      <c r="J53" s="603"/>
      <c r="K53" s="15"/>
      <c r="M53" s="115"/>
    </row>
    <row r="54" spans="1:13" ht="21.75" customHeight="1">
      <c r="A54" s="604"/>
      <c r="B54" s="722"/>
      <c r="C54" s="116" t="s">
        <v>643</v>
      </c>
      <c r="D54" s="67">
        <f t="shared" si="3"/>
        <v>0</v>
      </c>
      <c r="E54" s="232"/>
      <c r="F54" s="75"/>
      <c r="G54" s="63"/>
      <c r="H54" s="63"/>
      <c r="I54" s="122">
        <v>700</v>
      </c>
      <c r="J54" s="604"/>
      <c r="K54" s="15"/>
      <c r="M54" s="115"/>
    </row>
    <row r="55" spans="1:13" ht="38.25" customHeight="1">
      <c r="A55" s="36"/>
      <c r="B55" s="257" t="s">
        <v>354</v>
      </c>
      <c r="C55" s="116" t="s">
        <v>138</v>
      </c>
      <c r="D55" s="67">
        <f t="shared" si="3"/>
        <v>5200</v>
      </c>
      <c r="E55" s="232"/>
      <c r="F55" s="75">
        <v>5200</v>
      </c>
      <c r="G55" s="63"/>
      <c r="H55" s="63"/>
      <c r="I55" s="122"/>
      <c r="J55" s="36"/>
      <c r="K55" s="15"/>
      <c r="M55" s="115"/>
    </row>
    <row r="56" spans="1:13" ht="38.25" customHeight="1">
      <c r="A56" s="36"/>
      <c r="B56" s="257" t="s">
        <v>355</v>
      </c>
      <c r="C56" s="116" t="s">
        <v>138</v>
      </c>
      <c r="D56" s="67">
        <f t="shared" si="3"/>
        <v>3700</v>
      </c>
      <c r="E56" s="232"/>
      <c r="F56" s="75">
        <v>3700</v>
      </c>
      <c r="G56" s="63"/>
      <c r="H56" s="63"/>
      <c r="I56" s="122"/>
      <c r="J56" s="36"/>
      <c r="K56" s="15"/>
      <c r="M56" s="115"/>
    </row>
    <row r="57" spans="1:13" ht="38.25" customHeight="1">
      <c r="A57" s="36"/>
      <c r="B57" s="257" t="s">
        <v>356</v>
      </c>
      <c r="C57" s="116" t="s">
        <v>138</v>
      </c>
      <c r="D57" s="67">
        <f t="shared" si="3"/>
        <v>3100</v>
      </c>
      <c r="E57" s="232"/>
      <c r="F57" s="75">
        <v>3100</v>
      </c>
      <c r="G57" s="63"/>
      <c r="H57" s="63"/>
      <c r="I57" s="122"/>
      <c r="J57" s="36"/>
      <c r="K57" s="15"/>
      <c r="M57" s="115"/>
    </row>
    <row r="58" spans="1:13" ht="21.75" customHeight="1">
      <c r="A58" s="603"/>
      <c r="B58" s="721" t="s">
        <v>357</v>
      </c>
      <c r="C58" s="116" t="s">
        <v>138</v>
      </c>
      <c r="D58" s="67">
        <f t="shared" si="3"/>
        <v>1700</v>
      </c>
      <c r="E58" s="232"/>
      <c r="F58" s="75">
        <v>1700</v>
      </c>
      <c r="G58" s="63"/>
      <c r="H58" s="63"/>
      <c r="I58" s="122"/>
      <c r="J58" s="603"/>
      <c r="K58" s="15"/>
      <c r="M58" s="115"/>
    </row>
    <row r="59" spans="1:13" ht="20.25" customHeight="1">
      <c r="A59" s="604"/>
      <c r="B59" s="722"/>
      <c r="C59" s="116" t="s">
        <v>643</v>
      </c>
      <c r="D59" s="67">
        <f>E59+F59+I59</f>
        <v>1700</v>
      </c>
      <c r="E59" s="232"/>
      <c r="F59" s="75"/>
      <c r="G59" s="63"/>
      <c r="H59" s="63"/>
      <c r="I59" s="122">
        <v>1700</v>
      </c>
      <c r="J59" s="604"/>
      <c r="K59" s="15"/>
      <c r="M59" s="115"/>
    </row>
    <row r="60" spans="1:13" ht="38.25" customHeight="1">
      <c r="A60" s="36"/>
      <c r="B60" s="257" t="s">
        <v>358</v>
      </c>
      <c r="C60" s="116" t="s">
        <v>138</v>
      </c>
      <c r="D60" s="67">
        <f t="shared" si="3"/>
        <v>300</v>
      </c>
      <c r="E60" s="232"/>
      <c r="F60" s="75">
        <v>300</v>
      </c>
      <c r="G60" s="63"/>
      <c r="H60" s="63"/>
      <c r="I60" s="122"/>
      <c r="J60" s="36"/>
      <c r="K60" s="15"/>
      <c r="M60" s="115"/>
    </row>
    <row r="61" spans="1:13" ht="38.25" customHeight="1">
      <c r="A61" s="36"/>
      <c r="B61" s="257" t="s">
        <v>238</v>
      </c>
      <c r="C61" s="116" t="s">
        <v>138</v>
      </c>
      <c r="D61" s="67">
        <f t="shared" si="3"/>
        <v>160</v>
      </c>
      <c r="E61" s="232">
        <v>75</v>
      </c>
      <c r="F61" s="75">
        <v>85</v>
      </c>
      <c r="G61" s="63"/>
      <c r="H61" s="63"/>
      <c r="I61" s="122"/>
      <c r="J61" s="36"/>
      <c r="K61" s="15"/>
      <c r="M61" s="115"/>
    </row>
    <row r="62" spans="1:13" ht="38.25" customHeight="1">
      <c r="A62" s="36"/>
      <c r="B62" s="257" t="s">
        <v>239</v>
      </c>
      <c r="C62" s="116" t="s">
        <v>138</v>
      </c>
      <c r="D62" s="67">
        <f t="shared" si="3"/>
        <v>36</v>
      </c>
      <c r="E62" s="232">
        <v>36</v>
      </c>
      <c r="F62" s="75"/>
      <c r="G62" s="63"/>
      <c r="H62" s="63"/>
      <c r="I62" s="122"/>
      <c r="J62" s="36"/>
      <c r="K62" s="15"/>
      <c r="M62" s="115"/>
    </row>
    <row r="63" spans="1:13" ht="38.25" customHeight="1">
      <c r="A63" s="36"/>
      <c r="B63" s="257" t="s">
        <v>240</v>
      </c>
      <c r="C63" s="116" t="s">
        <v>138</v>
      </c>
      <c r="D63" s="67">
        <f t="shared" si="3"/>
        <v>710</v>
      </c>
      <c r="E63" s="232">
        <v>110</v>
      </c>
      <c r="F63" s="75">
        <v>600</v>
      </c>
      <c r="G63" s="63"/>
      <c r="H63" s="63"/>
      <c r="I63" s="122"/>
      <c r="J63" s="36"/>
      <c r="K63" s="15"/>
      <c r="M63" s="115"/>
    </row>
    <row r="64" spans="1:13" ht="69" customHeight="1">
      <c r="A64" s="36"/>
      <c r="B64" s="257" t="s">
        <v>241</v>
      </c>
      <c r="C64" s="116" t="s">
        <v>138</v>
      </c>
      <c r="D64" s="67">
        <f t="shared" si="3"/>
        <v>910</v>
      </c>
      <c r="E64" s="232">
        <v>310</v>
      </c>
      <c r="F64" s="75">
        <v>600</v>
      </c>
      <c r="G64" s="63"/>
      <c r="H64" s="63"/>
      <c r="I64" s="122"/>
      <c r="J64" s="36"/>
      <c r="K64" s="15"/>
      <c r="M64" s="115"/>
    </row>
    <row r="65" spans="1:13" ht="44.25" customHeight="1">
      <c r="A65" s="36"/>
      <c r="B65" s="257" t="s">
        <v>242</v>
      </c>
      <c r="C65" s="116" t="s">
        <v>138</v>
      </c>
      <c r="D65" s="67">
        <f aca="true" t="shared" si="4" ref="D65:D73">E65</f>
        <v>175</v>
      </c>
      <c r="E65" s="232">
        <v>175</v>
      </c>
      <c r="F65" s="75"/>
      <c r="G65" s="63"/>
      <c r="H65" s="63"/>
      <c r="I65" s="122"/>
      <c r="J65" s="36"/>
      <c r="K65" s="15"/>
      <c r="M65" s="115"/>
    </row>
    <row r="66" spans="1:13" ht="66" customHeight="1">
      <c r="A66" s="36"/>
      <c r="B66" s="257" t="s">
        <v>243</v>
      </c>
      <c r="C66" s="116" t="s">
        <v>138</v>
      </c>
      <c r="D66" s="67">
        <f t="shared" si="4"/>
        <v>320</v>
      </c>
      <c r="E66" s="232">
        <v>320</v>
      </c>
      <c r="F66" s="75"/>
      <c r="G66" s="63"/>
      <c r="H66" s="63"/>
      <c r="I66" s="122"/>
      <c r="J66" s="36"/>
      <c r="K66" s="15"/>
      <c r="M66" s="115"/>
    </row>
    <row r="67" spans="1:13" ht="38.25" customHeight="1">
      <c r="A67" s="36"/>
      <c r="B67" s="257" t="s">
        <v>244</v>
      </c>
      <c r="C67" s="116" t="s">
        <v>138</v>
      </c>
      <c r="D67" s="67">
        <f t="shared" si="4"/>
        <v>399</v>
      </c>
      <c r="E67" s="232">
        <v>399</v>
      </c>
      <c r="F67" s="75"/>
      <c r="G67" s="63"/>
      <c r="H67" s="63"/>
      <c r="I67" s="122"/>
      <c r="J67" s="36"/>
      <c r="K67" s="15"/>
      <c r="M67" s="115"/>
    </row>
    <row r="68" spans="1:13" ht="38.25" customHeight="1">
      <c r="A68" s="36"/>
      <c r="B68" s="257" t="s">
        <v>520</v>
      </c>
      <c r="C68" s="116" t="s">
        <v>643</v>
      </c>
      <c r="D68" s="67">
        <f>E68+F68+I68</f>
        <v>47.4</v>
      </c>
      <c r="E68" s="232"/>
      <c r="F68" s="75"/>
      <c r="G68" s="63"/>
      <c r="H68" s="63"/>
      <c r="I68" s="122">
        <v>47.4</v>
      </c>
      <c r="J68" s="36"/>
      <c r="K68" s="15"/>
      <c r="M68" s="115"/>
    </row>
    <row r="69" spans="1:13" ht="22.5" customHeight="1">
      <c r="A69" s="603">
        <v>6</v>
      </c>
      <c r="B69" s="719" t="s">
        <v>4</v>
      </c>
      <c r="C69" s="116" t="s">
        <v>138</v>
      </c>
      <c r="D69" s="67">
        <f>E69+F69+I69</f>
        <v>6506.2</v>
      </c>
      <c r="E69" s="88">
        <f>E71+E72+E73</f>
        <v>3006.2</v>
      </c>
      <c r="F69" s="88">
        <f>F71+F72+F73+F74</f>
        <v>3500</v>
      </c>
      <c r="G69" s="88">
        <f>G71+G72+G73+G74</f>
        <v>0</v>
      </c>
      <c r="H69" s="88">
        <f>H71+H72+H73+H74</f>
        <v>0</v>
      </c>
      <c r="I69" s="88"/>
      <c r="J69" s="603" t="s">
        <v>45</v>
      </c>
      <c r="K69" s="15"/>
      <c r="M69" s="115"/>
    </row>
    <row r="70" spans="1:13" ht="30" customHeight="1">
      <c r="A70" s="604"/>
      <c r="B70" s="720"/>
      <c r="C70" s="116" t="s">
        <v>643</v>
      </c>
      <c r="D70" s="67">
        <f>E70+F70+I70</f>
        <v>3500</v>
      </c>
      <c r="E70" s="88"/>
      <c r="F70" s="88"/>
      <c r="G70" s="509"/>
      <c r="H70" s="509"/>
      <c r="I70" s="88">
        <v>3500</v>
      </c>
      <c r="J70" s="604"/>
      <c r="K70" s="15"/>
      <c r="M70" s="115"/>
    </row>
    <row r="71" spans="1:13" ht="56.25" customHeight="1">
      <c r="A71" s="36"/>
      <c r="B71" s="262" t="s">
        <v>162</v>
      </c>
      <c r="C71" s="116" t="s">
        <v>138</v>
      </c>
      <c r="D71" s="67">
        <f t="shared" si="4"/>
        <v>1812</v>
      </c>
      <c r="E71" s="222">
        <v>1812</v>
      </c>
      <c r="F71" s="226"/>
      <c r="G71" s="63"/>
      <c r="H71" s="63"/>
      <c r="I71" s="119"/>
      <c r="J71" s="36"/>
      <c r="K71" s="15"/>
      <c r="M71" s="115"/>
    </row>
    <row r="72" spans="1:13" ht="53.25" customHeight="1">
      <c r="A72" s="36"/>
      <c r="B72" s="262" t="s">
        <v>163</v>
      </c>
      <c r="C72" s="116" t="s">
        <v>138</v>
      </c>
      <c r="D72" s="67">
        <f t="shared" si="4"/>
        <v>597.1</v>
      </c>
      <c r="E72" s="222">
        <v>597.1</v>
      </c>
      <c r="F72" s="226"/>
      <c r="G72" s="63"/>
      <c r="H72" s="63"/>
      <c r="I72" s="119"/>
      <c r="J72" s="36"/>
      <c r="K72" s="15"/>
      <c r="M72" s="115"/>
    </row>
    <row r="73" spans="1:13" ht="45" customHeight="1">
      <c r="A73" s="36"/>
      <c r="B73" s="262" t="s">
        <v>164</v>
      </c>
      <c r="C73" s="116" t="s">
        <v>138</v>
      </c>
      <c r="D73" s="67">
        <f t="shared" si="4"/>
        <v>597.1</v>
      </c>
      <c r="E73" s="222">
        <v>597.1</v>
      </c>
      <c r="F73" s="226"/>
      <c r="G73" s="63"/>
      <c r="H73" s="63"/>
      <c r="I73" s="119"/>
      <c r="J73" s="36"/>
      <c r="K73" s="15"/>
      <c r="M73" s="115"/>
    </row>
    <row r="74" spans="1:13" ht="19.5" customHeight="1">
      <c r="A74" s="603"/>
      <c r="B74" s="723" t="s">
        <v>387</v>
      </c>
      <c r="C74" s="116" t="s">
        <v>138</v>
      </c>
      <c r="D74" s="67">
        <f>E74+F74</f>
        <v>3500</v>
      </c>
      <c r="E74" s="222"/>
      <c r="F74" s="226">
        <v>3500</v>
      </c>
      <c r="G74" s="63"/>
      <c r="H74" s="63"/>
      <c r="I74" s="119"/>
      <c r="J74" s="603"/>
      <c r="K74" s="15"/>
      <c r="M74" s="115"/>
    </row>
    <row r="75" spans="1:13" ht="20.25" customHeight="1">
      <c r="A75" s="604"/>
      <c r="B75" s="724"/>
      <c r="C75" s="116" t="s">
        <v>643</v>
      </c>
      <c r="D75" s="67">
        <f>E75+F75+I75</f>
        <v>3500</v>
      </c>
      <c r="E75" s="222"/>
      <c r="F75" s="226"/>
      <c r="G75" s="63"/>
      <c r="H75" s="63"/>
      <c r="I75" s="119">
        <v>3500</v>
      </c>
      <c r="J75" s="604"/>
      <c r="K75" s="15"/>
      <c r="M75" s="115"/>
    </row>
    <row r="76" spans="1:13" ht="58.5" customHeight="1">
      <c r="A76" s="36">
        <v>7</v>
      </c>
      <c r="B76" s="263" t="s">
        <v>39</v>
      </c>
      <c r="C76" s="116" t="s">
        <v>138</v>
      </c>
      <c r="D76" s="67">
        <f>E76+F76+I76</f>
        <v>76733.072</v>
      </c>
      <c r="E76" s="88">
        <f>E77+E78+E79+E80+E81+E82+E83+E84+E85+E86+E87+E88+E89+E90+E91+E92+E93+E94+E95+E96+E97+E98+E99+E100+E101+E102+E103+E104+E105+E106+E107+E108</f>
        <v>50100.2</v>
      </c>
      <c r="F76" s="88">
        <f>F77+F78+F79+F80+F81+F82+F83+F84+F85+F86+F87+F88+F89+F90+F91+F92+F93+F94+F95+F96+F97+F98+F99+F100+F101+F102+F103+F104+F105+F106+F107+F108+F109+F110+F111+F112+F113+F114+F115+F116+F117+F118+F119+F120+F121+F122+F123+F124+F125+F126+F127+F128+F129+F130</f>
        <v>26632.872000000007</v>
      </c>
      <c r="G76" s="88">
        <f>G77+G78+G79+G80+G81+G82+G83+G84+G85+G86+G87+G88+G89+G90+G91+G92+G93+G94+G95+G96+G97+G98+G99+G100+G101+G102+G103+G104+G105+G106+G107+G108+G109+G110+G111+G112+G113+G114+G115+G116+G117+G118+G119+G120+G121+G122+G123+G124+G125+G126+G127+G128+G129+G130</f>
        <v>0</v>
      </c>
      <c r="H76" s="88">
        <f>H77+H78+H79+H80+H81+H82+H83+H84+H85+H86+H87+H88+H89+H90+H91+H92+H93+H94+H95+H96+H97+H98+H99+H100+H101+H102+H103+H104+H105+H106+H107+H108+H109+H110+H111+H112+H113+H114+H115+H116+H117+H118+H119+H120+H121+H122+H123+H124+H125+H126+H127+H128+H129+H130</f>
        <v>0</v>
      </c>
      <c r="I76" s="88">
        <f>I77+I78+I79+I80+I81+I82+I83+I84+I85+I86+I87+I88+I89+I90+I91+I92+I93+I94+I95+I96+I97+I98+I99+I100+I101+I102+I103+I104+I105+I106+I107+I108+I109+I110+I111+I112+I113+I114+I115+I116+I117+I118+I119+I120+I121+I122+I123+I124+I125+I126+I127+I128+I129+I130</f>
        <v>0</v>
      </c>
      <c r="J76" s="36" t="s">
        <v>40</v>
      </c>
      <c r="K76" s="15"/>
      <c r="M76" s="115"/>
    </row>
    <row r="77" spans="1:13" ht="86.25" customHeight="1">
      <c r="A77" s="36"/>
      <c r="B77" s="264" t="s">
        <v>165</v>
      </c>
      <c r="C77" s="116" t="s">
        <v>138</v>
      </c>
      <c r="D77" s="233">
        <f>E77+F77+I77</f>
        <v>55</v>
      </c>
      <c r="E77" s="222">
        <v>55</v>
      </c>
      <c r="F77" s="230"/>
      <c r="G77" s="63"/>
      <c r="H77" s="63"/>
      <c r="I77" s="123"/>
      <c r="J77" s="36"/>
      <c r="K77" s="15"/>
      <c r="M77" s="115"/>
    </row>
    <row r="78" spans="1:13" ht="58.5" customHeight="1">
      <c r="A78" s="36"/>
      <c r="B78" s="264" t="s">
        <v>251</v>
      </c>
      <c r="C78" s="116" t="s">
        <v>138</v>
      </c>
      <c r="D78" s="233">
        <f aca="true" t="shared" si="5" ref="D78:D107">E78+F78+I78</f>
        <v>1500</v>
      </c>
      <c r="E78" s="222">
        <v>1500</v>
      </c>
      <c r="F78" s="230"/>
      <c r="G78" s="63"/>
      <c r="H78" s="63"/>
      <c r="I78" s="123"/>
      <c r="J78" s="36"/>
      <c r="K78" s="15"/>
      <c r="M78" s="115"/>
    </row>
    <row r="79" spans="1:13" ht="79.5" customHeight="1">
      <c r="A79" s="36"/>
      <c r="B79" s="265" t="s">
        <v>166</v>
      </c>
      <c r="C79" s="116" t="s">
        <v>138</v>
      </c>
      <c r="D79" s="233">
        <f t="shared" si="5"/>
        <v>1308</v>
      </c>
      <c r="E79" s="222">
        <v>1308</v>
      </c>
      <c r="F79" s="230"/>
      <c r="G79" s="63"/>
      <c r="H79" s="63"/>
      <c r="I79" s="123"/>
      <c r="J79" s="36"/>
      <c r="K79" s="15"/>
      <c r="M79" s="115"/>
    </row>
    <row r="80" spans="1:13" ht="58.5" customHeight="1">
      <c r="A80" s="36"/>
      <c r="B80" s="266" t="s">
        <v>167</v>
      </c>
      <c r="C80" s="116" t="s">
        <v>138</v>
      </c>
      <c r="D80" s="233">
        <f t="shared" si="5"/>
        <v>650</v>
      </c>
      <c r="E80" s="222">
        <v>650</v>
      </c>
      <c r="F80" s="230"/>
      <c r="G80" s="63"/>
      <c r="H80" s="63"/>
      <c r="I80" s="123"/>
      <c r="J80" s="36"/>
      <c r="K80" s="15"/>
      <c r="M80" s="115"/>
    </row>
    <row r="81" spans="1:13" ht="38.25" customHeight="1">
      <c r="A81" s="36"/>
      <c r="B81" s="266" t="s">
        <v>168</v>
      </c>
      <c r="C81" s="116" t="s">
        <v>138</v>
      </c>
      <c r="D81" s="233">
        <f t="shared" si="5"/>
        <v>1100</v>
      </c>
      <c r="E81" s="222">
        <v>1100</v>
      </c>
      <c r="F81" s="230"/>
      <c r="G81" s="63"/>
      <c r="H81" s="63"/>
      <c r="I81" s="123"/>
      <c r="J81" s="36"/>
      <c r="K81" s="15"/>
      <c r="M81" s="115"/>
    </row>
    <row r="82" spans="1:13" ht="93" customHeight="1">
      <c r="A82" s="36"/>
      <c r="B82" s="267" t="s">
        <v>169</v>
      </c>
      <c r="C82" s="116" t="s">
        <v>138</v>
      </c>
      <c r="D82" s="233">
        <f t="shared" si="5"/>
        <v>30</v>
      </c>
      <c r="E82" s="231">
        <v>30</v>
      </c>
      <c r="F82" s="230"/>
      <c r="G82" s="63"/>
      <c r="H82" s="63"/>
      <c r="I82" s="123"/>
      <c r="J82" s="36"/>
      <c r="K82" s="15"/>
      <c r="M82" s="115"/>
    </row>
    <row r="83" spans="1:13" ht="58.5" customHeight="1">
      <c r="A83" s="36"/>
      <c r="B83" s="267" t="s">
        <v>170</v>
      </c>
      <c r="C83" s="116" t="s">
        <v>138</v>
      </c>
      <c r="D83" s="233">
        <f t="shared" si="5"/>
        <v>6500</v>
      </c>
      <c r="E83" s="232">
        <v>6500</v>
      </c>
      <c r="F83" s="230"/>
      <c r="G83" s="63"/>
      <c r="H83" s="63"/>
      <c r="I83" s="123"/>
      <c r="J83" s="36"/>
      <c r="K83" s="15"/>
      <c r="M83" s="115"/>
    </row>
    <row r="84" spans="1:13" ht="58.5" customHeight="1">
      <c r="A84" s="36"/>
      <c r="B84" s="269" t="s">
        <v>171</v>
      </c>
      <c r="C84" s="116" t="s">
        <v>138</v>
      </c>
      <c r="D84" s="233">
        <f t="shared" si="5"/>
        <v>1535</v>
      </c>
      <c r="E84" s="232">
        <v>1535</v>
      </c>
      <c r="F84" s="230"/>
      <c r="G84" s="63"/>
      <c r="H84" s="63"/>
      <c r="I84" s="123"/>
      <c r="J84" s="36"/>
      <c r="K84" s="15"/>
      <c r="M84" s="115"/>
    </row>
    <row r="85" spans="1:13" ht="58.5" customHeight="1">
      <c r="A85" s="36"/>
      <c r="B85" s="270" t="s">
        <v>172</v>
      </c>
      <c r="C85" s="116" t="s">
        <v>138</v>
      </c>
      <c r="D85" s="233">
        <f t="shared" si="5"/>
        <v>70</v>
      </c>
      <c r="E85" s="232">
        <v>70</v>
      </c>
      <c r="F85" s="230"/>
      <c r="G85" s="63"/>
      <c r="H85" s="63"/>
      <c r="I85" s="123"/>
      <c r="J85" s="36"/>
      <c r="K85" s="15"/>
      <c r="M85" s="115"/>
    </row>
    <row r="86" spans="1:13" ht="55.5" customHeight="1">
      <c r="A86" s="36"/>
      <c r="B86" s="270" t="s">
        <v>173</v>
      </c>
      <c r="C86" s="116" t="s">
        <v>138</v>
      </c>
      <c r="D86" s="233">
        <f t="shared" si="5"/>
        <v>850</v>
      </c>
      <c r="E86" s="232">
        <v>850</v>
      </c>
      <c r="F86" s="230"/>
      <c r="G86" s="63"/>
      <c r="H86" s="63"/>
      <c r="I86" s="123"/>
      <c r="J86" s="36"/>
      <c r="K86" s="15"/>
      <c r="M86" s="115"/>
    </row>
    <row r="87" spans="1:13" ht="77.25" customHeight="1">
      <c r="A87" s="36"/>
      <c r="B87" s="270" t="s">
        <v>174</v>
      </c>
      <c r="C87" s="116" t="s">
        <v>138</v>
      </c>
      <c r="D87" s="233">
        <f t="shared" si="5"/>
        <v>300</v>
      </c>
      <c r="E87" s="232">
        <v>300</v>
      </c>
      <c r="F87" s="230"/>
      <c r="G87" s="63"/>
      <c r="H87" s="63"/>
      <c r="I87" s="123"/>
      <c r="J87" s="36"/>
      <c r="K87" s="15"/>
      <c r="M87" s="115"/>
    </row>
    <row r="88" spans="1:13" ht="100.5" customHeight="1">
      <c r="A88" s="36"/>
      <c r="B88" s="270" t="s">
        <v>175</v>
      </c>
      <c r="C88" s="116" t="s">
        <v>138</v>
      </c>
      <c r="D88" s="233">
        <f t="shared" si="5"/>
        <v>280</v>
      </c>
      <c r="E88" s="232">
        <v>280</v>
      </c>
      <c r="F88" s="230"/>
      <c r="G88" s="63"/>
      <c r="H88" s="63"/>
      <c r="I88" s="123"/>
      <c r="J88" s="36"/>
      <c r="K88" s="15"/>
      <c r="M88" s="115"/>
    </row>
    <row r="89" spans="1:13" ht="79.5" customHeight="1">
      <c r="A89" s="36"/>
      <c r="B89" s="270" t="s">
        <v>176</v>
      </c>
      <c r="C89" s="116" t="s">
        <v>138</v>
      </c>
      <c r="D89" s="233">
        <f t="shared" si="5"/>
        <v>80</v>
      </c>
      <c r="E89" s="232">
        <v>80</v>
      </c>
      <c r="F89" s="230"/>
      <c r="G89" s="63"/>
      <c r="H89" s="63"/>
      <c r="I89" s="123"/>
      <c r="J89" s="36"/>
      <c r="K89" s="15"/>
      <c r="M89" s="115"/>
    </row>
    <row r="90" spans="1:13" ht="58.5" customHeight="1">
      <c r="A90" s="36"/>
      <c r="B90" s="270" t="s">
        <v>177</v>
      </c>
      <c r="C90" s="116" t="s">
        <v>138</v>
      </c>
      <c r="D90" s="233">
        <f t="shared" si="5"/>
        <v>350</v>
      </c>
      <c r="E90" s="232">
        <v>350</v>
      </c>
      <c r="F90" s="230"/>
      <c r="G90" s="63"/>
      <c r="H90" s="63"/>
      <c r="I90" s="123"/>
      <c r="J90" s="36"/>
      <c r="K90" s="15"/>
      <c r="M90" s="115"/>
    </row>
    <row r="91" spans="1:13" ht="84" customHeight="1">
      <c r="A91" s="36"/>
      <c r="B91" s="270" t="s">
        <v>178</v>
      </c>
      <c r="C91" s="116" t="s">
        <v>138</v>
      </c>
      <c r="D91" s="233">
        <f t="shared" si="5"/>
        <v>80</v>
      </c>
      <c r="E91" s="232">
        <v>80</v>
      </c>
      <c r="F91" s="230"/>
      <c r="G91" s="63"/>
      <c r="H91" s="63"/>
      <c r="I91" s="123"/>
      <c r="J91" s="36"/>
      <c r="K91" s="15"/>
      <c r="M91" s="115"/>
    </row>
    <row r="92" spans="1:13" ht="58.5" customHeight="1">
      <c r="A92" s="36"/>
      <c r="B92" s="270" t="s">
        <v>179</v>
      </c>
      <c r="C92" s="116" t="s">
        <v>138</v>
      </c>
      <c r="D92" s="233">
        <f t="shared" si="5"/>
        <v>550</v>
      </c>
      <c r="E92" s="232">
        <v>550</v>
      </c>
      <c r="F92" s="230"/>
      <c r="G92" s="63"/>
      <c r="H92" s="63"/>
      <c r="I92" s="123"/>
      <c r="J92" s="36"/>
      <c r="K92" s="15"/>
      <c r="M92" s="115"/>
    </row>
    <row r="93" spans="1:13" ht="97.5" customHeight="1">
      <c r="A93" s="36"/>
      <c r="B93" s="270" t="s">
        <v>180</v>
      </c>
      <c r="C93" s="116" t="s">
        <v>138</v>
      </c>
      <c r="D93" s="233">
        <f t="shared" si="5"/>
        <v>80</v>
      </c>
      <c r="E93" s="232">
        <v>80</v>
      </c>
      <c r="F93" s="230"/>
      <c r="G93" s="63"/>
      <c r="H93" s="63"/>
      <c r="I93" s="123"/>
      <c r="J93" s="36"/>
      <c r="K93" s="15"/>
      <c r="M93" s="115"/>
    </row>
    <row r="94" spans="1:13" ht="77.25" customHeight="1">
      <c r="A94" s="36"/>
      <c r="B94" s="270" t="s">
        <v>181</v>
      </c>
      <c r="C94" s="116" t="s">
        <v>138</v>
      </c>
      <c r="D94" s="233">
        <f t="shared" si="5"/>
        <v>320</v>
      </c>
      <c r="E94" s="232">
        <v>320</v>
      </c>
      <c r="F94" s="230"/>
      <c r="G94" s="63"/>
      <c r="H94" s="63"/>
      <c r="I94" s="123"/>
      <c r="J94" s="36"/>
      <c r="K94" s="15"/>
      <c r="M94" s="115"/>
    </row>
    <row r="95" spans="1:13" ht="72.75" customHeight="1">
      <c r="A95" s="36"/>
      <c r="B95" s="270" t="s">
        <v>182</v>
      </c>
      <c r="C95" s="116" t="s">
        <v>138</v>
      </c>
      <c r="D95" s="233">
        <f t="shared" si="5"/>
        <v>210</v>
      </c>
      <c r="E95" s="232">
        <v>210</v>
      </c>
      <c r="F95" s="230"/>
      <c r="G95" s="63"/>
      <c r="H95" s="63"/>
      <c r="I95" s="123"/>
      <c r="J95" s="36"/>
      <c r="K95" s="15"/>
      <c r="M95" s="115"/>
    </row>
    <row r="96" spans="1:13" ht="86.25" customHeight="1">
      <c r="A96" s="36"/>
      <c r="B96" s="270" t="s">
        <v>183</v>
      </c>
      <c r="C96" s="116" t="s">
        <v>138</v>
      </c>
      <c r="D96" s="233">
        <f t="shared" si="5"/>
        <v>215</v>
      </c>
      <c r="E96" s="232">
        <v>215</v>
      </c>
      <c r="F96" s="230"/>
      <c r="G96" s="63"/>
      <c r="H96" s="63"/>
      <c r="I96" s="123"/>
      <c r="J96" s="36"/>
      <c r="K96" s="15"/>
      <c r="M96" s="115"/>
    </row>
    <row r="97" spans="1:13" ht="81" customHeight="1">
      <c r="A97" s="36"/>
      <c r="B97" s="270" t="s">
        <v>184</v>
      </c>
      <c r="C97" s="116" t="s">
        <v>138</v>
      </c>
      <c r="D97" s="233">
        <f t="shared" si="5"/>
        <v>205.2</v>
      </c>
      <c r="E97" s="232">
        <v>205.2</v>
      </c>
      <c r="F97" s="230"/>
      <c r="G97" s="63"/>
      <c r="H97" s="63"/>
      <c r="I97" s="123"/>
      <c r="J97" s="36"/>
      <c r="K97" s="15"/>
      <c r="M97" s="115"/>
    </row>
    <row r="98" spans="1:13" ht="58.5" customHeight="1">
      <c r="A98" s="36"/>
      <c r="B98" s="270" t="s">
        <v>185</v>
      </c>
      <c r="C98" s="116" t="s">
        <v>138</v>
      </c>
      <c r="D98" s="233">
        <f t="shared" si="5"/>
        <v>8950</v>
      </c>
      <c r="E98" s="232">
        <v>8950</v>
      </c>
      <c r="F98" s="230"/>
      <c r="G98" s="63"/>
      <c r="H98" s="63"/>
      <c r="I98" s="123"/>
      <c r="J98" s="36"/>
      <c r="K98" s="15"/>
      <c r="M98" s="115"/>
    </row>
    <row r="99" spans="1:13" ht="58.5" customHeight="1">
      <c r="A99" s="36"/>
      <c r="B99" s="270" t="s">
        <v>186</v>
      </c>
      <c r="C99" s="116" t="s">
        <v>138</v>
      </c>
      <c r="D99" s="233">
        <f t="shared" si="5"/>
        <v>2100</v>
      </c>
      <c r="E99" s="232">
        <v>2100</v>
      </c>
      <c r="F99" s="230"/>
      <c r="G99" s="63"/>
      <c r="H99" s="63"/>
      <c r="I99" s="123"/>
      <c r="J99" s="36"/>
      <c r="K99" s="15"/>
      <c r="M99" s="115"/>
    </row>
    <row r="100" spans="1:13" ht="58.5" customHeight="1">
      <c r="A100" s="36"/>
      <c r="B100" s="271" t="s">
        <v>187</v>
      </c>
      <c r="C100" s="116" t="s">
        <v>138</v>
      </c>
      <c r="D100" s="233">
        <f t="shared" si="5"/>
        <v>3000</v>
      </c>
      <c r="E100" s="232">
        <v>3000</v>
      </c>
      <c r="F100" s="230"/>
      <c r="G100" s="63"/>
      <c r="H100" s="63"/>
      <c r="I100" s="123"/>
      <c r="J100" s="36"/>
      <c r="K100" s="15"/>
      <c r="M100" s="115"/>
    </row>
    <row r="101" spans="1:13" ht="43.5" customHeight="1">
      <c r="A101" s="36"/>
      <c r="B101" s="271" t="s">
        <v>188</v>
      </c>
      <c r="C101" s="116" t="s">
        <v>138</v>
      </c>
      <c r="D101" s="233">
        <f t="shared" si="5"/>
        <v>4475</v>
      </c>
      <c r="E101" s="232">
        <v>4475</v>
      </c>
      <c r="F101" s="230"/>
      <c r="G101" s="63"/>
      <c r="H101" s="63"/>
      <c r="I101" s="123"/>
      <c r="J101" s="36"/>
      <c r="K101" s="15"/>
      <c r="M101" s="115"/>
    </row>
    <row r="102" spans="1:13" ht="35.25" customHeight="1">
      <c r="A102" s="36"/>
      <c r="B102" s="271" t="s">
        <v>189</v>
      </c>
      <c r="C102" s="116" t="s">
        <v>138</v>
      </c>
      <c r="D102" s="233">
        <f t="shared" si="5"/>
        <v>2300</v>
      </c>
      <c r="E102" s="232">
        <v>2300</v>
      </c>
      <c r="F102" s="230"/>
      <c r="G102" s="63"/>
      <c r="H102" s="63"/>
      <c r="I102" s="123"/>
      <c r="J102" s="36"/>
      <c r="K102" s="15"/>
      <c r="M102" s="115"/>
    </row>
    <row r="103" spans="1:13" ht="37.5" customHeight="1">
      <c r="A103" s="36"/>
      <c r="B103" s="271" t="s">
        <v>190</v>
      </c>
      <c r="C103" s="116" t="s">
        <v>138</v>
      </c>
      <c r="D103" s="233">
        <f t="shared" si="5"/>
        <v>4806</v>
      </c>
      <c r="E103" s="232">
        <v>2403</v>
      </c>
      <c r="F103" s="230">
        <v>2403</v>
      </c>
      <c r="G103" s="63"/>
      <c r="H103" s="63"/>
      <c r="I103" s="124"/>
      <c r="J103" s="36"/>
      <c r="K103" s="15"/>
      <c r="M103" s="115"/>
    </row>
    <row r="104" spans="1:13" ht="36.75" customHeight="1">
      <c r="A104" s="36"/>
      <c r="B104" s="270" t="s">
        <v>191</v>
      </c>
      <c r="C104" s="116" t="s">
        <v>138</v>
      </c>
      <c r="D104" s="233">
        <f t="shared" si="5"/>
        <v>3429</v>
      </c>
      <c r="E104" s="232">
        <v>3429</v>
      </c>
      <c r="F104" s="230"/>
      <c r="G104" s="63"/>
      <c r="H104" s="63"/>
      <c r="I104" s="124"/>
      <c r="J104" s="36"/>
      <c r="K104" s="15"/>
      <c r="M104" s="115"/>
    </row>
    <row r="105" spans="1:13" ht="39" customHeight="1">
      <c r="A105" s="36"/>
      <c r="B105" s="270" t="s">
        <v>192</v>
      </c>
      <c r="C105" s="116" t="s">
        <v>138</v>
      </c>
      <c r="D105" s="233">
        <f t="shared" si="5"/>
        <v>1950</v>
      </c>
      <c r="E105" s="232">
        <v>1950</v>
      </c>
      <c r="F105" s="230"/>
      <c r="G105" s="63"/>
      <c r="H105" s="63"/>
      <c r="I105" s="124"/>
      <c r="J105" s="36"/>
      <c r="K105" s="15"/>
      <c r="M105" s="115"/>
    </row>
    <row r="106" spans="1:13" ht="40.5" customHeight="1">
      <c r="A106" s="36"/>
      <c r="B106" s="270" t="s">
        <v>193</v>
      </c>
      <c r="C106" s="116" t="s">
        <v>138</v>
      </c>
      <c r="D106" s="233">
        <f t="shared" si="5"/>
        <v>2100</v>
      </c>
      <c r="E106" s="232">
        <v>2100</v>
      </c>
      <c r="F106" s="225"/>
      <c r="G106" s="63"/>
      <c r="H106" s="63"/>
      <c r="I106" s="38"/>
      <c r="J106" s="36"/>
      <c r="K106" s="15"/>
      <c r="M106" s="115"/>
    </row>
    <row r="107" spans="1:13" ht="38.25" customHeight="1">
      <c r="A107" s="36"/>
      <c r="B107" s="270" t="s">
        <v>194</v>
      </c>
      <c r="C107" s="116" t="s">
        <v>138</v>
      </c>
      <c r="D107" s="233">
        <f t="shared" si="5"/>
        <v>2500</v>
      </c>
      <c r="E107" s="232">
        <v>2500</v>
      </c>
      <c r="F107" s="225"/>
      <c r="G107" s="125"/>
      <c r="H107" s="125"/>
      <c r="I107" s="126"/>
      <c r="J107" s="36"/>
      <c r="K107" s="15"/>
      <c r="M107" s="115"/>
    </row>
    <row r="108" spans="1:13" ht="65.25" customHeight="1">
      <c r="A108" s="36"/>
      <c r="B108" s="268" t="s">
        <v>195</v>
      </c>
      <c r="C108" s="116" t="s">
        <v>138</v>
      </c>
      <c r="D108" s="233">
        <f>E108+F108+I108</f>
        <v>625</v>
      </c>
      <c r="E108" s="232">
        <v>625</v>
      </c>
      <c r="F108" s="225"/>
      <c r="G108" s="125"/>
      <c r="H108" s="125"/>
      <c r="I108" s="126"/>
      <c r="J108" s="36"/>
      <c r="K108" s="15"/>
      <c r="M108" s="115"/>
    </row>
    <row r="109" spans="1:13" ht="55.5" customHeight="1">
      <c r="A109" s="36"/>
      <c r="B109" s="268" t="s">
        <v>360</v>
      </c>
      <c r="C109" s="116" t="s">
        <v>138</v>
      </c>
      <c r="D109" s="233">
        <f aca="true" t="shared" si="6" ref="D109:D130">E109+F109+I109</f>
        <v>4800</v>
      </c>
      <c r="E109" s="232"/>
      <c r="F109" s="225">
        <v>4800</v>
      </c>
      <c r="G109" s="125"/>
      <c r="H109" s="125"/>
      <c r="I109" s="126"/>
      <c r="J109" s="36"/>
      <c r="K109" s="15"/>
      <c r="M109" s="115"/>
    </row>
    <row r="110" spans="1:13" ht="34.5" customHeight="1">
      <c r="A110" s="36"/>
      <c r="B110" s="268" t="s">
        <v>361</v>
      </c>
      <c r="C110" s="116" t="s">
        <v>138</v>
      </c>
      <c r="D110" s="233">
        <f t="shared" si="6"/>
        <v>2600</v>
      </c>
      <c r="E110" s="232"/>
      <c r="F110" s="225">
        <v>2600</v>
      </c>
      <c r="G110" s="125"/>
      <c r="H110" s="125"/>
      <c r="I110" s="126"/>
      <c r="J110" s="36"/>
      <c r="K110" s="15"/>
      <c r="M110" s="115"/>
    </row>
    <row r="111" spans="1:13" ht="37.5" customHeight="1">
      <c r="A111" s="36"/>
      <c r="B111" s="268" t="s">
        <v>362</v>
      </c>
      <c r="C111" s="116" t="s">
        <v>138</v>
      </c>
      <c r="D111" s="233">
        <f t="shared" si="6"/>
        <v>2800</v>
      </c>
      <c r="E111" s="232"/>
      <c r="F111" s="225">
        <v>2800</v>
      </c>
      <c r="G111" s="125"/>
      <c r="H111" s="125"/>
      <c r="I111" s="126"/>
      <c r="J111" s="36"/>
      <c r="K111" s="15"/>
      <c r="M111" s="115"/>
    </row>
    <row r="112" spans="1:13" ht="36.75" customHeight="1">
      <c r="A112" s="36"/>
      <c r="B112" s="268" t="s">
        <v>363</v>
      </c>
      <c r="C112" s="116" t="s">
        <v>138</v>
      </c>
      <c r="D112" s="233">
        <f t="shared" si="6"/>
        <v>1755</v>
      </c>
      <c r="E112" s="232"/>
      <c r="F112" s="225">
        <v>1755</v>
      </c>
      <c r="G112" s="125"/>
      <c r="H112" s="125"/>
      <c r="I112" s="126"/>
      <c r="J112" s="36"/>
      <c r="K112" s="15"/>
      <c r="M112" s="115"/>
    </row>
    <row r="113" spans="1:13" ht="36" customHeight="1">
      <c r="A113" s="36"/>
      <c r="B113" s="268" t="s">
        <v>364</v>
      </c>
      <c r="C113" s="116" t="s">
        <v>138</v>
      </c>
      <c r="D113" s="233">
        <f t="shared" si="6"/>
        <v>3511</v>
      </c>
      <c r="E113" s="232"/>
      <c r="F113" s="225">
        <v>3511</v>
      </c>
      <c r="G113" s="125"/>
      <c r="H113" s="125"/>
      <c r="I113" s="126"/>
      <c r="J113" s="36"/>
      <c r="K113" s="15"/>
      <c r="M113" s="115"/>
    </row>
    <row r="114" spans="1:13" ht="52.5" customHeight="1">
      <c r="A114" s="36"/>
      <c r="B114" s="268" t="s">
        <v>365</v>
      </c>
      <c r="C114" s="116" t="s">
        <v>138</v>
      </c>
      <c r="D114" s="233">
        <f t="shared" si="6"/>
        <v>1260</v>
      </c>
      <c r="E114" s="232"/>
      <c r="F114" s="225">
        <v>1260</v>
      </c>
      <c r="G114" s="125"/>
      <c r="H114" s="125"/>
      <c r="I114" s="126"/>
      <c r="J114" s="36"/>
      <c r="K114" s="15"/>
      <c r="M114" s="115"/>
    </row>
    <row r="115" spans="1:13" ht="36.75" customHeight="1">
      <c r="A115" s="36"/>
      <c r="B115" s="268" t="s">
        <v>366</v>
      </c>
      <c r="C115" s="116" t="s">
        <v>138</v>
      </c>
      <c r="D115" s="233">
        <f t="shared" si="6"/>
        <v>667</v>
      </c>
      <c r="E115" s="232"/>
      <c r="F115" s="225">
        <v>667</v>
      </c>
      <c r="G115" s="125"/>
      <c r="H115" s="125"/>
      <c r="I115" s="126"/>
      <c r="J115" s="36"/>
      <c r="K115" s="15"/>
      <c r="M115" s="115"/>
    </row>
    <row r="116" spans="1:13" ht="35.25" customHeight="1">
      <c r="A116" s="36"/>
      <c r="B116" s="268" t="s">
        <v>367</v>
      </c>
      <c r="C116" s="116" t="s">
        <v>138</v>
      </c>
      <c r="D116" s="233">
        <f t="shared" si="6"/>
        <v>6.092</v>
      </c>
      <c r="E116" s="232"/>
      <c r="F116" s="225">
        <v>6.092</v>
      </c>
      <c r="G116" s="125"/>
      <c r="H116" s="125"/>
      <c r="I116" s="126"/>
      <c r="J116" s="36"/>
      <c r="K116" s="15"/>
      <c r="M116" s="115"/>
    </row>
    <row r="117" spans="1:13" ht="35.25" customHeight="1">
      <c r="A117" s="36"/>
      <c r="B117" s="268" t="s">
        <v>368</v>
      </c>
      <c r="C117" s="116" t="s">
        <v>138</v>
      </c>
      <c r="D117" s="233">
        <f t="shared" si="6"/>
        <v>7.38</v>
      </c>
      <c r="E117" s="232"/>
      <c r="F117" s="225">
        <v>7.38</v>
      </c>
      <c r="G117" s="125"/>
      <c r="H117" s="125"/>
      <c r="I117" s="126"/>
      <c r="J117" s="36"/>
      <c r="K117" s="15"/>
      <c r="M117" s="115"/>
    </row>
    <row r="118" spans="1:13" ht="35.25" customHeight="1">
      <c r="A118" s="36"/>
      <c r="B118" s="268" t="s">
        <v>369</v>
      </c>
      <c r="C118" s="116" t="s">
        <v>138</v>
      </c>
      <c r="D118" s="233">
        <f t="shared" si="6"/>
        <v>9.68</v>
      </c>
      <c r="E118" s="232"/>
      <c r="F118" s="225">
        <v>9.68</v>
      </c>
      <c r="G118" s="125"/>
      <c r="H118" s="125"/>
      <c r="I118" s="126"/>
      <c r="J118" s="36"/>
      <c r="K118" s="15"/>
      <c r="M118" s="115"/>
    </row>
    <row r="119" spans="1:13" ht="53.25" customHeight="1">
      <c r="A119" s="36"/>
      <c r="B119" s="268" t="s">
        <v>370</v>
      </c>
      <c r="C119" s="116" t="s">
        <v>138</v>
      </c>
      <c r="D119" s="233">
        <f t="shared" si="6"/>
        <v>257.38</v>
      </c>
      <c r="E119" s="232"/>
      <c r="F119" s="225">
        <v>257.38</v>
      </c>
      <c r="G119" s="125"/>
      <c r="H119" s="125"/>
      <c r="I119" s="126"/>
      <c r="J119" s="36"/>
      <c r="K119" s="15"/>
      <c r="M119" s="115"/>
    </row>
    <row r="120" spans="1:13" ht="53.25" customHeight="1">
      <c r="A120" s="36"/>
      <c r="B120" s="268" t="s">
        <v>371</v>
      </c>
      <c r="C120" s="116" t="s">
        <v>138</v>
      </c>
      <c r="D120" s="233">
        <f t="shared" si="6"/>
        <v>79.86</v>
      </c>
      <c r="E120" s="232"/>
      <c r="F120" s="225">
        <v>79.86</v>
      </c>
      <c r="G120" s="125"/>
      <c r="H120" s="125"/>
      <c r="I120" s="126"/>
      <c r="J120" s="36"/>
      <c r="K120" s="15"/>
      <c r="M120" s="115"/>
    </row>
    <row r="121" spans="1:13" ht="56.25" customHeight="1">
      <c r="A121" s="36"/>
      <c r="B121" s="268" t="s">
        <v>372</v>
      </c>
      <c r="C121" s="116" t="s">
        <v>138</v>
      </c>
      <c r="D121" s="233">
        <f t="shared" si="6"/>
        <v>746.83</v>
      </c>
      <c r="E121" s="232"/>
      <c r="F121" s="225">
        <v>746.83</v>
      </c>
      <c r="G121" s="125"/>
      <c r="H121" s="125"/>
      <c r="I121" s="126"/>
      <c r="J121" s="36"/>
      <c r="K121" s="15"/>
      <c r="M121" s="115"/>
    </row>
    <row r="122" spans="1:13" ht="37.5" customHeight="1">
      <c r="A122" s="36"/>
      <c r="B122" s="268" t="s">
        <v>373</v>
      </c>
      <c r="C122" s="116" t="s">
        <v>138</v>
      </c>
      <c r="D122" s="233">
        <f t="shared" si="6"/>
        <v>35.75</v>
      </c>
      <c r="E122" s="232"/>
      <c r="F122" s="225">
        <v>35.75</v>
      </c>
      <c r="G122" s="125"/>
      <c r="H122" s="125"/>
      <c r="I122" s="126"/>
      <c r="J122" s="36"/>
      <c r="K122" s="15"/>
      <c r="M122" s="115"/>
    </row>
    <row r="123" spans="1:13" ht="36" customHeight="1">
      <c r="A123" s="36"/>
      <c r="B123" s="268" t="s">
        <v>374</v>
      </c>
      <c r="C123" s="116" t="s">
        <v>138</v>
      </c>
      <c r="D123" s="233">
        <f t="shared" si="6"/>
        <v>15.4</v>
      </c>
      <c r="E123" s="232"/>
      <c r="F123" s="225">
        <v>15.4</v>
      </c>
      <c r="G123" s="125"/>
      <c r="H123" s="125"/>
      <c r="I123" s="126"/>
      <c r="J123" s="36"/>
      <c r="K123" s="15"/>
      <c r="M123" s="115"/>
    </row>
    <row r="124" spans="1:13" ht="36" customHeight="1">
      <c r="A124" s="36"/>
      <c r="B124" s="268" t="s">
        <v>375</v>
      </c>
      <c r="C124" s="116" t="s">
        <v>138</v>
      </c>
      <c r="D124" s="233">
        <f t="shared" si="6"/>
        <v>310</v>
      </c>
      <c r="E124" s="232"/>
      <c r="F124" s="225">
        <v>310</v>
      </c>
      <c r="G124" s="125"/>
      <c r="H124" s="125"/>
      <c r="I124" s="126"/>
      <c r="J124" s="36"/>
      <c r="K124" s="15"/>
      <c r="M124" s="115"/>
    </row>
    <row r="125" spans="1:13" ht="36" customHeight="1">
      <c r="A125" s="36"/>
      <c r="B125" s="268" t="s">
        <v>376</v>
      </c>
      <c r="C125" s="116" t="s">
        <v>138</v>
      </c>
      <c r="D125" s="233">
        <f t="shared" si="6"/>
        <v>92</v>
      </c>
      <c r="E125" s="232"/>
      <c r="F125" s="225">
        <v>92</v>
      </c>
      <c r="G125" s="125"/>
      <c r="H125" s="125"/>
      <c r="I125" s="126"/>
      <c r="J125" s="36"/>
      <c r="K125" s="15"/>
      <c r="M125" s="115"/>
    </row>
    <row r="126" spans="1:13" ht="36" customHeight="1">
      <c r="A126" s="36"/>
      <c r="B126" s="268" t="s">
        <v>377</v>
      </c>
      <c r="C126" s="116" t="s">
        <v>138</v>
      </c>
      <c r="D126" s="233">
        <f t="shared" si="6"/>
        <v>1715</v>
      </c>
      <c r="E126" s="232"/>
      <c r="F126" s="225">
        <v>1715</v>
      </c>
      <c r="G126" s="125"/>
      <c r="H126" s="125"/>
      <c r="I126" s="126"/>
      <c r="J126" s="36"/>
      <c r="K126" s="15"/>
      <c r="M126" s="115"/>
    </row>
    <row r="127" spans="1:13" ht="36" customHeight="1">
      <c r="A127" s="36"/>
      <c r="B127" s="268" t="s">
        <v>378</v>
      </c>
      <c r="C127" s="116" t="s">
        <v>138</v>
      </c>
      <c r="D127" s="233">
        <f t="shared" si="6"/>
        <v>2836.5</v>
      </c>
      <c r="E127" s="232"/>
      <c r="F127" s="225">
        <v>2836.5</v>
      </c>
      <c r="G127" s="125"/>
      <c r="H127" s="125"/>
      <c r="I127" s="126"/>
      <c r="J127" s="36"/>
      <c r="K127" s="15"/>
      <c r="M127" s="115"/>
    </row>
    <row r="128" spans="1:13" ht="41.25" customHeight="1">
      <c r="A128" s="36"/>
      <c r="B128" s="268" t="s">
        <v>379</v>
      </c>
      <c r="C128" s="116" t="s">
        <v>138</v>
      </c>
      <c r="D128" s="233">
        <f t="shared" si="6"/>
        <v>625</v>
      </c>
      <c r="E128" s="232"/>
      <c r="F128" s="225">
        <v>625</v>
      </c>
      <c r="G128" s="125"/>
      <c r="H128" s="125"/>
      <c r="I128" s="126"/>
      <c r="J128" s="36"/>
      <c r="K128" s="15"/>
      <c r="M128" s="115"/>
    </row>
    <row r="129" spans="1:13" ht="35.25" customHeight="1">
      <c r="A129" s="36"/>
      <c r="B129" s="443" t="s">
        <v>512</v>
      </c>
      <c r="C129" s="116" t="s">
        <v>138</v>
      </c>
      <c r="D129" s="233">
        <f t="shared" si="6"/>
        <v>0</v>
      </c>
      <c r="E129" s="232"/>
      <c r="F129" s="225">
        <f>1000-1000</f>
        <v>0</v>
      </c>
      <c r="G129" s="125"/>
      <c r="H129" s="125"/>
      <c r="I129" s="126"/>
      <c r="J129" s="36"/>
      <c r="K129" s="15"/>
      <c r="M129" s="115"/>
    </row>
    <row r="130" spans="1:13" ht="94.5" customHeight="1">
      <c r="A130" s="36"/>
      <c r="B130" s="443" t="s">
        <v>629</v>
      </c>
      <c r="C130" s="116" t="s">
        <v>138</v>
      </c>
      <c r="D130" s="233">
        <f t="shared" si="6"/>
        <v>100</v>
      </c>
      <c r="E130" s="232"/>
      <c r="F130" s="225">
        <v>100</v>
      </c>
      <c r="G130" s="125"/>
      <c r="H130" s="125"/>
      <c r="I130" s="126"/>
      <c r="J130" s="36"/>
      <c r="K130" s="15"/>
      <c r="M130" s="115"/>
    </row>
    <row r="131" spans="1:13" ht="56.25">
      <c r="A131" s="36">
        <v>8</v>
      </c>
      <c r="B131" s="129" t="s">
        <v>154</v>
      </c>
      <c r="C131" s="116"/>
      <c r="D131" s="130">
        <f aca="true" t="shared" si="7" ref="D131:D148">E131+F131+I131</f>
        <v>2112.7</v>
      </c>
      <c r="E131" s="280">
        <f>E132+E133+E134+E135+E136</f>
        <v>2112.7</v>
      </c>
      <c r="F131" s="280">
        <f>F132+F133+F134+F135+F136</f>
        <v>0</v>
      </c>
      <c r="G131" s="280">
        <f>G132+G133+G134+G135+G136</f>
        <v>0</v>
      </c>
      <c r="H131" s="280">
        <f>H132+H133+H134+H135+H136</f>
        <v>0</v>
      </c>
      <c r="I131" s="280">
        <f>I132+I133+I134+I135+I136</f>
        <v>0</v>
      </c>
      <c r="J131" s="36" t="s">
        <v>157</v>
      </c>
      <c r="K131" s="15"/>
      <c r="M131" s="115"/>
    </row>
    <row r="132" spans="1:13" ht="75">
      <c r="A132" s="36"/>
      <c r="B132" s="262" t="s">
        <v>253</v>
      </c>
      <c r="C132" s="116" t="s">
        <v>138</v>
      </c>
      <c r="D132" s="130">
        <f t="shared" si="7"/>
        <v>1568.6</v>
      </c>
      <c r="E132" s="222">
        <v>1568.6</v>
      </c>
      <c r="F132" s="226"/>
      <c r="G132" s="127"/>
      <c r="H132" s="127"/>
      <c r="I132" s="130"/>
      <c r="J132" s="36"/>
      <c r="K132" s="15"/>
      <c r="M132" s="115"/>
    </row>
    <row r="133" spans="1:13" ht="37.5">
      <c r="A133" s="36"/>
      <c r="B133" s="262" t="s">
        <v>158</v>
      </c>
      <c r="C133" s="116" t="s">
        <v>138</v>
      </c>
      <c r="D133" s="130">
        <f t="shared" si="7"/>
        <v>171.5</v>
      </c>
      <c r="E133" s="229">
        <v>171.5</v>
      </c>
      <c r="F133" s="226"/>
      <c r="G133" s="127"/>
      <c r="H133" s="127"/>
      <c r="I133" s="130"/>
      <c r="J133" s="36"/>
      <c r="K133" s="15"/>
      <c r="M133" s="115"/>
    </row>
    <row r="134" spans="1:13" ht="56.25">
      <c r="A134" s="36"/>
      <c r="B134" s="262" t="s">
        <v>159</v>
      </c>
      <c r="C134" s="116" t="s">
        <v>138</v>
      </c>
      <c r="D134" s="130">
        <f t="shared" si="7"/>
        <v>107.7</v>
      </c>
      <c r="E134" s="222">
        <v>107.7</v>
      </c>
      <c r="F134" s="226"/>
      <c r="G134" s="127"/>
      <c r="H134" s="127"/>
      <c r="I134" s="130"/>
      <c r="J134" s="36"/>
      <c r="K134" s="15"/>
      <c r="M134" s="115"/>
    </row>
    <row r="135" spans="1:13" ht="56.25">
      <c r="A135" s="36"/>
      <c r="B135" s="262" t="s">
        <v>160</v>
      </c>
      <c r="C135" s="116" t="s">
        <v>138</v>
      </c>
      <c r="D135" s="130">
        <f t="shared" si="7"/>
        <v>182.8</v>
      </c>
      <c r="E135" s="222">
        <v>182.8</v>
      </c>
      <c r="F135" s="226"/>
      <c r="G135" s="127"/>
      <c r="H135" s="127"/>
      <c r="I135" s="130"/>
      <c r="J135" s="36"/>
      <c r="K135" s="15"/>
      <c r="M135" s="115"/>
    </row>
    <row r="136" spans="1:13" ht="56.25">
      <c r="A136" s="36"/>
      <c r="B136" s="262" t="s">
        <v>161</v>
      </c>
      <c r="C136" s="116" t="s">
        <v>138</v>
      </c>
      <c r="D136" s="130">
        <f t="shared" si="7"/>
        <v>82.1</v>
      </c>
      <c r="E136" s="222">
        <v>82.1</v>
      </c>
      <c r="F136" s="226"/>
      <c r="G136" s="127"/>
      <c r="H136" s="127"/>
      <c r="I136" s="130"/>
      <c r="J136" s="36"/>
      <c r="K136" s="15"/>
      <c r="M136" s="115"/>
    </row>
    <row r="137" spans="1:13" ht="56.25">
      <c r="A137" s="36">
        <v>9</v>
      </c>
      <c r="B137" s="131" t="s">
        <v>71</v>
      </c>
      <c r="C137" s="116"/>
      <c r="D137" s="227">
        <f>E137+F137+I137</f>
        <v>1162.4</v>
      </c>
      <c r="E137" s="228">
        <f>E138+E139+E141</f>
        <v>559.4</v>
      </c>
      <c r="F137" s="228">
        <f>F138+F139+F141+F140+F142+F143</f>
        <v>603</v>
      </c>
      <c r="G137" s="228">
        <f>G138+G139+G141+G140+G142+G143</f>
        <v>0</v>
      </c>
      <c r="H137" s="228">
        <f>H138+H139+H141+H140+H142+H143</f>
        <v>0</v>
      </c>
      <c r="I137" s="228">
        <f>I138+I139+I141+I140+I142+I143</f>
        <v>0</v>
      </c>
      <c r="J137" s="36" t="s">
        <v>72</v>
      </c>
      <c r="K137" s="15"/>
      <c r="M137" s="115"/>
    </row>
    <row r="138" spans="1:13" ht="84.75" customHeight="1">
      <c r="A138" s="36"/>
      <c r="B138" s="262" t="s">
        <v>155</v>
      </c>
      <c r="C138" s="116" t="s">
        <v>138</v>
      </c>
      <c r="D138" s="227">
        <f t="shared" si="7"/>
        <v>47</v>
      </c>
      <c r="E138" s="284">
        <v>47</v>
      </c>
      <c r="F138" s="226"/>
      <c r="G138" s="127"/>
      <c r="H138" s="127"/>
      <c r="I138" s="126"/>
      <c r="J138" s="36"/>
      <c r="K138" s="15"/>
      <c r="M138" s="115"/>
    </row>
    <row r="139" spans="1:13" ht="45" customHeight="1">
      <c r="A139" s="36"/>
      <c r="B139" s="262" t="s">
        <v>156</v>
      </c>
      <c r="C139" s="116" t="s">
        <v>138</v>
      </c>
      <c r="D139" s="227">
        <f t="shared" si="7"/>
        <v>12.4</v>
      </c>
      <c r="E139" s="284">
        <v>12.4</v>
      </c>
      <c r="F139" s="226"/>
      <c r="G139" s="127"/>
      <c r="H139" s="127"/>
      <c r="I139" s="126"/>
      <c r="J139" s="36"/>
      <c r="K139" s="15"/>
      <c r="M139" s="115"/>
    </row>
    <row r="140" spans="1:13" ht="45" customHeight="1">
      <c r="A140" s="36"/>
      <c r="B140" s="262" t="s">
        <v>359</v>
      </c>
      <c r="C140" s="116" t="s">
        <v>138</v>
      </c>
      <c r="D140" s="227">
        <f t="shared" si="7"/>
        <v>540</v>
      </c>
      <c r="E140" s="284"/>
      <c r="F140" s="226">
        <f>540-20.8-42.2+63</f>
        <v>540</v>
      </c>
      <c r="G140" s="127"/>
      <c r="H140" s="127"/>
      <c r="I140" s="126"/>
      <c r="J140" s="36"/>
      <c r="K140" s="15"/>
      <c r="M140" s="115"/>
    </row>
    <row r="141" spans="1:13" ht="45" customHeight="1">
      <c r="A141" s="36"/>
      <c r="B141" s="262" t="s">
        <v>268</v>
      </c>
      <c r="C141" s="116" t="s">
        <v>138</v>
      </c>
      <c r="D141" s="227">
        <f t="shared" si="7"/>
        <v>500</v>
      </c>
      <c r="E141" s="284">
        <v>500</v>
      </c>
      <c r="F141" s="226"/>
      <c r="G141" s="127"/>
      <c r="H141" s="127"/>
      <c r="I141" s="126"/>
      <c r="J141" s="36"/>
      <c r="K141" s="15"/>
      <c r="M141" s="115"/>
    </row>
    <row r="142" spans="1:13" ht="45" customHeight="1">
      <c r="A142" s="36"/>
      <c r="B142" s="262" t="s">
        <v>414</v>
      </c>
      <c r="C142" s="281"/>
      <c r="D142" s="227">
        <f t="shared" si="7"/>
        <v>20.8</v>
      </c>
      <c r="E142" s="284"/>
      <c r="F142" s="226">
        <v>20.8</v>
      </c>
      <c r="G142" s="127"/>
      <c r="H142" s="127"/>
      <c r="I142" s="126"/>
      <c r="J142" s="36"/>
      <c r="K142" s="15"/>
      <c r="M142" s="115"/>
    </row>
    <row r="143" spans="1:13" ht="45" customHeight="1">
      <c r="A143" s="36"/>
      <c r="B143" s="262" t="s">
        <v>415</v>
      </c>
      <c r="C143" s="281"/>
      <c r="D143" s="227">
        <f t="shared" si="7"/>
        <v>42.2</v>
      </c>
      <c r="E143" s="284"/>
      <c r="F143" s="226">
        <v>42.2</v>
      </c>
      <c r="G143" s="127"/>
      <c r="H143" s="127"/>
      <c r="I143" s="126"/>
      <c r="J143" s="36"/>
      <c r="K143" s="15"/>
      <c r="M143" s="115"/>
    </row>
    <row r="144" spans="1:13" ht="53.25" customHeight="1">
      <c r="A144" s="36">
        <v>10</v>
      </c>
      <c r="B144" s="131" t="s">
        <v>256</v>
      </c>
      <c r="C144" s="281"/>
      <c r="D144" s="227">
        <f t="shared" si="7"/>
        <v>30680</v>
      </c>
      <c r="E144" s="283">
        <f>E145+E146+E147+E148</f>
        <v>30680</v>
      </c>
      <c r="F144" s="283">
        <f>F145+F146+F147+F148</f>
        <v>0</v>
      </c>
      <c r="G144" s="283">
        <f>G145+G146+G147+G148</f>
        <v>0</v>
      </c>
      <c r="H144" s="283">
        <f>H145+H146+H147+H148</f>
        <v>0</v>
      </c>
      <c r="I144" s="283">
        <f>I145+I146+I147+I148</f>
        <v>0</v>
      </c>
      <c r="J144" s="36" t="s">
        <v>261</v>
      </c>
      <c r="K144" s="15"/>
      <c r="M144" s="115"/>
    </row>
    <row r="145" spans="1:13" ht="39.75" customHeight="1">
      <c r="A145" s="36"/>
      <c r="B145" s="282" t="s">
        <v>257</v>
      </c>
      <c r="C145" s="116" t="s">
        <v>138</v>
      </c>
      <c r="D145" s="227">
        <f t="shared" si="7"/>
        <v>15500</v>
      </c>
      <c r="E145" s="285">
        <v>15500</v>
      </c>
      <c r="F145" s="226"/>
      <c r="G145" s="127"/>
      <c r="H145" s="127"/>
      <c r="I145" s="126"/>
      <c r="J145" s="36"/>
      <c r="K145" s="15"/>
      <c r="M145" s="115"/>
    </row>
    <row r="146" spans="1:13" ht="42" customHeight="1">
      <c r="A146" s="36"/>
      <c r="B146" s="282" t="s">
        <v>258</v>
      </c>
      <c r="C146" s="116" t="s">
        <v>138</v>
      </c>
      <c r="D146" s="227">
        <f t="shared" si="7"/>
        <v>4700</v>
      </c>
      <c r="E146" s="285">
        <v>4700</v>
      </c>
      <c r="F146" s="226"/>
      <c r="G146" s="127"/>
      <c r="H146" s="127"/>
      <c r="I146" s="126"/>
      <c r="J146" s="36"/>
      <c r="K146" s="15"/>
      <c r="M146" s="115"/>
    </row>
    <row r="147" spans="1:13" ht="40.5" customHeight="1">
      <c r="A147" s="36"/>
      <c r="B147" s="282" t="s">
        <v>259</v>
      </c>
      <c r="C147" s="116" t="s">
        <v>138</v>
      </c>
      <c r="D147" s="227">
        <f t="shared" si="7"/>
        <v>4780</v>
      </c>
      <c r="E147" s="284">
        <v>4780</v>
      </c>
      <c r="F147" s="226"/>
      <c r="G147" s="127"/>
      <c r="H147" s="127"/>
      <c r="I147" s="126"/>
      <c r="J147" s="36"/>
      <c r="K147" s="15"/>
      <c r="M147" s="115"/>
    </row>
    <row r="148" spans="1:13" ht="37.5" customHeight="1">
      <c r="A148" s="36"/>
      <c r="B148" s="282" t="s">
        <v>260</v>
      </c>
      <c r="C148" s="116" t="s">
        <v>138</v>
      </c>
      <c r="D148" s="227">
        <f t="shared" si="7"/>
        <v>5700</v>
      </c>
      <c r="E148" s="284">
        <v>5700</v>
      </c>
      <c r="F148" s="226"/>
      <c r="G148" s="127"/>
      <c r="H148" s="127"/>
      <c r="I148" s="126"/>
      <c r="J148" s="36"/>
      <c r="K148" s="15"/>
      <c r="M148" s="115"/>
    </row>
    <row r="149" spans="1:11" ht="20.25">
      <c r="A149" s="70"/>
      <c r="B149" s="272" t="s">
        <v>5</v>
      </c>
      <c r="C149" s="132"/>
      <c r="D149" s="273">
        <f>D137+D131+D76+D69+D45+D40+D31+D23+D16+D144</f>
        <v>216036.67200000002</v>
      </c>
      <c r="E149" s="273">
        <f>E137+E131+E76+E69+E45+E40+E31+E23+E16+E144</f>
        <v>127913.40000000001</v>
      </c>
      <c r="F149" s="133">
        <f>F144+F137+F131+F76+F69+F45+F40+F31+F23+F16</f>
        <v>88123.272</v>
      </c>
      <c r="G149" s="133">
        <f>G144+G137+G131+G76+G69+G45+G40+G31+G23+G16</f>
        <v>0</v>
      </c>
      <c r="H149" s="133">
        <f>H144+H137+H131+H76+H69+H45+H40+H31+H23+H16</f>
        <v>0</v>
      </c>
      <c r="I149" s="133">
        <f>I144+I137+I131+I76+I69+I45+I40+I31+I23+I16+I46+I70</f>
        <v>7297.4</v>
      </c>
      <c r="J149" s="72"/>
      <c r="K149" s="15"/>
    </row>
    <row r="150" spans="1:11" ht="15.75">
      <c r="A150" s="134"/>
      <c r="B150" s="135"/>
      <c r="C150" s="135"/>
      <c r="D150" s="136"/>
      <c r="E150" s="136"/>
      <c r="F150" s="136"/>
      <c r="G150" s="136"/>
      <c r="H150" s="136"/>
      <c r="I150" s="136"/>
      <c r="J150" s="20"/>
      <c r="K150" s="15"/>
    </row>
    <row r="151" spans="1:11" ht="15.75">
      <c r="A151" s="134"/>
      <c r="B151" s="135"/>
      <c r="C151" s="18"/>
      <c r="D151" s="19"/>
      <c r="E151" s="19"/>
      <c r="F151" s="19"/>
      <c r="G151" s="19"/>
      <c r="H151" s="19"/>
      <c r="I151" s="19"/>
      <c r="J151" s="20"/>
      <c r="K151" s="15"/>
    </row>
    <row r="152" spans="2:11" ht="15.75">
      <c r="B152" s="135"/>
      <c r="C152" s="18"/>
      <c r="D152" s="19"/>
      <c r="E152" s="19"/>
      <c r="F152" s="19"/>
      <c r="G152" s="19"/>
      <c r="H152" s="19"/>
      <c r="I152" s="19"/>
      <c r="J152" s="20"/>
      <c r="K152" s="15"/>
    </row>
    <row r="153" spans="2:11" ht="30.75" customHeight="1">
      <c r="B153" s="578" t="s">
        <v>18</v>
      </c>
      <c r="C153" s="578"/>
      <c r="D153" s="374"/>
      <c r="E153" s="374"/>
      <c r="F153" s="22"/>
      <c r="I153" s="23"/>
      <c r="J153" s="23" t="s">
        <v>30</v>
      </c>
      <c r="K153" s="23"/>
    </row>
    <row r="154" spans="2:11" ht="16.5" customHeight="1">
      <c r="B154" s="248"/>
      <c r="C154" s="374"/>
      <c r="D154" s="374"/>
      <c r="E154" s="374"/>
      <c r="F154" s="22"/>
      <c r="I154" s="23"/>
      <c r="J154" s="23"/>
      <c r="K154" s="23"/>
    </row>
    <row r="155" spans="2:11" ht="18.75">
      <c r="B155" s="248"/>
      <c r="C155" s="374"/>
      <c r="D155" s="374"/>
      <c r="E155" s="374"/>
      <c r="F155" s="22"/>
      <c r="I155" s="23"/>
      <c r="J155" s="23"/>
      <c r="K155" s="23"/>
    </row>
    <row r="156" spans="2:10" ht="18.75">
      <c r="B156" s="612" t="s">
        <v>670</v>
      </c>
      <c r="C156" s="612"/>
      <c r="D156" s="25"/>
      <c r="E156" s="25"/>
      <c r="F156" s="26"/>
      <c r="G156" s="26"/>
      <c r="H156" s="26"/>
      <c r="I156" s="15"/>
      <c r="J156" s="15"/>
    </row>
    <row r="157" spans="2:12" ht="15.75" customHeight="1">
      <c r="B157" s="341" t="s">
        <v>10</v>
      </c>
      <c r="C157" s="17"/>
      <c r="D157" s="26"/>
      <c r="E157" s="26"/>
      <c r="F157" s="26"/>
      <c r="G157" s="26"/>
      <c r="H157" s="26"/>
      <c r="I157" s="15"/>
      <c r="J157" s="15"/>
      <c r="L157" s="12"/>
    </row>
    <row r="158" spans="2:10" ht="15.75">
      <c r="B158" s="138"/>
      <c r="C158" s="29"/>
      <c r="D158" s="30"/>
      <c r="E158" s="30"/>
      <c r="F158" s="26"/>
      <c r="G158" s="26"/>
      <c r="H158" s="26"/>
      <c r="I158" s="15"/>
      <c r="J158" s="15"/>
    </row>
    <row r="159" spans="3:9" ht="15.75">
      <c r="C159" s="30"/>
      <c r="D159" s="26"/>
      <c r="E159" s="26"/>
      <c r="F159" s="26"/>
      <c r="G159" s="26"/>
      <c r="H159" s="26"/>
      <c r="I159" s="26"/>
    </row>
    <row r="160" spans="3:9" ht="15.75">
      <c r="C160" s="31"/>
      <c r="D160" s="26"/>
      <c r="E160" s="26"/>
      <c r="F160" s="26"/>
      <c r="G160" s="26"/>
      <c r="H160" s="26"/>
      <c r="I160" s="26"/>
    </row>
    <row r="162" ht="12.75">
      <c r="H162" s="139"/>
    </row>
  </sheetData>
  <sheetProtection/>
  <mergeCells count="34">
    <mergeCell ref="A69:A70"/>
    <mergeCell ref="B69:B70"/>
    <mergeCell ref="J69:J70"/>
    <mergeCell ref="A74:A75"/>
    <mergeCell ref="B74:B75"/>
    <mergeCell ref="J74:J75"/>
    <mergeCell ref="A53:A54"/>
    <mergeCell ref="B53:B54"/>
    <mergeCell ref="A58:A59"/>
    <mergeCell ref="B58:B59"/>
    <mergeCell ref="J58:J59"/>
    <mergeCell ref="J53:J54"/>
    <mergeCell ref="A45:A46"/>
    <mergeCell ref="B45:B46"/>
    <mergeCell ref="J45:J46"/>
    <mergeCell ref="A47:A48"/>
    <mergeCell ref="B47:B48"/>
    <mergeCell ref="J47:J48"/>
    <mergeCell ref="A13:A15"/>
    <mergeCell ref="B13:B15"/>
    <mergeCell ref="C13:C15"/>
    <mergeCell ref="J13:J15"/>
    <mergeCell ref="I14:I15"/>
    <mergeCell ref="D13:D15"/>
    <mergeCell ref="B153:C153"/>
    <mergeCell ref="B156:C156"/>
    <mergeCell ref="E13:I13"/>
    <mergeCell ref="D12:H12"/>
    <mergeCell ref="I1:J1"/>
    <mergeCell ref="I2:J2"/>
    <mergeCell ref="E14:E15"/>
    <mergeCell ref="F14:H15"/>
    <mergeCell ref="I9:J9"/>
    <mergeCell ref="A11:J11"/>
  </mergeCells>
  <printOptions horizontalCentered="1"/>
  <pageMargins left="1.1811023622047245" right="0.5905511811023623" top="1.1811023622047245" bottom="0.7874015748031497" header="0" footer="0"/>
  <pageSetup fitToHeight="0"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342" customWidth="1"/>
    <col min="2" max="2" width="61.57421875" style="342" customWidth="1"/>
    <col min="3" max="3" width="13.421875" style="342" hidden="1" customWidth="1"/>
    <col min="4" max="4" width="16.421875" style="342" customWidth="1"/>
    <col min="5" max="6" width="15.7109375" style="342" customWidth="1"/>
    <col min="7" max="7" width="47.8515625" style="342" customWidth="1"/>
    <col min="8" max="8" width="65.57421875" style="342" customWidth="1"/>
    <col min="9" max="9" width="15.7109375" style="342" customWidth="1"/>
    <col min="10" max="10" width="16.00390625" style="342" customWidth="1"/>
    <col min="11" max="11" width="14.140625" style="342" customWidth="1"/>
    <col min="12" max="12" width="12.421875" style="342" hidden="1" customWidth="1"/>
    <col min="13" max="13" width="14.8515625" style="342" customWidth="1"/>
    <col min="14" max="14" width="14.28125" style="342" customWidth="1"/>
    <col min="15" max="15" width="27.7109375" style="342" customWidth="1"/>
    <col min="16" max="16" width="19.140625" style="342" customWidth="1"/>
    <col min="17" max="17" width="15.140625" style="342" customWidth="1"/>
    <col min="18" max="18" width="14.140625" style="342" customWidth="1"/>
    <col min="19" max="19" width="17.28125" style="342" customWidth="1"/>
    <col min="20" max="20" width="13.8515625" style="342" customWidth="1"/>
  </cols>
  <sheetData>
    <row r="1" ht="11.25" customHeight="1"/>
    <row r="2" spans="1:12" s="342" customFormat="1" ht="42" customHeight="1">
      <c r="A2" s="577" t="s">
        <v>443</v>
      </c>
      <c r="B2" s="577"/>
      <c r="C2" s="577"/>
      <c r="D2" s="577"/>
      <c r="E2" s="577"/>
      <c r="F2" s="577"/>
      <c r="G2" s="577"/>
      <c r="H2" s="577"/>
      <c r="I2" s="368"/>
      <c r="J2" s="368"/>
      <c r="K2" s="368"/>
      <c r="L2" s="368"/>
    </row>
    <row r="3" spans="1:12" s="342" customFormat="1" ht="12.75" customHeight="1">
      <c r="A3" s="330"/>
      <c r="B3" s="330"/>
      <c r="C3" s="330"/>
      <c r="D3" s="369"/>
      <c r="E3" s="330"/>
      <c r="F3" s="330"/>
      <c r="G3" s="368"/>
      <c r="H3" s="434" t="s">
        <v>422</v>
      </c>
      <c r="I3" s="368"/>
      <c r="J3" s="368"/>
      <c r="K3" s="368"/>
      <c r="L3" s="368"/>
    </row>
    <row r="4" spans="1:12" s="342" customFormat="1" ht="6" customHeight="1">
      <c r="A4" s="330"/>
      <c r="B4" s="330"/>
      <c r="C4" s="330"/>
      <c r="D4" s="369"/>
      <c r="E4" s="330"/>
      <c r="F4" s="330"/>
      <c r="G4" s="368"/>
      <c r="H4" s="368"/>
      <c r="I4" s="368"/>
      <c r="J4" s="368"/>
      <c r="K4" s="368"/>
      <c r="L4" s="368"/>
    </row>
    <row r="5" spans="1:12" s="342" customFormat="1" ht="37.5" customHeight="1">
      <c r="A5" s="596" t="s">
        <v>6</v>
      </c>
      <c r="B5" s="585" t="s">
        <v>134</v>
      </c>
      <c r="C5" s="585" t="s">
        <v>13</v>
      </c>
      <c r="D5" s="544" t="s">
        <v>342</v>
      </c>
      <c r="E5" s="544" t="s">
        <v>343</v>
      </c>
      <c r="F5" s="585" t="s">
        <v>417</v>
      </c>
      <c r="G5" s="585" t="s">
        <v>416</v>
      </c>
      <c r="H5" s="543" t="s">
        <v>344</v>
      </c>
      <c r="I5" s="368"/>
      <c r="J5" s="368"/>
      <c r="K5" s="368"/>
      <c r="L5" s="368"/>
    </row>
    <row r="6" spans="1:12" s="342" customFormat="1" ht="15" customHeight="1">
      <c r="A6" s="596"/>
      <c r="B6" s="586"/>
      <c r="C6" s="586"/>
      <c r="D6" s="585">
        <v>2020</v>
      </c>
      <c r="E6" s="585">
        <v>2020</v>
      </c>
      <c r="F6" s="586"/>
      <c r="G6" s="586"/>
      <c r="H6" s="415"/>
      <c r="I6" s="368"/>
      <c r="J6" s="368"/>
      <c r="K6" s="368"/>
      <c r="L6" s="368"/>
    </row>
    <row r="7" spans="1:12" s="342" customFormat="1" ht="15" customHeight="1">
      <c r="A7" s="596"/>
      <c r="B7" s="587"/>
      <c r="C7" s="587"/>
      <c r="D7" s="587"/>
      <c r="E7" s="587"/>
      <c r="F7" s="587"/>
      <c r="G7" s="587"/>
      <c r="H7" s="416"/>
      <c r="I7" s="368"/>
      <c r="J7" s="368"/>
      <c r="K7" s="368"/>
      <c r="L7" s="368"/>
    </row>
    <row r="8" spans="1:12" s="342" customFormat="1" ht="51" customHeight="1">
      <c r="A8" s="237">
        <v>1</v>
      </c>
      <c r="B8" s="162" t="s">
        <v>481</v>
      </c>
      <c r="C8" s="545" t="s">
        <v>16</v>
      </c>
      <c r="D8" s="345">
        <v>100</v>
      </c>
      <c r="E8" s="345">
        <f>100+E9+E10+E11</f>
        <v>9100</v>
      </c>
      <c r="F8" s="345">
        <f>E8-D8</f>
        <v>9000</v>
      </c>
      <c r="G8" s="571" t="s">
        <v>720</v>
      </c>
      <c r="H8" s="574" t="s">
        <v>721</v>
      </c>
      <c r="I8" s="368"/>
      <c r="J8" s="368"/>
      <c r="K8" s="368"/>
      <c r="L8" s="368"/>
    </row>
    <row r="9" spans="1:12" s="342" customFormat="1" ht="48.75" customHeight="1">
      <c r="A9" s="299" t="s">
        <v>273</v>
      </c>
      <c r="B9" s="539" t="s">
        <v>717</v>
      </c>
      <c r="C9" s="545"/>
      <c r="D9" s="345">
        <v>0</v>
      </c>
      <c r="E9" s="345">
        <v>2000</v>
      </c>
      <c r="F9" s="345">
        <f>E9-D9</f>
        <v>2000</v>
      </c>
      <c r="G9" s="573"/>
      <c r="H9" s="575"/>
      <c r="I9" s="368"/>
      <c r="J9" s="368"/>
      <c r="K9" s="368"/>
      <c r="L9" s="368"/>
    </row>
    <row r="10" spans="1:12" s="342" customFormat="1" ht="34.5" customHeight="1">
      <c r="A10" s="299" t="s">
        <v>285</v>
      </c>
      <c r="B10" s="539" t="s">
        <v>718</v>
      </c>
      <c r="C10" s="545"/>
      <c r="D10" s="345">
        <v>0</v>
      </c>
      <c r="E10" s="345">
        <v>6000</v>
      </c>
      <c r="F10" s="345">
        <f>E10-D10</f>
        <v>6000</v>
      </c>
      <c r="G10" s="573"/>
      <c r="H10" s="575"/>
      <c r="I10" s="368"/>
      <c r="J10" s="368"/>
      <c r="K10" s="368"/>
      <c r="L10" s="368"/>
    </row>
    <row r="11" spans="1:12" s="342" customFormat="1" ht="32.25" customHeight="1">
      <c r="A11" s="299" t="s">
        <v>287</v>
      </c>
      <c r="B11" s="539" t="s">
        <v>719</v>
      </c>
      <c r="C11" s="545"/>
      <c r="D11" s="345">
        <v>0</v>
      </c>
      <c r="E11" s="345">
        <v>1000</v>
      </c>
      <c r="F11" s="345">
        <f>E11-D11</f>
        <v>1000</v>
      </c>
      <c r="G11" s="572"/>
      <c r="H11" s="576"/>
      <c r="I11" s="368"/>
      <c r="J11" s="368"/>
      <c r="K11" s="368"/>
      <c r="L11" s="368"/>
    </row>
    <row r="12" spans="1:12" s="342" customFormat="1" ht="48.75" customHeight="1">
      <c r="A12" s="299" t="s">
        <v>722</v>
      </c>
      <c r="B12" s="162" t="s">
        <v>619</v>
      </c>
      <c r="C12" s="545"/>
      <c r="D12" s="345">
        <v>75377.3</v>
      </c>
      <c r="E12" s="345">
        <v>75487.3</v>
      </c>
      <c r="F12" s="345">
        <f>E12-D12</f>
        <v>110</v>
      </c>
      <c r="G12" s="571" t="s">
        <v>724</v>
      </c>
      <c r="H12" s="597" t="s">
        <v>716</v>
      </c>
      <c r="I12" s="368"/>
      <c r="J12" s="368"/>
      <c r="K12" s="368"/>
      <c r="L12" s="368"/>
    </row>
    <row r="13" spans="1:12" s="342" customFormat="1" ht="51.75" customHeight="1">
      <c r="A13" s="299" t="s">
        <v>383</v>
      </c>
      <c r="B13" s="539" t="s">
        <v>723</v>
      </c>
      <c r="C13" s="545"/>
      <c r="D13" s="345">
        <v>0</v>
      </c>
      <c r="E13" s="345">
        <v>110</v>
      </c>
      <c r="F13" s="345">
        <v>110</v>
      </c>
      <c r="G13" s="572"/>
      <c r="H13" s="597"/>
      <c r="I13" s="368"/>
      <c r="J13" s="368"/>
      <c r="K13" s="368"/>
      <c r="L13" s="368"/>
    </row>
    <row r="14" spans="1:12" s="342" customFormat="1" ht="18.75">
      <c r="A14" s="596" t="s">
        <v>5</v>
      </c>
      <c r="B14" s="596"/>
      <c r="C14" s="544"/>
      <c r="D14" s="130">
        <f>D8+D10+D12</f>
        <v>75477.3</v>
      </c>
      <c r="E14" s="130">
        <f>E8+E10+E12</f>
        <v>90587.3</v>
      </c>
      <c r="F14" s="130">
        <f>F8++F12</f>
        <v>9110</v>
      </c>
      <c r="G14" s="373"/>
      <c r="H14" s="373"/>
      <c r="I14" s="368"/>
      <c r="J14" s="368"/>
      <c r="K14" s="368"/>
      <c r="L14" s="368"/>
    </row>
    <row r="15" spans="1:12" s="342" customFormat="1" ht="15.75">
      <c r="A15" s="135"/>
      <c r="B15" s="135"/>
      <c r="C15" s="135"/>
      <c r="D15" s="135"/>
      <c r="E15" s="331"/>
      <c r="F15" s="331"/>
      <c r="G15" s="368"/>
      <c r="H15" s="368"/>
      <c r="I15" s="368"/>
      <c r="J15" s="368"/>
      <c r="K15" s="368"/>
      <c r="L15" s="368"/>
    </row>
    <row r="16" spans="1:12" s="342" customFormat="1" ht="15.75">
      <c r="A16" s="135"/>
      <c r="B16" s="135"/>
      <c r="C16" s="135"/>
      <c r="D16" s="135"/>
      <c r="E16" s="331"/>
      <c r="F16" s="331"/>
      <c r="G16" s="368"/>
      <c r="H16" s="368"/>
      <c r="I16" s="368"/>
      <c r="J16" s="368"/>
      <c r="K16" s="368"/>
      <c r="L16" s="368"/>
    </row>
    <row r="17" spans="1:12" s="342" customFormat="1" ht="15.75">
      <c r="A17" s="135"/>
      <c r="B17" s="135"/>
      <c r="C17" s="135"/>
      <c r="D17" s="135"/>
      <c r="E17" s="136"/>
      <c r="F17" s="136"/>
      <c r="G17" s="368"/>
      <c r="H17" s="368"/>
      <c r="I17" s="368"/>
      <c r="J17" s="368"/>
      <c r="K17" s="368"/>
      <c r="L17" s="368"/>
    </row>
    <row r="18" spans="1:12" s="342" customFormat="1" ht="33" customHeight="1">
      <c r="A18" s="578" t="s">
        <v>708</v>
      </c>
      <c r="B18" s="578"/>
      <c r="C18" s="578"/>
      <c r="D18" s="578"/>
      <c r="E18" s="184"/>
      <c r="F18" s="184"/>
      <c r="G18" s="68"/>
      <c r="H18" s="240" t="s">
        <v>709</v>
      </c>
      <c r="I18" s="368"/>
      <c r="J18" s="368"/>
      <c r="K18" s="368"/>
      <c r="L18" s="368"/>
    </row>
    <row r="19" spans="1:12" s="342" customFormat="1" ht="18.75">
      <c r="A19" s="375"/>
      <c r="B19" s="375"/>
      <c r="C19" s="375"/>
      <c r="D19" s="376"/>
      <c r="E19" s="136"/>
      <c r="F19" s="136"/>
      <c r="G19" s="338"/>
      <c r="H19" s="368"/>
      <c r="I19" s="368"/>
      <c r="J19" s="368"/>
      <c r="K19" s="368"/>
      <c r="L19" s="368"/>
    </row>
    <row r="20" spans="1:12" s="342" customFormat="1" ht="18.75">
      <c r="A20" s="584"/>
      <c r="B20" s="584"/>
      <c r="C20" s="542"/>
      <c r="D20" s="165"/>
      <c r="E20" s="377"/>
      <c r="F20" s="377"/>
      <c r="G20" s="368"/>
      <c r="H20" s="368"/>
      <c r="I20" s="368"/>
      <c r="J20" s="368"/>
      <c r="K20" s="368"/>
      <c r="L20" s="368"/>
    </row>
    <row r="21" s="342" customFormat="1" ht="15">
      <c r="A21" s="355"/>
    </row>
    <row r="22" s="342" customFormat="1" ht="15">
      <c r="A22" s="355"/>
    </row>
    <row r="23" s="342" customFormat="1" ht="15">
      <c r="A23" s="355"/>
    </row>
    <row r="24" s="342" customFormat="1" ht="15">
      <c r="A24" s="355"/>
    </row>
    <row r="25" s="342" customFormat="1" ht="15">
      <c r="A25" s="355"/>
    </row>
    <row r="26" s="342" customFormat="1" ht="15">
      <c r="A26" s="355"/>
    </row>
    <row r="27" s="342" customFormat="1" ht="15">
      <c r="A27" s="355"/>
    </row>
    <row r="28" s="342" customFormat="1" ht="15">
      <c r="A28" s="355"/>
    </row>
    <row r="29" s="342" customFormat="1" ht="15">
      <c r="A29" s="355"/>
    </row>
    <row r="30" s="342" customFormat="1" ht="15"/>
  </sheetData>
  <sheetProtection/>
  <mergeCells count="15">
    <mergeCell ref="A14:B14"/>
    <mergeCell ref="A18:D18"/>
    <mergeCell ref="A20:B20"/>
    <mergeCell ref="G8:G11"/>
    <mergeCell ref="H8:H11"/>
    <mergeCell ref="G12:G13"/>
    <mergeCell ref="H12:H13"/>
    <mergeCell ref="A2:H2"/>
    <mergeCell ref="A5:A7"/>
    <mergeCell ref="B5:B7"/>
    <mergeCell ref="C5:C7"/>
    <mergeCell ref="F5:F7"/>
    <mergeCell ref="G5:G7"/>
    <mergeCell ref="D6:D7"/>
    <mergeCell ref="E6:E7"/>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N29"/>
  <sheetViews>
    <sheetView view="pageBreakPreview" zoomScaleSheetLayoutView="100" zoomScalePageLayoutView="0" workbookViewId="0" topLeftCell="A1">
      <selection activeCell="A10" sqref="A10:K10"/>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16" t="s">
        <v>500</v>
      </c>
      <c r="K1" s="616"/>
      <c r="L1" s="13" t="s">
        <v>19</v>
      </c>
    </row>
    <row r="2" spans="2:12" ht="15.75">
      <c r="B2" s="15"/>
      <c r="C2" s="15"/>
      <c r="D2" s="15"/>
      <c r="E2" s="15"/>
      <c r="F2" s="15"/>
      <c r="G2" s="15"/>
      <c r="H2" s="15"/>
      <c r="I2" s="12" t="s">
        <v>11</v>
      </c>
      <c r="J2" s="616" t="s">
        <v>11</v>
      </c>
      <c r="K2" s="616"/>
      <c r="L2" s="12" t="s">
        <v>11</v>
      </c>
    </row>
    <row r="3" spans="2:12" ht="15.75">
      <c r="B3" s="15"/>
      <c r="C3" s="15"/>
      <c r="D3" s="15"/>
      <c r="E3" s="15"/>
      <c r="F3" s="15"/>
      <c r="G3" s="15"/>
      <c r="H3" s="15"/>
      <c r="I3" s="12"/>
      <c r="J3" s="12" t="s">
        <v>318</v>
      </c>
      <c r="K3" s="12"/>
      <c r="L3" s="12"/>
    </row>
    <row r="4" spans="2:12" ht="15.75">
      <c r="B4" s="15"/>
      <c r="C4" s="15"/>
      <c r="D4" s="15"/>
      <c r="E4" s="15"/>
      <c r="F4" s="15"/>
      <c r="G4" s="15"/>
      <c r="H4" s="15"/>
      <c r="I4" s="12" t="s">
        <v>21</v>
      </c>
      <c r="J4" s="12" t="s">
        <v>690</v>
      </c>
      <c r="K4" s="12"/>
      <c r="L4" s="12" t="s">
        <v>21</v>
      </c>
    </row>
    <row r="5" spans="2:12" ht="15.75">
      <c r="B5" s="15"/>
      <c r="C5" s="15"/>
      <c r="D5" s="15"/>
      <c r="E5" s="15"/>
      <c r="F5" s="15"/>
      <c r="G5" s="15"/>
      <c r="H5" s="15"/>
      <c r="I5" s="12" t="s">
        <v>23</v>
      </c>
      <c r="J5" s="12" t="s">
        <v>684</v>
      </c>
      <c r="K5" s="12"/>
      <c r="L5" s="12" t="s">
        <v>23</v>
      </c>
    </row>
    <row r="6" spans="2:12" ht="15.75">
      <c r="B6" s="15"/>
      <c r="C6" s="15"/>
      <c r="D6" s="15"/>
      <c r="E6" s="15"/>
      <c r="F6" s="15"/>
      <c r="G6" s="15"/>
      <c r="H6" s="15"/>
      <c r="I6" s="12"/>
      <c r="J6" s="12" t="s">
        <v>675</v>
      </c>
      <c r="K6" s="12"/>
      <c r="L6" s="12"/>
    </row>
    <row r="7" spans="2:12" ht="15.75">
      <c r="B7" s="15"/>
      <c r="C7" s="15"/>
      <c r="D7" s="15"/>
      <c r="E7" s="15"/>
      <c r="F7" s="15"/>
      <c r="G7" s="15"/>
      <c r="H7" s="15"/>
      <c r="I7" s="12"/>
      <c r="J7" s="12" t="s">
        <v>676</v>
      </c>
      <c r="K7" s="12"/>
      <c r="L7" s="12"/>
    </row>
    <row r="8" spans="2:12" ht="15.75">
      <c r="B8" s="15"/>
      <c r="C8" s="15"/>
      <c r="D8" s="15"/>
      <c r="E8" s="15"/>
      <c r="F8" s="15"/>
      <c r="G8" s="15"/>
      <c r="H8" s="15"/>
      <c r="I8" s="12"/>
      <c r="J8" s="12" t="s">
        <v>677</v>
      </c>
      <c r="K8" s="12"/>
      <c r="L8" s="12"/>
    </row>
    <row r="9" spans="2:12" ht="15.75">
      <c r="B9" s="15"/>
      <c r="C9" s="15"/>
      <c r="D9" s="15"/>
      <c r="E9" s="15"/>
      <c r="F9" s="15"/>
      <c r="G9" s="15"/>
      <c r="H9" s="15"/>
      <c r="I9" s="15"/>
      <c r="J9" s="15" t="s">
        <v>765</v>
      </c>
      <c r="K9" s="15"/>
      <c r="L9" s="15"/>
    </row>
    <row r="10" spans="1:12" ht="35.25" customHeight="1">
      <c r="A10" s="611" t="s">
        <v>437</v>
      </c>
      <c r="B10" s="611"/>
      <c r="C10" s="611"/>
      <c r="D10" s="611"/>
      <c r="E10" s="611"/>
      <c r="F10" s="611"/>
      <c r="G10" s="611"/>
      <c r="H10" s="611"/>
      <c r="I10" s="611"/>
      <c r="J10" s="611"/>
      <c r="K10" s="611"/>
      <c r="L10" s="15"/>
    </row>
    <row r="11" spans="2:12" ht="23.25" customHeight="1">
      <c r="B11" s="15"/>
      <c r="C11" s="15"/>
      <c r="D11" s="614"/>
      <c r="E11" s="614"/>
      <c r="F11" s="614"/>
      <c r="G11" s="614"/>
      <c r="H11" s="614"/>
      <c r="I11" s="15"/>
      <c r="J11" s="15"/>
      <c r="K11" s="35" t="s">
        <v>422</v>
      </c>
      <c r="L11" s="15"/>
    </row>
    <row r="12" spans="1:12" ht="15.75" customHeight="1">
      <c r="A12" s="664" t="s">
        <v>32</v>
      </c>
      <c r="B12" s="664" t="s">
        <v>12</v>
      </c>
      <c r="C12" s="664" t="s">
        <v>13</v>
      </c>
      <c r="D12" s="664" t="s">
        <v>438</v>
      </c>
      <c r="E12" s="671" t="s">
        <v>9</v>
      </c>
      <c r="F12" s="671"/>
      <c r="G12" s="671"/>
      <c r="H12" s="671"/>
      <c r="I12" s="671"/>
      <c r="J12" s="672"/>
      <c r="K12" s="667" t="s">
        <v>15</v>
      </c>
      <c r="L12" s="15"/>
    </row>
    <row r="13" spans="1:12" ht="15.75">
      <c r="A13" s="665"/>
      <c r="B13" s="665"/>
      <c r="C13" s="665"/>
      <c r="D13" s="665"/>
      <c r="E13" s="664" t="s">
        <v>439</v>
      </c>
      <c r="F13" s="664" t="s">
        <v>440</v>
      </c>
      <c r="G13" s="664" t="s">
        <v>27</v>
      </c>
      <c r="H13" s="664" t="s">
        <v>28</v>
      </c>
      <c r="I13" s="664" t="s">
        <v>29</v>
      </c>
      <c r="J13" s="667" t="s">
        <v>441</v>
      </c>
      <c r="K13" s="667"/>
      <c r="L13" s="15"/>
    </row>
    <row r="14" spans="1:12" ht="15.75">
      <c r="A14" s="666"/>
      <c r="B14" s="666"/>
      <c r="C14" s="666"/>
      <c r="D14" s="666"/>
      <c r="E14" s="666"/>
      <c r="F14" s="666"/>
      <c r="G14" s="666"/>
      <c r="H14" s="666"/>
      <c r="I14" s="666"/>
      <c r="J14" s="667"/>
      <c r="K14" s="667"/>
      <c r="L14" s="15"/>
    </row>
    <row r="15" spans="1:12" ht="25.5" customHeight="1">
      <c r="A15" s="603">
        <v>1</v>
      </c>
      <c r="B15" s="669" t="s">
        <v>442</v>
      </c>
      <c r="C15" s="84" t="s">
        <v>16</v>
      </c>
      <c r="D15" s="109">
        <f>E15+F15+J15</f>
        <v>9972.5</v>
      </c>
      <c r="E15" s="110">
        <v>1980</v>
      </c>
      <c r="F15" s="110">
        <f>7000+992.5</f>
        <v>7992.5</v>
      </c>
      <c r="G15" s="110">
        <v>1980</v>
      </c>
      <c r="H15" s="110">
        <v>1980</v>
      </c>
      <c r="I15" s="110">
        <v>1980</v>
      </c>
      <c r="J15" s="110"/>
      <c r="K15" s="669" t="s">
        <v>386</v>
      </c>
      <c r="L15" s="15"/>
    </row>
    <row r="16" spans="1:14" ht="21" customHeight="1">
      <c r="A16" s="604"/>
      <c r="B16" s="670"/>
      <c r="C16" s="84" t="s">
        <v>643</v>
      </c>
      <c r="D16" s="109">
        <f>E16+F16+J16</f>
        <v>8000</v>
      </c>
      <c r="E16" s="111"/>
      <c r="F16" s="110"/>
      <c r="G16" s="110"/>
      <c r="H16" s="110"/>
      <c r="I16" s="110"/>
      <c r="J16" s="110">
        <v>8000</v>
      </c>
      <c r="K16" s="670"/>
      <c r="L16" s="15"/>
      <c r="N16" s="55">
        <v>441</v>
      </c>
    </row>
    <row r="17" spans="1:12" ht="32.25" customHeight="1">
      <c r="A17" s="85"/>
      <c r="B17" s="83" t="s">
        <v>5</v>
      </c>
      <c r="C17" s="112"/>
      <c r="D17" s="109">
        <f>E17+F17+J17</f>
        <v>17972.5</v>
      </c>
      <c r="E17" s="109">
        <f aca="true" t="shared" si="0" ref="E17:J17">E15+E16</f>
        <v>1980</v>
      </c>
      <c r="F17" s="109">
        <f t="shared" si="0"/>
        <v>7992.5</v>
      </c>
      <c r="G17" s="109">
        <f t="shared" si="0"/>
        <v>1980</v>
      </c>
      <c r="H17" s="109">
        <f t="shared" si="0"/>
        <v>1980</v>
      </c>
      <c r="I17" s="109">
        <f t="shared" si="0"/>
        <v>1980</v>
      </c>
      <c r="J17" s="109">
        <f t="shared" si="0"/>
        <v>8000</v>
      </c>
      <c r="K17" s="113"/>
      <c r="L17" s="15"/>
    </row>
    <row r="18" spans="2:12" ht="11.25" customHeight="1">
      <c r="B18" s="18"/>
      <c r="C18" s="18"/>
      <c r="D18" s="169"/>
      <c r="E18" s="169"/>
      <c r="F18" s="169"/>
      <c r="G18" s="169"/>
      <c r="H18" s="169"/>
      <c r="I18" s="169"/>
      <c r="J18" s="169"/>
      <c r="K18" s="20"/>
      <c r="L18" s="15"/>
    </row>
    <row r="19" spans="2:12" ht="11.25" customHeight="1">
      <c r="B19" s="18"/>
      <c r="C19" s="18"/>
      <c r="D19" s="19"/>
      <c r="E19" s="19"/>
      <c r="F19" s="19"/>
      <c r="G19" s="19"/>
      <c r="H19" s="19"/>
      <c r="I19" s="19"/>
      <c r="J19" s="19"/>
      <c r="K19" s="20"/>
      <c r="L19" s="15"/>
    </row>
    <row r="20" spans="2:12" ht="11.25" customHeight="1">
      <c r="B20" s="52"/>
      <c r="C20" s="53"/>
      <c r="E20" s="19"/>
      <c r="F20" s="19"/>
      <c r="G20" s="19"/>
      <c r="H20" s="19"/>
      <c r="I20" s="19"/>
      <c r="J20" s="19"/>
      <c r="K20" s="53"/>
      <c r="L20" s="15"/>
    </row>
    <row r="21" spans="1:12" ht="16.5" customHeight="1">
      <c r="A21" s="16"/>
      <c r="B21" s="634" t="s">
        <v>18</v>
      </c>
      <c r="C21" s="634"/>
      <c r="D21" s="374"/>
      <c r="E21" s="22"/>
      <c r="F21" s="22"/>
      <c r="G21" s="16"/>
      <c r="H21" s="16"/>
      <c r="I21" s="16"/>
      <c r="J21" s="23"/>
      <c r="K21" s="23" t="s">
        <v>30</v>
      </c>
      <c r="L21" s="23"/>
    </row>
    <row r="22" spans="1:12" ht="10.5" customHeight="1">
      <c r="A22" s="16"/>
      <c r="B22" s="374"/>
      <c r="C22" s="374"/>
      <c r="D22" s="374"/>
      <c r="E22" s="22"/>
      <c r="F22" s="22"/>
      <c r="G22" s="16"/>
      <c r="H22" s="16"/>
      <c r="I22" s="16"/>
      <c r="J22" s="23"/>
      <c r="K22" s="23"/>
      <c r="L22" s="23"/>
    </row>
    <row r="23" spans="1:11" ht="18.75">
      <c r="A23" s="16"/>
      <c r="B23" s="612" t="s">
        <v>670</v>
      </c>
      <c r="C23" s="612"/>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1">
    <mergeCell ref="B21:C21"/>
    <mergeCell ref="E12:J12"/>
    <mergeCell ref="B23:C23"/>
    <mergeCell ref="K12:K14"/>
    <mergeCell ref="E13:E14"/>
    <mergeCell ref="F13:F14"/>
    <mergeCell ref="G13:G14"/>
    <mergeCell ref="C12:C14"/>
    <mergeCell ref="I13:I14"/>
    <mergeCell ref="J1:K1"/>
    <mergeCell ref="J2:K2"/>
    <mergeCell ref="D11:H11"/>
    <mergeCell ref="A12:A14"/>
    <mergeCell ref="B12:B14"/>
    <mergeCell ref="H13:H14"/>
    <mergeCell ref="A15:A16"/>
    <mergeCell ref="B15:B16"/>
    <mergeCell ref="K15:K16"/>
    <mergeCell ref="D12:D14"/>
    <mergeCell ref="A10:K10"/>
    <mergeCell ref="J13:J14"/>
  </mergeCells>
  <printOptions horizontalCentered="1"/>
  <pageMargins left="1.1811023622047245" right="0.5905511811023623" top="1.1811023622047245" bottom="0.7874015748031497" header="0" footer="0"/>
  <pageSetup fitToHeight="1" fitToWidth="1" horizontalDpi="600" verticalDpi="600" orientation="landscape" paperSize="9" scale="81"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N34"/>
  <sheetViews>
    <sheetView view="pageBreakPreview" zoomScaleSheetLayoutView="100" zoomScalePageLayoutView="0" workbookViewId="0" topLeftCell="A1">
      <selection activeCell="B10" sqref="B10:K10"/>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16" t="s">
        <v>501</v>
      </c>
      <c r="K1" s="616"/>
      <c r="L1" s="13" t="s">
        <v>19</v>
      </c>
    </row>
    <row r="2" spans="2:12" ht="15.75">
      <c r="B2" s="15"/>
      <c r="C2" s="15"/>
      <c r="D2" s="15"/>
      <c r="E2" s="15"/>
      <c r="F2" s="15"/>
      <c r="G2" s="15"/>
      <c r="H2" s="15"/>
      <c r="I2" s="12" t="s">
        <v>11</v>
      </c>
      <c r="J2" s="616" t="s">
        <v>11</v>
      </c>
      <c r="K2" s="616"/>
      <c r="L2" s="12" t="s">
        <v>11</v>
      </c>
    </row>
    <row r="3" spans="2:12" ht="15.75">
      <c r="B3" s="15"/>
      <c r="C3" s="15"/>
      <c r="D3" s="15"/>
      <c r="E3" s="15"/>
      <c r="F3" s="15"/>
      <c r="G3" s="15"/>
      <c r="H3" s="15"/>
      <c r="I3" s="12"/>
      <c r="J3" s="12" t="s">
        <v>318</v>
      </c>
      <c r="K3" s="12"/>
      <c r="L3" s="12"/>
    </row>
    <row r="4" spans="2:12" ht="15.75">
      <c r="B4" s="15"/>
      <c r="C4" s="15"/>
      <c r="D4" s="15"/>
      <c r="E4" s="15"/>
      <c r="F4" s="15"/>
      <c r="G4" s="15"/>
      <c r="H4" s="15"/>
      <c r="I4" s="12" t="s">
        <v>21</v>
      </c>
      <c r="J4" s="12" t="s">
        <v>698</v>
      </c>
      <c r="K4" s="12"/>
      <c r="L4" s="12" t="s">
        <v>21</v>
      </c>
    </row>
    <row r="5" spans="2:12" ht="15.75">
      <c r="B5" s="15"/>
      <c r="C5" s="15"/>
      <c r="D5" s="15"/>
      <c r="E5" s="15"/>
      <c r="F5" s="15"/>
      <c r="G5" s="15"/>
      <c r="H5" s="15"/>
      <c r="I5" s="12" t="s">
        <v>23</v>
      </c>
      <c r="J5" s="12" t="s">
        <v>699</v>
      </c>
      <c r="K5" s="12"/>
      <c r="L5" s="12" t="s">
        <v>23</v>
      </c>
    </row>
    <row r="6" spans="2:12" ht="15.75">
      <c r="B6" s="15"/>
      <c r="C6" s="15"/>
      <c r="D6" s="15"/>
      <c r="E6" s="15"/>
      <c r="F6" s="15"/>
      <c r="G6" s="15"/>
      <c r="H6" s="15"/>
      <c r="I6" s="12"/>
      <c r="J6" s="12" t="s">
        <v>675</v>
      </c>
      <c r="K6" s="12"/>
      <c r="L6" s="12"/>
    </row>
    <row r="7" spans="2:12" ht="15.75">
      <c r="B7" s="15"/>
      <c r="C7" s="15"/>
      <c r="D7" s="15"/>
      <c r="E7" s="15"/>
      <c r="F7" s="15"/>
      <c r="G7" s="15"/>
      <c r="H7" s="16"/>
      <c r="I7" s="12" t="s">
        <v>24</v>
      </c>
      <c r="J7" s="12" t="s">
        <v>676</v>
      </c>
      <c r="K7" s="12"/>
      <c r="L7" s="12" t="s">
        <v>24</v>
      </c>
    </row>
    <row r="8" spans="2:12" ht="15.75">
      <c r="B8" s="15"/>
      <c r="C8" s="15"/>
      <c r="D8" s="15"/>
      <c r="E8" s="15"/>
      <c r="F8" s="15"/>
      <c r="G8" s="15"/>
      <c r="H8" s="16"/>
      <c r="I8" s="12"/>
      <c r="J8" s="12" t="s">
        <v>677</v>
      </c>
      <c r="K8" s="12"/>
      <c r="L8" s="12"/>
    </row>
    <row r="9" spans="2:12" ht="15.75">
      <c r="B9" s="15"/>
      <c r="C9" s="15"/>
      <c r="D9" s="15"/>
      <c r="E9" s="15"/>
      <c r="F9" s="15"/>
      <c r="G9" s="15"/>
      <c r="H9" s="15"/>
      <c r="I9" s="15"/>
      <c r="J9" s="15" t="s">
        <v>741</v>
      </c>
      <c r="K9" s="15"/>
      <c r="L9" s="15"/>
    </row>
    <row r="10" spans="2:12" ht="38.25" customHeight="1">
      <c r="B10" s="611" t="s">
        <v>481</v>
      </c>
      <c r="C10" s="611"/>
      <c r="D10" s="611"/>
      <c r="E10" s="611"/>
      <c r="F10" s="611"/>
      <c r="G10" s="611"/>
      <c r="H10" s="611"/>
      <c r="I10" s="611"/>
      <c r="J10" s="611"/>
      <c r="K10" s="611"/>
      <c r="L10" s="15"/>
    </row>
    <row r="11" spans="2:12" ht="15.75">
      <c r="B11" s="15"/>
      <c r="C11" s="15"/>
      <c r="D11" s="614"/>
      <c r="E11" s="614"/>
      <c r="F11" s="614"/>
      <c r="G11" s="614"/>
      <c r="H11" s="614"/>
      <c r="I11" s="15"/>
      <c r="J11" s="15"/>
      <c r="K11" s="35" t="s">
        <v>462</v>
      </c>
      <c r="L11" s="15"/>
    </row>
    <row r="12" spans="1:12" ht="15.75" customHeight="1">
      <c r="A12" s="664" t="s">
        <v>32</v>
      </c>
      <c r="B12" s="664" t="s">
        <v>12</v>
      </c>
      <c r="C12" s="664" t="s">
        <v>13</v>
      </c>
      <c r="D12" s="664" t="s">
        <v>428</v>
      </c>
      <c r="E12" s="671" t="s">
        <v>9</v>
      </c>
      <c r="F12" s="671"/>
      <c r="G12" s="671"/>
      <c r="H12" s="671"/>
      <c r="I12" s="671"/>
      <c r="J12" s="672"/>
      <c r="K12" s="667" t="s">
        <v>15</v>
      </c>
      <c r="L12" s="15"/>
    </row>
    <row r="13" spans="1:12" ht="15.75">
      <c r="A13" s="665"/>
      <c r="B13" s="665"/>
      <c r="C13" s="665"/>
      <c r="D13" s="665"/>
      <c r="E13" s="664" t="s">
        <v>470</v>
      </c>
      <c r="F13" s="664" t="s">
        <v>465</v>
      </c>
      <c r="G13" s="664" t="s">
        <v>27</v>
      </c>
      <c r="H13" s="664" t="s">
        <v>28</v>
      </c>
      <c r="I13" s="664" t="s">
        <v>29</v>
      </c>
      <c r="J13" s="667" t="s">
        <v>471</v>
      </c>
      <c r="K13" s="667"/>
      <c r="L13" s="15"/>
    </row>
    <row r="14" spans="1:12" ht="15.75">
      <c r="A14" s="666"/>
      <c r="B14" s="666"/>
      <c r="C14" s="666"/>
      <c r="D14" s="666"/>
      <c r="E14" s="666"/>
      <c r="F14" s="666"/>
      <c r="G14" s="666"/>
      <c r="H14" s="666"/>
      <c r="I14" s="666"/>
      <c r="J14" s="667"/>
      <c r="K14" s="667"/>
      <c r="L14" s="15"/>
    </row>
    <row r="15" spans="1:12" ht="28.5" customHeight="1">
      <c r="A15" s="603">
        <v>1</v>
      </c>
      <c r="B15" s="669" t="s">
        <v>133</v>
      </c>
      <c r="C15" s="84" t="s">
        <v>16</v>
      </c>
      <c r="D15" s="109">
        <f>SUM(E15:J15)</f>
        <v>4715</v>
      </c>
      <c r="E15" s="110">
        <v>3000</v>
      </c>
      <c r="F15" s="111">
        <f>3000-1285</f>
        <v>1715</v>
      </c>
      <c r="G15" s="110"/>
      <c r="H15" s="110"/>
      <c r="I15" s="110"/>
      <c r="J15" s="110"/>
      <c r="K15" s="669" t="s">
        <v>31</v>
      </c>
      <c r="L15" s="15"/>
    </row>
    <row r="16" spans="1:14" ht="21" customHeight="1">
      <c r="A16" s="604"/>
      <c r="B16" s="670"/>
      <c r="C16" s="84" t="s">
        <v>643</v>
      </c>
      <c r="D16" s="109">
        <f>SUM(E16:J16)</f>
        <v>100</v>
      </c>
      <c r="E16" s="111"/>
      <c r="F16" s="110"/>
      <c r="G16" s="110"/>
      <c r="H16" s="110"/>
      <c r="I16" s="110"/>
      <c r="J16" s="110">
        <v>100</v>
      </c>
      <c r="K16" s="670"/>
      <c r="L16" s="15"/>
      <c r="N16" s="55">
        <v>441</v>
      </c>
    </row>
    <row r="17" spans="1:14" ht="44.25" customHeight="1">
      <c r="A17" s="286">
        <v>2</v>
      </c>
      <c r="B17" s="162" t="s">
        <v>717</v>
      </c>
      <c r="C17" s="84" t="s">
        <v>643</v>
      </c>
      <c r="D17" s="109">
        <f>SUM(E17:J17)</f>
        <v>2000</v>
      </c>
      <c r="E17" s="111"/>
      <c r="F17" s="110"/>
      <c r="G17" s="110"/>
      <c r="H17" s="110"/>
      <c r="I17" s="110"/>
      <c r="J17" s="110">
        <v>2000</v>
      </c>
      <c r="K17" s="482" t="s">
        <v>31</v>
      </c>
      <c r="L17" s="15"/>
      <c r="N17" s="55"/>
    </row>
    <row r="18" spans="1:14" ht="44.25" customHeight="1">
      <c r="A18" s="286">
        <v>3</v>
      </c>
      <c r="B18" s="162" t="s">
        <v>718</v>
      </c>
      <c r="C18" s="84" t="s">
        <v>643</v>
      </c>
      <c r="D18" s="109">
        <f>SUM(E18:J18)</f>
        <v>6000</v>
      </c>
      <c r="E18" s="111"/>
      <c r="F18" s="110"/>
      <c r="G18" s="110"/>
      <c r="H18" s="110"/>
      <c r="I18" s="110"/>
      <c r="J18" s="110">
        <v>6000</v>
      </c>
      <c r="K18" s="482" t="s">
        <v>31</v>
      </c>
      <c r="L18" s="15"/>
      <c r="N18" s="55"/>
    </row>
    <row r="19" spans="1:14" ht="44.25" customHeight="1">
      <c r="A19" s="286">
        <v>4</v>
      </c>
      <c r="B19" s="162" t="s">
        <v>719</v>
      </c>
      <c r="C19" s="84" t="s">
        <v>643</v>
      </c>
      <c r="D19" s="109">
        <f>SUM(E19:J19)</f>
        <v>1000</v>
      </c>
      <c r="E19" s="111"/>
      <c r="F19" s="110"/>
      <c r="G19" s="110"/>
      <c r="H19" s="110"/>
      <c r="I19" s="110"/>
      <c r="J19" s="110">
        <v>1000</v>
      </c>
      <c r="K19" s="482" t="s">
        <v>31</v>
      </c>
      <c r="L19" s="15"/>
      <c r="N19" s="55"/>
    </row>
    <row r="20" spans="1:12" ht="23.25" customHeight="1">
      <c r="A20" s="85"/>
      <c r="B20" s="83" t="s">
        <v>5</v>
      </c>
      <c r="C20" s="112"/>
      <c r="D20" s="109">
        <f>D15+D16+D17+D18+D19</f>
        <v>13815</v>
      </c>
      <c r="E20" s="109">
        <f>E15+E16</f>
        <v>3000</v>
      </c>
      <c r="F20" s="109">
        <f>F15+F16</f>
        <v>1715</v>
      </c>
      <c r="G20" s="109">
        <f>G15+G16</f>
        <v>0</v>
      </c>
      <c r="H20" s="109">
        <f>H15+H16</f>
        <v>0</v>
      </c>
      <c r="I20" s="109">
        <f>I15+I16</f>
        <v>0</v>
      </c>
      <c r="J20" s="109">
        <f>J15+J16+J17+J18+J19</f>
        <v>9100</v>
      </c>
      <c r="K20" s="113"/>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52"/>
      <c r="C25" s="53"/>
      <c r="E25" s="19"/>
      <c r="F25" s="19"/>
      <c r="G25" s="19"/>
      <c r="H25" s="19"/>
      <c r="I25" s="19"/>
      <c r="J25" s="19"/>
      <c r="K25" s="53"/>
      <c r="L25" s="15"/>
    </row>
    <row r="26" spans="2:12" ht="21" customHeight="1">
      <c r="B26" s="634" t="s">
        <v>18</v>
      </c>
      <c r="C26" s="634"/>
      <c r="D26" s="374"/>
      <c r="E26" s="22"/>
      <c r="F26" s="22"/>
      <c r="G26" s="16"/>
      <c r="H26" s="16"/>
      <c r="I26" s="16"/>
      <c r="J26" s="23"/>
      <c r="K26" s="23" t="s">
        <v>30</v>
      </c>
      <c r="L26" s="23"/>
    </row>
    <row r="27" spans="2:12" ht="13.5" customHeight="1">
      <c r="B27" s="374"/>
      <c r="C27" s="374"/>
      <c r="D27" s="374"/>
      <c r="E27" s="22"/>
      <c r="F27" s="22"/>
      <c r="G27" s="16"/>
      <c r="H27" s="16"/>
      <c r="I27" s="16"/>
      <c r="J27" s="23"/>
      <c r="K27" s="23"/>
      <c r="L27" s="23"/>
    </row>
    <row r="28" spans="2:11" ht="18.75">
      <c r="B28" s="612" t="s">
        <v>670</v>
      </c>
      <c r="C28" s="612"/>
      <c r="D28" s="25"/>
      <c r="E28" s="26"/>
      <c r="F28" s="26"/>
      <c r="G28" s="26"/>
      <c r="H28" s="26"/>
      <c r="I28" s="26"/>
      <c r="J28" s="15"/>
      <c r="K28" s="15"/>
    </row>
    <row r="29" spans="2:13" ht="15.75">
      <c r="B29" s="27" t="s">
        <v>10</v>
      </c>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21">
    <mergeCell ref="B26:C26"/>
    <mergeCell ref="B28:C28"/>
    <mergeCell ref="K12:K14"/>
    <mergeCell ref="E13:E14"/>
    <mergeCell ref="F13:F14"/>
    <mergeCell ref="G13:G14"/>
    <mergeCell ref="H13:H14"/>
    <mergeCell ref="D12:D14"/>
    <mergeCell ref="J1:K1"/>
    <mergeCell ref="J2:K2"/>
    <mergeCell ref="B10:K10"/>
    <mergeCell ref="D11:H11"/>
    <mergeCell ref="I13:I14"/>
    <mergeCell ref="C12:C14"/>
    <mergeCell ref="A15:A16"/>
    <mergeCell ref="B15:B16"/>
    <mergeCell ref="K15:K16"/>
    <mergeCell ref="A12:A14"/>
    <mergeCell ref="B12:B14"/>
    <mergeCell ref="E12:J12"/>
    <mergeCell ref="J13:J14"/>
  </mergeCells>
  <printOptions horizontalCentered="1"/>
  <pageMargins left="0" right="0" top="1.1811023622047245" bottom="0" header="0" footer="0"/>
  <pageSetup fitToHeight="1" fitToWidth="1" horizontalDpi="600" verticalDpi="600" orientation="landscape" paperSize="9" scale="88" r:id="rId1"/>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I81"/>
  <sheetViews>
    <sheetView view="pageLayout" zoomScale="57" zoomScalePageLayoutView="57" workbookViewId="0" topLeftCell="A62">
      <selection activeCell="A2" sqref="A2:G78"/>
    </sheetView>
  </sheetViews>
  <sheetFormatPr defaultColWidth="9.140625" defaultRowHeight="12.75"/>
  <cols>
    <col min="1" max="1" width="63.8515625" style="14" customWidth="1"/>
    <col min="2" max="2" width="22.421875" style="14" customWidth="1"/>
    <col min="3" max="3" width="25.8515625" style="14" customWidth="1"/>
    <col min="4" max="4" width="23.28125" style="14" customWidth="1"/>
    <col min="5" max="5" width="19.140625" style="14" customWidth="1"/>
    <col min="6" max="6" width="17.7109375" style="14" customWidth="1"/>
    <col min="7" max="7" width="47.421875" style="14" customWidth="1"/>
    <col min="8" max="9" width="9.140625" style="14" hidden="1" customWidth="1"/>
    <col min="10" max="16384" width="9.140625" style="14" customWidth="1"/>
  </cols>
  <sheetData>
    <row r="1" spans="1:9" ht="18.75" hidden="1">
      <c r="A1" s="15"/>
      <c r="B1" s="15"/>
      <c r="C1" s="15"/>
      <c r="D1" s="15"/>
      <c r="E1" s="15"/>
      <c r="F1" s="607" t="s">
        <v>502</v>
      </c>
      <c r="G1" s="607"/>
      <c r="H1" s="13" t="s">
        <v>19</v>
      </c>
      <c r="I1" s="14">
        <f>I19+I20+I21</f>
        <v>0</v>
      </c>
    </row>
    <row r="2" spans="1:8" ht="18.75">
      <c r="A2" s="15"/>
      <c r="B2" s="15"/>
      <c r="C2" s="15"/>
      <c r="D2" s="15"/>
      <c r="E2" s="15"/>
      <c r="F2" s="607" t="s">
        <v>11</v>
      </c>
      <c r="G2" s="607"/>
      <c r="H2" s="12" t="s">
        <v>11</v>
      </c>
    </row>
    <row r="3" spans="1:8" ht="18.75">
      <c r="A3" s="15"/>
      <c r="B3" s="15"/>
      <c r="C3" s="15"/>
      <c r="D3" s="15"/>
      <c r="E3" s="15"/>
      <c r="F3" s="59" t="s">
        <v>644</v>
      </c>
      <c r="G3" s="59"/>
      <c r="H3" s="12"/>
    </row>
    <row r="4" spans="1:8" ht="18.75">
      <c r="A4" s="15"/>
      <c r="B4" s="15"/>
      <c r="C4" s="15"/>
      <c r="D4" s="15"/>
      <c r="E4" s="15"/>
      <c r="F4" s="59" t="s">
        <v>645</v>
      </c>
      <c r="G4" s="59"/>
      <c r="H4" s="12"/>
    </row>
    <row r="5" spans="1:8" ht="18.75">
      <c r="A5" s="15"/>
      <c r="B5" s="15"/>
      <c r="C5" s="15"/>
      <c r="D5" s="15"/>
      <c r="E5" s="15"/>
      <c r="F5" s="59" t="s">
        <v>152</v>
      </c>
      <c r="G5" s="59"/>
      <c r="H5" s="12" t="s">
        <v>20</v>
      </c>
    </row>
    <row r="6" spans="1:8" ht="18.75">
      <c r="A6" s="15"/>
      <c r="B6" s="15"/>
      <c r="C6" s="15"/>
      <c r="D6" s="15"/>
      <c r="E6" s="15"/>
      <c r="F6" s="59" t="s">
        <v>22</v>
      </c>
      <c r="G6" s="59"/>
      <c r="H6" s="12" t="s">
        <v>21</v>
      </c>
    </row>
    <row r="7" spans="1:8" ht="18.75">
      <c r="A7" s="15"/>
      <c r="B7" s="15"/>
      <c r="C7" s="15"/>
      <c r="D7" s="15"/>
      <c r="E7" s="15"/>
      <c r="F7" s="59" t="s">
        <v>38</v>
      </c>
      <c r="G7" s="59"/>
      <c r="H7" s="12" t="s">
        <v>23</v>
      </c>
    </row>
    <row r="8" spans="1:8" ht="18.75">
      <c r="A8" s="15"/>
      <c r="B8" s="15"/>
      <c r="C8" s="15"/>
      <c r="D8" s="15"/>
      <c r="E8" s="15"/>
      <c r="F8" s="59" t="s">
        <v>646</v>
      </c>
      <c r="G8" s="59"/>
      <c r="H8" s="12" t="s">
        <v>24</v>
      </c>
    </row>
    <row r="9" spans="1:8" ht="15.75" customHeight="1">
      <c r="A9" s="15"/>
      <c r="B9" s="15"/>
      <c r="C9" s="15"/>
      <c r="D9" s="15"/>
      <c r="E9" s="15"/>
      <c r="F9" s="15" t="s">
        <v>647</v>
      </c>
      <c r="G9" s="15"/>
      <c r="H9" s="15"/>
    </row>
    <row r="10" spans="1:8" ht="18" customHeight="1">
      <c r="A10" s="675" t="s">
        <v>483</v>
      </c>
      <c r="B10" s="675"/>
      <c r="C10" s="675"/>
      <c r="D10" s="675"/>
      <c r="E10" s="675"/>
      <c r="F10" s="675"/>
      <c r="G10" s="675"/>
      <c r="H10" s="15"/>
    </row>
    <row r="11" spans="1:8" ht="15.75" hidden="1">
      <c r="A11" s="15"/>
      <c r="B11" s="15"/>
      <c r="C11" s="614"/>
      <c r="D11" s="614"/>
      <c r="E11" s="614"/>
      <c r="F11" s="15"/>
      <c r="G11" s="15"/>
      <c r="H11" s="15"/>
    </row>
    <row r="12" spans="1:8" ht="15.75" customHeight="1">
      <c r="A12" s="608" t="s">
        <v>12</v>
      </c>
      <c r="B12" s="608" t="s">
        <v>13</v>
      </c>
      <c r="C12" s="608" t="s">
        <v>14</v>
      </c>
      <c r="D12" s="615" t="s">
        <v>9</v>
      </c>
      <c r="E12" s="615"/>
      <c r="F12" s="690"/>
      <c r="G12" s="613" t="s">
        <v>15</v>
      </c>
      <c r="H12" s="15"/>
    </row>
    <row r="13" spans="1:8" ht="15.75" customHeight="1">
      <c r="A13" s="609"/>
      <c r="B13" s="609"/>
      <c r="C13" s="609"/>
      <c r="D13" s="608">
        <v>2018</v>
      </c>
      <c r="E13" s="608">
        <v>2019</v>
      </c>
      <c r="F13" s="613">
        <v>2020</v>
      </c>
      <c r="G13" s="613"/>
      <c r="H13" s="15"/>
    </row>
    <row r="14" spans="1:8" ht="14.25" customHeight="1">
      <c r="A14" s="610"/>
      <c r="B14" s="610"/>
      <c r="C14" s="610"/>
      <c r="D14" s="610"/>
      <c r="E14" s="610"/>
      <c r="F14" s="613"/>
      <c r="G14" s="613"/>
      <c r="H14" s="15"/>
    </row>
    <row r="15" spans="1:8" ht="20.25" customHeight="1">
      <c r="A15" s="608" t="s">
        <v>308</v>
      </c>
      <c r="B15" s="84" t="s">
        <v>16</v>
      </c>
      <c r="C15" s="316">
        <f>SUM(D15:F16)</f>
        <v>181037.4</v>
      </c>
      <c r="D15" s="317">
        <v>89037.4</v>
      </c>
      <c r="E15" s="317">
        <v>92000</v>
      </c>
      <c r="F15" s="317">
        <f>95000-95000</f>
        <v>0</v>
      </c>
      <c r="G15" s="727" t="s">
        <v>31</v>
      </c>
      <c r="H15" s="15"/>
    </row>
    <row r="16" spans="1:8" ht="43.5" customHeight="1" hidden="1">
      <c r="A16" s="609"/>
      <c r="B16" s="84" t="s">
        <v>62</v>
      </c>
      <c r="C16" s="316">
        <f>SUM(D16:F17)</f>
        <v>95000</v>
      </c>
      <c r="D16" s="307"/>
      <c r="E16" s="308"/>
      <c r="F16" s="309"/>
      <c r="G16" s="729"/>
      <c r="H16" s="15"/>
    </row>
    <row r="17" spans="1:8" ht="22.5" customHeight="1">
      <c r="A17" s="609"/>
      <c r="B17" s="84" t="s">
        <v>643</v>
      </c>
      <c r="C17" s="316">
        <f>SUM(D17:F17)</f>
        <v>95000</v>
      </c>
      <c r="D17" s="307">
        <v>0</v>
      </c>
      <c r="E17" s="308">
        <v>0</v>
      </c>
      <c r="F17" s="484">
        <v>95000</v>
      </c>
      <c r="G17" s="729"/>
      <c r="H17" s="15"/>
    </row>
    <row r="18" spans="1:8" ht="24" customHeight="1">
      <c r="A18" s="609"/>
      <c r="B18" s="84" t="s">
        <v>77</v>
      </c>
      <c r="C18" s="316">
        <f aca="true" t="shared" si="0" ref="C18:C71">D18+E18+F18</f>
        <v>30</v>
      </c>
      <c r="D18" s="317">
        <f>D55</f>
        <v>30</v>
      </c>
      <c r="E18" s="308"/>
      <c r="F18" s="309"/>
      <c r="G18" s="729"/>
      <c r="H18" s="15"/>
    </row>
    <row r="19" spans="1:8" ht="24" customHeight="1">
      <c r="A19" s="610"/>
      <c r="B19" s="84" t="s">
        <v>62</v>
      </c>
      <c r="C19" s="318">
        <f t="shared" si="0"/>
        <v>5512.9220000000005</v>
      </c>
      <c r="D19" s="319">
        <f>D33+D36+D51+D53+D35</f>
        <v>5512.9220000000005</v>
      </c>
      <c r="E19" s="308"/>
      <c r="F19" s="310"/>
      <c r="G19" s="728"/>
      <c r="H19" s="15"/>
    </row>
    <row r="20" spans="1:8" ht="53.25" customHeight="1">
      <c r="A20" s="389" t="s">
        <v>284</v>
      </c>
      <c r="B20" s="66" t="s">
        <v>16</v>
      </c>
      <c r="C20" s="306">
        <f t="shared" si="0"/>
        <v>3979.4</v>
      </c>
      <c r="D20" s="307">
        <f>1200-946</f>
        <v>254</v>
      </c>
      <c r="E20" s="308">
        <v>3725.4</v>
      </c>
      <c r="F20" s="310"/>
      <c r="G20" s="397" t="s">
        <v>31</v>
      </c>
      <c r="H20" s="15"/>
    </row>
    <row r="21" spans="1:8" ht="24" customHeight="1">
      <c r="A21" s="725" t="s">
        <v>286</v>
      </c>
      <c r="B21" s="66" t="s">
        <v>16</v>
      </c>
      <c r="C21" s="306">
        <f t="shared" si="0"/>
        <v>5500</v>
      </c>
      <c r="D21" s="307">
        <v>2000</v>
      </c>
      <c r="E21" s="308">
        <v>3500</v>
      </c>
      <c r="F21" s="309">
        <v>0</v>
      </c>
      <c r="G21" s="727" t="s">
        <v>31</v>
      </c>
      <c r="H21" s="15"/>
    </row>
    <row r="22" spans="1:8" ht="28.5" customHeight="1">
      <c r="A22" s="726"/>
      <c r="B22" s="66" t="s">
        <v>643</v>
      </c>
      <c r="C22" s="306">
        <f>D22+E22+F22</f>
        <v>3000</v>
      </c>
      <c r="D22" s="307">
        <v>0</v>
      </c>
      <c r="E22" s="308">
        <v>0</v>
      </c>
      <c r="F22" s="309">
        <v>3000</v>
      </c>
      <c r="G22" s="728"/>
      <c r="H22" s="15"/>
    </row>
    <row r="23" spans="1:8" ht="84.75" customHeight="1">
      <c r="A23" s="389" t="s">
        <v>289</v>
      </c>
      <c r="B23" s="66" t="s">
        <v>16</v>
      </c>
      <c r="C23" s="306">
        <f t="shared" si="0"/>
        <v>250</v>
      </c>
      <c r="D23" s="307">
        <v>250</v>
      </c>
      <c r="E23" s="308"/>
      <c r="F23" s="310"/>
      <c r="G23" s="397" t="s">
        <v>31</v>
      </c>
      <c r="H23" s="15"/>
    </row>
    <row r="24" spans="1:8" ht="54.75" customHeight="1">
      <c r="A24" s="389" t="s">
        <v>291</v>
      </c>
      <c r="B24" s="66" t="s">
        <v>16</v>
      </c>
      <c r="C24" s="306">
        <f t="shared" si="0"/>
        <v>240</v>
      </c>
      <c r="D24" s="307">
        <v>240</v>
      </c>
      <c r="E24" s="308"/>
      <c r="F24" s="310"/>
      <c r="G24" s="397" t="s">
        <v>31</v>
      </c>
      <c r="H24" s="15"/>
    </row>
    <row r="25" spans="1:8" ht="75">
      <c r="A25" s="313" t="s">
        <v>293</v>
      </c>
      <c r="B25" s="320" t="s">
        <v>16</v>
      </c>
      <c r="C25" s="306">
        <f t="shared" si="0"/>
        <v>240</v>
      </c>
      <c r="D25" s="321">
        <v>240</v>
      </c>
      <c r="E25" s="322"/>
      <c r="F25" s="323"/>
      <c r="G25" s="395" t="s">
        <v>31</v>
      </c>
      <c r="H25" s="23"/>
    </row>
    <row r="26" spans="1:8" ht="18.75">
      <c r="A26" s="480"/>
      <c r="B26" s="479"/>
      <c r="C26" s="306"/>
      <c r="D26" s="321"/>
      <c r="E26" s="322"/>
      <c r="F26" s="323"/>
      <c r="G26" s="395"/>
      <c r="H26" s="23"/>
    </row>
    <row r="27" spans="1:8" ht="66.75" customHeight="1">
      <c r="A27" s="677" t="s">
        <v>294</v>
      </c>
      <c r="B27" s="304" t="s">
        <v>16</v>
      </c>
      <c r="C27" s="306">
        <f t="shared" si="0"/>
        <v>14920</v>
      </c>
      <c r="D27" s="311">
        <v>650</v>
      </c>
      <c r="E27" s="311">
        <v>14270</v>
      </c>
      <c r="F27" s="311"/>
      <c r="G27" s="732" t="s">
        <v>31</v>
      </c>
      <c r="H27" s="23"/>
    </row>
    <row r="28" spans="1:8" ht="66.75" customHeight="1">
      <c r="A28" s="678"/>
      <c r="B28" s="324" t="s">
        <v>643</v>
      </c>
      <c r="C28" s="306">
        <f t="shared" si="0"/>
        <v>1000</v>
      </c>
      <c r="D28" s="308"/>
      <c r="E28" s="308"/>
      <c r="F28" s="308">
        <v>1000</v>
      </c>
      <c r="G28" s="733"/>
      <c r="H28" s="23"/>
    </row>
    <row r="29" spans="1:8" ht="56.25">
      <c r="A29" s="314" t="s">
        <v>295</v>
      </c>
      <c r="B29" s="324" t="s">
        <v>16</v>
      </c>
      <c r="C29" s="306">
        <f t="shared" si="0"/>
        <v>1300</v>
      </c>
      <c r="D29" s="308">
        <v>1300</v>
      </c>
      <c r="E29" s="308"/>
      <c r="F29" s="312"/>
      <c r="G29" s="399" t="s">
        <v>31</v>
      </c>
      <c r="H29" s="23"/>
    </row>
    <row r="30" spans="1:7" ht="56.25">
      <c r="A30" s="271" t="s">
        <v>296</v>
      </c>
      <c r="B30" s="66" t="s">
        <v>16</v>
      </c>
      <c r="C30" s="306">
        <f t="shared" si="0"/>
        <v>2180</v>
      </c>
      <c r="D30" s="307">
        <f>1980-1780</f>
        <v>200</v>
      </c>
      <c r="E30" s="308">
        <v>1980</v>
      </c>
      <c r="F30" s="310"/>
      <c r="G30" s="397" t="s">
        <v>31</v>
      </c>
    </row>
    <row r="31" spans="1:9" ht="117" customHeight="1">
      <c r="A31" s="271" t="s">
        <v>297</v>
      </c>
      <c r="B31" s="66" t="s">
        <v>16</v>
      </c>
      <c r="C31" s="306">
        <f t="shared" si="0"/>
        <v>13570</v>
      </c>
      <c r="D31" s="394">
        <v>350</v>
      </c>
      <c r="E31" s="311">
        <v>12000</v>
      </c>
      <c r="F31" s="306">
        <v>1220</v>
      </c>
      <c r="G31" s="397" t="s">
        <v>31</v>
      </c>
      <c r="I31" s="12"/>
    </row>
    <row r="32" spans="1:7" ht="18.75">
      <c r="A32" s="730" t="s">
        <v>298</v>
      </c>
      <c r="B32" s="304" t="s">
        <v>16</v>
      </c>
      <c r="C32" s="306">
        <f t="shared" si="0"/>
        <v>426.74</v>
      </c>
      <c r="D32" s="308">
        <v>426.74</v>
      </c>
      <c r="E32" s="308"/>
      <c r="F32" s="308"/>
      <c r="G32" s="732" t="s">
        <v>31</v>
      </c>
    </row>
    <row r="33" spans="1:7" ht="114" customHeight="1">
      <c r="A33" s="731"/>
      <c r="B33" s="304" t="s">
        <v>62</v>
      </c>
      <c r="C33" s="306">
        <f t="shared" si="0"/>
        <v>1224.322</v>
      </c>
      <c r="D33" s="315">
        <v>1224.322</v>
      </c>
      <c r="E33" s="308"/>
      <c r="F33" s="308"/>
      <c r="G33" s="733"/>
    </row>
    <row r="34" spans="1:7" ht="18.75">
      <c r="A34" s="734" t="s">
        <v>299</v>
      </c>
      <c r="B34" s="304" t="s">
        <v>16</v>
      </c>
      <c r="C34" s="306">
        <f t="shared" si="0"/>
        <v>269</v>
      </c>
      <c r="D34" s="315">
        <v>269</v>
      </c>
      <c r="E34" s="308"/>
      <c r="F34" s="308"/>
      <c r="G34" s="727" t="s">
        <v>31</v>
      </c>
    </row>
    <row r="35" spans="1:7" ht="37.5">
      <c r="A35" s="735"/>
      <c r="B35" s="66" t="s">
        <v>62</v>
      </c>
      <c r="C35" s="306">
        <f t="shared" si="0"/>
        <v>2420</v>
      </c>
      <c r="D35" s="307">
        <v>2420</v>
      </c>
      <c r="E35" s="308"/>
      <c r="F35" s="309"/>
      <c r="G35" s="728"/>
    </row>
    <row r="36" spans="1:7" ht="56.25">
      <c r="A36" s="271" t="s">
        <v>300</v>
      </c>
      <c r="B36" s="304" t="s">
        <v>62</v>
      </c>
      <c r="C36" s="306">
        <f t="shared" si="0"/>
        <v>621.6</v>
      </c>
      <c r="D36" s="308">
        <v>621.6</v>
      </c>
      <c r="E36" s="308"/>
      <c r="F36" s="308"/>
      <c r="G36" s="398" t="s">
        <v>31</v>
      </c>
    </row>
    <row r="37" spans="1:7" ht="62.25" customHeight="1">
      <c r="A37" s="271" t="s">
        <v>301</v>
      </c>
      <c r="B37" s="66" t="s">
        <v>16</v>
      </c>
      <c r="C37" s="306">
        <f t="shared" si="0"/>
        <v>20</v>
      </c>
      <c r="D37" s="308">
        <v>20</v>
      </c>
      <c r="E37" s="308"/>
      <c r="F37" s="310"/>
      <c r="G37" s="397" t="s">
        <v>31</v>
      </c>
    </row>
    <row r="38" spans="1:7" ht="51" customHeight="1">
      <c r="A38" s="677" t="s">
        <v>302</v>
      </c>
      <c r="B38" s="237" t="s">
        <v>16</v>
      </c>
      <c r="C38" s="306">
        <f t="shared" si="0"/>
        <v>5250</v>
      </c>
      <c r="D38" s="307">
        <f>500+500</f>
        <v>1000</v>
      </c>
      <c r="E38" s="307">
        <v>3750</v>
      </c>
      <c r="F38" s="307">
        <v>500</v>
      </c>
      <c r="G38" s="400" t="s">
        <v>31</v>
      </c>
    </row>
    <row r="39" spans="1:7" ht="18.75" customHeight="1">
      <c r="A39" s="678"/>
      <c r="B39" s="303" t="s">
        <v>77</v>
      </c>
      <c r="C39" s="306"/>
      <c r="D39" s="307"/>
      <c r="E39" s="307"/>
      <c r="F39" s="307"/>
      <c r="G39" s="400"/>
    </row>
    <row r="40" spans="1:7" ht="103.5" customHeight="1">
      <c r="A40" s="271" t="s">
        <v>303</v>
      </c>
      <c r="B40" s="303" t="s">
        <v>16</v>
      </c>
      <c r="C40" s="306">
        <f t="shared" si="0"/>
        <v>1150</v>
      </c>
      <c r="D40" s="308">
        <v>700</v>
      </c>
      <c r="E40" s="308">
        <v>450</v>
      </c>
      <c r="F40" s="309"/>
      <c r="G40" s="397" t="s">
        <v>31</v>
      </c>
    </row>
    <row r="41" spans="1:7" ht="56.25">
      <c r="A41" s="313" t="s">
        <v>304</v>
      </c>
      <c r="B41" s="325" t="s">
        <v>16</v>
      </c>
      <c r="C41" s="306">
        <f t="shared" si="0"/>
        <v>295</v>
      </c>
      <c r="D41" s="321">
        <v>295</v>
      </c>
      <c r="E41" s="321"/>
      <c r="F41" s="321"/>
      <c r="G41" s="401" t="s">
        <v>31</v>
      </c>
    </row>
    <row r="42" spans="1:7" ht="42" customHeight="1">
      <c r="A42" s="238" t="s">
        <v>305</v>
      </c>
      <c r="B42" s="66" t="s">
        <v>16</v>
      </c>
      <c r="C42" s="306">
        <f t="shared" si="0"/>
        <v>1785</v>
      </c>
      <c r="D42" s="311">
        <f>1000-665</f>
        <v>335</v>
      </c>
      <c r="E42" s="311">
        <f>0+1450</f>
        <v>1450</v>
      </c>
      <c r="F42" s="306"/>
      <c r="G42" s="397" t="s">
        <v>31</v>
      </c>
    </row>
    <row r="43" spans="1:7" ht="40.5" customHeight="1">
      <c r="A43" s="314" t="s">
        <v>306</v>
      </c>
      <c r="B43" s="326" t="s">
        <v>16</v>
      </c>
      <c r="C43" s="306">
        <f t="shared" si="0"/>
        <v>3000</v>
      </c>
      <c r="D43" s="308">
        <v>3000</v>
      </c>
      <c r="E43" s="308"/>
      <c r="F43" s="309"/>
      <c r="G43" s="396" t="s">
        <v>31</v>
      </c>
    </row>
    <row r="44" spans="1:7" ht="33" customHeight="1">
      <c r="A44" s="271" t="s">
        <v>307</v>
      </c>
      <c r="B44" s="303" t="s">
        <v>16</v>
      </c>
      <c r="C44" s="306">
        <f t="shared" si="0"/>
        <v>376.8</v>
      </c>
      <c r="D44" s="308">
        <v>376.8</v>
      </c>
      <c r="E44" s="308"/>
      <c r="F44" s="309"/>
      <c r="G44" s="397" t="s">
        <v>31</v>
      </c>
    </row>
    <row r="45" spans="1:7" ht="56.25">
      <c r="A45" s="234" t="s">
        <v>309</v>
      </c>
      <c r="B45" s="303" t="s">
        <v>16</v>
      </c>
      <c r="C45" s="306">
        <f t="shared" si="0"/>
        <v>350</v>
      </c>
      <c r="D45" s="311">
        <v>350</v>
      </c>
      <c r="E45" s="311"/>
      <c r="F45" s="477"/>
      <c r="G45" s="397" t="s">
        <v>31</v>
      </c>
    </row>
    <row r="46" spans="1:7" ht="56.25">
      <c r="A46" s="234" t="s">
        <v>310</v>
      </c>
      <c r="B46" s="303" t="s">
        <v>16</v>
      </c>
      <c r="C46" s="306">
        <f t="shared" si="0"/>
        <v>250</v>
      </c>
      <c r="D46" s="311">
        <v>250</v>
      </c>
      <c r="E46" s="311"/>
      <c r="F46" s="306"/>
      <c r="G46" s="397" t="s">
        <v>31</v>
      </c>
    </row>
    <row r="47" spans="1:7" ht="76.5" customHeight="1">
      <c r="A47" s="234" t="s">
        <v>399</v>
      </c>
      <c r="B47" s="303" t="s">
        <v>16</v>
      </c>
      <c r="C47" s="306">
        <f t="shared" si="0"/>
        <v>2744</v>
      </c>
      <c r="D47" s="311">
        <f>1194</f>
        <v>1194</v>
      </c>
      <c r="E47" s="311">
        <f>1550</f>
        <v>1550</v>
      </c>
      <c r="F47" s="306"/>
      <c r="G47" s="397" t="s">
        <v>31</v>
      </c>
    </row>
    <row r="48" spans="1:7" ht="75">
      <c r="A48" s="234" t="s">
        <v>332</v>
      </c>
      <c r="B48" s="303" t="s">
        <v>16</v>
      </c>
      <c r="C48" s="306">
        <f t="shared" si="0"/>
        <v>1497</v>
      </c>
      <c r="D48" s="308">
        <v>1497</v>
      </c>
      <c r="E48" s="308"/>
      <c r="F48" s="309"/>
      <c r="G48" s="397" t="s">
        <v>31</v>
      </c>
    </row>
    <row r="49" spans="1:7" ht="56.25">
      <c r="A49" s="234" t="s">
        <v>311</v>
      </c>
      <c r="B49" s="303" t="s">
        <v>16</v>
      </c>
      <c r="C49" s="306">
        <f t="shared" si="0"/>
        <v>1200</v>
      </c>
      <c r="D49" s="308">
        <f>200+1000</f>
        <v>1200</v>
      </c>
      <c r="E49" s="308"/>
      <c r="F49" s="310"/>
      <c r="G49" s="397" t="s">
        <v>31</v>
      </c>
    </row>
    <row r="50" spans="1:7" ht="49.5">
      <c r="A50" s="234" t="s">
        <v>312</v>
      </c>
      <c r="B50" s="303" t="s">
        <v>16</v>
      </c>
      <c r="C50" s="306">
        <f t="shared" si="0"/>
        <v>3690</v>
      </c>
      <c r="D50" s="308">
        <v>250</v>
      </c>
      <c r="E50" s="308">
        <f>3640-200</f>
        <v>3440</v>
      </c>
      <c r="F50" s="309"/>
      <c r="G50" s="397" t="s">
        <v>31</v>
      </c>
    </row>
    <row r="51" spans="1:7" ht="54" customHeight="1">
      <c r="A51" s="677" t="s">
        <v>333</v>
      </c>
      <c r="B51" s="303" t="s">
        <v>62</v>
      </c>
      <c r="C51" s="306">
        <f t="shared" si="0"/>
        <v>950</v>
      </c>
      <c r="D51" s="308">
        <v>950</v>
      </c>
      <c r="E51" s="308"/>
      <c r="F51" s="309"/>
      <c r="G51" s="727" t="s">
        <v>31</v>
      </c>
    </row>
    <row r="52" spans="1:7" ht="18.75">
      <c r="A52" s="678"/>
      <c r="B52" s="303" t="s">
        <v>16</v>
      </c>
      <c r="C52" s="306">
        <f t="shared" si="0"/>
        <v>28.5</v>
      </c>
      <c r="D52" s="308">
        <v>28.5</v>
      </c>
      <c r="E52" s="308"/>
      <c r="F52" s="309"/>
      <c r="G52" s="728"/>
    </row>
    <row r="53" spans="1:7" ht="33.75" customHeight="1">
      <c r="A53" s="677" t="s">
        <v>334</v>
      </c>
      <c r="B53" s="303" t="s">
        <v>62</v>
      </c>
      <c r="C53" s="306">
        <f t="shared" si="0"/>
        <v>297</v>
      </c>
      <c r="D53" s="308">
        <v>297</v>
      </c>
      <c r="E53" s="308"/>
      <c r="F53" s="309"/>
      <c r="G53" s="727" t="s">
        <v>31</v>
      </c>
    </row>
    <row r="54" spans="1:7" ht="18.75">
      <c r="A54" s="678"/>
      <c r="B54" s="303" t="s">
        <v>16</v>
      </c>
      <c r="C54" s="306">
        <f t="shared" si="0"/>
        <v>8.9</v>
      </c>
      <c r="D54" s="308">
        <v>8.9</v>
      </c>
      <c r="E54" s="308"/>
      <c r="F54" s="309"/>
      <c r="G54" s="728"/>
    </row>
    <row r="55" spans="1:7" ht="49.5">
      <c r="A55" s="234" t="s">
        <v>335</v>
      </c>
      <c r="B55" s="303" t="s">
        <v>77</v>
      </c>
      <c r="C55" s="306">
        <f t="shared" si="0"/>
        <v>30</v>
      </c>
      <c r="D55" s="308">
        <v>30</v>
      </c>
      <c r="E55" s="308"/>
      <c r="F55" s="309"/>
      <c r="G55" s="397" t="s">
        <v>31</v>
      </c>
    </row>
    <row r="56" spans="1:7" ht="36" customHeight="1">
      <c r="A56" s="387" t="s">
        <v>381</v>
      </c>
      <c r="B56" s="303" t="s">
        <v>16</v>
      </c>
      <c r="C56" s="306">
        <f t="shared" si="0"/>
        <v>400</v>
      </c>
      <c r="D56" s="308"/>
      <c r="E56" s="308">
        <v>400</v>
      </c>
      <c r="F56" s="309"/>
      <c r="G56" s="397" t="s">
        <v>31</v>
      </c>
    </row>
    <row r="57" spans="1:7" ht="49.5" customHeight="1">
      <c r="A57" s="388" t="s">
        <v>382</v>
      </c>
      <c r="B57" s="303" t="s">
        <v>16</v>
      </c>
      <c r="C57" s="306">
        <f t="shared" si="0"/>
        <v>250</v>
      </c>
      <c r="D57" s="308"/>
      <c r="E57" s="308">
        <v>250</v>
      </c>
      <c r="F57" s="309"/>
      <c r="G57" s="397" t="s">
        <v>31</v>
      </c>
    </row>
    <row r="58" spans="1:7" ht="49.5">
      <c r="A58" s="234" t="s">
        <v>380</v>
      </c>
      <c r="B58" s="303" t="s">
        <v>16</v>
      </c>
      <c r="C58" s="306">
        <f t="shared" si="0"/>
        <v>1000</v>
      </c>
      <c r="D58" s="308"/>
      <c r="E58" s="308">
        <v>1000</v>
      </c>
      <c r="F58" s="309"/>
      <c r="G58" s="397" t="s">
        <v>31</v>
      </c>
    </row>
    <row r="59" spans="1:7" ht="88.5" customHeight="1">
      <c r="A59" s="446" t="s">
        <v>515</v>
      </c>
      <c r="B59" s="237" t="s">
        <v>16</v>
      </c>
      <c r="C59" s="306">
        <f t="shared" si="0"/>
        <v>0</v>
      </c>
      <c r="D59" s="308"/>
      <c r="E59" s="308">
        <f>0+200-200</f>
        <v>0</v>
      </c>
      <c r="F59" s="309"/>
      <c r="G59" s="397" t="s">
        <v>31</v>
      </c>
    </row>
    <row r="60" spans="1:7" ht="54" customHeight="1">
      <c r="A60" s="446" t="s">
        <v>525</v>
      </c>
      <c r="B60" s="303" t="s">
        <v>16</v>
      </c>
      <c r="C60" s="306">
        <f t="shared" si="0"/>
        <v>2116.5</v>
      </c>
      <c r="D60" s="308"/>
      <c r="E60" s="308">
        <f>0+316.5</f>
        <v>316.5</v>
      </c>
      <c r="F60" s="309">
        <v>1800</v>
      </c>
      <c r="G60" s="397" t="s">
        <v>31</v>
      </c>
    </row>
    <row r="61" spans="1:7" ht="51.75" customHeight="1">
      <c r="A61" s="476" t="s">
        <v>531</v>
      </c>
      <c r="B61" s="303" t="s">
        <v>16</v>
      </c>
      <c r="C61" s="306">
        <f t="shared" si="0"/>
        <v>50</v>
      </c>
      <c r="D61" s="308"/>
      <c r="E61" s="308">
        <f>0+50</f>
        <v>50</v>
      </c>
      <c r="F61" s="309"/>
      <c r="G61" s="397" t="s">
        <v>31</v>
      </c>
    </row>
    <row r="62" spans="1:7" ht="48" customHeight="1">
      <c r="A62" s="476" t="s">
        <v>546</v>
      </c>
      <c r="B62" s="303" t="s">
        <v>16</v>
      </c>
      <c r="C62" s="306">
        <f t="shared" si="0"/>
        <v>750</v>
      </c>
      <c r="D62" s="308"/>
      <c r="E62" s="308"/>
      <c r="F62" s="309">
        <v>750</v>
      </c>
      <c r="G62" s="397" t="s">
        <v>31</v>
      </c>
    </row>
    <row r="63" spans="1:7" ht="48" customHeight="1">
      <c r="A63" s="476" t="s">
        <v>547</v>
      </c>
      <c r="B63" s="303" t="s">
        <v>16</v>
      </c>
      <c r="C63" s="306">
        <f t="shared" si="0"/>
        <v>240</v>
      </c>
      <c r="D63" s="308"/>
      <c r="E63" s="308"/>
      <c r="F63" s="309">
        <v>240</v>
      </c>
      <c r="G63" s="397" t="s">
        <v>31</v>
      </c>
    </row>
    <row r="64" spans="1:7" ht="43.5" customHeight="1">
      <c r="A64" s="476" t="s">
        <v>548</v>
      </c>
      <c r="B64" s="303" t="s">
        <v>16</v>
      </c>
      <c r="C64" s="306">
        <f t="shared" si="0"/>
        <v>1200</v>
      </c>
      <c r="D64" s="308"/>
      <c r="E64" s="308"/>
      <c r="F64" s="309">
        <v>1200</v>
      </c>
      <c r="G64" s="397" t="s">
        <v>31</v>
      </c>
    </row>
    <row r="65" spans="1:7" ht="66.75" customHeight="1">
      <c r="A65" s="476" t="s">
        <v>549</v>
      </c>
      <c r="B65" s="303" t="s">
        <v>16</v>
      </c>
      <c r="C65" s="306">
        <f t="shared" si="0"/>
        <v>0</v>
      </c>
      <c r="D65" s="308"/>
      <c r="E65" s="308"/>
      <c r="F65" s="310"/>
      <c r="G65" s="397" t="s">
        <v>31</v>
      </c>
    </row>
    <row r="66" spans="1:7" ht="51" customHeight="1">
      <c r="A66" s="476" t="s">
        <v>550</v>
      </c>
      <c r="B66" s="303" t="s">
        <v>16</v>
      </c>
      <c r="C66" s="306">
        <f t="shared" si="0"/>
        <v>1950</v>
      </c>
      <c r="D66" s="308"/>
      <c r="E66" s="308"/>
      <c r="F66" s="309">
        <v>1950</v>
      </c>
      <c r="G66" s="397" t="s">
        <v>31</v>
      </c>
    </row>
    <row r="67" spans="1:7" ht="45.75" customHeight="1">
      <c r="A67" s="476" t="s">
        <v>551</v>
      </c>
      <c r="B67" s="303" t="s">
        <v>16</v>
      </c>
      <c r="C67" s="306">
        <f t="shared" si="0"/>
        <v>0</v>
      </c>
      <c r="D67" s="308"/>
      <c r="E67" s="308"/>
      <c r="F67" s="310"/>
      <c r="G67" s="397" t="s">
        <v>31</v>
      </c>
    </row>
    <row r="68" spans="1:7" ht="33.75" customHeight="1">
      <c r="A68" s="476" t="s">
        <v>552</v>
      </c>
      <c r="B68" s="303" t="s">
        <v>16</v>
      </c>
      <c r="C68" s="306">
        <f t="shared" si="0"/>
        <v>9700</v>
      </c>
      <c r="D68" s="308"/>
      <c r="E68" s="308"/>
      <c r="F68" s="309">
        <v>9700</v>
      </c>
      <c r="G68" s="397" t="s">
        <v>31</v>
      </c>
    </row>
    <row r="69" spans="1:7" ht="56.25" customHeight="1">
      <c r="A69" s="476" t="s">
        <v>553</v>
      </c>
      <c r="B69" s="303" t="s">
        <v>16</v>
      </c>
      <c r="C69" s="306">
        <f t="shared" si="0"/>
        <v>72</v>
      </c>
      <c r="D69" s="308"/>
      <c r="E69" s="308"/>
      <c r="F69" s="309">
        <v>72</v>
      </c>
      <c r="G69" s="397" t="s">
        <v>31</v>
      </c>
    </row>
    <row r="70" spans="1:7" ht="28.5" customHeight="1">
      <c r="A70" s="476" t="s">
        <v>634</v>
      </c>
      <c r="B70" s="303" t="s">
        <v>16</v>
      </c>
      <c r="C70" s="306">
        <f t="shared" si="0"/>
        <v>250</v>
      </c>
      <c r="D70" s="308"/>
      <c r="E70" s="308"/>
      <c r="F70" s="309">
        <v>250</v>
      </c>
      <c r="G70" s="397" t="s">
        <v>31</v>
      </c>
    </row>
    <row r="71" spans="1:7" ht="30" customHeight="1">
      <c r="A71" s="476" t="s">
        <v>635</v>
      </c>
      <c r="B71" s="303" t="s">
        <v>16</v>
      </c>
      <c r="C71" s="306">
        <f t="shared" si="0"/>
        <v>300</v>
      </c>
      <c r="D71" s="308"/>
      <c r="E71" s="308"/>
      <c r="F71" s="309">
        <v>300</v>
      </c>
      <c r="G71" s="397" t="s">
        <v>31</v>
      </c>
    </row>
    <row r="72" spans="1:7" ht="18.75">
      <c r="A72" s="60" t="s">
        <v>5</v>
      </c>
      <c r="B72" s="71"/>
      <c r="C72" s="365">
        <f>C15+C19+C18</f>
        <v>186580.322</v>
      </c>
      <c r="D72" s="365">
        <f>D15+D19+D18</f>
        <v>94580.322</v>
      </c>
      <c r="E72" s="365">
        <f>E15+E19+E18</f>
        <v>92000</v>
      </c>
      <c r="F72" s="365">
        <f>F15+F19+F18</f>
        <v>0</v>
      </c>
      <c r="G72" s="402"/>
    </row>
    <row r="73" spans="1:7" ht="16.5">
      <c r="A73" s="18"/>
      <c r="B73" s="18"/>
      <c r="C73" s="90"/>
      <c r="D73" s="19"/>
      <c r="E73" s="19"/>
      <c r="F73" s="19"/>
      <c r="G73" s="403"/>
    </row>
    <row r="74" spans="1:7" ht="18.75">
      <c r="A74" s="52"/>
      <c r="B74" s="53"/>
      <c r="D74" s="19"/>
      <c r="E74" s="19"/>
      <c r="F74" s="19"/>
      <c r="G74" s="404"/>
    </row>
    <row r="75" spans="1:7" ht="23.25" customHeight="1">
      <c r="A75" s="374" t="s">
        <v>617</v>
      </c>
      <c r="B75" s="374"/>
      <c r="C75" s="374"/>
      <c r="D75" s="22"/>
      <c r="E75" s="22"/>
      <c r="F75" s="23"/>
      <c r="G75" s="23" t="s">
        <v>30</v>
      </c>
    </row>
    <row r="76" spans="1:7" ht="18.75">
      <c r="A76" s="21"/>
      <c r="B76" s="21"/>
      <c r="C76" s="21"/>
      <c r="D76" s="22"/>
      <c r="E76" s="22"/>
      <c r="F76" s="23"/>
      <c r="G76" s="24"/>
    </row>
    <row r="77" spans="1:7" ht="18.75">
      <c r="A77" s="612" t="s">
        <v>535</v>
      </c>
      <c r="B77" s="612"/>
      <c r="C77" s="25"/>
      <c r="D77" s="26"/>
      <c r="E77" s="26"/>
      <c r="F77" s="15"/>
      <c r="G77" s="15"/>
    </row>
    <row r="78" spans="1:7" ht="15.75">
      <c r="A78" s="17" t="s">
        <v>10</v>
      </c>
      <c r="B78" s="17"/>
      <c r="C78" s="26"/>
      <c r="D78" s="26"/>
      <c r="E78" s="26"/>
      <c r="F78" s="15"/>
      <c r="G78" s="15"/>
    </row>
    <row r="79" spans="1:7" ht="15.75">
      <c r="A79" s="28"/>
      <c r="B79" s="29"/>
      <c r="C79" s="30"/>
      <c r="D79" s="26"/>
      <c r="E79" s="26"/>
      <c r="F79" s="15"/>
      <c r="G79" s="15"/>
    </row>
    <row r="80" spans="2:6" ht="15.75">
      <c r="B80" s="30"/>
      <c r="C80" s="26"/>
      <c r="D80" s="26"/>
      <c r="E80" s="26"/>
      <c r="F80" s="26"/>
    </row>
    <row r="81" spans="2:6" ht="15.75">
      <c r="B81" s="31"/>
      <c r="C81" s="26"/>
      <c r="D81" s="26"/>
      <c r="E81" s="26"/>
      <c r="F81" s="26"/>
    </row>
  </sheetData>
  <sheetProtection/>
  <mergeCells count="28">
    <mergeCell ref="G53:G54"/>
    <mergeCell ref="A51:A52"/>
    <mergeCell ref="G51:G52"/>
    <mergeCell ref="A12:A14"/>
    <mergeCell ref="E13:E14"/>
    <mergeCell ref="F13:F14"/>
    <mergeCell ref="A53:A54"/>
    <mergeCell ref="A34:A35"/>
    <mergeCell ref="B12:B14"/>
    <mergeCell ref="A38:A39"/>
    <mergeCell ref="A15:A19"/>
    <mergeCell ref="G34:G35"/>
    <mergeCell ref="G15:G19"/>
    <mergeCell ref="A32:A33"/>
    <mergeCell ref="G32:G33"/>
    <mergeCell ref="G21:G22"/>
    <mergeCell ref="A27:A28"/>
    <mergeCell ref="G27:G28"/>
    <mergeCell ref="A77:B77"/>
    <mergeCell ref="F1:G1"/>
    <mergeCell ref="F2:G2"/>
    <mergeCell ref="A10:G10"/>
    <mergeCell ref="C11:E11"/>
    <mergeCell ref="C12:C14"/>
    <mergeCell ref="D12:F12"/>
    <mergeCell ref="D13:D14"/>
    <mergeCell ref="G12:G14"/>
    <mergeCell ref="A21:A22"/>
  </mergeCells>
  <printOptions horizontalCentered="1"/>
  <pageMargins left="0" right="0" top="1.1811023622047245" bottom="0.7874015748031497" header="0" footer="0"/>
  <pageSetup fitToHeight="0" fitToWidth="1" horizontalDpi="600" verticalDpi="600" orientation="landscape" paperSize="9" scale="67" r:id="rId1"/>
  <headerFooter scaleWithDoc="0" alignWithMargins="0">
    <oddHeader>&amp;C&amp;N&amp;P</oddHeader>
  </headerFooter>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G90"/>
  <sheetViews>
    <sheetView zoomScalePageLayoutView="0" workbookViewId="0" topLeftCell="A73">
      <selection activeCell="A81" sqref="A81:IV81"/>
    </sheetView>
  </sheetViews>
  <sheetFormatPr defaultColWidth="9.140625" defaultRowHeight="12.75"/>
  <cols>
    <col min="1" max="1" width="56.28125" style="0" customWidth="1"/>
    <col min="2" max="2" width="29.57421875" style="0" customWidth="1"/>
    <col min="3" max="3" width="19.00390625" style="0" customWidth="1"/>
    <col min="4" max="4" width="15.8515625" style="0" customWidth="1"/>
    <col min="5" max="5" width="15.7109375" style="0" customWidth="1"/>
    <col min="6" max="6" width="18.140625" style="0" customWidth="1"/>
    <col min="7" max="7" width="39.7109375" style="0" customWidth="1"/>
  </cols>
  <sheetData>
    <row r="1" ht="18.75">
      <c r="F1" s="410" t="s">
        <v>502</v>
      </c>
    </row>
    <row r="2" spans="1:7" ht="18.75">
      <c r="A2" s="15"/>
      <c r="B2" s="15"/>
      <c r="C2" s="15"/>
      <c r="D2" s="15"/>
      <c r="E2" s="15"/>
      <c r="F2" s="607" t="s">
        <v>11</v>
      </c>
      <c r="G2" s="607"/>
    </row>
    <row r="3" spans="1:7" ht="18.75">
      <c r="A3" s="15"/>
      <c r="B3" s="15"/>
      <c r="C3" s="15"/>
      <c r="D3" s="15"/>
      <c r="E3" s="15"/>
      <c r="F3" s="59" t="s">
        <v>318</v>
      </c>
      <c r="G3" s="59"/>
    </row>
    <row r="4" spans="1:7" ht="18.75">
      <c r="A4" s="15"/>
      <c r="B4" s="15"/>
      <c r="C4" s="15"/>
      <c r="D4" s="15"/>
      <c r="E4" s="15"/>
      <c r="F4" s="59" t="s">
        <v>673</v>
      </c>
      <c r="G4" s="59"/>
    </row>
    <row r="5" spans="1:7" ht="18.75">
      <c r="A5" s="15"/>
      <c r="B5" s="15"/>
      <c r="C5" s="15"/>
      <c r="D5" s="15"/>
      <c r="E5" s="15"/>
      <c r="F5" s="59" t="s">
        <v>692</v>
      </c>
      <c r="G5" s="59"/>
    </row>
    <row r="6" spans="1:7" ht="18.75">
      <c r="A6" s="15"/>
      <c r="B6" s="15"/>
      <c r="C6" s="15"/>
      <c r="D6" s="15"/>
      <c r="E6" s="15"/>
      <c r="F6" s="59" t="s">
        <v>675</v>
      </c>
      <c r="G6" s="59"/>
    </row>
    <row r="7" spans="1:7" ht="18.75">
      <c r="A7" s="15"/>
      <c r="B7" s="15"/>
      <c r="C7" s="15"/>
      <c r="D7" s="15"/>
      <c r="E7" s="15"/>
      <c r="F7" s="59" t="s">
        <v>676</v>
      </c>
      <c r="G7" s="59"/>
    </row>
    <row r="8" spans="1:7" ht="18.75">
      <c r="A8" s="15"/>
      <c r="B8" s="15"/>
      <c r="C8" s="15"/>
      <c r="D8" s="15"/>
      <c r="E8" s="15"/>
      <c r="F8" s="59" t="s">
        <v>677</v>
      </c>
      <c r="G8" s="59"/>
    </row>
    <row r="9" spans="1:7" ht="17.25" customHeight="1">
      <c r="A9" s="15"/>
      <c r="B9" s="15"/>
      <c r="C9" s="15"/>
      <c r="D9" s="15"/>
      <c r="E9" s="15"/>
      <c r="F9" s="358" t="s">
        <v>767</v>
      </c>
      <c r="G9" s="15"/>
    </row>
    <row r="10" spans="1:7" ht="18.75">
      <c r="A10" s="675" t="s">
        <v>483</v>
      </c>
      <c r="B10" s="675"/>
      <c r="C10" s="675"/>
      <c r="D10" s="675"/>
      <c r="E10" s="675"/>
      <c r="F10" s="675"/>
      <c r="G10" s="675"/>
    </row>
    <row r="11" spans="1:7" ht="4.5" customHeight="1">
      <c r="A11" s="15"/>
      <c r="B11" s="15"/>
      <c r="C11" s="614"/>
      <c r="D11" s="614"/>
      <c r="E11" s="614"/>
      <c r="F11" s="15"/>
      <c r="G11" s="15"/>
    </row>
    <row r="12" spans="1:7" ht="12" customHeight="1">
      <c r="A12" s="664" t="s">
        <v>12</v>
      </c>
      <c r="B12" s="664" t="s">
        <v>13</v>
      </c>
      <c r="C12" s="664" t="s">
        <v>14</v>
      </c>
      <c r="D12" s="671" t="s">
        <v>9</v>
      </c>
      <c r="E12" s="671"/>
      <c r="F12" s="672"/>
      <c r="G12" s="667" t="s">
        <v>15</v>
      </c>
    </row>
    <row r="13" spans="1:7" ht="12.75">
      <c r="A13" s="665"/>
      <c r="B13" s="665"/>
      <c r="C13" s="665"/>
      <c r="D13" s="664">
        <v>2018</v>
      </c>
      <c r="E13" s="664">
        <v>2019</v>
      </c>
      <c r="F13" s="667">
        <v>2020</v>
      </c>
      <c r="G13" s="667"/>
    </row>
    <row r="14" spans="1:7" ht="1.5" customHeight="1">
      <c r="A14" s="666"/>
      <c r="B14" s="666"/>
      <c r="C14" s="666"/>
      <c r="D14" s="666"/>
      <c r="E14" s="666"/>
      <c r="F14" s="667"/>
      <c r="G14" s="667"/>
    </row>
    <row r="15" spans="1:7" ht="17.25" customHeight="1">
      <c r="A15" s="608" t="s">
        <v>308</v>
      </c>
      <c r="B15" s="84" t="s">
        <v>16</v>
      </c>
      <c r="C15" s="316">
        <f>SUM(D15:F15)</f>
        <v>181037.4</v>
      </c>
      <c r="D15" s="317">
        <v>89037.4</v>
      </c>
      <c r="E15" s="317">
        <v>92000</v>
      </c>
      <c r="F15" s="317">
        <f>95000-95000</f>
        <v>0</v>
      </c>
      <c r="G15" s="669" t="s">
        <v>31</v>
      </c>
    </row>
    <row r="16" spans="1:7" ht="14.25" customHeight="1">
      <c r="A16" s="609"/>
      <c r="B16" s="84" t="s">
        <v>643</v>
      </c>
      <c r="C16" s="316">
        <f>SUM(D16:F16)</f>
        <v>95000</v>
      </c>
      <c r="D16" s="307">
        <v>0</v>
      </c>
      <c r="E16" s="308">
        <v>0</v>
      </c>
      <c r="F16" s="484">
        <v>95000</v>
      </c>
      <c r="G16" s="712"/>
    </row>
    <row r="17" spans="1:7" ht="14.25" customHeight="1">
      <c r="A17" s="609"/>
      <c r="B17" s="84" t="s">
        <v>77</v>
      </c>
      <c r="C17" s="316">
        <f>D17+E17+F17</f>
        <v>30</v>
      </c>
      <c r="D17" s="317">
        <f>D38+D54</f>
        <v>30</v>
      </c>
      <c r="E17" s="308"/>
      <c r="F17" s="309"/>
      <c r="G17" s="712"/>
    </row>
    <row r="18" spans="1:7" ht="18" customHeight="1">
      <c r="A18" s="610"/>
      <c r="B18" s="84" t="s">
        <v>62</v>
      </c>
      <c r="C18" s="318">
        <f>D18+E18+F18</f>
        <v>5512.9220000000005</v>
      </c>
      <c r="D18" s="319">
        <f>D34+D50+D52+D35+D32</f>
        <v>5512.9220000000005</v>
      </c>
      <c r="E18" s="308"/>
      <c r="F18" s="310"/>
      <c r="G18" s="670"/>
    </row>
    <row r="19" spans="1:7" ht="44.25" customHeight="1">
      <c r="A19" s="387" t="s">
        <v>284</v>
      </c>
      <c r="B19" s="487" t="s">
        <v>16</v>
      </c>
      <c r="C19" s="488">
        <f>D19+E19+F19</f>
        <v>3979.4</v>
      </c>
      <c r="D19" s="489">
        <f>1200-946</f>
        <v>254</v>
      </c>
      <c r="E19" s="490">
        <v>3725.4</v>
      </c>
      <c r="F19" s="491"/>
      <c r="G19" s="437" t="s">
        <v>31</v>
      </c>
    </row>
    <row r="20" spans="1:7" ht="16.5">
      <c r="A20" s="740" t="s">
        <v>286</v>
      </c>
      <c r="B20" s="487" t="s">
        <v>16</v>
      </c>
      <c r="C20" s="488">
        <f>D20+E20+F20</f>
        <v>5500</v>
      </c>
      <c r="D20" s="489">
        <v>2000</v>
      </c>
      <c r="E20" s="490">
        <v>3500</v>
      </c>
      <c r="F20" s="492">
        <v>0</v>
      </c>
      <c r="G20" s="746" t="s">
        <v>31</v>
      </c>
    </row>
    <row r="21" spans="1:7" ht="22.5" customHeight="1">
      <c r="A21" s="741"/>
      <c r="B21" s="487" t="s">
        <v>643</v>
      </c>
      <c r="C21" s="488">
        <f>D21+E21+F21</f>
        <v>3000</v>
      </c>
      <c r="D21" s="489">
        <v>0</v>
      </c>
      <c r="E21" s="490">
        <v>0</v>
      </c>
      <c r="F21" s="492">
        <v>3000</v>
      </c>
      <c r="G21" s="747"/>
    </row>
    <row r="22" spans="1:7" ht="60" customHeight="1">
      <c r="A22" s="387" t="s">
        <v>289</v>
      </c>
      <c r="B22" s="487" t="s">
        <v>16</v>
      </c>
      <c r="C22" s="488">
        <f aca="true" t="shared" si="0" ref="C22:C73">D22+E22+F22</f>
        <v>250</v>
      </c>
      <c r="D22" s="489">
        <v>250</v>
      </c>
      <c r="E22" s="490"/>
      <c r="F22" s="491"/>
      <c r="G22" s="437" t="s">
        <v>31</v>
      </c>
    </row>
    <row r="23" spans="1:7" ht="48" customHeight="1">
      <c r="A23" s="387" t="s">
        <v>291</v>
      </c>
      <c r="B23" s="487" t="s">
        <v>16</v>
      </c>
      <c r="C23" s="488">
        <f t="shared" si="0"/>
        <v>240</v>
      </c>
      <c r="D23" s="489">
        <v>240</v>
      </c>
      <c r="E23" s="490"/>
      <c r="F23" s="491"/>
      <c r="G23" s="437" t="s">
        <v>31</v>
      </c>
    </row>
    <row r="24" spans="1:7" ht="47.25">
      <c r="A24" s="568" t="s">
        <v>293</v>
      </c>
      <c r="B24" s="493" t="s">
        <v>16</v>
      </c>
      <c r="C24" s="488">
        <f t="shared" si="0"/>
        <v>240</v>
      </c>
      <c r="D24" s="494">
        <v>240</v>
      </c>
      <c r="E24" s="495"/>
      <c r="F24" s="496"/>
      <c r="G24" s="567" t="s">
        <v>31</v>
      </c>
    </row>
    <row r="25" spans="1:7" ht="19.5" customHeight="1">
      <c r="A25" s="738" t="s">
        <v>294</v>
      </c>
      <c r="B25" s="497" t="s">
        <v>16</v>
      </c>
      <c r="C25" s="488">
        <f t="shared" si="0"/>
        <v>14920</v>
      </c>
      <c r="D25" s="498">
        <v>650</v>
      </c>
      <c r="E25" s="498">
        <v>14270</v>
      </c>
      <c r="F25" s="498"/>
      <c r="G25" s="673" t="s">
        <v>31</v>
      </c>
    </row>
    <row r="26" spans="1:7" ht="30.75" customHeight="1">
      <c r="A26" s="739"/>
      <c r="B26" s="499" t="s">
        <v>643</v>
      </c>
      <c r="C26" s="488">
        <f t="shared" si="0"/>
        <v>1000</v>
      </c>
      <c r="D26" s="490"/>
      <c r="E26" s="490"/>
      <c r="F26" s="490">
        <v>1000</v>
      </c>
      <c r="G26" s="674"/>
    </row>
    <row r="27" spans="1:7" ht="47.25">
      <c r="A27" s="569" t="s">
        <v>295</v>
      </c>
      <c r="B27" s="499" t="s">
        <v>16</v>
      </c>
      <c r="C27" s="488">
        <f t="shared" si="0"/>
        <v>1300</v>
      </c>
      <c r="D27" s="490">
        <v>1300</v>
      </c>
      <c r="E27" s="490"/>
      <c r="F27" s="500"/>
      <c r="G27" s="485" t="s">
        <v>31</v>
      </c>
    </row>
    <row r="28" spans="1:7" ht="47.25">
      <c r="A28" s="387" t="s">
        <v>296</v>
      </c>
      <c r="B28" s="487" t="s">
        <v>16</v>
      </c>
      <c r="C28" s="488">
        <f t="shared" si="0"/>
        <v>2180</v>
      </c>
      <c r="D28" s="489">
        <f>1980-1780</f>
        <v>200</v>
      </c>
      <c r="E28" s="490">
        <v>1980</v>
      </c>
      <c r="F28" s="491"/>
      <c r="G28" s="84" t="s">
        <v>31</v>
      </c>
    </row>
    <row r="29" spans="1:7" ht="50.25" customHeight="1">
      <c r="A29" s="738" t="s">
        <v>659</v>
      </c>
      <c r="B29" s="487" t="s">
        <v>16</v>
      </c>
      <c r="C29" s="488">
        <f t="shared" si="0"/>
        <v>12350</v>
      </c>
      <c r="D29" s="501">
        <v>350</v>
      </c>
      <c r="E29" s="498">
        <v>12000</v>
      </c>
      <c r="F29" s="488"/>
      <c r="G29" s="669" t="s">
        <v>31</v>
      </c>
    </row>
    <row r="30" spans="1:7" ht="28.5" customHeight="1">
      <c r="A30" s="739"/>
      <c r="B30" s="487" t="s">
        <v>643</v>
      </c>
      <c r="C30" s="488">
        <f t="shared" si="0"/>
        <v>1220</v>
      </c>
      <c r="D30" s="489"/>
      <c r="E30" s="490"/>
      <c r="F30" s="492">
        <v>1220</v>
      </c>
      <c r="G30" s="670"/>
    </row>
    <row r="31" spans="1:7" ht="31.5" customHeight="1">
      <c r="A31" s="736" t="s">
        <v>298</v>
      </c>
      <c r="B31" s="497" t="s">
        <v>16</v>
      </c>
      <c r="C31" s="488">
        <f t="shared" si="0"/>
        <v>426.74</v>
      </c>
      <c r="D31" s="490">
        <v>426.74</v>
      </c>
      <c r="E31" s="490"/>
      <c r="F31" s="490"/>
      <c r="G31" s="673" t="s">
        <v>31</v>
      </c>
    </row>
    <row r="32" spans="1:7" ht="47.25" customHeight="1">
      <c r="A32" s="737"/>
      <c r="B32" s="497" t="s">
        <v>62</v>
      </c>
      <c r="C32" s="488">
        <f t="shared" si="0"/>
        <v>1224.322</v>
      </c>
      <c r="D32" s="502">
        <v>1224.322</v>
      </c>
      <c r="E32" s="490"/>
      <c r="F32" s="490"/>
      <c r="G32" s="674"/>
    </row>
    <row r="33" spans="1:7" ht="24.75" customHeight="1">
      <c r="A33" s="738" t="s">
        <v>299</v>
      </c>
      <c r="B33" s="497" t="s">
        <v>16</v>
      </c>
      <c r="C33" s="488">
        <f t="shared" si="0"/>
        <v>269</v>
      </c>
      <c r="D33" s="502">
        <v>269</v>
      </c>
      <c r="E33" s="490"/>
      <c r="F33" s="490"/>
      <c r="G33" s="669" t="s">
        <v>31</v>
      </c>
    </row>
    <row r="34" spans="1:7" ht="18" customHeight="1">
      <c r="A34" s="739"/>
      <c r="B34" s="487" t="s">
        <v>62</v>
      </c>
      <c r="C34" s="488">
        <f t="shared" si="0"/>
        <v>2420</v>
      </c>
      <c r="D34" s="489">
        <v>2420</v>
      </c>
      <c r="E34" s="490"/>
      <c r="F34" s="492"/>
      <c r="G34" s="670"/>
    </row>
    <row r="35" spans="1:7" ht="47.25">
      <c r="A35" s="387" t="s">
        <v>300</v>
      </c>
      <c r="B35" s="497" t="s">
        <v>62</v>
      </c>
      <c r="C35" s="488">
        <f t="shared" si="0"/>
        <v>621.6</v>
      </c>
      <c r="D35" s="490">
        <v>621.6</v>
      </c>
      <c r="E35" s="490"/>
      <c r="F35" s="490"/>
      <c r="G35" s="486" t="s">
        <v>31</v>
      </c>
    </row>
    <row r="36" spans="1:7" ht="47.25">
      <c r="A36" s="387" t="s">
        <v>301</v>
      </c>
      <c r="B36" s="487" t="s">
        <v>16</v>
      </c>
      <c r="C36" s="488">
        <f t="shared" si="0"/>
        <v>20</v>
      </c>
      <c r="D36" s="490">
        <v>20</v>
      </c>
      <c r="E36" s="490"/>
      <c r="F36" s="491"/>
      <c r="G36" s="84" t="s">
        <v>31</v>
      </c>
    </row>
    <row r="37" spans="1:7" ht="20.25" customHeight="1">
      <c r="A37" s="740" t="s">
        <v>302</v>
      </c>
      <c r="B37" s="503" t="s">
        <v>16</v>
      </c>
      <c r="C37" s="488">
        <f t="shared" si="0"/>
        <v>4750</v>
      </c>
      <c r="D37" s="489">
        <f>500+500</f>
        <v>1000</v>
      </c>
      <c r="E37" s="489">
        <v>3750</v>
      </c>
      <c r="F37" s="489"/>
      <c r="G37" s="574" t="s">
        <v>31</v>
      </c>
    </row>
    <row r="38" spans="1:7" ht="19.5" customHeight="1">
      <c r="A38" s="741"/>
      <c r="B38" s="504" t="s">
        <v>643</v>
      </c>
      <c r="C38" s="488">
        <f t="shared" si="0"/>
        <v>500</v>
      </c>
      <c r="D38" s="489"/>
      <c r="E38" s="489"/>
      <c r="F38" s="489">
        <v>500</v>
      </c>
      <c r="G38" s="576"/>
    </row>
    <row r="39" spans="1:7" ht="74.25" customHeight="1">
      <c r="A39" s="387" t="s">
        <v>303</v>
      </c>
      <c r="B39" s="504" t="s">
        <v>16</v>
      </c>
      <c r="C39" s="488">
        <f t="shared" si="0"/>
        <v>1150</v>
      </c>
      <c r="D39" s="490">
        <v>700</v>
      </c>
      <c r="E39" s="490">
        <v>450</v>
      </c>
      <c r="F39" s="492"/>
      <c r="G39" s="84" t="s">
        <v>31</v>
      </c>
    </row>
    <row r="40" spans="1:7" ht="42" customHeight="1">
      <c r="A40" s="568" t="s">
        <v>304</v>
      </c>
      <c r="B40" s="505" t="s">
        <v>16</v>
      </c>
      <c r="C40" s="488">
        <f t="shared" si="0"/>
        <v>295</v>
      </c>
      <c r="D40" s="494">
        <v>295</v>
      </c>
      <c r="E40" s="494"/>
      <c r="F40" s="494"/>
      <c r="G40" s="481" t="s">
        <v>31</v>
      </c>
    </row>
    <row r="41" spans="1:7" ht="43.5" customHeight="1">
      <c r="A41" s="388" t="s">
        <v>305</v>
      </c>
      <c r="B41" s="487" t="s">
        <v>16</v>
      </c>
      <c r="C41" s="488">
        <f t="shared" si="0"/>
        <v>2550.6</v>
      </c>
      <c r="D41" s="498">
        <f>1000-665</f>
        <v>335</v>
      </c>
      <c r="E41" s="498">
        <f>0+1450</f>
        <v>1450</v>
      </c>
      <c r="F41" s="488">
        <v>765.6</v>
      </c>
      <c r="G41" s="84" t="s">
        <v>31</v>
      </c>
    </row>
    <row r="42" spans="1:7" ht="43.5" customHeight="1">
      <c r="A42" s="569" t="s">
        <v>306</v>
      </c>
      <c r="B42" s="506" t="s">
        <v>16</v>
      </c>
      <c r="C42" s="488">
        <f t="shared" si="0"/>
        <v>3000</v>
      </c>
      <c r="D42" s="490">
        <v>3000</v>
      </c>
      <c r="E42" s="490"/>
      <c r="F42" s="492"/>
      <c r="G42" s="482" t="s">
        <v>31</v>
      </c>
    </row>
    <row r="43" spans="1:7" ht="41.25" customHeight="1">
      <c r="A43" s="387" t="s">
        <v>307</v>
      </c>
      <c r="B43" s="504" t="s">
        <v>16</v>
      </c>
      <c r="C43" s="488">
        <f t="shared" si="0"/>
        <v>376.8</v>
      </c>
      <c r="D43" s="490">
        <v>376.8</v>
      </c>
      <c r="E43" s="490"/>
      <c r="F43" s="492"/>
      <c r="G43" s="84" t="s">
        <v>31</v>
      </c>
    </row>
    <row r="44" spans="1:7" ht="47.25">
      <c r="A44" s="570" t="s">
        <v>309</v>
      </c>
      <c r="B44" s="504" t="s">
        <v>16</v>
      </c>
      <c r="C44" s="488">
        <f t="shared" si="0"/>
        <v>350</v>
      </c>
      <c r="D44" s="498">
        <v>350</v>
      </c>
      <c r="E44" s="498"/>
      <c r="F44" s="507"/>
      <c r="G44" s="84" t="s">
        <v>31</v>
      </c>
    </row>
    <row r="45" spans="1:7" ht="47.25">
      <c r="A45" s="570" t="s">
        <v>310</v>
      </c>
      <c r="B45" s="504" t="s">
        <v>16</v>
      </c>
      <c r="C45" s="488">
        <f t="shared" si="0"/>
        <v>250</v>
      </c>
      <c r="D45" s="498">
        <v>250</v>
      </c>
      <c r="E45" s="498"/>
      <c r="F45" s="488"/>
      <c r="G45" s="84" t="s">
        <v>31</v>
      </c>
    </row>
    <row r="46" spans="1:7" ht="47.25" customHeight="1">
      <c r="A46" s="570" t="s">
        <v>399</v>
      </c>
      <c r="B46" s="504" t="s">
        <v>16</v>
      </c>
      <c r="C46" s="488">
        <f t="shared" si="0"/>
        <v>2744</v>
      </c>
      <c r="D46" s="498">
        <f>1194</f>
        <v>1194</v>
      </c>
      <c r="E46" s="498">
        <f>1550</f>
        <v>1550</v>
      </c>
      <c r="F46" s="488"/>
      <c r="G46" s="84" t="s">
        <v>31</v>
      </c>
    </row>
    <row r="47" spans="1:7" ht="46.5" customHeight="1">
      <c r="A47" s="570" t="s">
        <v>332</v>
      </c>
      <c r="B47" s="504" t="s">
        <v>16</v>
      </c>
      <c r="C47" s="488">
        <f t="shared" si="0"/>
        <v>1497</v>
      </c>
      <c r="D47" s="490">
        <v>1497</v>
      </c>
      <c r="E47" s="490"/>
      <c r="F47" s="492"/>
      <c r="G47" s="84" t="s">
        <v>31</v>
      </c>
    </row>
    <row r="48" spans="1:7" ht="42.75" customHeight="1">
      <c r="A48" s="570" t="s">
        <v>311</v>
      </c>
      <c r="B48" s="504" t="s">
        <v>16</v>
      </c>
      <c r="C48" s="488">
        <f t="shared" si="0"/>
        <v>1200</v>
      </c>
      <c r="D48" s="490">
        <f>200+1000</f>
        <v>1200</v>
      </c>
      <c r="E48" s="490"/>
      <c r="F48" s="492"/>
      <c r="G48" s="84" t="s">
        <v>31</v>
      </c>
    </row>
    <row r="49" spans="1:7" ht="43.5" customHeight="1">
      <c r="A49" s="570" t="s">
        <v>312</v>
      </c>
      <c r="B49" s="504" t="s">
        <v>16</v>
      </c>
      <c r="C49" s="488">
        <f t="shared" si="0"/>
        <v>3690</v>
      </c>
      <c r="D49" s="490">
        <v>250</v>
      </c>
      <c r="E49" s="490">
        <f>3640-200</f>
        <v>3440</v>
      </c>
      <c r="F49" s="492"/>
      <c r="G49" s="84" t="s">
        <v>31</v>
      </c>
    </row>
    <row r="50" spans="1:7" ht="24.75" customHeight="1">
      <c r="A50" s="740" t="s">
        <v>333</v>
      </c>
      <c r="B50" s="504" t="s">
        <v>62</v>
      </c>
      <c r="C50" s="488">
        <f t="shared" si="0"/>
        <v>950</v>
      </c>
      <c r="D50" s="490">
        <v>950</v>
      </c>
      <c r="E50" s="490"/>
      <c r="F50" s="492"/>
      <c r="G50" s="669" t="s">
        <v>31</v>
      </c>
    </row>
    <row r="51" spans="1:7" ht="22.5" customHeight="1">
      <c r="A51" s="741"/>
      <c r="B51" s="504" t="s">
        <v>16</v>
      </c>
      <c r="C51" s="488">
        <f t="shared" si="0"/>
        <v>28.5</v>
      </c>
      <c r="D51" s="490">
        <v>28.5</v>
      </c>
      <c r="E51" s="490"/>
      <c r="F51" s="492"/>
      <c r="G51" s="670"/>
    </row>
    <row r="52" spans="1:7" ht="24.75" customHeight="1">
      <c r="A52" s="740" t="s">
        <v>334</v>
      </c>
      <c r="B52" s="504" t="s">
        <v>62</v>
      </c>
      <c r="C52" s="488">
        <f t="shared" si="0"/>
        <v>297</v>
      </c>
      <c r="D52" s="490">
        <v>297</v>
      </c>
      <c r="E52" s="490"/>
      <c r="F52" s="492"/>
      <c r="G52" s="669" t="s">
        <v>31</v>
      </c>
    </row>
    <row r="53" spans="1:7" ht="16.5">
      <c r="A53" s="741"/>
      <c r="B53" s="504" t="s">
        <v>16</v>
      </c>
      <c r="C53" s="488">
        <f t="shared" si="0"/>
        <v>8.9</v>
      </c>
      <c r="D53" s="490">
        <v>8.9</v>
      </c>
      <c r="E53" s="490"/>
      <c r="F53" s="492"/>
      <c r="G53" s="670"/>
    </row>
    <row r="54" spans="1:7" ht="47.25">
      <c r="A54" s="570" t="s">
        <v>335</v>
      </c>
      <c r="B54" s="504" t="s">
        <v>77</v>
      </c>
      <c r="C54" s="488">
        <f t="shared" si="0"/>
        <v>30</v>
      </c>
      <c r="D54" s="490">
        <v>30</v>
      </c>
      <c r="E54" s="490"/>
      <c r="F54" s="492"/>
      <c r="G54" s="84" t="s">
        <v>31</v>
      </c>
    </row>
    <row r="55" spans="1:7" ht="47.25">
      <c r="A55" s="387" t="s">
        <v>381</v>
      </c>
      <c r="B55" s="504" t="s">
        <v>16</v>
      </c>
      <c r="C55" s="488">
        <f t="shared" si="0"/>
        <v>400</v>
      </c>
      <c r="D55" s="490"/>
      <c r="E55" s="490">
        <v>400</v>
      </c>
      <c r="F55" s="492"/>
      <c r="G55" s="84" t="s">
        <v>31</v>
      </c>
    </row>
    <row r="56" spans="1:7" ht="60" customHeight="1">
      <c r="A56" s="388" t="s">
        <v>382</v>
      </c>
      <c r="B56" s="504" t="s">
        <v>16</v>
      </c>
      <c r="C56" s="488">
        <f t="shared" si="0"/>
        <v>250</v>
      </c>
      <c r="D56" s="490"/>
      <c r="E56" s="490">
        <v>250</v>
      </c>
      <c r="F56" s="492"/>
      <c r="G56" s="84" t="s">
        <v>31</v>
      </c>
    </row>
    <row r="57" spans="1:7" ht="45" customHeight="1">
      <c r="A57" s="570" t="s">
        <v>380</v>
      </c>
      <c r="B57" s="504" t="s">
        <v>16</v>
      </c>
      <c r="C57" s="488">
        <f t="shared" si="0"/>
        <v>1000</v>
      </c>
      <c r="D57" s="490"/>
      <c r="E57" s="490">
        <v>1000</v>
      </c>
      <c r="F57" s="492"/>
      <c r="G57" s="84" t="s">
        <v>31</v>
      </c>
    </row>
    <row r="58" spans="1:7" ht="30.75" customHeight="1">
      <c r="A58" s="742" t="s">
        <v>669</v>
      </c>
      <c r="B58" s="504" t="s">
        <v>16</v>
      </c>
      <c r="C58" s="488">
        <f t="shared" si="0"/>
        <v>316.5</v>
      </c>
      <c r="D58" s="490"/>
      <c r="E58" s="490">
        <f>0+316.5</f>
        <v>316.5</v>
      </c>
      <c r="F58" s="492"/>
      <c r="G58" s="669" t="s">
        <v>31</v>
      </c>
    </row>
    <row r="59" spans="1:7" ht="16.5">
      <c r="A59" s="743"/>
      <c r="B59" s="504" t="s">
        <v>643</v>
      </c>
      <c r="C59" s="488">
        <f t="shared" si="0"/>
        <v>2900</v>
      </c>
      <c r="D59" s="490"/>
      <c r="E59" s="490"/>
      <c r="F59" s="492">
        <f>1800+1100</f>
        <v>2900</v>
      </c>
      <c r="G59" s="670"/>
    </row>
    <row r="60" spans="1:7" ht="47.25">
      <c r="A60" s="461" t="s">
        <v>531</v>
      </c>
      <c r="B60" s="504" t="s">
        <v>16</v>
      </c>
      <c r="C60" s="488">
        <f t="shared" si="0"/>
        <v>535.4</v>
      </c>
      <c r="D60" s="490"/>
      <c r="E60" s="490">
        <f>0+50</f>
        <v>50</v>
      </c>
      <c r="F60" s="492">
        <v>485.4</v>
      </c>
      <c r="G60" s="84" t="s">
        <v>31</v>
      </c>
    </row>
    <row r="61" spans="1:7" ht="30" customHeight="1">
      <c r="A61" s="744" t="s">
        <v>653</v>
      </c>
      <c r="B61" s="504" t="s">
        <v>16</v>
      </c>
      <c r="C61" s="488">
        <f t="shared" si="0"/>
        <v>0</v>
      </c>
      <c r="D61" s="490"/>
      <c r="E61" s="490"/>
      <c r="F61" s="492"/>
      <c r="G61" s="669" t="s">
        <v>31</v>
      </c>
    </row>
    <row r="62" spans="1:7" ht="32.25" customHeight="1">
      <c r="A62" s="745"/>
      <c r="B62" s="504" t="s">
        <v>643</v>
      </c>
      <c r="C62" s="488">
        <f t="shared" si="0"/>
        <v>750</v>
      </c>
      <c r="D62" s="490"/>
      <c r="E62" s="490"/>
      <c r="F62" s="492">
        <v>750</v>
      </c>
      <c r="G62" s="670"/>
    </row>
    <row r="63" spans="1:7" ht="24.75" customHeight="1">
      <c r="A63" s="748" t="s">
        <v>547</v>
      </c>
      <c r="B63" s="504" t="s">
        <v>16</v>
      </c>
      <c r="C63" s="488">
        <f t="shared" si="0"/>
        <v>0</v>
      </c>
      <c r="D63" s="490"/>
      <c r="E63" s="490"/>
      <c r="F63" s="492"/>
      <c r="G63" s="669" t="s">
        <v>31</v>
      </c>
    </row>
    <row r="64" spans="1:7" ht="23.25" customHeight="1">
      <c r="A64" s="749"/>
      <c r="B64" s="504" t="s">
        <v>643</v>
      </c>
      <c r="C64" s="488">
        <f t="shared" si="0"/>
        <v>240</v>
      </c>
      <c r="D64" s="490"/>
      <c r="E64" s="490"/>
      <c r="F64" s="492">
        <v>240</v>
      </c>
      <c r="G64" s="670"/>
    </row>
    <row r="65" spans="1:7" ht="19.5" customHeight="1">
      <c r="A65" s="748" t="s">
        <v>548</v>
      </c>
      <c r="B65" s="504" t="s">
        <v>16</v>
      </c>
      <c r="C65" s="488">
        <f t="shared" si="0"/>
        <v>0</v>
      </c>
      <c r="D65" s="490"/>
      <c r="E65" s="490"/>
      <c r="F65" s="492"/>
      <c r="G65" s="669" t="s">
        <v>31</v>
      </c>
    </row>
    <row r="66" spans="1:7" ht="24.75" customHeight="1">
      <c r="A66" s="749"/>
      <c r="B66" s="504" t="s">
        <v>643</v>
      </c>
      <c r="C66" s="488">
        <f t="shared" si="0"/>
        <v>0</v>
      </c>
      <c r="D66" s="490"/>
      <c r="E66" s="490"/>
      <c r="F66" s="492">
        <f>1200-1200</f>
        <v>0</v>
      </c>
      <c r="G66" s="670"/>
    </row>
    <row r="67" spans="1:7" ht="42" customHeight="1">
      <c r="A67" s="461" t="s">
        <v>550</v>
      </c>
      <c r="B67" s="504" t="s">
        <v>643</v>
      </c>
      <c r="C67" s="488">
        <f t="shared" si="0"/>
        <v>890</v>
      </c>
      <c r="D67" s="490"/>
      <c r="E67" s="490"/>
      <c r="F67" s="492">
        <f>1950-1060</f>
        <v>890</v>
      </c>
      <c r="G67" s="84" t="s">
        <v>31</v>
      </c>
    </row>
    <row r="68" spans="1:7" ht="47.25">
      <c r="A68" s="461" t="s">
        <v>552</v>
      </c>
      <c r="B68" s="504" t="s">
        <v>643</v>
      </c>
      <c r="C68" s="488">
        <f t="shared" si="0"/>
        <v>10000</v>
      </c>
      <c r="D68" s="490"/>
      <c r="E68" s="490"/>
      <c r="F68" s="492">
        <f>9700+300</f>
        <v>10000</v>
      </c>
      <c r="G68" s="84" t="s">
        <v>31</v>
      </c>
    </row>
    <row r="69" spans="1:7" ht="47.25">
      <c r="A69" s="461" t="s">
        <v>658</v>
      </c>
      <c r="B69" s="504" t="s">
        <v>643</v>
      </c>
      <c r="C69" s="488">
        <f t="shared" si="0"/>
        <v>72</v>
      </c>
      <c r="D69" s="490"/>
      <c r="E69" s="490"/>
      <c r="F69" s="492">
        <v>72</v>
      </c>
      <c r="G69" s="84" t="s">
        <v>31</v>
      </c>
    </row>
    <row r="70" spans="1:7" ht="41.25" customHeight="1">
      <c r="A70" s="461" t="s">
        <v>634</v>
      </c>
      <c r="B70" s="504" t="s">
        <v>643</v>
      </c>
      <c r="C70" s="488">
        <f t="shared" si="0"/>
        <v>290</v>
      </c>
      <c r="D70" s="490"/>
      <c r="E70" s="490"/>
      <c r="F70" s="492">
        <f>250+40</f>
        <v>290</v>
      </c>
      <c r="G70" s="84" t="s">
        <v>31</v>
      </c>
    </row>
    <row r="71" spans="1:7" ht="47.25">
      <c r="A71" s="461" t="s">
        <v>635</v>
      </c>
      <c r="B71" s="504" t="s">
        <v>643</v>
      </c>
      <c r="C71" s="488">
        <f t="shared" si="0"/>
        <v>470</v>
      </c>
      <c r="D71" s="490"/>
      <c r="E71" s="490"/>
      <c r="F71" s="492">
        <f>300+170</f>
        <v>470</v>
      </c>
      <c r="G71" s="84" t="s">
        <v>31</v>
      </c>
    </row>
    <row r="72" spans="1:7" ht="42.75" customHeight="1">
      <c r="A72" s="461" t="s">
        <v>660</v>
      </c>
      <c r="B72" s="504" t="s">
        <v>643</v>
      </c>
      <c r="C72" s="488">
        <f t="shared" si="0"/>
        <v>816</v>
      </c>
      <c r="D72" s="490"/>
      <c r="E72" s="490"/>
      <c r="F72" s="492">
        <f>799+17</f>
        <v>816</v>
      </c>
      <c r="G72" s="84" t="s">
        <v>31</v>
      </c>
    </row>
    <row r="73" spans="1:7" ht="48.75" customHeight="1">
      <c r="A73" s="461" t="s">
        <v>667</v>
      </c>
      <c r="B73" s="504" t="s">
        <v>643</v>
      </c>
      <c r="C73" s="488">
        <f t="shared" si="0"/>
        <v>350</v>
      </c>
      <c r="D73" s="490"/>
      <c r="E73" s="490"/>
      <c r="F73" s="492">
        <v>350</v>
      </c>
      <c r="G73" s="84" t="s">
        <v>31</v>
      </c>
    </row>
    <row r="74" spans="1:7" ht="48.75" customHeight="1">
      <c r="A74" s="461" t="s">
        <v>729</v>
      </c>
      <c r="B74" s="504" t="s">
        <v>643</v>
      </c>
      <c r="C74" s="488">
        <f aca="true" t="shared" si="1" ref="C74:C79">D74+E74+F74</f>
        <v>230</v>
      </c>
      <c r="D74" s="490"/>
      <c r="E74" s="490"/>
      <c r="F74" s="492">
        <v>230</v>
      </c>
      <c r="G74" s="84" t="s">
        <v>31</v>
      </c>
    </row>
    <row r="75" spans="1:7" ht="43.5" customHeight="1">
      <c r="A75" s="461" t="s">
        <v>730</v>
      </c>
      <c r="B75" s="504" t="s">
        <v>643</v>
      </c>
      <c r="C75" s="488">
        <f t="shared" si="1"/>
        <v>1499.9</v>
      </c>
      <c r="D75" s="490"/>
      <c r="E75" s="490"/>
      <c r="F75" s="492">
        <v>1499.9</v>
      </c>
      <c r="G75" s="84" t="s">
        <v>31</v>
      </c>
    </row>
    <row r="76" spans="1:7" ht="48.75" customHeight="1">
      <c r="A76" s="461" t="s">
        <v>731</v>
      </c>
      <c r="B76" s="504" t="s">
        <v>643</v>
      </c>
      <c r="C76" s="488">
        <f t="shared" si="1"/>
        <v>748.3</v>
      </c>
      <c r="D76" s="490"/>
      <c r="E76" s="490"/>
      <c r="F76" s="492">
        <v>748.3</v>
      </c>
      <c r="G76" s="84" t="s">
        <v>31</v>
      </c>
    </row>
    <row r="77" spans="1:7" ht="98.25" customHeight="1">
      <c r="A77" s="461" t="s">
        <v>732</v>
      </c>
      <c r="B77" s="504" t="s">
        <v>643</v>
      </c>
      <c r="C77" s="488">
        <f t="shared" si="1"/>
        <v>2000</v>
      </c>
      <c r="D77" s="490"/>
      <c r="E77" s="490"/>
      <c r="F77" s="492">
        <v>2000</v>
      </c>
      <c r="G77" s="84" t="s">
        <v>31</v>
      </c>
    </row>
    <row r="78" spans="1:7" ht="45" customHeight="1">
      <c r="A78" s="461" t="s">
        <v>733</v>
      </c>
      <c r="B78" s="504" t="s">
        <v>643</v>
      </c>
      <c r="C78" s="488">
        <f t="shared" si="1"/>
        <v>33</v>
      </c>
      <c r="D78" s="490"/>
      <c r="E78" s="490"/>
      <c r="F78" s="492">
        <v>33</v>
      </c>
      <c r="G78" s="84" t="s">
        <v>31</v>
      </c>
    </row>
    <row r="79" spans="1:7" ht="42.75" customHeight="1">
      <c r="A79" s="461" t="s">
        <v>734</v>
      </c>
      <c r="B79" s="504" t="s">
        <v>643</v>
      </c>
      <c r="C79" s="488">
        <f t="shared" si="1"/>
        <v>35</v>
      </c>
      <c r="D79" s="490"/>
      <c r="E79" s="490"/>
      <c r="F79" s="492">
        <v>35</v>
      </c>
      <c r="G79" s="84" t="s">
        <v>31</v>
      </c>
    </row>
    <row r="80" spans="1:7" ht="18.75">
      <c r="A80" s="60" t="s">
        <v>5</v>
      </c>
      <c r="B80" s="71"/>
      <c r="C80" s="365">
        <f>C15+C16+C17+C18</f>
        <v>281580.32200000004</v>
      </c>
      <c r="D80" s="365">
        <f>D15+D16+D17+D18</f>
        <v>94580.322</v>
      </c>
      <c r="E80" s="365">
        <f>E15+E16+E17+E18</f>
        <v>92000</v>
      </c>
      <c r="F80" s="365">
        <f>F15+F16+F17+F18</f>
        <v>95000</v>
      </c>
      <c r="G80" s="113"/>
    </row>
    <row r="81" spans="1:7" ht="16.5">
      <c r="A81" s="18"/>
      <c r="B81" s="18"/>
      <c r="C81" s="90"/>
      <c r="D81" s="19"/>
      <c r="E81" s="19"/>
      <c r="F81" s="19"/>
      <c r="G81" s="403"/>
    </row>
    <row r="82" spans="1:7" ht="18.75">
      <c r="A82" s="52"/>
      <c r="B82" s="53"/>
      <c r="C82" s="14"/>
      <c r="D82" s="19"/>
      <c r="E82" s="19"/>
      <c r="F82" s="19"/>
      <c r="G82" s="404"/>
    </row>
    <row r="83" spans="1:7" ht="18.75">
      <c r="A83" s="374" t="s">
        <v>617</v>
      </c>
      <c r="B83" s="374"/>
      <c r="C83" s="374"/>
      <c r="D83" s="22"/>
      <c r="E83" s="22"/>
      <c r="F83" s="23"/>
      <c r="G83" s="23" t="s">
        <v>30</v>
      </c>
    </row>
    <row r="84" spans="1:7" ht="18.75">
      <c r="A84" s="21"/>
      <c r="B84" s="21"/>
      <c r="C84" s="21"/>
      <c r="D84" s="22"/>
      <c r="E84" s="22"/>
      <c r="F84" s="23"/>
      <c r="G84" s="24"/>
    </row>
    <row r="85" spans="1:7" ht="18.75">
      <c r="A85" s="612" t="s">
        <v>670</v>
      </c>
      <c r="B85" s="612"/>
      <c r="C85" s="25"/>
      <c r="D85" s="26"/>
      <c r="E85" s="26"/>
      <c r="F85" s="15"/>
      <c r="G85" s="15"/>
    </row>
    <row r="86" spans="1:7" ht="15.75">
      <c r="A86" s="17" t="s">
        <v>10</v>
      </c>
      <c r="B86" s="17"/>
      <c r="C86" s="26"/>
      <c r="D86" s="26"/>
      <c r="E86" s="26"/>
      <c r="F86" s="15"/>
      <c r="G86" s="15"/>
    </row>
    <row r="87" spans="1:7" ht="15.75">
      <c r="A87" s="28"/>
      <c r="B87" s="29"/>
      <c r="C87" s="30"/>
      <c r="D87" s="26"/>
      <c r="E87" s="26"/>
      <c r="F87" s="15"/>
      <c r="G87" s="15"/>
    </row>
    <row r="88" spans="1:7" ht="15.75">
      <c r="A88" s="14"/>
      <c r="B88" s="30"/>
      <c r="C88" s="26"/>
      <c r="D88" s="26"/>
      <c r="E88" s="26"/>
      <c r="F88" s="26"/>
      <c r="G88" s="14"/>
    </row>
    <row r="89" spans="1:7" ht="15.75">
      <c r="A89" s="14"/>
      <c r="B89" s="31"/>
      <c r="C89" s="26"/>
      <c r="D89" s="26"/>
      <c r="E89" s="26"/>
      <c r="F89" s="26"/>
      <c r="G89" s="14"/>
    </row>
    <row r="90" spans="1:7" ht="12.75">
      <c r="A90" s="14"/>
      <c r="B90" s="14"/>
      <c r="C90" s="14"/>
      <c r="D90" s="14"/>
      <c r="E90" s="14"/>
      <c r="F90" s="14"/>
      <c r="G90" s="14"/>
    </row>
  </sheetData>
  <sheetProtection/>
  <mergeCells count="38">
    <mergeCell ref="A63:A64"/>
    <mergeCell ref="G63:G64"/>
    <mergeCell ref="A65:A66"/>
    <mergeCell ref="G65:G66"/>
    <mergeCell ref="C12:C14"/>
    <mergeCell ref="D12:F12"/>
    <mergeCell ref="G12:G14"/>
    <mergeCell ref="D13:D14"/>
    <mergeCell ref="E13:E14"/>
    <mergeCell ref="G37:G38"/>
    <mergeCell ref="G25:G26"/>
    <mergeCell ref="G29:G30"/>
    <mergeCell ref="F13:F14"/>
    <mergeCell ref="A15:A18"/>
    <mergeCell ref="G15:G18"/>
    <mergeCell ref="A20:A21"/>
    <mergeCell ref="G20:G21"/>
    <mergeCell ref="A29:A30"/>
    <mergeCell ref="A61:A62"/>
    <mergeCell ref="G61:G62"/>
    <mergeCell ref="A52:A53"/>
    <mergeCell ref="G52:G53"/>
    <mergeCell ref="F2:G2"/>
    <mergeCell ref="A10:G10"/>
    <mergeCell ref="C11:E11"/>
    <mergeCell ref="A12:A14"/>
    <mergeCell ref="B12:B14"/>
    <mergeCell ref="A25:A26"/>
    <mergeCell ref="A85:B85"/>
    <mergeCell ref="A31:A32"/>
    <mergeCell ref="G31:G32"/>
    <mergeCell ref="A33:A34"/>
    <mergeCell ref="G33:G34"/>
    <mergeCell ref="A37:A38"/>
    <mergeCell ref="A50:A51"/>
    <mergeCell ref="G50:G51"/>
    <mergeCell ref="A58:A59"/>
    <mergeCell ref="G58:G59"/>
  </mergeCells>
  <printOptions/>
  <pageMargins left="0.7" right="0.7" top="0.75" bottom="0.75" header="0.3" footer="0.3"/>
  <pageSetup fitToHeight="0" fitToWidth="1" horizontalDpi="600" verticalDpi="600" orientation="landscape" paperSize="9" scale="69" r:id="rId1"/>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K33"/>
  <sheetViews>
    <sheetView view="pageBreakPreview" zoomScaleSheetLayoutView="100" zoomScalePageLayoutView="0" workbookViewId="0" topLeftCell="A1">
      <selection activeCell="J10" sqref="J10"/>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38.140625" style="0" customWidth="1"/>
    <col min="12" max="12" width="0.85546875" style="0" customWidth="1"/>
  </cols>
  <sheetData>
    <row r="1" spans="2:11" ht="15.75">
      <c r="B1" s="1"/>
      <c r="C1" s="1"/>
      <c r="D1" s="1"/>
      <c r="E1" s="1"/>
      <c r="F1" s="1"/>
      <c r="G1" s="1"/>
      <c r="H1" s="1"/>
      <c r="I1" s="2" t="s">
        <v>19</v>
      </c>
      <c r="J1" s="709" t="s">
        <v>503</v>
      </c>
      <c r="K1" s="709"/>
    </row>
    <row r="2" spans="2:11" ht="15.75">
      <c r="B2" s="1"/>
      <c r="C2" s="1"/>
      <c r="D2" s="1"/>
      <c r="E2" s="1"/>
      <c r="F2" s="1"/>
      <c r="G2" s="1"/>
      <c r="H2" s="1"/>
      <c r="I2" s="3" t="s">
        <v>11</v>
      </c>
      <c r="J2" s="687" t="s">
        <v>11</v>
      </c>
      <c r="K2" s="687"/>
    </row>
    <row r="3" spans="2:11" ht="15.75">
      <c r="B3" s="1"/>
      <c r="C3" s="1"/>
      <c r="D3" s="1"/>
      <c r="E3" s="1"/>
      <c r="F3" s="1"/>
      <c r="G3" s="1"/>
      <c r="H3" s="1"/>
      <c r="I3" s="3"/>
      <c r="J3" s="3" t="s">
        <v>700</v>
      </c>
      <c r="K3" s="3"/>
    </row>
    <row r="4" spans="2:11" ht="15.75">
      <c r="B4" s="1"/>
      <c r="C4" s="1"/>
      <c r="D4" s="1"/>
      <c r="E4" s="1"/>
      <c r="F4" s="1"/>
      <c r="G4" s="1"/>
      <c r="H4" s="1"/>
      <c r="I4" s="3" t="s">
        <v>21</v>
      </c>
      <c r="J4" s="3" t="s">
        <v>690</v>
      </c>
      <c r="K4" s="3"/>
    </row>
    <row r="5" spans="2:11" ht="15.75">
      <c r="B5" s="1"/>
      <c r="C5" s="1"/>
      <c r="D5" s="1"/>
      <c r="E5" s="1"/>
      <c r="F5" s="1"/>
      <c r="G5" s="1"/>
      <c r="H5" s="1"/>
      <c r="I5" s="3" t="s">
        <v>23</v>
      </c>
      <c r="J5" s="3" t="s">
        <v>692</v>
      </c>
      <c r="K5" s="3"/>
    </row>
    <row r="6" spans="2:11" ht="15.75">
      <c r="B6" s="1"/>
      <c r="C6" s="1"/>
      <c r="D6" s="1"/>
      <c r="E6" s="1"/>
      <c r="F6" s="1"/>
      <c r="G6" s="1"/>
      <c r="H6" s="9"/>
      <c r="I6" s="3" t="s">
        <v>24</v>
      </c>
      <c r="J6" s="3" t="s">
        <v>675</v>
      </c>
      <c r="K6" s="3"/>
    </row>
    <row r="7" spans="2:11" ht="15.75">
      <c r="B7" s="1"/>
      <c r="C7" s="1"/>
      <c r="D7" s="1"/>
      <c r="E7" s="1"/>
      <c r="F7" s="1"/>
      <c r="G7" s="1"/>
      <c r="H7" s="9"/>
      <c r="I7" s="3"/>
      <c r="J7" s="3" t="s">
        <v>676</v>
      </c>
      <c r="K7" s="3"/>
    </row>
    <row r="8" spans="2:11" ht="15.75">
      <c r="B8" s="1"/>
      <c r="C8" s="1"/>
      <c r="D8" s="1"/>
      <c r="E8" s="1"/>
      <c r="F8" s="1"/>
      <c r="G8" s="1"/>
      <c r="H8" s="9"/>
      <c r="I8" s="3"/>
      <c r="J8" s="3" t="s">
        <v>677</v>
      </c>
      <c r="K8" s="3"/>
    </row>
    <row r="9" spans="2:11" ht="15.75" customHeight="1">
      <c r="B9" s="1"/>
      <c r="C9" s="1"/>
      <c r="D9" s="1"/>
      <c r="E9" s="1"/>
      <c r="F9" s="1"/>
      <c r="G9" s="1"/>
      <c r="H9" s="9"/>
      <c r="I9" s="3" t="s">
        <v>25</v>
      </c>
      <c r="J9" s="617" t="s">
        <v>766</v>
      </c>
      <c r="K9" s="687"/>
    </row>
    <row r="10" spans="2:11" ht="15.75">
      <c r="B10" s="1"/>
      <c r="C10" s="1"/>
      <c r="D10" s="1"/>
      <c r="E10" s="1"/>
      <c r="F10" s="1"/>
      <c r="G10" s="1"/>
      <c r="H10" s="1"/>
      <c r="I10" s="1"/>
      <c r="J10" s="1"/>
      <c r="K10" s="1"/>
    </row>
    <row r="11" spans="2:11" ht="18.75">
      <c r="B11" s="619" t="s">
        <v>484</v>
      </c>
      <c r="C11" s="619"/>
      <c r="D11" s="619"/>
      <c r="E11" s="619"/>
      <c r="F11" s="619"/>
      <c r="G11" s="619"/>
      <c r="H11" s="619"/>
      <c r="I11" s="619"/>
      <c r="J11" s="619"/>
      <c r="K11" s="619"/>
    </row>
    <row r="12" spans="2:11" ht="15.75">
      <c r="B12" s="1"/>
      <c r="C12" s="1"/>
      <c r="D12" s="688"/>
      <c r="E12" s="688"/>
      <c r="F12" s="688"/>
      <c r="G12" s="688"/>
      <c r="H12" s="688"/>
      <c r="I12" s="1"/>
      <c r="J12" s="1"/>
      <c r="K12" s="46" t="s">
        <v>462</v>
      </c>
    </row>
    <row r="13" spans="1:11" ht="18.75">
      <c r="A13" s="620" t="s">
        <v>6</v>
      </c>
      <c r="B13" s="630" t="s">
        <v>12</v>
      </c>
      <c r="C13" s="630" t="s">
        <v>13</v>
      </c>
      <c r="D13" s="630" t="s">
        <v>476</v>
      </c>
      <c r="E13" s="751" t="s">
        <v>9</v>
      </c>
      <c r="F13" s="751"/>
      <c r="G13" s="751"/>
      <c r="H13" s="751"/>
      <c r="I13" s="751"/>
      <c r="J13" s="752"/>
      <c r="K13" s="625" t="s">
        <v>15</v>
      </c>
    </row>
    <row r="14" spans="1:11" ht="17.25" customHeight="1">
      <c r="A14" s="621"/>
      <c r="B14" s="750"/>
      <c r="C14" s="750"/>
      <c r="D14" s="750"/>
      <c r="E14" s="630" t="s">
        <v>485</v>
      </c>
      <c r="F14" s="630" t="s">
        <v>486</v>
      </c>
      <c r="G14" s="630" t="s">
        <v>27</v>
      </c>
      <c r="H14" s="630" t="s">
        <v>28</v>
      </c>
      <c r="I14" s="630" t="s">
        <v>29</v>
      </c>
      <c r="J14" s="625" t="s">
        <v>487</v>
      </c>
      <c r="K14" s="625"/>
    </row>
    <row r="15" spans="1:11" ht="12.75">
      <c r="A15" s="622"/>
      <c r="B15" s="631"/>
      <c r="C15" s="631"/>
      <c r="D15" s="631"/>
      <c r="E15" s="631"/>
      <c r="F15" s="631"/>
      <c r="G15" s="631"/>
      <c r="H15" s="631"/>
      <c r="I15" s="631"/>
      <c r="J15" s="625"/>
      <c r="K15" s="625"/>
    </row>
    <row r="16" spans="1:11" ht="24.75" customHeight="1">
      <c r="A16" s="620">
        <v>1</v>
      </c>
      <c r="B16" s="620" t="s">
        <v>151</v>
      </c>
      <c r="C16" s="47" t="s">
        <v>16</v>
      </c>
      <c r="D16" s="145">
        <f>E16+F16+J16</f>
        <v>-20</v>
      </c>
      <c r="E16" s="79">
        <f>-2079.09+5+2054.09</f>
        <v>-20</v>
      </c>
      <c r="F16" s="79">
        <f>-2054.09+2054.09</f>
        <v>0</v>
      </c>
      <c r="G16" s="79"/>
      <c r="H16" s="79"/>
      <c r="I16" s="79"/>
      <c r="J16" s="79">
        <v>0</v>
      </c>
      <c r="K16" s="679" t="s">
        <v>153</v>
      </c>
    </row>
    <row r="17" spans="1:11" ht="21" customHeight="1">
      <c r="A17" s="622"/>
      <c r="B17" s="622"/>
      <c r="C17" s="47" t="s">
        <v>643</v>
      </c>
      <c r="D17" s="145">
        <f>E17+F17+J17</f>
        <v>-2054.09</v>
      </c>
      <c r="E17" s="79"/>
      <c r="F17" s="79"/>
      <c r="G17" s="79"/>
      <c r="H17" s="79"/>
      <c r="I17" s="79"/>
      <c r="J17" s="79">
        <v>-2054.09</v>
      </c>
      <c r="K17" s="680"/>
    </row>
    <row r="18" spans="1:11" ht="32.25" customHeight="1">
      <c r="A18" s="620">
        <v>2</v>
      </c>
      <c r="B18" s="620" t="s">
        <v>151</v>
      </c>
      <c r="C18" s="47" t="s">
        <v>392</v>
      </c>
      <c r="D18" s="145">
        <f>E18+F18+J18</f>
        <v>0</v>
      </c>
      <c r="E18" s="79">
        <v>0</v>
      </c>
      <c r="F18" s="79">
        <f>-740+740</f>
        <v>0</v>
      </c>
      <c r="G18" s="79"/>
      <c r="H18" s="79"/>
      <c r="I18" s="79"/>
      <c r="J18" s="79">
        <v>0</v>
      </c>
      <c r="K18" s="679" t="s">
        <v>393</v>
      </c>
    </row>
    <row r="19" spans="1:11" ht="24.75" customHeight="1">
      <c r="A19" s="622"/>
      <c r="B19" s="622"/>
      <c r="C19" s="483" t="s">
        <v>643</v>
      </c>
      <c r="D19" s="145">
        <f>E19+F19+J19</f>
        <v>-740</v>
      </c>
      <c r="E19" s="79"/>
      <c r="F19" s="79"/>
      <c r="G19" s="79"/>
      <c r="H19" s="79"/>
      <c r="I19" s="79"/>
      <c r="J19" s="79">
        <v>-740</v>
      </c>
      <c r="K19" s="680"/>
    </row>
    <row r="20" spans="1:11" ht="18.75">
      <c r="A20" s="146"/>
      <c r="B20" s="57" t="s">
        <v>5</v>
      </c>
      <c r="C20" s="58"/>
      <c r="D20" s="80">
        <f>D16+D18+D17+D19</f>
        <v>-2814.09</v>
      </c>
      <c r="E20" s="80">
        <f aca="true" t="shared" si="0" ref="E20:J20">E16+E18+E17+E19</f>
        <v>-20</v>
      </c>
      <c r="F20" s="80">
        <f t="shared" si="0"/>
        <v>0</v>
      </c>
      <c r="G20" s="80">
        <f t="shared" si="0"/>
        <v>0</v>
      </c>
      <c r="H20" s="80">
        <f t="shared" si="0"/>
        <v>0</v>
      </c>
      <c r="I20" s="80">
        <f t="shared" si="0"/>
        <v>0</v>
      </c>
      <c r="J20" s="80">
        <f t="shared" si="0"/>
        <v>-2794.09</v>
      </c>
      <c r="K20" s="81"/>
    </row>
    <row r="21" spans="2:11" ht="18.75">
      <c r="B21" s="147"/>
      <c r="C21" s="4"/>
      <c r="D21" s="6"/>
      <c r="E21" s="6"/>
      <c r="F21" s="6"/>
      <c r="G21" s="6"/>
      <c r="H21" s="6"/>
      <c r="I21" s="6"/>
      <c r="J21" s="6"/>
      <c r="K21" s="42"/>
    </row>
    <row r="22" spans="2:11" ht="15.75">
      <c r="B22" s="4"/>
      <c r="C22" s="4"/>
      <c r="D22" s="6"/>
      <c r="E22" s="6"/>
      <c r="F22" s="6"/>
      <c r="G22" s="6"/>
      <c r="H22" s="6"/>
      <c r="I22" s="6"/>
      <c r="J22" s="6"/>
      <c r="K22" s="42"/>
    </row>
    <row r="23" spans="2:11" ht="15.75">
      <c r="B23" s="4"/>
      <c r="C23" s="4"/>
      <c r="D23" s="6"/>
      <c r="E23" s="6"/>
      <c r="F23" s="6"/>
      <c r="G23" s="6"/>
      <c r="H23" s="6"/>
      <c r="I23" s="6"/>
      <c r="J23" s="6"/>
      <c r="K23" s="42"/>
    </row>
    <row r="24" spans="2:11" ht="18.75">
      <c r="B24" s="148"/>
      <c r="C24" s="149"/>
      <c r="E24" s="6"/>
      <c r="F24" s="6"/>
      <c r="G24" s="6"/>
      <c r="H24" s="6"/>
      <c r="I24" s="6"/>
      <c r="J24" s="6"/>
      <c r="K24" s="149"/>
    </row>
    <row r="25" spans="1:11" ht="18.75">
      <c r="A25" s="150"/>
      <c r="B25" s="405" t="s">
        <v>18</v>
      </c>
      <c r="C25" s="405"/>
      <c r="D25" s="150"/>
      <c r="E25" s="405"/>
      <c r="F25" s="753" t="s">
        <v>30</v>
      </c>
      <c r="G25" s="753"/>
      <c r="H25" s="753"/>
      <c r="I25" s="753"/>
      <c r="J25" s="753"/>
      <c r="K25" s="153"/>
    </row>
    <row r="26" spans="1:11" ht="30.75" customHeight="1">
      <c r="A26" s="150"/>
      <c r="B26" s="405"/>
      <c r="C26" s="405"/>
      <c r="D26" s="150"/>
      <c r="E26" s="405"/>
      <c r="F26" s="216"/>
      <c r="G26" s="216"/>
      <c r="H26" s="216"/>
      <c r="I26" s="216"/>
      <c r="J26" s="216"/>
      <c r="K26" s="153"/>
    </row>
    <row r="27" spans="1:11" ht="18.75">
      <c r="A27" s="150"/>
      <c r="B27" s="154" t="s">
        <v>670</v>
      </c>
      <c r="C27" s="154"/>
      <c r="D27" s="150"/>
      <c r="E27" s="155"/>
      <c r="F27" s="156"/>
      <c r="G27" s="156"/>
      <c r="H27" s="156"/>
      <c r="I27" s="156"/>
      <c r="J27" s="156"/>
      <c r="K27" s="157"/>
    </row>
    <row r="28" spans="1:11" ht="30.75" customHeight="1">
      <c r="A28" s="150"/>
      <c r="B28" s="158" t="s">
        <v>10</v>
      </c>
      <c r="C28" s="150"/>
      <c r="D28" s="158"/>
      <c r="E28" s="156"/>
      <c r="F28" s="156"/>
      <c r="G28" s="156"/>
      <c r="H28" s="156"/>
      <c r="I28" s="156"/>
      <c r="J28" s="156"/>
      <c r="K28" s="157"/>
    </row>
    <row r="29" spans="2:11" ht="15.75">
      <c r="B29" s="43"/>
      <c r="C29" s="10"/>
      <c r="D29" s="44"/>
      <c r="E29" s="7"/>
      <c r="F29" s="7"/>
      <c r="G29" s="7"/>
      <c r="H29" s="7"/>
      <c r="I29" s="7"/>
      <c r="J29" s="1"/>
      <c r="K29" s="1"/>
    </row>
    <row r="30" spans="3:10" ht="15.75">
      <c r="C30" s="44"/>
      <c r="D30" s="7"/>
      <c r="E30" s="7"/>
      <c r="F30" s="7"/>
      <c r="G30" s="7"/>
      <c r="H30" s="7"/>
      <c r="I30" s="7"/>
      <c r="J30" s="7"/>
    </row>
    <row r="31" spans="3:10" ht="15.75">
      <c r="C31" s="45"/>
      <c r="D31" s="7"/>
      <c r="E31" s="7"/>
      <c r="F31" s="7"/>
      <c r="G31" s="7"/>
      <c r="H31" s="7"/>
      <c r="I31" s="7"/>
      <c r="J31" s="7"/>
    </row>
    <row r="33" ht="12.75">
      <c r="H33" s="5"/>
    </row>
  </sheetData>
  <sheetProtection/>
  <mergeCells count="24">
    <mergeCell ref="F25:J25"/>
    <mergeCell ref="K13:K15"/>
    <mergeCell ref="E14:E15"/>
    <mergeCell ref="F14:F15"/>
    <mergeCell ref="G14:G15"/>
    <mergeCell ref="H14:H15"/>
    <mergeCell ref="I14:I15"/>
    <mergeCell ref="J14:J15"/>
    <mergeCell ref="J1:K1"/>
    <mergeCell ref="J2:K2"/>
    <mergeCell ref="J9:K9"/>
    <mergeCell ref="B11:K11"/>
    <mergeCell ref="D12:H12"/>
    <mergeCell ref="A13:A15"/>
    <mergeCell ref="B13:B15"/>
    <mergeCell ref="C13:C15"/>
    <mergeCell ref="D13:D15"/>
    <mergeCell ref="E13:J13"/>
    <mergeCell ref="A16:A17"/>
    <mergeCell ref="B16:B17"/>
    <mergeCell ref="K16:K17"/>
    <mergeCell ref="A18:A19"/>
    <mergeCell ref="B18:B19"/>
    <mergeCell ref="K18:K19"/>
  </mergeCells>
  <printOptions horizontalCentered="1"/>
  <pageMargins left="0" right="0" top="1.1811023622047245" bottom="0" header="0" footer="0"/>
  <pageSetup fitToHeight="1" fitToWidth="1" horizontalDpi="600" verticalDpi="600" orientation="landscape" paperSize="9" scale="82" r:id="rId1"/>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K31"/>
  <sheetViews>
    <sheetView view="pageBreakPreview" zoomScaleSheetLayoutView="100" zoomScalePageLayoutView="0" workbookViewId="0" topLeftCell="A1">
      <selection activeCell="J10" sqref="J10"/>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647" t="s">
        <v>504</v>
      </c>
      <c r="K1" s="647"/>
    </row>
    <row r="2" spans="2:11" ht="18.75">
      <c r="B2" s="1"/>
      <c r="C2" s="1"/>
      <c r="D2" s="1"/>
      <c r="E2" s="1"/>
      <c r="F2" s="1"/>
      <c r="G2" s="1"/>
      <c r="H2" s="1"/>
      <c r="I2" s="3" t="s">
        <v>11</v>
      </c>
      <c r="J2" s="618" t="s">
        <v>11</v>
      </c>
      <c r="K2" s="618"/>
    </row>
    <row r="3" spans="2:11" ht="18.75">
      <c r="B3" s="1"/>
      <c r="C3" s="1"/>
      <c r="D3" s="1"/>
      <c r="E3" s="1"/>
      <c r="F3" s="1"/>
      <c r="G3" s="1"/>
      <c r="H3" s="1"/>
      <c r="I3" s="3"/>
      <c r="J3" s="56" t="s">
        <v>318</v>
      </c>
      <c r="K3" s="56"/>
    </row>
    <row r="4" spans="2:11" ht="18.75">
      <c r="B4" s="1"/>
      <c r="C4" s="1"/>
      <c r="D4" s="1"/>
      <c r="E4" s="1"/>
      <c r="F4" s="1"/>
      <c r="G4" s="1"/>
      <c r="H4" s="1"/>
      <c r="I4" s="3" t="s">
        <v>21</v>
      </c>
      <c r="J4" s="56" t="s">
        <v>690</v>
      </c>
      <c r="K4" s="56"/>
    </row>
    <row r="5" spans="2:11" ht="18.75">
      <c r="B5" s="1"/>
      <c r="C5" s="1"/>
      <c r="D5" s="1"/>
      <c r="E5" s="1"/>
      <c r="F5" s="1"/>
      <c r="G5" s="1"/>
      <c r="H5" s="1"/>
      <c r="I5" s="3" t="s">
        <v>23</v>
      </c>
      <c r="J5" s="56" t="s">
        <v>692</v>
      </c>
      <c r="K5" s="56"/>
    </row>
    <row r="6" spans="2:11" ht="18.75">
      <c r="B6" s="1"/>
      <c r="C6" s="1"/>
      <c r="D6" s="1"/>
      <c r="E6" s="1"/>
      <c r="F6" s="1"/>
      <c r="G6" s="1"/>
      <c r="H6" s="9"/>
      <c r="I6" s="3" t="s">
        <v>24</v>
      </c>
      <c r="J6" s="56" t="s">
        <v>675</v>
      </c>
      <c r="K6" s="56"/>
    </row>
    <row r="7" spans="2:11" ht="18.75">
      <c r="B7" s="1"/>
      <c r="C7" s="1"/>
      <c r="D7" s="1"/>
      <c r="E7" s="1"/>
      <c r="F7" s="1"/>
      <c r="G7" s="1"/>
      <c r="H7" s="9"/>
      <c r="I7" s="3"/>
      <c r="J7" s="56" t="s">
        <v>676</v>
      </c>
      <c r="K7" s="56"/>
    </row>
    <row r="8" spans="2:11" ht="18.75">
      <c r="B8" s="1"/>
      <c r="C8" s="1"/>
      <c r="D8" s="1"/>
      <c r="E8" s="1"/>
      <c r="F8" s="1"/>
      <c r="G8" s="1"/>
      <c r="H8" s="9"/>
      <c r="I8" s="3"/>
      <c r="J8" s="56" t="s">
        <v>677</v>
      </c>
      <c r="K8" s="56"/>
    </row>
    <row r="9" spans="2:11" ht="15.75" customHeight="1">
      <c r="B9" s="1"/>
      <c r="C9" s="1"/>
      <c r="D9" s="1"/>
      <c r="E9" s="1"/>
      <c r="F9" s="1"/>
      <c r="G9" s="1"/>
      <c r="H9" s="9"/>
      <c r="I9" s="3" t="s">
        <v>25</v>
      </c>
      <c r="J9" s="754" t="s">
        <v>771</v>
      </c>
      <c r="K9" s="618"/>
    </row>
    <row r="10" spans="2:11" ht="15.75">
      <c r="B10" s="1"/>
      <c r="C10" s="1"/>
      <c r="D10" s="1"/>
      <c r="E10" s="1"/>
      <c r="F10" s="1"/>
      <c r="G10" s="1"/>
      <c r="H10" s="1"/>
      <c r="I10" s="1"/>
      <c r="J10" s="1"/>
      <c r="K10" s="1"/>
    </row>
    <row r="11" spans="2:11" ht="18.75">
      <c r="B11" s="619" t="s">
        <v>488</v>
      </c>
      <c r="C11" s="619"/>
      <c r="D11" s="619"/>
      <c r="E11" s="619"/>
      <c r="F11" s="619"/>
      <c r="G11" s="619"/>
      <c r="H11" s="619"/>
      <c r="I11" s="619"/>
      <c r="J11" s="619"/>
      <c r="K11" s="619"/>
    </row>
    <row r="12" spans="2:11" ht="15.75">
      <c r="B12" s="1"/>
      <c r="C12" s="1"/>
      <c r="D12" s="688"/>
      <c r="E12" s="688"/>
      <c r="F12" s="688"/>
      <c r="G12" s="688"/>
      <c r="H12" s="688"/>
      <c r="I12" s="1"/>
      <c r="J12" s="1"/>
      <c r="K12" s="46" t="s">
        <v>462</v>
      </c>
    </row>
    <row r="13" spans="1:11" ht="18.75">
      <c r="A13" s="620" t="s">
        <v>6</v>
      </c>
      <c r="B13" s="630" t="s">
        <v>12</v>
      </c>
      <c r="C13" s="630" t="s">
        <v>13</v>
      </c>
      <c r="D13" s="630" t="s">
        <v>476</v>
      </c>
      <c r="E13" s="751" t="s">
        <v>9</v>
      </c>
      <c r="F13" s="751"/>
      <c r="G13" s="751"/>
      <c r="H13" s="751"/>
      <c r="I13" s="751"/>
      <c r="J13" s="752"/>
      <c r="K13" s="625" t="s">
        <v>15</v>
      </c>
    </row>
    <row r="14" spans="1:11" ht="17.25" customHeight="1">
      <c r="A14" s="621"/>
      <c r="B14" s="750"/>
      <c r="C14" s="750"/>
      <c r="D14" s="750"/>
      <c r="E14" s="630">
        <v>2018</v>
      </c>
      <c r="F14" s="630">
        <v>2019</v>
      </c>
      <c r="G14" s="630" t="s">
        <v>27</v>
      </c>
      <c r="H14" s="630" t="s">
        <v>28</v>
      </c>
      <c r="I14" s="630" t="s">
        <v>29</v>
      </c>
      <c r="J14" s="625">
        <v>2020</v>
      </c>
      <c r="K14" s="625"/>
    </row>
    <row r="15" spans="1:11" ht="12.75">
      <c r="A15" s="622"/>
      <c r="B15" s="631"/>
      <c r="C15" s="631"/>
      <c r="D15" s="631"/>
      <c r="E15" s="631"/>
      <c r="F15" s="631"/>
      <c r="G15" s="631"/>
      <c r="H15" s="631"/>
      <c r="I15" s="631"/>
      <c r="J15" s="625"/>
      <c r="K15" s="625"/>
    </row>
    <row r="16" spans="1:11" ht="28.5" customHeight="1">
      <c r="A16" s="620">
        <v>1</v>
      </c>
      <c r="B16" s="620" t="s">
        <v>266</v>
      </c>
      <c r="C16" s="47" t="s">
        <v>16</v>
      </c>
      <c r="D16" s="145">
        <f>E16+F16+J16</f>
        <v>74070.2</v>
      </c>
      <c r="E16" s="79">
        <v>74070.2</v>
      </c>
      <c r="F16" s="79">
        <v>0</v>
      </c>
      <c r="G16" s="79"/>
      <c r="H16" s="79"/>
      <c r="I16" s="79"/>
      <c r="J16" s="79">
        <v>0</v>
      </c>
      <c r="K16" s="679" t="s">
        <v>267</v>
      </c>
    </row>
    <row r="17" spans="1:11" ht="18.75">
      <c r="A17" s="622"/>
      <c r="B17" s="622"/>
      <c r="C17" s="483" t="s">
        <v>643</v>
      </c>
      <c r="D17" s="145">
        <f>E17+F17+J17</f>
        <v>0</v>
      </c>
      <c r="E17" s="79">
        <v>0</v>
      </c>
      <c r="F17" s="79">
        <v>0</v>
      </c>
      <c r="G17" s="79"/>
      <c r="H17" s="79"/>
      <c r="I17" s="79"/>
      <c r="J17" s="79">
        <v>0</v>
      </c>
      <c r="K17" s="680"/>
    </row>
    <row r="18" spans="1:11" ht="18.75">
      <c r="A18" s="146"/>
      <c r="B18" s="57" t="s">
        <v>5</v>
      </c>
      <c r="C18" s="58"/>
      <c r="D18" s="80">
        <f>D16</f>
        <v>74070.2</v>
      </c>
      <c r="E18" s="80">
        <f aca="true" t="shared" si="0" ref="E18:J18">SUM(E16)</f>
        <v>74070.2</v>
      </c>
      <c r="F18" s="80">
        <f t="shared" si="0"/>
        <v>0</v>
      </c>
      <c r="G18" s="80">
        <f t="shared" si="0"/>
        <v>0</v>
      </c>
      <c r="H18" s="80">
        <f t="shared" si="0"/>
        <v>0</v>
      </c>
      <c r="I18" s="80">
        <f t="shared" si="0"/>
        <v>0</v>
      </c>
      <c r="J18" s="80">
        <f t="shared" si="0"/>
        <v>0</v>
      </c>
      <c r="K18" s="81"/>
    </row>
    <row r="19" spans="2:11" ht="18.75">
      <c r="B19" s="147"/>
      <c r="C19" s="4"/>
      <c r="D19" s="6"/>
      <c r="E19" s="6"/>
      <c r="F19" s="6"/>
      <c r="G19" s="6"/>
      <c r="H19" s="6"/>
      <c r="I19" s="6"/>
      <c r="J19" s="6"/>
      <c r="K19" s="42"/>
    </row>
    <row r="20" spans="2:11" ht="15.75">
      <c r="B20" s="4"/>
      <c r="C20" s="4"/>
      <c r="D20" s="6"/>
      <c r="E20" s="6"/>
      <c r="F20" s="6"/>
      <c r="G20" s="6"/>
      <c r="H20" s="6"/>
      <c r="I20" s="6"/>
      <c r="J20" s="6"/>
      <c r="K20" s="42"/>
    </row>
    <row r="21" spans="2:11" ht="15.75">
      <c r="B21" s="4"/>
      <c r="C21" s="4"/>
      <c r="D21" s="6"/>
      <c r="E21" s="6"/>
      <c r="F21" s="6"/>
      <c r="G21" s="6"/>
      <c r="H21" s="6"/>
      <c r="I21" s="6"/>
      <c r="J21" s="6"/>
      <c r="K21" s="42"/>
    </row>
    <row r="22" spans="2:11" ht="18.75">
      <c r="B22" s="148"/>
      <c r="C22" s="149"/>
      <c r="E22" s="6"/>
      <c r="F22" s="6"/>
      <c r="G22" s="6"/>
      <c r="H22" s="6"/>
      <c r="I22" s="6"/>
      <c r="J22" s="6"/>
      <c r="K22" s="149"/>
    </row>
    <row r="23" spans="1:11" ht="18.75">
      <c r="A23" s="150"/>
      <c r="B23" s="405" t="s">
        <v>617</v>
      </c>
      <c r="C23" s="405"/>
      <c r="D23" s="150"/>
      <c r="E23" s="405"/>
      <c r="F23" s="753" t="s">
        <v>30</v>
      </c>
      <c r="G23" s="753"/>
      <c r="H23" s="753"/>
      <c r="I23" s="753"/>
      <c r="J23" s="753"/>
      <c r="K23" s="153"/>
    </row>
    <row r="24" spans="1:11" ht="30.75" customHeight="1">
      <c r="A24" s="150"/>
      <c r="B24" s="151"/>
      <c r="C24" s="151"/>
      <c r="D24" s="150"/>
      <c r="E24" s="151"/>
      <c r="F24" s="152"/>
      <c r="G24" s="152"/>
      <c r="H24" s="152"/>
      <c r="I24" s="152"/>
      <c r="J24" s="152"/>
      <c r="K24" s="153"/>
    </row>
    <row r="25" spans="1:11" ht="18.75">
      <c r="A25" s="150"/>
      <c r="B25" s="154" t="s">
        <v>672</v>
      </c>
      <c r="C25" s="154"/>
      <c r="D25" s="150"/>
      <c r="E25" s="155"/>
      <c r="F25" s="156"/>
      <c r="G25" s="156"/>
      <c r="H25" s="156"/>
      <c r="I25" s="156"/>
      <c r="J25" s="156"/>
      <c r="K25" s="157"/>
    </row>
    <row r="26" spans="1:11" ht="30.75" customHeight="1">
      <c r="A26" s="150"/>
      <c r="B26" s="158" t="s">
        <v>10</v>
      </c>
      <c r="C26" s="150"/>
      <c r="D26" s="158"/>
      <c r="E26" s="156"/>
      <c r="F26" s="156"/>
      <c r="G26" s="156"/>
      <c r="H26" s="156"/>
      <c r="I26" s="156"/>
      <c r="J26" s="156"/>
      <c r="K26" s="157"/>
    </row>
    <row r="27" spans="2:11" ht="15.75">
      <c r="B27" s="43"/>
      <c r="C27" s="10"/>
      <c r="D27" s="44"/>
      <c r="E27" s="7"/>
      <c r="F27" s="7"/>
      <c r="G27" s="7"/>
      <c r="H27" s="7"/>
      <c r="I27" s="7"/>
      <c r="J27" s="1"/>
      <c r="K27" s="1"/>
    </row>
    <row r="28" spans="3:10" ht="15.75">
      <c r="C28" s="44"/>
      <c r="D28" s="7"/>
      <c r="E28" s="7"/>
      <c r="F28" s="7"/>
      <c r="G28" s="7"/>
      <c r="H28" s="7"/>
      <c r="I28" s="7"/>
      <c r="J28" s="7"/>
    </row>
    <row r="29" spans="3:10" ht="15.75">
      <c r="C29" s="45"/>
      <c r="D29" s="7"/>
      <c r="E29" s="7"/>
      <c r="F29" s="7"/>
      <c r="G29" s="7"/>
      <c r="H29" s="7"/>
      <c r="I29" s="7"/>
      <c r="J29" s="7"/>
    </row>
    <row r="31" ht="12.75">
      <c r="H31" s="5"/>
    </row>
  </sheetData>
  <sheetProtection/>
  <mergeCells count="21">
    <mergeCell ref="A16:A17"/>
    <mergeCell ref="B16:B17"/>
    <mergeCell ref="K16:K17"/>
    <mergeCell ref="A13:A15"/>
    <mergeCell ref="B13:B15"/>
    <mergeCell ref="H14:H15"/>
    <mergeCell ref="C13:C15"/>
    <mergeCell ref="D13:D15"/>
    <mergeCell ref="E13:J13"/>
    <mergeCell ref="F23:J23"/>
    <mergeCell ref="K13:K15"/>
    <mergeCell ref="E14:E15"/>
    <mergeCell ref="F14:F15"/>
    <mergeCell ref="G14:G15"/>
    <mergeCell ref="I14:I15"/>
    <mergeCell ref="J1:K1"/>
    <mergeCell ref="J2:K2"/>
    <mergeCell ref="J9:K9"/>
    <mergeCell ref="B11:K11"/>
    <mergeCell ref="D12:H12"/>
    <mergeCell ref="J14:J15"/>
  </mergeCells>
  <printOptions horizontalCentered="1"/>
  <pageMargins left="0" right="0" top="1.1811023622047245" bottom="0" header="0" footer="0"/>
  <pageSetup fitToHeight="1" fitToWidth="1" horizontalDpi="600" verticalDpi="600" orientation="landscape" paperSize="9" scale="80" r:id="rId1"/>
</worksheet>
</file>

<file path=xl/worksheets/sheet26.xml><?xml version="1.0" encoding="utf-8"?>
<worksheet xmlns="http://schemas.openxmlformats.org/spreadsheetml/2006/main" xmlns:r="http://schemas.openxmlformats.org/officeDocument/2006/relationships">
  <sheetPr>
    <tabColor rgb="FF0070C0"/>
    <pageSetUpPr fitToPage="1"/>
  </sheetPr>
  <dimension ref="A1:K29"/>
  <sheetViews>
    <sheetView zoomScalePageLayoutView="0" workbookViewId="0" topLeftCell="A9">
      <selection activeCell="B20" sqref="B20:K27"/>
    </sheetView>
  </sheetViews>
  <sheetFormatPr defaultColWidth="9.140625" defaultRowHeight="12.75"/>
  <cols>
    <col min="2" max="2" width="38.7109375" style="0" customWidth="1"/>
    <col min="3" max="3" width="15.57421875" style="0" customWidth="1"/>
    <col min="4" max="4" width="13.57421875" style="0" customWidth="1"/>
    <col min="10" max="10" width="27.421875" style="0" customWidth="1"/>
    <col min="11" max="11" width="36.140625" style="0" customWidth="1"/>
  </cols>
  <sheetData>
    <row r="1" spans="1:11" ht="18.75">
      <c r="A1" s="358"/>
      <c r="B1" s="358"/>
      <c r="C1" s="358"/>
      <c r="D1" s="358"/>
      <c r="E1" s="358"/>
      <c r="F1" s="358"/>
      <c r="G1" s="358"/>
      <c r="H1" s="358"/>
      <c r="I1" s="755" t="s">
        <v>345</v>
      </c>
      <c r="J1" s="755"/>
      <c r="K1" s="755"/>
    </row>
    <row r="2" spans="1:11" ht="18.75">
      <c r="A2" s="358"/>
      <c r="B2" s="358"/>
      <c r="C2" s="358"/>
      <c r="D2" s="358"/>
      <c r="E2" s="358"/>
      <c r="F2" s="358"/>
      <c r="G2" s="358"/>
      <c r="H2" s="358"/>
      <c r="I2" s="692" t="s">
        <v>11</v>
      </c>
      <c r="J2" s="692"/>
      <c r="K2" s="692"/>
    </row>
    <row r="3" spans="1:11" ht="18.75">
      <c r="A3" s="358"/>
      <c r="B3" s="358"/>
      <c r="C3" s="358"/>
      <c r="D3" s="358"/>
      <c r="E3" s="358"/>
      <c r="F3" s="358"/>
      <c r="G3" s="358"/>
      <c r="H3" s="358"/>
      <c r="I3" s="756" t="s">
        <v>318</v>
      </c>
      <c r="J3" s="756"/>
      <c r="K3" s="756"/>
    </row>
    <row r="4" spans="1:11" ht="18.75">
      <c r="A4" s="358"/>
      <c r="B4" s="358"/>
      <c r="C4" s="358"/>
      <c r="D4" s="358"/>
      <c r="E4" s="358"/>
      <c r="F4" s="358"/>
      <c r="G4" s="358"/>
      <c r="H4" s="358"/>
      <c r="I4" s="756" t="s">
        <v>33</v>
      </c>
      <c r="J4" s="756"/>
      <c r="K4" s="756"/>
    </row>
    <row r="5" spans="1:11" ht="18.75">
      <c r="A5" s="358"/>
      <c r="B5" s="358"/>
      <c r="C5" s="358"/>
      <c r="D5" s="358"/>
      <c r="E5" s="358"/>
      <c r="F5" s="358"/>
      <c r="G5" s="358"/>
      <c r="H5" s="358"/>
      <c r="I5" s="756" t="s">
        <v>8</v>
      </c>
      <c r="J5" s="756"/>
      <c r="K5" s="756"/>
    </row>
    <row r="6" spans="1:11" ht="18.75">
      <c r="A6" s="358"/>
      <c r="B6" s="358"/>
      <c r="C6" s="358"/>
      <c r="D6" s="358"/>
      <c r="E6" s="358"/>
      <c r="F6" s="358"/>
      <c r="G6" s="358"/>
      <c r="H6" s="358"/>
      <c r="I6" s="756" t="s">
        <v>319</v>
      </c>
      <c r="J6" s="756"/>
      <c r="K6" s="756"/>
    </row>
    <row r="7" spans="1:11" ht="18.75" customHeight="1">
      <c r="A7" s="358"/>
      <c r="B7" s="358"/>
      <c r="C7" s="358"/>
      <c r="D7" s="358"/>
      <c r="E7" s="358"/>
      <c r="F7" s="358"/>
      <c r="G7" s="358"/>
      <c r="H7" s="358"/>
      <c r="I7" s="758" t="s">
        <v>320</v>
      </c>
      <c r="J7" s="758"/>
      <c r="K7" s="758"/>
    </row>
    <row r="8" spans="1:11" ht="18.75">
      <c r="A8" s="358"/>
      <c r="B8" s="358"/>
      <c r="C8" s="358"/>
      <c r="D8" s="358"/>
      <c r="E8" s="358"/>
      <c r="F8" s="358"/>
      <c r="G8" s="358"/>
      <c r="H8" s="358"/>
      <c r="I8" s="73" t="s">
        <v>348</v>
      </c>
      <c r="J8" s="73"/>
      <c r="K8" s="73"/>
    </row>
    <row r="9" spans="1:11" ht="18.75">
      <c r="A9" s="358"/>
      <c r="B9" s="358"/>
      <c r="C9" s="358"/>
      <c r="D9" s="358"/>
      <c r="E9" s="358"/>
      <c r="F9" s="358"/>
      <c r="G9" s="358"/>
      <c r="H9" s="358"/>
      <c r="I9" s="358"/>
      <c r="J9" s="358"/>
      <c r="K9" s="358"/>
    </row>
    <row r="10" spans="1:11" ht="18.75">
      <c r="A10" s="358"/>
      <c r="B10" s="611" t="s">
        <v>322</v>
      </c>
      <c r="C10" s="611"/>
      <c r="D10" s="611"/>
      <c r="E10" s="611"/>
      <c r="F10" s="611"/>
      <c r="G10" s="611"/>
      <c r="H10" s="611"/>
      <c r="I10" s="611"/>
      <c r="J10" s="611"/>
      <c r="K10" s="611"/>
    </row>
    <row r="11" spans="1:11" ht="18.75">
      <c r="A11" s="358"/>
      <c r="B11" s="358"/>
      <c r="C11" s="358"/>
      <c r="D11" s="757"/>
      <c r="E11" s="757"/>
      <c r="F11" s="757"/>
      <c r="G11" s="757"/>
      <c r="H11" s="757"/>
      <c r="I11" s="358"/>
      <c r="J11" s="358"/>
      <c r="K11" s="358"/>
    </row>
    <row r="12" spans="1:11" ht="18.75">
      <c r="A12" s="608" t="s">
        <v>32</v>
      </c>
      <c r="B12" s="608" t="s">
        <v>12</v>
      </c>
      <c r="C12" s="608" t="s">
        <v>13</v>
      </c>
      <c r="D12" s="608" t="s">
        <v>14</v>
      </c>
      <c r="E12" s="615" t="s">
        <v>9</v>
      </c>
      <c r="F12" s="615"/>
      <c r="G12" s="615"/>
      <c r="H12" s="615"/>
      <c r="I12" s="615"/>
      <c r="J12" s="690"/>
      <c r="K12" s="613" t="s">
        <v>15</v>
      </c>
    </row>
    <row r="13" spans="1:11" ht="12.75">
      <c r="A13" s="609"/>
      <c r="B13" s="609"/>
      <c r="C13" s="609"/>
      <c r="D13" s="609"/>
      <c r="E13" s="608" t="s">
        <v>323</v>
      </c>
      <c r="F13" s="608" t="s">
        <v>324</v>
      </c>
      <c r="G13" s="608" t="s">
        <v>27</v>
      </c>
      <c r="H13" s="608" t="s">
        <v>28</v>
      </c>
      <c r="I13" s="608" t="s">
        <v>29</v>
      </c>
      <c r="J13" s="613" t="s">
        <v>325</v>
      </c>
      <c r="K13" s="613"/>
    </row>
    <row r="14" spans="1:11" ht="39" customHeight="1">
      <c r="A14" s="610"/>
      <c r="B14" s="610"/>
      <c r="C14" s="610"/>
      <c r="D14" s="610"/>
      <c r="E14" s="610"/>
      <c r="F14" s="610"/>
      <c r="G14" s="610"/>
      <c r="H14" s="610"/>
      <c r="I14" s="610"/>
      <c r="J14" s="613"/>
      <c r="K14" s="613"/>
    </row>
    <row r="15" spans="1:11" ht="70.5" customHeight="1">
      <c r="A15" s="36">
        <v>1</v>
      </c>
      <c r="B15" s="61" t="s">
        <v>326</v>
      </c>
      <c r="C15" s="36" t="s">
        <v>16</v>
      </c>
      <c r="D15" s="62">
        <f>SUM(E15:J15)</f>
        <v>0</v>
      </c>
      <c r="E15" s="63">
        <f>490.67-490.67</f>
        <v>0</v>
      </c>
      <c r="F15" s="104"/>
      <c r="G15" s="103"/>
      <c r="H15" s="103"/>
      <c r="I15" s="103"/>
      <c r="J15" s="103"/>
      <c r="K15" s="36" t="s">
        <v>327</v>
      </c>
    </row>
    <row r="16" spans="1:11" ht="69.75" customHeight="1" hidden="1">
      <c r="A16" s="36">
        <v>2</v>
      </c>
      <c r="B16" s="61" t="s">
        <v>49</v>
      </c>
      <c r="C16" s="36" t="s">
        <v>16</v>
      </c>
      <c r="D16" s="102">
        <f>SUM(E16:J16)</f>
        <v>0</v>
      </c>
      <c r="E16" s="104">
        <v>0</v>
      </c>
      <c r="F16" s="103"/>
      <c r="G16" s="103"/>
      <c r="H16" s="103"/>
      <c r="I16" s="103"/>
      <c r="J16" s="103"/>
      <c r="K16" s="36" t="s">
        <v>43</v>
      </c>
    </row>
    <row r="17" spans="1:11" ht="74.25" customHeight="1" hidden="1">
      <c r="A17" s="36">
        <v>3</v>
      </c>
      <c r="B17" s="105" t="s">
        <v>50</v>
      </c>
      <c r="C17" s="106" t="s">
        <v>16</v>
      </c>
      <c r="D17" s="102">
        <f>SUM(E17:J17)</f>
        <v>0</v>
      </c>
      <c r="E17" s="107">
        <v>0</v>
      </c>
      <c r="F17" s="103"/>
      <c r="G17" s="103"/>
      <c r="H17" s="103"/>
      <c r="I17" s="103"/>
      <c r="J17" s="103"/>
      <c r="K17" s="36" t="s">
        <v>328</v>
      </c>
    </row>
    <row r="18" spans="1:11" ht="18.75">
      <c r="A18" s="359"/>
      <c r="B18" s="60" t="s">
        <v>5</v>
      </c>
      <c r="C18" s="71"/>
      <c r="D18" s="102">
        <f>D15</f>
        <v>0</v>
      </c>
      <c r="E18" s="143">
        <f aca="true" t="shared" si="0" ref="E18:J18">E15</f>
        <v>0</v>
      </c>
      <c r="F18" s="102">
        <f t="shared" si="0"/>
        <v>0</v>
      </c>
      <c r="G18" s="102">
        <f t="shared" si="0"/>
        <v>0</v>
      </c>
      <c r="H18" s="102">
        <f t="shared" si="0"/>
        <v>0</v>
      </c>
      <c r="I18" s="102">
        <f t="shared" si="0"/>
        <v>0</v>
      </c>
      <c r="J18" s="102">
        <f t="shared" si="0"/>
        <v>0</v>
      </c>
      <c r="K18" s="72"/>
    </row>
    <row r="19" spans="1:11" ht="18.75">
      <c r="A19" s="358"/>
      <c r="B19" s="52"/>
      <c r="C19" s="52"/>
      <c r="D19" s="360"/>
      <c r="E19" s="360"/>
      <c r="F19" s="360"/>
      <c r="G19" s="360"/>
      <c r="H19" s="360"/>
      <c r="I19" s="360"/>
      <c r="J19" s="360"/>
      <c r="K19" s="361"/>
    </row>
    <row r="20" spans="2:11" ht="18.75">
      <c r="B20" s="634" t="s">
        <v>18</v>
      </c>
      <c r="C20" s="634"/>
      <c r="D20" s="384"/>
      <c r="E20" s="8"/>
      <c r="F20" s="8"/>
      <c r="G20" s="9"/>
      <c r="H20" s="9"/>
      <c r="I20" s="9"/>
      <c r="J20" s="48"/>
      <c r="K20" s="48" t="s">
        <v>30</v>
      </c>
    </row>
    <row r="21" spans="2:11" ht="12.75" customHeight="1">
      <c r="B21" s="384"/>
      <c r="C21" s="384"/>
      <c r="D21" s="384"/>
      <c r="E21" s="8"/>
      <c r="F21" s="8"/>
      <c r="G21" s="9"/>
      <c r="H21" s="9"/>
      <c r="I21" s="9"/>
      <c r="J21" s="48"/>
      <c r="K21" s="48"/>
    </row>
    <row r="22" spans="2:11" ht="18.75" customHeight="1" hidden="1">
      <c r="B22" s="384"/>
      <c r="C22" s="384"/>
      <c r="D22" s="384"/>
      <c r="E22" s="8"/>
      <c r="F22" s="8"/>
      <c r="G22" s="9"/>
      <c r="H22" s="9"/>
      <c r="I22" s="9"/>
      <c r="J22" s="48"/>
      <c r="K22" s="48"/>
    </row>
    <row r="23" spans="2:11" ht="18.75" customHeight="1" hidden="1">
      <c r="B23" s="384"/>
      <c r="C23" s="384"/>
      <c r="D23" s="384"/>
      <c r="E23" s="8"/>
      <c r="F23" s="8"/>
      <c r="G23" s="9"/>
      <c r="H23" s="9"/>
      <c r="I23" s="9"/>
      <c r="J23" s="48"/>
      <c r="K23" s="48"/>
    </row>
    <row r="24" spans="2:11" ht="23.25" customHeight="1" hidden="1">
      <c r="B24" s="384"/>
      <c r="C24" s="384"/>
      <c r="D24" s="384"/>
      <c r="E24" s="8"/>
      <c r="F24" s="8"/>
      <c r="G24" s="9"/>
      <c r="H24" s="9"/>
      <c r="I24" s="9"/>
      <c r="J24" s="48"/>
      <c r="K24" s="48"/>
    </row>
    <row r="25" spans="2:11" ht="18.75">
      <c r="B25" s="384"/>
      <c r="C25" s="384"/>
      <c r="D25" s="384"/>
      <c r="E25" s="8"/>
      <c r="F25" s="8"/>
      <c r="G25" s="9"/>
      <c r="H25" s="9"/>
      <c r="I25" s="9"/>
      <c r="J25" s="48"/>
      <c r="K25" s="48"/>
    </row>
    <row r="26" spans="2:11" ht="18.75">
      <c r="B26" s="689" t="s">
        <v>17</v>
      </c>
      <c r="C26" s="689"/>
      <c r="D26" s="49"/>
      <c r="E26" s="7"/>
      <c r="F26" s="7"/>
      <c r="G26" s="7"/>
      <c r="H26" s="7"/>
      <c r="I26" s="7"/>
      <c r="J26" s="1"/>
      <c r="K26" s="1"/>
    </row>
    <row r="27" spans="2:11" ht="15.75">
      <c r="B27" s="170" t="s">
        <v>10</v>
      </c>
      <c r="C27" s="170"/>
      <c r="D27" s="7"/>
      <c r="E27" s="7"/>
      <c r="F27" s="7"/>
      <c r="G27" s="7"/>
      <c r="H27" s="7"/>
      <c r="I27" s="7"/>
      <c r="J27" s="1"/>
      <c r="K27" s="1"/>
    </row>
    <row r="28" spans="2:11" ht="15.75">
      <c r="B28" s="43"/>
      <c r="C28" s="10"/>
      <c r="D28" s="44"/>
      <c r="E28" s="7"/>
      <c r="F28" s="7"/>
      <c r="G28" s="7"/>
      <c r="H28" s="7"/>
      <c r="I28" s="7"/>
      <c r="J28" s="1"/>
      <c r="K28" s="1"/>
    </row>
    <row r="29" spans="3:10" ht="15.75">
      <c r="C29" s="44"/>
      <c r="D29" s="7"/>
      <c r="E29" s="7"/>
      <c r="F29" s="7"/>
      <c r="G29" s="7"/>
      <c r="H29" s="7"/>
      <c r="I29" s="7"/>
      <c r="J29" s="7"/>
    </row>
  </sheetData>
  <sheetProtection/>
  <mergeCells count="23">
    <mergeCell ref="B20:C20"/>
    <mergeCell ref="B26:C26"/>
    <mergeCell ref="A12:A14"/>
    <mergeCell ref="B12:B14"/>
    <mergeCell ref="C12:C14"/>
    <mergeCell ref="D12:D14"/>
    <mergeCell ref="J13:J14"/>
    <mergeCell ref="I13:I14"/>
    <mergeCell ref="K12:K14"/>
    <mergeCell ref="I4:K4"/>
    <mergeCell ref="I5:K5"/>
    <mergeCell ref="I6:K6"/>
    <mergeCell ref="I7:K7"/>
    <mergeCell ref="I1:K1"/>
    <mergeCell ref="I2:K2"/>
    <mergeCell ref="I3:K3"/>
    <mergeCell ref="F13:F14"/>
    <mergeCell ref="B10:K10"/>
    <mergeCell ref="D11:H11"/>
    <mergeCell ref="E13:E14"/>
    <mergeCell ref="G13:G14"/>
    <mergeCell ref="H13:H14"/>
    <mergeCell ref="E12:J1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
</worksheet>
</file>

<file path=xl/worksheets/sheet27.xml><?xml version="1.0" encoding="utf-8"?>
<worksheet xmlns="http://schemas.openxmlformats.org/spreadsheetml/2006/main" xmlns:r="http://schemas.openxmlformats.org/officeDocument/2006/relationships">
  <dimension ref="A1:K24"/>
  <sheetViews>
    <sheetView zoomScalePageLayoutView="0" workbookViewId="0" topLeftCell="A6">
      <selection activeCell="B10" sqref="B10:K10"/>
    </sheetView>
  </sheetViews>
  <sheetFormatPr defaultColWidth="9.140625" defaultRowHeight="12.75"/>
  <cols>
    <col min="2" max="2" width="32.140625" style="0" customWidth="1"/>
    <col min="3" max="3" width="20.140625" style="0" customWidth="1"/>
    <col min="4" max="4" width="17.28125" style="0" customWidth="1"/>
    <col min="5" max="5" width="17.57421875" style="0" customWidth="1"/>
    <col min="11" max="11" width="46.421875" style="0" customWidth="1"/>
  </cols>
  <sheetData>
    <row r="1" spans="1:11" ht="18.75">
      <c r="A1" s="358"/>
      <c r="B1" s="358"/>
      <c r="C1" s="358"/>
      <c r="D1" s="358"/>
      <c r="E1" s="358"/>
      <c r="F1" s="358"/>
      <c r="G1" s="358"/>
      <c r="H1" s="358"/>
      <c r="I1" s="240" t="s">
        <v>19</v>
      </c>
      <c r="J1" s="755" t="s">
        <v>329</v>
      </c>
      <c r="K1" s="755"/>
    </row>
    <row r="2" spans="1:11" ht="18.75">
      <c r="A2" s="358"/>
      <c r="B2" s="358"/>
      <c r="C2" s="358"/>
      <c r="D2" s="358"/>
      <c r="E2" s="358"/>
      <c r="F2" s="358"/>
      <c r="G2" s="358"/>
      <c r="H2" s="358"/>
      <c r="I2" s="240"/>
      <c r="J2" s="182" t="s">
        <v>11</v>
      </c>
      <c r="K2" s="329"/>
    </row>
    <row r="3" spans="1:11" ht="18.75">
      <c r="A3" s="358"/>
      <c r="B3" s="358"/>
      <c r="C3" s="358"/>
      <c r="D3" s="358"/>
      <c r="E3" s="358"/>
      <c r="F3" s="358"/>
      <c r="G3" s="358"/>
      <c r="H3" s="358"/>
      <c r="I3" s="59" t="s">
        <v>11</v>
      </c>
      <c r="J3" s="756" t="s">
        <v>318</v>
      </c>
      <c r="K3" s="756"/>
    </row>
    <row r="4" spans="1:11" ht="18.75">
      <c r="A4" s="358"/>
      <c r="B4" s="358"/>
      <c r="C4" s="358"/>
      <c r="D4" s="358"/>
      <c r="E4" s="358"/>
      <c r="F4" s="358"/>
      <c r="G4" s="358"/>
      <c r="H4" s="358"/>
      <c r="I4" s="59" t="s">
        <v>20</v>
      </c>
      <c r="J4" s="756" t="s">
        <v>33</v>
      </c>
      <c r="K4" s="756"/>
    </row>
    <row r="5" spans="1:11" ht="18.75">
      <c r="A5" s="358"/>
      <c r="B5" s="358"/>
      <c r="C5" s="358"/>
      <c r="D5" s="358"/>
      <c r="E5" s="358"/>
      <c r="F5" s="358"/>
      <c r="G5" s="358"/>
      <c r="H5" s="358"/>
      <c r="I5" s="59" t="s">
        <v>21</v>
      </c>
      <c r="J5" s="756" t="s">
        <v>8</v>
      </c>
      <c r="K5" s="756"/>
    </row>
    <row r="6" spans="1:11" ht="18.75">
      <c r="A6" s="358"/>
      <c r="B6" s="358"/>
      <c r="C6" s="358"/>
      <c r="D6" s="358"/>
      <c r="E6" s="358"/>
      <c r="F6" s="358"/>
      <c r="G6" s="358"/>
      <c r="H6" s="358"/>
      <c r="I6" s="59" t="s">
        <v>23</v>
      </c>
      <c r="J6" s="756" t="s">
        <v>319</v>
      </c>
      <c r="K6" s="756"/>
    </row>
    <row r="7" spans="1:11" ht="18.75">
      <c r="A7" s="358"/>
      <c r="B7" s="358"/>
      <c r="C7" s="358"/>
      <c r="D7" s="358"/>
      <c r="E7" s="358"/>
      <c r="F7" s="358"/>
      <c r="G7" s="358"/>
      <c r="H7" s="358"/>
      <c r="I7" s="59" t="s">
        <v>24</v>
      </c>
      <c r="J7" s="758" t="s">
        <v>320</v>
      </c>
      <c r="K7" s="756"/>
    </row>
    <row r="8" spans="1:11" ht="18.75">
      <c r="A8" s="358"/>
      <c r="B8" s="358"/>
      <c r="C8" s="358"/>
      <c r="D8" s="358"/>
      <c r="E8" s="358"/>
      <c r="F8" s="358"/>
      <c r="G8" s="358"/>
      <c r="H8" s="358"/>
      <c r="I8" s="59" t="s">
        <v>25</v>
      </c>
      <c r="J8" s="358" t="s">
        <v>321</v>
      </c>
      <c r="K8" s="59"/>
    </row>
    <row r="9" spans="1:11" ht="18.75">
      <c r="A9" s="358"/>
      <c r="B9" s="358"/>
      <c r="C9" s="358"/>
      <c r="D9" s="358"/>
      <c r="E9" s="358"/>
      <c r="F9" s="358"/>
      <c r="G9" s="358"/>
      <c r="H9" s="358"/>
      <c r="I9" s="358"/>
      <c r="J9" s="358"/>
      <c r="K9" s="358"/>
    </row>
    <row r="10" spans="1:11" ht="18.75">
      <c r="A10" s="358"/>
      <c r="B10" s="611" t="s">
        <v>330</v>
      </c>
      <c r="C10" s="611"/>
      <c r="D10" s="611"/>
      <c r="E10" s="611"/>
      <c r="F10" s="611"/>
      <c r="G10" s="611"/>
      <c r="H10" s="611"/>
      <c r="I10" s="611"/>
      <c r="J10" s="611"/>
      <c r="K10" s="611"/>
    </row>
    <row r="11" spans="1:11" ht="18.75">
      <c r="A11" s="358"/>
      <c r="B11" s="358"/>
      <c r="C11" s="358"/>
      <c r="D11" s="757"/>
      <c r="E11" s="757"/>
      <c r="F11" s="757"/>
      <c r="G11" s="757"/>
      <c r="H11" s="757"/>
      <c r="I11" s="358"/>
      <c r="J11" s="358"/>
      <c r="K11" s="358"/>
    </row>
    <row r="12" spans="1:11" ht="18.75">
      <c r="A12" s="608" t="s">
        <v>32</v>
      </c>
      <c r="B12" s="608" t="s">
        <v>12</v>
      </c>
      <c r="C12" s="608" t="s">
        <v>13</v>
      </c>
      <c r="D12" s="608" t="s">
        <v>14</v>
      </c>
      <c r="E12" s="615" t="s">
        <v>9</v>
      </c>
      <c r="F12" s="615"/>
      <c r="G12" s="615"/>
      <c r="H12" s="615"/>
      <c r="I12" s="615"/>
      <c r="J12" s="690"/>
      <c r="K12" s="613" t="s">
        <v>15</v>
      </c>
    </row>
    <row r="13" spans="1:11" ht="12.75">
      <c r="A13" s="609"/>
      <c r="B13" s="609"/>
      <c r="C13" s="609"/>
      <c r="D13" s="609"/>
      <c r="E13" s="608" t="s">
        <v>323</v>
      </c>
      <c r="F13" s="608" t="s">
        <v>324</v>
      </c>
      <c r="G13" s="608" t="s">
        <v>27</v>
      </c>
      <c r="H13" s="608" t="s">
        <v>28</v>
      </c>
      <c r="I13" s="608" t="s">
        <v>29</v>
      </c>
      <c r="J13" s="613" t="s">
        <v>325</v>
      </c>
      <c r="K13" s="613"/>
    </row>
    <row r="14" spans="1:11" ht="37.5" customHeight="1">
      <c r="A14" s="610"/>
      <c r="B14" s="610"/>
      <c r="C14" s="610"/>
      <c r="D14" s="610"/>
      <c r="E14" s="610"/>
      <c r="F14" s="610"/>
      <c r="G14" s="610"/>
      <c r="H14" s="610"/>
      <c r="I14" s="610"/>
      <c r="J14" s="613"/>
      <c r="K14" s="613"/>
    </row>
    <row r="15" spans="1:11" ht="66.75" customHeight="1">
      <c r="A15" s="36">
        <v>1</v>
      </c>
      <c r="B15" s="61" t="s">
        <v>331</v>
      </c>
      <c r="C15" s="36" t="s">
        <v>16</v>
      </c>
      <c r="D15" s="62">
        <f>SUM(E15:J15)</f>
        <v>2178</v>
      </c>
      <c r="E15" s="63">
        <v>2178</v>
      </c>
      <c r="F15" s="104"/>
      <c r="G15" s="103"/>
      <c r="H15" s="103"/>
      <c r="I15" s="103"/>
      <c r="J15" s="103"/>
      <c r="K15" s="36" t="s">
        <v>327</v>
      </c>
    </row>
    <row r="16" spans="1:11" ht="66.75" customHeight="1" hidden="1">
      <c r="A16" s="36">
        <v>2</v>
      </c>
      <c r="B16" s="61" t="s">
        <v>49</v>
      </c>
      <c r="C16" s="36" t="s">
        <v>16</v>
      </c>
      <c r="D16" s="102">
        <f>SUM(E16:J16)</f>
        <v>0</v>
      </c>
      <c r="E16" s="104">
        <v>0</v>
      </c>
      <c r="F16" s="103"/>
      <c r="G16" s="103"/>
      <c r="H16" s="103"/>
      <c r="I16" s="103"/>
      <c r="J16" s="103"/>
      <c r="K16" s="36" t="s">
        <v>43</v>
      </c>
    </row>
    <row r="17" spans="1:11" ht="66.75" customHeight="1" hidden="1">
      <c r="A17" s="36">
        <v>3</v>
      </c>
      <c r="B17" s="105" t="s">
        <v>50</v>
      </c>
      <c r="C17" s="106" t="s">
        <v>16</v>
      </c>
      <c r="D17" s="102">
        <f>SUM(E17:J17)</f>
        <v>0</v>
      </c>
      <c r="E17" s="107">
        <v>0</v>
      </c>
      <c r="F17" s="103"/>
      <c r="G17" s="103"/>
      <c r="H17" s="103"/>
      <c r="I17" s="103"/>
      <c r="J17" s="103"/>
      <c r="K17" s="36" t="s">
        <v>328</v>
      </c>
    </row>
    <row r="18" spans="1:11" ht="66.75" customHeight="1">
      <c r="A18" s="359"/>
      <c r="B18" s="60" t="s">
        <v>5</v>
      </c>
      <c r="C18" s="71"/>
      <c r="D18" s="102">
        <f>D15</f>
        <v>2178</v>
      </c>
      <c r="E18" s="143">
        <f aca="true" t="shared" si="0" ref="E18:J18">E15</f>
        <v>2178</v>
      </c>
      <c r="F18" s="102">
        <f t="shared" si="0"/>
        <v>0</v>
      </c>
      <c r="G18" s="102">
        <f t="shared" si="0"/>
        <v>0</v>
      </c>
      <c r="H18" s="102">
        <f t="shared" si="0"/>
        <v>0</v>
      </c>
      <c r="I18" s="102">
        <f t="shared" si="0"/>
        <v>0</v>
      </c>
      <c r="J18" s="102">
        <f t="shared" si="0"/>
        <v>0</v>
      </c>
      <c r="K18" s="72"/>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2"/>
      <c r="C23" s="53"/>
      <c r="D23" s="14"/>
      <c r="E23" s="19"/>
      <c r="F23" s="19"/>
      <c r="G23" s="19"/>
      <c r="H23" s="19"/>
      <c r="I23" s="19"/>
      <c r="J23" s="19"/>
      <c r="K23" s="53"/>
    </row>
    <row r="24" spans="1:11" ht="23.25">
      <c r="A24" s="14"/>
      <c r="B24" s="759" t="s">
        <v>18</v>
      </c>
      <c r="C24" s="759"/>
      <c r="D24" s="335"/>
      <c r="E24" s="336"/>
      <c r="F24" s="336"/>
      <c r="G24" s="337"/>
      <c r="H24" s="337"/>
      <c r="I24" s="337"/>
      <c r="J24" s="362"/>
      <c r="K24" s="362" t="s">
        <v>7</v>
      </c>
    </row>
  </sheetData>
  <sheetProtection/>
  <mergeCells count="21">
    <mergeCell ref="A12:A14"/>
    <mergeCell ref="B12:B14"/>
    <mergeCell ref="C12:C14"/>
    <mergeCell ref="D12:D14"/>
    <mergeCell ref="E12:J12"/>
    <mergeCell ref="J13:J14"/>
    <mergeCell ref="F13:F14"/>
    <mergeCell ref="B24:C24"/>
    <mergeCell ref="B10:K10"/>
    <mergeCell ref="D11:H11"/>
    <mergeCell ref="J7:K7"/>
    <mergeCell ref="E13:E14"/>
    <mergeCell ref="G13:G14"/>
    <mergeCell ref="H13:H14"/>
    <mergeCell ref="J1:K1"/>
    <mergeCell ref="J3:K3"/>
    <mergeCell ref="J4:K4"/>
    <mergeCell ref="J5:K5"/>
    <mergeCell ref="J6:K6"/>
    <mergeCell ref="I13:I14"/>
    <mergeCell ref="K12:K14"/>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FFFF00"/>
    <pageSetUpPr fitToPage="1"/>
  </sheetPr>
  <dimension ref="A1:K28"/>
  <sheetViews>
    <sheetView zoomScalePageLayoutView="0" workbookViewId="0" topLeftCell="A1">
      <selection activeCell="Q16" sqref="Q16"/>
    </sheetView>
  </sheetViews>
  <sheetFormatPr defaultColWidth="9.140625" defaultRowHeight="12.75"/>
  <cols>
    <col min="1" max="1" width="6.7109375" style="0" customWidth="1"/>
    <col min="2" max="2" width="50.421875" style="0" customWidth="1"/>
    <col min="3" max="3" width="18.00390625" style="0" customWidth="1"/>
    <col min="4" max="4" width="12.00390625" style="0" customWidth="1"/>
    <col min="5" max="5" width="11.140625" style="0" customWidth="1"/>
    <col min="6" max="6" width="10.8515625" style="0" customWidth="1"/>
    <col min="7" max="9" width="0" style="0" hidden="1" customWidth="1"/>
    <col min="10" max="10" width="11.421875" style="0" customWidth="1"/>
    <col min="11" max="11" width="52.7109375" style="0" customWidth="1"/>
  </cols>
  <sheetData>
    <row r="1" spans="1:11" ht="15" customHeight="1">
      <c r="A1" s="358"/>
      <c r="B1" s="358"/>
      <c r="C1" s="358"/>
      <c r="D1" s="358"/>
      <c r="E1" s="358"/>
      <c r="F1" s="358"/>
      <c r="G1" s="358"/>
      <c r="H1" s="358"/>
      <c r="I1" s="240" t="s">
        <v>19</v>
      </c>
      <c r="J1" s="755" t="s">
        <v>505</v>
      </c>
      <c r="K1" s="755"/>
    </row>
    <row r="2" spans="1:11" ht="17.25" customHeight="1">
      <c r="A2" s="358"/>
      <c r="B2" s="358"/>
      <c r="C2" s="358"/>
      <c r="D2" s="358"/>
      <c r="E2" s="358"/>
      <c r="F2" s="358"/>
      <c r="G2" s="358"/>
      <c r="H2" s="358"/>
      <c r="I2" s="240"/>
      <c r="J2" s="182" t="s">
        <v>11</v>
      </c>
      <c r="K2" s="329"/>
    </row>
    <row r="3" spans="1:11" ht="15.75" customHeight="1">
      <c r="A3" s="358"/>
      <c r="B3" s="358"/>
      <c r="C3" s="358"/>
      <c r="D3" s="358"/>
      <c r="E3" s="358"/>
      <c r="F3" s="358"/>
      <c r="G3" s="358"/>
      <c r="H3" s="358"/>
      <c r="I3" s="240"/>
      <c r="J3" s="760" t="s">
        <v>701</v>
      </c>
      <c r="K3" s="760"/>
    </row>
    <row r="4" spans="1:11" ht="18.75">
      <c r="A4" s="358"/>
      <c r="B4" s="358"/>
      <c r="C4" s="358"/>
      <c r="D4" s="358"/>
      <c r="E4" s="358"/>
      <c r="F4" s="358"/>
      <c r="G4" s="358"/>
      <c r="H4" s="358"/>
      <c r="I4" s="59" t="s">
        <v>20</v>
      </c>
      <c r="J4" s="756" t="s">
        <v>673</v>
      </c>
      <c r="K4" s="756"/>
    </row>
    <row r="5" spans="1:11" ht="18.75">
      <c r="A5" s="358"/>
      <c r="B5" s="358"/>
      <c r="C5" s="358"/>
      <c r="D5" s="358"/>
      <c r="E5" s="358"/>
      <c r="F5" s="358"/>
      <c r="G5" s="358"/>
      <c r="H5" s="358"/>
      <c r="I5" s="59" t="s">
        <v>21</v>
      </c>
      <c r="J5" s="756" t="s">
        <v>684</v>
      </c>
      <c r="K5" s="756"/>
    </row>
    <row r="6" spans="1:11" ht="18.75">
      <c r="A6" s="358"/>
      <c r="B6" s="358"/>
      <c r="C6" s="358"/>
      <c r="D6" s="358"/>
      <c r="E6" s="358"/>
      <c r="F6" s="358"/>
      <c r="G6" s="358"/>
      <c r="H6" s="358"/>
      <c r="I6" s="59" t="s">
        <v>23</v>
      </c>
      <c r="J6" s="756" t="s">
        <v>675</v>
      </c>
      <c r="K6" s="756"/>
    </row>
    <row r="7" spans="1:11" ht="18.75">
      <c r="A7" s="358"/>
      <c r="B7" s="358"/>
      <c r="C7" s="358"/>
      <c r="D7" s="358"/>
      <c r="E7" s="358"/>
      <c r="F7" s="358"/>
      <c r="G7" s="358"/>
      <c r="H7" s="358"/>
      <c r="I7" s="59"/>
      <c r="J7" s="531" t="s">
        <v>676</v>
      </c>
      <c r="K7" s="531"/>
    </row>
    <row r="8" spans="1:11" ht="18.75">
      <c r="A8" s="358"/>
      <c r="B8" s="358"/>
      <c r="C8" s="358"/>
      <c r="D8" s="358"/>
      <c r="E8" s="358"/>
      <c r="F8" s="358"/>
      <c r="G8" s="358"/>
      <c r="H8" s="358"/>
      <c r="I8" s="59"/>
      <c r="J8" s="531" t="s">
        <v>677</v>
      </c>
      <c r="K8" s="531"/>
    </row>
    <row r="9" spans="1:11" ht="18.75">
      <c r="A9" s="358"/>
      <c r="B9" s="358"/>
      <c r="C9" s="358"/>
      <c r="D9" s="358"/>
      <c r="E9" s="358"/>
      <c r="F9" s="358"/>
      <c r="G9" s="358"/>
      <c r="H9" s="358"/>
      <c r="I9" s="59" t="s">
        <v>25</v>
      </c>
      <c r="J9" s="358" t="s">
        <v>772</v>
      </c>
      <c r="K9" s="59"/>
    </row>
    <row r="10" spans="1:11" ht="18.75">
      <c r="A10" s="358"/>
      <c r="B10" s="358"/>
      <c r="C10" s="358"/>
      <c r="D10" s="358"/>
      <c r="E10" s="358"/>
      <c r="F10" s="358"/>
      <c r="G10" s="358"/>
      <c r="H10" s="358"/>
      <c r="I10" s="358"/>
      <c r="J10" s="358"/>
      <c r="K10" s="358"/>
    </row>
    <row r="11" spans="1:11" ht="18.75">
      <c r="A11" s="358"/>
      <c r="B11" s="611" t="s">
        <v>482</v>
      </c>
      <c r="C11" s="611"/>
      <c r="D11" s="611"/>
      <c r="E11" s="611"/>
      <c r="F11" s="611"/>
      <c r="G11" s="611"/>
      <c r="H11" s="611"/>
      <c r="I11" s="611"/>
      <c r="J11" s="611"/>
      <c r="K11" s="611"/>
    </row>
    <row r="12" spans="1:11" ht="18.75">
      <c r="A12" s="358"/>
      <c r="B12" s="358"/>
      <c r="C12" s="358"/>
      <c r="D12" s="757"/>
      <c r="E12" s="757"/>
      <c r="F12" s="757"/>
      <c r="G12" s="757"/>
      <c r="H12" s="757"/>
      <c r="I12" s="358"/>
      <c r="J12" s="358"/>
      <c r="K12" s="358"/>
    </row>
    <row r="13" spans="1:11" ht="18.75">
      <c r="A13" s="608" t="s">
        <v>32</v>
      </c>
      <c r="B13" s="608" t="s">
        <v>12</v>
      </c>
      <c r="C13" s="608" t="s">
        <v>13</v>
      </c>
      <c r="D13" s="608" t="s">
        <v>438</v>
      </c>
      <c r="E13" s="615" t="s">
        <v>9</v>
      </c>
      <c r="F13" s="615"/>
      <c r="G13" s="615"/>
      <c r="H13" s="615"/>
      <c r="I13" s="615"/>
      <c r="J13" s="690"/>
      <c r="K13" s="613" t="s">
        <v>15</v>
      </c>
    </row>
    <row r="14" spans="1:11" ht="12.75">
      <c r="A14" s="609"/>
      <c r="B14" s="609"/>
      <c r="C14" s="609"/>
      <c r="D14" s="609"/>
      <c r="E14" s="664" t="s">
        <v>463</v>
      </c>
      <c r="F14" s="664" t="s">
        <v>468</v>
      </c>
      <c r="G14" s="664" t="s">
        <v>27</v>
      </c>
      <c r="H14" s="664" t="s">
        <v>28</v>
      </c>
      <c r="I14" s="664" t="s">
        <v>29</v>
      </c>
      <c r="J14" s="667" t="s">
        <v>441</v>
      </c>
      <c r="K14" s="613"/>
    </row>
    <row r="15" spans="1:11" ht="18.75" customHeight="1">
      <c r="A15" s="610"/>
      <c r="B15" s="610"/>
      <c r="C15" s="610"/>
      <c r="D15" s="610"/>
      <c r="E15" s="666"/>
      <c r="F15" s="666"/>
      <c r="G15" s="666"/>
      <c r="H15" s="666"/>
      <c r="I15" s="666"/>
      <c r="J15" s="667"/>
      <c r="K15" s="613"/>
    </row>
    <row r="16" spans="1:11" ht="39" customHeight="1">
      <c r="A16" s="603">
        <v>1</v>
      </c>
      <c r="B16" s="603" t="s">
        <v>331</v>
      </c>
      <c r="C16" s="36" t="s">
        <v>16</v>
      </c>
      <c r="D16" s="406">
        <f>SUM(E16:J16)</f>
        <v>3384.58</v>
      </c>
      <c r="E16" s="407">
        <f>2178+70+27.98</f>
        <v>2275.98</v>
      </c>
      <c r="F16" s="104">
        <v>1108.6</v>
      </c>
      <c r="G16" s="103"/>
      <c r="H16" s="103"/>
      <c r="I16" s="103"/>
      <c r="J16" s="103"/>
      <c r="K16" s="603" t="s">
        <v>327</v>
      </c>
    </row>
    <row r="17" spans="1:11" ht="36.75" customHeight="1">
      <c r="A17" s="604"/>
      <c r="B17" s="604"/>
      <c r="C17" s="243" t="s">
        <v>643</v>
      </c>
      <c r="D17" s="406">
        <f>SUM(E17:J17)</f>
        <v>0</v>
      </c>
      <c r="E17" s="407"/>
      <c r="F17" s="104"/>
      <c r="G17" s="103"/>
      <c r="H17" s="103"/>
      <c r="I17" s="103"/>
      <c r="J17" s="103">
        <v>0</v>
      </c>
      <c r="K17" s="604"/>
    </row>
    <row r="18" spans="1:11" ht="55.5" customHeight="1">
      <c r="A18" s="286">
        <v>2</v>
      </c>
      <c r="B18" s="286" t="s">
        <v>726</v>
      </c>
      <c r="C18" s="243" t="s">
        <v>262</v>
      </c>
      <c r="D18" s="406">
        <f>SUM(E18:J18)</f>
        <v>54066.5</v>
      </c>
      <c r="E18" s="407"/>
      <c r="F18" s="104"/>
      <c r="G18" s="103"/>
      <c r="H18" s="103"/>
      <c r="I18" s="103"/>
      <c r="J18" s="103">
        <v>54066.5</v>
      </c>
      <c r="K18" s="286" t="s">
        <v>327</v>
      </c>
    </row>
    <row r="19" spans="1:11" ht="18.75">
      <c r="A19" s="359"/>
      <c r="B19" s="60" t="s">
        <v>5</v>
      </c>
      <c r="C19" s="71"/>
      <c r="D19" s="406">
        <f>D16+D17+D18</f>
        <v>57451.08</v>
      </c>
      <c r="E19" s="406">
        <f>E16+E17</f>
        <v>2275.98</v>
      </c>
      <c r="F19" s="406">
        <f>F16+F17</f>
        <v>1108.6</v>
      </c>
      <c r="G19" s="406">
        <f>G16+G17</f>
        <v>0</v>
      </c>
      <c r="H19" s="406">
        <f>H16+H17</f>
        <v>0</v>
      </c>
      <c r="I19" s="406">
        <f>I16+I17</f>
        <v>0</v>
      </c>
      <c r="J19" s="406">
        <f>J16+J17+J18</f>
        <v>54066.5</v>
      </c>
      <c r="K19" s="72"/>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5.75">
      <c r="A23" s="14"/>
      <c r="B23" s="18"/>
      <c r="C23" s="18"/>
      <c r="D23" s="19"/>
      <c r="E23" s="19"/>
      <c r="F23" s="19"/>
      <c r="G23" s="19"/>
      <c r="H23" s="19"/>
      <c r="I23" s="19"/>
      <c r="J23" s="19"/>
      <c r="K23" s="20"/>
    </row>
    <row r="24" spans="1:11" ht="18.75">
      <c r="A24" s="14"/>
      <c r="B24" s="52"/>
      <c r="C24" s="53"/>
      <c r="D24" s="14"/>
      <c r="E24" s="19"/>
      <c r="F24" s="19"/>
      <c r="G24" s="19"/>
      <c r="H24" s="19"/>
      <c r="I24" s="19"/>
      <c r="J24" s="19"/>
      <c r="K24" s="53"/>
    </row>
    <row r="25" spans="1:11" ht="18.75">
      <c r="A25" s="14"/>
      <c r="B25" s="578" t="s">
        <v>617</v>
      </c>
      <c r="C25" s="578"/>
      <c r="D25" s="374"/>
      <c r="E25" s="22"/>
      <c r="F25" s="22"/>
      <c r="G25" s="68"/>
      <c r="H25" s="68"/>
      <c r="I25" s="68"/>
      <c r="J25" s="23"/>
      <c r="K25" s="23" t="s">
        <v>30</v>
      </c>
    </row>
    <row r="26" spans="1:11" ht="18.75">
      <c r="A26" s="14"/>
      <c r="B26" s="374"/>
      <c r="C26" s="374"/>
      <c r="D26" s="374"/>
      <c r="E26" s="22"/>
      <c r="F26" s="22"/>
      <c r="G26" s="16"/>
      <c r="H26" s="16"/>
      <c r="I26" s="16"/>
      <c r="J26" s="23"/>
      <c r="K26" s="23"/>
    </row>
    <row r="27" spans="1:11" ht="18.75">
      <c r="A27" s="14"/>
      <c r="B27" s="612" t="s">
        <v>670</v>
      </c>
      <c r="C27" s="612"/>
      <c r="D27" s="25"/>
      <c r="E27" s="26"/>
      <c r="F27" s="26"/>
      <c r="G27" s="26"/>
      <c r="H27" s="26"/>
      <c r="I27" s="26"/>
      <c r="J27" s="15"/>
      <c r="K27" s="15"/>
    </row>
    <row r="28" spans="1:11" ht="15.75">
      <c r="A28" s="14"/>
      <c r="B28" s="27" t="s">
        <v>10</v>
      </c>
      <c r="C28" s="27"/>
      <c r="D28" s="26"/>
      <c r="E28" s="26"/>
      <c r="F28" s="26"/>
      <c r="G28" s="26"/>
      <c r="H28" s="26"/>
      <c r="I28" s="26"/>
      <c r="J28" s="15"/>
      <c r="K28" s="15"/>
    </row>
  </sheetData>
  <sheetProtection/>
  <mergeCells count="24">
    <mergeCell ref="D12:H12"/>
    <mergeCell ref="J1:K1"/>
    <mergeCell ref="J4:K4"/>
    <mergeCell ref="J5:K5"/>
    <mergeCell ref="J6:K6"/>
    <mergeCell ref="J3:K3"/>
    <mergeCell ref="B11:K11"/>
    <mergeCell ref="A13:A15"/>
    <mergeCell ref="B13:B15"/>
    <mergeCell ref="C13:C15"/>
    <mergeCell ref="D13:D15"/>
    <mergeCell ref="E13:J13"/>
    <mergeCell ref="B25:C25"/>
    <mergeCell ref="A16:A17"/>
    <mergeCell ref="B16:B17"/>
    <mergeCell ref="B27:C27"/>
    <mergeCell ref="K13:K15"/>
    <mergeCell ref="E14:E15"/>
    <mergeCell ref="F14:F15"/>
    <mergeCell ref="G14:G15"/>
    <mergeCell ref="H14:H15"/>
    <mergeCell ref="I14:I15"/>
    <mergeCell ref="J14:J15"/>
    <mergeCell ref="K16:K17"/>
  </mergeCells>
  <printOptions/>
  <pageMargins left="0.7086614173228347" right="0.7086614173228347" top="1.1811023622047245" bottom="0.7480314960629921" header="0.31496062992125984" footer="0.31496062992125984"/>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2:L51"/>
  <sheetViews>
    <sheetView tabSelected="1" zoomScale="75" zoomScaleNormal="75" zoomScalePageLayoutView="0" workbookViewId="0" topLeftCell="A34">
      <selection activeCell="B41" sqref="B41"/>
    </sheetView>
  </sheetViews>
  <sheetFormatPr defaultColWidth="9.140625" defaultRowHeight="12.75"/>
  <cols>
    <col min="1" max="1" width="11.00390625" style="342" customWidth="1"/>
    <col min="2" max="2" width="61.57421875" style="342" customWidth="1"/>
    <col min="3" max="3" width="13.421875" style="342" hidden="1" customWidth="1"/>
    <col min="4" max="4" width="16.421875" style="342" customWidth="1"/>
    <col min="5" max="6" width="15.7109375" style="342" customWidth="1"/>
    <col min="7" max="7" width="47.8515625" style="342" customWidth="1"/>
    <col min="8" max="8" width="65.57421875" style="342" customWidth="1"/>
    <col min="9" max="9" width="15.7109375" style="342" customWidth="1"/>
    <col min="10" max="10" width="16.00390625" style="342" customWidth="1"/>
    <col min="11" max="11" width="14.140625" style="342" customWidth="1"/>
    <col min="12" max="12" width="12.421875" style="342" hidden="1" customWidth="1"/>
    <col min="13" max="13" width="14.8515625" style="342" customWidth="1"/>
    <col min="14" max="14" width="14.28125" style="342" customWidth="1"/>
    <col min="15" max="15" width="27.7109375" style="342" customWidth="1"/>
    <col min="16" max="16" width="19.140625" style="342" customWidth="1"/>
    <col min="17" max="17" width="15.140625" style="342" customWidth="1"/>
    <col min="18" max="18" width="14.140625" style="342" customWidth="1"/>
    <col min="19" max="19" width="17.28125" style="342" customWidth="1"/>
    <col min="20" max="20" width="13.8515625" style="342" customWidth="1"/>
  </cols>
  <sheetData>
    <row r="1" ht="11.25" customHeight="1"/>
    <row r="2" spans="1:12" s="342" customFormat="1" ht="42" customHeight="1">
      <c r="A2" s="577" t="s">
        <v>725</v>
      </c>
      <c r="B2" s="577"/>
      <c r="C2" s="577"/>
      <c r="D2" s="577"/>
      <c r="E2" s="577"/>
      <c r="F2" s="577"/>
      <c r="G2" s="577"/>
      <c r="H2" s="577"/>
      <c r="I2" s="368"/>
      <c r="J2" s="368"/>
      <c r="K2" s="368"/>
      <c r="L2" s="368"/>
    </row>
    <row r="3" spans="1:12" s="342" customFormat="1" ht="12.75" customHeight="1">
      <c r="A3" s="330"/>
      <c r="B3" s="330"/>
      <c r="C3" s="330"/>
      <c r="D3" s="369"/>
      <c r="E3" s="330"/>
      <c r="F3" s="330"/>
      <c r="G3" s="368"/>
      <c r="H3" s="434" t="s">
        <v>422</v>
      </c>
      <c r="I3" s="368"/>
      <c r="J3" s="368"/>
      <c r="K3" s="368"/>
      <c r="L3" s="368"/>
    </row>
    <row r="4" spans="1:12" s="342" customFormat="1" ht="6" customHeight="1">
      <c r="A4" s="330"/>
      <c r="B4" s="330"/>
      <c r="C4" s="330"/>
      <c r="D4" s="369"/>
      <c r="E4" s="330"/>
      <c r="F4" s="330"/>
      <c r="G4" s="368"/>
      <c r="H4" s="368"/>
      <c r="I4" s="368"/>
      <c r="J4" s="368"/>
      <c r="K4" s="368"/>
      <c r="L4" s="368"/>
    </row>
    <row r="5" spans="1:12" s="342" customFormat="1" ht="37.5" customHeight="1">
      <c r="A5" s="596" t="s">
        <v>6</v>
      </c>
      <c r="B5" s="585" t="s">
        <v>134</v>
      </c>
      <c r="C5" s="585" t="s">
        <v>13</v>
      </c>
      <c r="D5" s="386" t="s">
        <v>342</v>
      </c>
      <c r="E5" s="414" t="s">
        <v>343</v>
      </c>
      <c r="F5" s="585" t="s">
        <v>417</v>
      </c>
      <c r="G5" s="585" t="s">
        <v>416</v>
      </c>
      <c r="H5" s="422" t="s">
        <v>344</v>
      </c>
      <c r="I5" s="368"/>
      <c r="J5" s="368"/>
      <c r="K5" s="368"/>
      <c r="L5" s="368"/>
    </row>
    <row r="6" spans="1:12" s="342" customFormat="1" ht="15" customHeight="1">
      <c r="A6" s="596"/>
      <c r="B6" s="586"/>
      <c r="C6" s="586"/>
      <c r="D6" s="585">
        <v>2020</v>
      </c>
      <c r="E6" s="585">
        <v>2020</v>
      </c>
      <c r="F6" s="586"/>
      <c r="G6" s="586"/>
      <c r="H6" s="415"/>
      <c r="I6" s="368"/>
      <c r="J6" s="368"/>
      <c r="K6" s="368"/>
      <c r="L6" s="368"/>
    </row>
    <row r="7" spans="1:12" s="342" customFormat="1" ht="15" customHeight="1">
      <c r="A7" s="596"/>
      <c r="B7" s="587"/>
      <c r="C7" s="587"/>
      <c r="D7" s="587"/>
      <c r="E7" s="587"/>
      <c r="F7" s="587"/>
      <c r="G7" s="587"/>
      <c r="H7" s="416"/>
      <c r="I7" s="368"/>
      <c r="J7" s="368"/>
      <c r="K7" s="368"/>
      <c r="L7" s="368"/>
    </row>
    <row r="8" spans="1:12" s="342" customFormat="1" ht="62.25" customHeight="1">
      <c r="A8" s="237">
        <v>1</v>
      </c>
      <c r="B8" s="162" t="s">
        <v>618</v>
      </c>
      <c r="C8" s="164" t="s">
        <v>16</v>
      </c>
      <c r="D8" s="345">
        <v>538515.7</v>
      </c>
      <c r="E8" s="345">
        <v>547190.7</v>
      </c>
      <c r="F8" s="345">
        <f>E8-D8</f>
        <v>8675</v>
      </c>
      <c r="G8" s="571" t="s">
        <v>745</v>
      </c>
      <c r="H8" s="574" t="s">
        <v>746</v>
      </c>
      <c r="I8" s="368"/>
      <c r="J8" s="368"/>
      <c r="K8" s="368"/>
      <c r="L8" s="368"/>
    </row>
    <row r="9" spans="1:12" s="342" customFormat="1" ht="58.5" customHeight="1">
      <c r="A9" s="299" t="s">
        <v>273</v>
      </c>
      <c r="B9" s="539" t="s">
        <v>656</v>
      </c>
      <c r="C9" s="164"/>
      <c r="D9" s="541">
        <v>137742</v>
      </c>
      <c r="E9" s="541">
        <v>145417</v>
      </c>
      <c r="F9" s="541">
        <f aca="true" t="shared" si="0" ref="F9:F36">E9-D9</f>
        <v>7675</v>
      </c>
      <c r="G9" s="573"/>
      <c r="H9" s="575"/>
      <c r="I9" s="368"/>
      <c r="J9" s="368"/>
      <c r="K9" s="368"/>
      <c r="L9" s="368"/>
    </row>
    <row r="10" spans="1:12" s="342" customFormat="1" ht="51" customHeight="1">
      <c r="A10" s="299" t="s">
        <v>285</v>
      </c>
      <c r="B10" s="539" t="s">
        <v>657</v>
      </c>
      <c r="C10" s="550"/>
      <c r="D10" s="541">
        <v>3000</v>
      </c>
      <c r="E10" s="541">
        <v>4000</v>
      </c>
      <c r="F10" s="541">
        <f t="shared" si="0"/>
        <v>1000</v>
      </c>
      <c r="G10" s="572"/>
      <c r="H10" s="553"/>
      <c r="I10" s="368"/>
      <c r="J10" s="368"/>
      <c r="K10" s="368"/>
      <c r="L10" s="368"/>
    </row>
    <row r="11" spans="1:12" s="342" customFormat="1" ht="81" customHeight="1">
      <c r="A11" s="299" t="s">
        <v>722</v>
      </c>
      <c r="B11" s="162" t="s">
        <v>621</v>
      </c>
      <c r="C11" s="550"/>
      <c r="D11" s="345">
        <v>24960</v>
      </c>
      <c r="E11" s="345">
        <v>24963</v>
      </c>
      <c r="F11" s="345">
        <f t="shared" si="0"/>
        <v>3</v>
      </c>
      <c r="G11" s="551" t="s">
        <v>747</v>
      </c>
      <c r="H11" s="574" t="s">
        <v>748</v>
      </c>
      <c r="I11" s="368"/>
      <c r="J11" s="368"/>
      <c r="K11" s="368"/>
      <c r="L11" s="368"/>
    </row>
    <row r="12" spans="1:12" s="342" customFormat="1" ht="60" customHeight="1">
      <c r="A12" s="299" t="s">
        <v>383</v>
      </c>
      <c r="B12" s="539" t="s">
        <v>209</v>
      </c>
      <c r="C12" s="550"/>
      <c r="D12" s="541">
        <v>10</v>
      </c>
      <c r="E12" s="541">
        <v>13</v>
      </c>
      <c r="F12" s="541">
        <f t="shared" si="0"/>
        <v>3</v>
      </c>
      <c r="G12" s="551"/>
      <c r="H12" s="575"/>
      <c r="I12" s="368"/>
      <c r="J12" s="368"/>
      <c r="K12" s="368"/>
      <c r="L12" s="368"/>
    </row>
    <row r="13" spans="1:12" s="342" customFormat="1" ht="63.75" customHeight="1">
      <c r="A13" s="299" t="s">
        <v>668</v>
      </c>
      <c r="B13" s="162" t="s">
        <v>625</v>
      </c>
      <c r="C13" s="447"/>
      <c r="D13" s="345">
        <v>5803.292</v>
      </c>
      <c r="E13" s="345">
        <v>6155.592</v>
      </c>
      <c r="F13" s="563">
        <f>E13-D13</f>
        <v>352.2999999999993</v>
      </c>
      <c r="G13" s="527" t="s">
        <v>666</v>
      </c>
      <c r="H13" s="574" t="s">
        <v>749</v>
      </c>
      <c r="I13" s="368"/>
      <c r="J13" s="368"/>
      <c r="K13" s="368"/>
      <c r="L13" s="368"/>
    </row>
    <row r="14" spans="1:12" s="342" customFormat="1" ht="69" customHeight="1">
      <c r="A14" s="538" t="s">
        <v>506</v>
      </c>
      <c r="B14" s="539" t="s">
        <v>744</v>
      </c>
      <c r="C14" s="540"/>
      <c r="D14" s="541">
        <v>0</v>
      </c>
      <c r="E14" s="541">
        <v>4.3</v>
      </c>
      <c r="F14" s="564">
        <f t="shared" si="0"/>
        <v>4.3</v>
      </c>
      <c r="G14" s="551" t="s">
        <v>529</v>
      </c>
      <c r="H14" s="575"/>
      <c r="I14" s="368"/>
      <c r="J14" s="368"/>
      <c r="K14" s="368"/>
      <c r="L14" s="368"/>
    </row>
    <row r="15" spans="1:12" s="342" customFormat="1" ht="51" customHeight="1">
      <c r="A15" s="538" t="s">
        <v>582</v>
      </c>
      <c r="B15" s="539" t="s">
        <v>750</v>
      </c>
      <c r="C15" s="540"/>
      <c r="D15" s="541">
        <v>0</v>
      </c>
      <c r="E15" s="541">
        <v>79</v>
      </c>
      <c r="F15" s="564">
        <f t="shared" si="0"/>
        <v>79</v>
      </c>
      <c r="G15" s="551"/>
      <c r="H15" s="575"/>
      <c r="I15" s="368"/>
      <c r="J15" s="368"/>
      <c r="K15" s="368"/>
      <c r="L15" s="368"/>
    </row>
    <row r="16" spans="1:12" s="342" customFormat="1" ht="69" customHeight="1">
      <c r="A16" s="538" t="s">
        <v>753</v>
      </c>
      <c r="B16" s="539" t="s">
        <v>751</v>
      </c>
      <c r="C16" s="540"/>
      <c r="D16" s="541">
        <v>0</v>
      </c>
      <c r="E16" s="541">
        <v>190</v>
      </c>
      <c r="F16" s="564">
        <f t="shared" si="0"/>
        <v>190</v>
      </c>
      <c r="G16" s="551"/>
      <c r="H16" s="575"/>
      <c r="I16" s="368"/>
      <c r="J16" s="368"/>
      <c r="K16" s="368"/>
      <c r="L16" s="368"/>
    </row>
    <row r="17" spans="1:12" s="342" customFormat="1" ht="48.75" customHeight="1">
      <c r="A17" s="538" t="s">
        <v>754</v>
      </c>
      <c r="B17" s="539" t="s">
        <v>752</v>
      </c>
      <c r="C17" s="540"/>
      <c r="D17" s="541">
        <v>0</v>
      </c>
      <c r="E17" s="541">
        <v>40</v>
      </c>
      <c r="F17" s="564">
        <f t="shared" si="0"/>
        <v>40</v>
      </c>
      <c r="G17" s="551"/>
      <c r="H17" s="554"/>
      <c r="I17" s="368"/>
      <c r="J17" s="368"/>
      <c r="K17" s="368"/>
      <c r="L17" s="368"/>
    </row>
    <row r="18" spans="1:12" s="342" customFormat="1" ht="48.75" customHeight="1">
      <c r="A18" s="538" t="s">
        <v>777</v>
      </c>
      <c r="B18" s="539" t="s">
        <v>778</v>
      </c>
      <c r="C18" s="540"/>
      <c r="D18" s="541">
        <v>0</v>
      </c>
      <c r="E18" s="541">
        <v>39</v>
      </c>
      <c r="F18" s="564">
        <f t="shared" si="0"/>
        <v>39</v>
      </c>
      <c r="G18" s="562"/>
      <c r="H18" s="553"/>
      <c r="I18" s="368"/>
      <c r="J18" s="368"/>
      <c r="K18" s="368"/>
      <c r="L18" s="368"/>
    </row>
    <row r="19" spans="1:12" s="342" customFormat="1" ht="60.75" customHeight="1">
      <c r="A19" s="538" t="s">
        <v>755</v>
      </c>
      <c r="B19" s="162" t="s">
        <v>757</v>
      </c>
      <c r="C19" s="540"/>
      <c r="D19" s="345">
        <v>37075</v>
      </c>
      <c r="E19" s="345">
        <v>46361</v>
      </c>
      <c r="F19" s="345">
        <f t="shared" si="0"/>
        <v>9286</v>
      </c>
      <c r="G19" s="557"/>
      <c r="H19" s="554"/>
      <c r="I19" s="368"/>
      <c r="J19" s="368"/>
      <c r="K19" s="368"/>
      <c r="L19" s="368"/>
    </row>
    <row r="20" spans="1:12" s="342" customFormat="1" ht="48.75" customHeight="1">
      <c r="A20" s="538" t="s">
        <v>528</v>
      </c>
      <c r="B20" s="539" t="s">
        <v>756</v>
      </c>
      <c r="C20" s="540"/>
      <c r="D20" s="541">
        <v>0</v>
      </c>
      <c r="E20" s="541">
        <v>80</v>
      </c>
      <c r="F20" s="345">
        <f t="shared" si="0"/>
        <v>80</v>
      </c>
      <c r="G20" s="557" t="s">
        <v>557</v>
      </c>
      <c r="H20" s="575" t="s">
        <v>763</v>
      </c>
      <c r="I20" s="368"/>
      <c r="J20" s="368"/>
      <c r="K20" s="368"/>
      <c r="L20" s="368"/>
    </row>
    <row r="21" spans="1:12" s="342" customFormat="1" ht="48.75" customHeight="1">
      <c r="A21" s="538" t="s">
        <v>759</v>
      </c>
      <c r="B21" s="539" t="s">
        <v>278</v>
      </c>
      <c r="C21" s="540"/>
      <c r="D21" s="541">
        <v>0</v>
      </c>
      <c r="E21" s="541">
        <v>1021</v>
      </c>
      <c r="F21" s="345">
        <f t="shared" si="0"/>
        <v>1021</v>
      </c>
      <c r="G21" s="557"/>
      <c r="H21" s="575"/>
      <c r="I21" s="368"/>
      <c r="J21" s="368"/>
      <c r="K21" s="368"/>
      <c r="L21" s="368"/>
    </row>
    <row r="22" spans="1:12" s="342" customFormat="1" ht="48.75" customHeight="1">
      <c r="A22" s="538" t="s">
        <v>760</v>
      </c>
      <c r="B22" s="539" t="s">
        <v>279</v>
      </c>
      <c r="C22" s="540"/>
      <c r="D22" s="541">
        <v>0</v>
      </c>
      <c r="E22" s="541">
        <v>185</v>
      </c>
      <c r="F22" s="345">
        <f t="shared" si="0"/>
        <v>185</v>
      </c>
      <c r="G22" s="557"/>
      <c r="H22" s="554"/>
      <c r="I22" s="368"/>
      <c r="J22" s="368"/>
      <c r="K22" s="368"/>
      <c r="L22" s="368"/>
    </row>
    <row r="23" spans="1:12" s="342" customFormat="1" ht="48.75" customHeight="1">
      <c r="A23" s="538" t="s">
        <v>761</v>
      </c>
      <c r="B23" s="539" t="s">
        <v>758</v>
      </c>
      <c r="C23" s="540"/>
      <c r="D23" s="541">
        <v>26000</v>
      </c>
      <c r="E23" s="541">
        <v>34000</v>
      </c>
      <c r="F23" s="345">
        <f t="shared" si="0"/>
        <v>8000</v>
      </c>
      <c r="G23" s="558"/>
      <c r="H23" s="553"/>
      <c r="I23" s="368"/>
      <c r="J23" s="368"/>
      <c r="K23" s="368"/>
      <c r="L23" s="368"/>
    </row>
    <row r="24" spans="1:12" s="342" customFormat="1" ht="48.75" customHeight="1">
      <c r="A24" s="299" t="s">
        <v>762</v>
      </c>
      <c r="B24" s="162" t="s">
        <v>480</v>
      </c>
      <c r="C24" s="447"/>
      <c r="D24" s="345">
        <v>2050</v>
      </c>
      <c r="E24" s="345">
        <v>2800</v>
      </c>
      <c r="F24" s="345">
        <f t="shared" si="0"/>
        <v>750</v>
      </c>
      <c r="G24" s="561" t="s">
        <v>527</v>
      </c>
      <c r="H24" s="574" t="s">
        <v>773</v>
      </c>
      <c r="I24" s="368"/>
      <c r="J24" s="368"/>
      <c r="K24" s="368"/>
      <c r="L24" s="368"/>
    </row>
    <row r="25" spans="1:12" s="342" customFormat="1" ht="67.5" customHeight="1">
      <c r="A25" s="538" t="s">
        <v>508</v>
      </c>
      <c r="B25" s="539" t="s">
        <v>648</v>
      </c>
      <c r="C25" s="540"/>
      <c r="D25" s="541">
        <v>750</v>
      </c>
      <c r="E25" s="541">
        <v>1500</v>
      </c>
      <c r="F25" s="345">
        <f t="shared" si="0"/>
        <v>750</v>
      </c>
      <c r="G25" s="562"/>
      <c r="H25" s="576"/>
      <c r="I25" s="368"/>
      <c r="J25" s="368"/>
      <c r="K25" s="368"/>
      <c r="L25" s="368"/>
    </row>
    <row r="26" spans="1:12" s="342" customFormat="1" ht="46.5" customHeight="1">
      <c r="A26" s="299" t="s">
        <v>768</v>
      </c>
      <c r="B26" s="162" t="s">
        <v>483</v>
      </c>
      <c r="C26" s="540"/>
      <c r="D26" s="345">
        <v>95000</v>
      </c>
      <c r="E26" s="345">
        <v>95000</v>
      </c>
      <c r="F26" s="345">
        <f t="shared" si="0"/>
        <v>0</v>
      </c>
      <c r="G26" s="556"/>
      <c r="H26" s="554"/>
      <c r="I26" s="368"/>
      <c r="J26" s="368"/>
      <c r="K26" s="368"/>
      <c r="L26" s="368"/>
    </row>
    <row r="27" spans="1:12" s="342" customFormat="1" ht="46.5" customHeight="1">
      <c r="A27" s="538" t="s">
        <v>516</v>
      </c>
      <c r="B27" s="539" t="s">
        <v>660</v>
      </c>
      <c r="C27" s="540"/>
      <c r="D27" s="541">
        <v>799</v>
      </c>
      <c r="E27" s="541">
        <v>816</v>
      </c>
      <c r="F27" s="541">
        <f t="shared" si="0"/>
        <v>17</v>
      </c>
      <c r="G27" s="573" t="s">
        <v>774</v>
      </c>
      <c r="H27" s="554"/>
      <c r="I27" s="368"/>
      <c r="J27" s="368"/>
      <c r="K27" s="368"/>
      <c r="L27" s="368"/>
    </row>
    <row r="28" spans="1:12" s="342" customFormat="1" ht="46.5" customHeight="1">
      <c r="A28" s="538" t="s">
        <v>566</v>
      </c>
      <c r="B28" s="539" t="s">
        <v>729</v>
      </c>
      <c r="C28" s="540"/>
      <c r="D28" s="541">
        <v>0</v>
      </c>
      <c r="E28" s="541">
        <v>230</v>
      </c>
      <c r="F28" s="541">
        <f t="shared" si="0"/>
        <v>230</v>
      </c>
      <c r="G28" s="572"/>
      <c r="H28" s="554"/>
      <c r="I28" s="368"/>
      <c r="J28" s="368"/>
      <c r="K28" s="368"/>
      <c r="L28" s="368"/>
    </row>
    <row r="29" spans="1:12" s="342" customFormat="1" ht="32.25" customHeight="1">
      <c r="A29" s="538" t="s">
        <v>567</v>
      </c>
      <c r="B29" s="539" t="s">
        <v>552</v>
      </c>
      <c r="C29" s="540"/>
      <c r="D29" s="541">
        <v>9700</v>
      </c>
      <c r="E29" s="541">
        <v>10000</v>
      </c>
      <c r="F29" s="541">
        <f>E29-D29</f>
        <v>300</v>
      </c>
      <c r="G29" s="573" t="s">
        <v>775</v>
      </c>
      <c r="H29" s="575" t="s">
        <v>776</v>
      </c>
      <c r="I29" s="368"/>
      <c r="J29" s="368"/>
      <c r="K29" s="368"/>
      <c r="L29" s="368"/>
    </row>
    <row r="30" spans="1:12" s="342" customFormat="1" ht="38.25" customHeight="1">
      <c r="A30" s="538" t="s">
        <v>584</v>
      </c>
      <c r="B30" s="539" t="s">
        <v>730</v>
      </c>
      <c r="C30" s="540"/>
      <c r="D30" s="541">
        <v>0</v>
      </c>
      <c r="E30" s="541">
        <v>1499.9</v>
      </c>
      <c r="F30" s="541">
        <f t="shared" si="0"/>
        <v>1499.9</v>
      </c>
      <c r="G30" s="573"/>
      <c r="H30" s="575"/>
      <c r="I30" s="368"/>
      <c r="J30" s="368"/>
      <c r="K30" s="368"/>
      <c r="L30" s="368"/>
    </row>
    <row r="31" spans="1:12" s="342" customFormat="1" ht="54.75" customHeight="1">
      <c r="A31" s="538" t="s">
        <v>585</v>
      </c>
      <c r="B31" s="539" t="s">
        <v>731</v>
      </c>
      <c r="C31" s="540"/>
      <c r="D31" s="541">
        <v>0</v>
      </c>
      <c r="E31" s="541">
        <v>748.3</v>
      </c>
      <c r="F31" s="541">
        <f t="shared" si="0"/>
        <v>748.3</v>
      </c>
      <c r="G31" s="573"/>
      <c r="H31" s="575"/>
      <c r="I31" s="368"/>
      <c r="J31" s="368"/>
      <c r="K31" s="368"/>
      <c r="L31" s="368"/>
    </row>
    <row r="32" spans="1:12" s="342" customFormat="1" ht="86.25" customHeight="1">
      <c r="A32" s="538" t="s">
        <v>586</v>
      </c>
      <c r="B32" s="539" t="s">
        <v>732</v>
      </c>
      <c r="C32" s="540"/>
      <c r="D32" s="541">
        <v>0</v>
      </c>
      <c r="E32" s="541">
        <v>2000</v>
      </c>
      <c r="F32" s="541">
        <f t="shared" si="0"/>
        <v>2000</v>
      </c>
      <c r="G32" s="573"/>
      <c r="H32" s="554"/>
      <c r="I32" s="368"/>
      <c r="J32" s="368"/>
      <c r="K32" s="368"/>
      <c r="L32" s="368"/>
    </row>
    <row r="33" spans="1:12" s="342" customFormat="1" ht="40.5" customHeight="1">
      <c r="A33" s="538" t="s">
        <v>587</v>
      </c>
      <c r="B33" s="560" t="s">
        <v>733</v>
      </c>
      <c r="C33" s="540"/>
      <c r="D33" s="541">
        <v>0</v>
      </c>
      <c r="E33" s="541">
        <v>33</v>
      </c>
      <c r="F33" s="541">
        <f t="shared" si="0"/>
        <v>33</v>
      </c>
      <c r="G33" s="573"/>
      <c r="H33" s="554"/>
      <c r="I33" s="368"/>
      <c r="J33" s="368"/>
      <c r="K33" s="368"/>
      <c r="L33" s="368"/>
    </row>
    <row r="34" spans="1:12" s="342" customFormat="1" ht="40.5" customHeight="1">
      <c r="A34" s="538" t="s">
        <v>769</v>
      </c>
      <c r="B34" s="560" t="s">
        <v>734</v>
      </c>
      <c r="C34" s="540"/>
      <c r="D34" s="541">
        <v>0</v>
      </c>
      <c r="E34" s="541">
        <v>35</v>
      </c>
      <c r="F34" s="541">
        <f t="shared" si="0"/>
        <v>35</v>
      </c>
      <c r="G34" s="572"/>
      <c r="H34" s="554"/>
      <c r="I34" s="368"/>
      <c r="J34" s="368"/>
      <c r="K34" s="368"/>
      <c r="L34" s="368"/>
    </row>
    <row r="35" spans="1:12" s="342" customFormat="1" ht="44.25" customHeight="1">
      <c r="A35" s="538" t="s">
        <v>770</v>
      </c>
      <c r="B35" s="508" t="s">
        <v>649</v>
      </c>
      <c r="C35" s="540"/>
      <c r="D35" s="345">
        <v>21820</v>
      </c>
      <c r="E35" s="345">
        <v>22270</v>
      </c>
      <c r="F35" s="345">
        <f t="shared" si="0"/>
        <v>450</v>
      </c>
      <c r="G35" s="571" t="s">
        <v>529</v>
      </c>
      <c r="H35" s="574" t="s">
        <v>787</v>
      </c>
      <c r="I35" s="368"/>
      <c r="J35" s="368"/>
      <c r="K35" s="368"/>
      <c r="L35" s="368"/>
    </row>
    <row r="36" spans="1:12" s="342" customFormat="1" ht="35.25" customHeight="1">
      <c r="A36" s="538" t="s">
        <v>588</v>
      </c>
      <c r="B36" s="560" t="s">
        <v>780</v>
      </c>
      <c r="C36" s="540"/>
      <c r="D36" s="541">
        <v>0</v>
      </c>
      <c r="E36" s="541">
        <v>450</v>
      </c>
      <c r="F36" s="541">
        <f t="shared" si="0"/>
        <v>450</v>
      </c>
      <c r="G36" s="572"/>
      <c r="H36" s="576"/>
      <c r="I36" s="368"/>
      <c r="J36" s="368"/>
      <c r="K36" s="368"/>
      <c r="L36" s="368"/>
    </row>
    <row r="37" spans="1:12" s="342" customFormat="1" ht="53.25" customHeight="1">
      <c r="A37" s="538" t="s">
        <v>784</v>
      </c>
      <c r="B37" s="508" t="s">
        <v>619</v>
      </c>
      <c r="C37" s="540"/>
      <c r="D37" s="541">
        <v>75487.3</v>
      </c>
      <c r="E37" s="541">
        <v>75377.3</v>
      </c>
      <c r="F37" s="541">
        <f>E37-D37</f>
        <v>-110</v>
      </c>
      <c r="G37" s="571" t="s">
        <v>785</v>
      </c>
      <c r="H37" s="574" t="s">
        <v>786</v>
      </c>
      <c r="I37" s="368"/>
      <c r="J37" s="368"/>
      <c r="K37" s="368"/>
      <c r="L37" s="368"/>
    </row>
    <row r="38" spans="1:12" s="342" customFormat="1" ht="53.25" customHeight="1">
      <c r="A38" s="538" t="s">
        <v>593</v>
      </c>
      <c r="B38" s="560" t="s">
        <v>723</v>
      </c>
      <c r="C38" s="540"/>
      <c r="D38" s="541">
        <v>110</v>
      </c>
      <c r="E38" s="541">
        <v>-110</v>
      </c>
      <c r="F38" s="541">
        <f>E38+D38</f>
        <v>0</v>
      </c>
      <c r="G38" s="572"/>
      <c r="H38" s="576"/>
      <c r="I38" s="368"/>
      <c r="J38" s="368"/>
      <c r="K38" s="368"/>
      <c r="L38" s="368"/>
    </row>
    <row r="39" spans="1:12" s="342" customFormat="1" ht="18.75">
      <c r="A39" s="596" t="s">
        <v>5</v>
      </c>
      <c r="B39" s="596"/>
      <c r="C39" s="386"/>
      <c r="D39" s="130">
        <f>D8+D11+D13+D19+D24+D26+D35+D37</f>
        <v>800711.292</v>
      </c>
      <c r="E39" s="130">
        <f>E8+E11+E13+E19+E24+E26+E35+E37</f>
        <v>820117.592</v>
      </c>
      <c r="F39" s="130">
        <f>F8+F11+F13+F19+F24+F26+F35+F37</f>
        <v>19406.3</v>
      </c>
      <c r="G39" s="373"/>
      <c r="H39" s="373"/>
      <c r="I39" s="368"/>
      <c r="J39" s="368"/>
      <c r="K39" s="368"/>
      <c r="L39" s="368"/>
    </row>
    <row r="40" spans="1:12" s="342" customFormat="1" ht="33" customHeight="1">
      <c r="A40" s="578" t="s">
        <v>708</v>
      </c>
      <c r="B40" s="578"/>
      <c r="C40" s="578"/>
      <c r="D40" s="578"/>
      <c r="E40" s="184"/>
      <c r="F40" s="184"/>
      <c r="G40" s="68"/>
      <c r="H40" s="240" t="s">
        <v>709</v>
      </c>
      <c r="I40" s="368"/>
      <c r="J40" s="368"/>
      <c r="K40" s="368"/>
      <c r="L40" s="368"/>
    </row>
    <row r="41" spans="1:12" s="342" customFormat="1" ht="18.75">
      <c r="A41" s="375"/>
      <c r="B41" s="375"/>
      <c r="C41" s="375"/>
      <c r="D41" s="376"/>
      <c r="E41" s="136"/>
      <c r="F41" s="136"/>
      <c r="G41" s="338"/>
      <c r="H41" s="368"/>
      <c r="I41" s="368"/>
      <c r="J41" s="368"/>
      <c r="K41" s="368"/>
      <c r="L41" s="368"/>
    </row>
    <row r="42" spans="1:12" s="342" customFormat="1" ht="18.75">
      <c r="A42" s="584"/>
      <c r="B42" s="584"/>
      <c r="C42" s="385"/>
      <c r="D42" s="165"/>
      <c r="E42" s="377"/>
      <c r="F42" s="377"/>
      <c r="G42" s="368"/>
      <c r="H42" s="368"/>
      <c r="I42" s="368"/>
      <c r="J42" s="368"/>
      <c r="K42" s="368"/>
      <c r="L42" s="368"/>
    </row>
    <row r="43" s="342" customFormat="1" ht="15">
      <c r="A43" s="355"/>
    </row>
    <row r="44" s="342" customFormat="1" ht="15">
      <c r="A44" s="355"/>
    </row>
    <row r="45" s="342" customFormat="1" ht="15">
      <c r="A45" s="355"/>
    </row>
    <row r="46" s="342" customFormat="1" ht="15">
      <c r="A46" s="355"/>
    </row>
    <row r="47" s="342" customFormat="1" ht="15">
      <c r="A47" s="355"/>
    </row>
    <row r="48" s="342" customFormat="1" ht="15">
      <c r="A48" s="355"/>
    </row>
    <row r="49" s="342" customFormat="1" ht="15">
      <c r="A49" s="355"/>
    </row>
    <row r="50" s="342" customFormat="1" ht="15">
      <c r="A50" s="355"/>
    </row>
    <row r="51" s="342" customFormat="1" ht="15">
      <c r="A51" s="355"/>
    </row>
    <row r="52" s="342" customFormat="1" ht="15"/>
  </sheetData>
  <sheetProtection/>
  <mergeCells count="24">
    <mergeCell ref="A40:D40"/>
    <mergeCell ref="A39:B39"/>
    <mergeCell ref="A42:B42"/>
    <mergeCell ref="G8:G10"/>
    <mergeCell ref="H11:H12"/>
    <mergeCell ref="H20:H21"/>
    <mergeCell ref="H24:H25"/>
    <mergeCell ref="G27:G28"/>
    <mergeCell ref="G29:G34"/>
    <mergeCell ref="A2:H2"/>
    <mergeCell ref="E6:E7"/>
    <mergeCell ref="F5:F7"/>
    <mergeCell ref="H8:H9"/>
    <mergeCell ref="G5:G7"/>
    <mergeCell ref="A5:A7"/>
    <mergeCell ref="B5:B7"/>
    <mergeCell ref="C5:C7"/>
    <mergeCell ref="D6:D7"/>
    <mergeCell ref="G37:G38"/>
    <mergeCell ref="H37:H38"/>
    <mergeCell ref="H29:H31"/>
    <mergeCell ref="H13:H16"/>
    <mergeCell ref="G35:G36"/>
    <mergeCell ref="H35:H36"/>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L25"/>
  <sheetViews>
    <sheetView zoomScale="75" zoomScaleNormal="75" zoomScalePageLayoutView="0" workbookViewId="0" topLeftCell="A1">
      <selection activeCell="H15" sqref="H15"/>
    </sheetView>
  </sheetViews>
  <sheetFormatPr defaultColWidth="9.140625" defaultRowHeight="12.75"/>
  <cols>
    <col min="1" max="1" width="7.140625" style="342" customWidth="1"/>
    <col min="2" max="2" width="46.00390625" style="342" customWidth="1"/>
    <col min="3" max="3" width="13.421875" style="342" hidden="1" customWidth="1"/>
    <col min="4" max="4" width="16.421875" style="342" customWidth="1"/>
    <col min="5" max="6" width="15.7109375" style="342" customWidth="1"/>
    <col min="7" max="7" width="28.28125" style="342" customWidth="1"/>
    <col min="8" max="8" width="63.28125" style="342" customWidth="1"/>
    <col min="9" max="9" width="15.7109375" style="342" customWidth="1"/>
    <col min="10" max="10" width="16.00390625" style="342" customWidth="1"/>
    <col min="11" max="11" width="14.140625" style="342" customWidth="1"/>
    <col min="12" max="12" width="12.421875" style="342" hidden="1" customWidth="1"/>
    <col min="13" max="13" width="14.8515625" style="342" customWidth="1"/>
    <col min="14" max="14" width="14.28125" style="342" customWidth="1"/>
    <col min="15" max="15" width="27.7109375" style="342" customWidth="1"/>
    <col min="16" max="16" width="19.140625" style="342" customWidth="1"/>
    <col min="17" max="17" width="15.140625" style="342" customWidth="1"/>
    <col min="18" max="18" width="14.140625" style="342" customWidth="1"/>
    <col min="19" max="19" width="17.28125" style="342" customWidth="1"/>
    <col min="20" max="20" width="13.8515625" style="342" customWidth="1"/>
  </cols>
  <sheetData>
    <row r="1" spans="1:12" s="342" customFormat="1" ht="20.25" customHeight="1">
      <c r="A1" s="330"/>
      <c r="B1" s="330"/>
      <c r="C1" s="330"/>
      <c r="D1" s="369"/>
      <c r="E1" s="344"/>
      <c r="F1" s="344"/>
      <c r="G1" s="368"/>
      <c r="H1" s="368"/>
      <c r="I1" s="368"/>
      <c r="J1" s="368"/>
      <c r="K1" s="368"/>
      <c r="L1" s="368"/>
    </row>
    <row r="2" spans="1:12" s="342" customFormat="1" ht="38.25" customHeight="1">
      <c r="A2" s="577" t="s">
        <v>341</v>
      </c>
      <c r="B2" s="577"/>
      <c r="C2" s="577"/>
      <c r="D2" s="577"/>
      <c r="E2" s="577"/>
      <c r="F2" s="577"/>
      <c r="G2" s="577"/>
      <c r="H2" s="577"/>
      <c r="I2" s="368"/>
      <c r="J2" s="368"/>
      <c r="K2" s="368"/>
      <c r="L2" s="368"/>
    </row>
    <row r="3" spans="1:12" s="342" customFormat="1" ht="20.25" customHeight="1">
      <c r="A3" s="330"/>
      <c r="B3" s="330"/>
      <c r="C3" s="330"/>
      <c r="D3" s="369"/>
      <c r="E3" s="330"/>
      <c r="F3" s="330"/>
      <c r="G3" s="368"/>
      <c r="H3" s="368"/>
      <c r="I3" s="368"/>
      <c r="J3" s="368"/>
      <c r="K3" s="368"/>
      <c r="L3" s="368"/>
    </row>
    <row r="4" spans="1:12" s="342" customFormat="1" ht="20.25" customHeight="1">
      <c r="A4" s="330"/>
      <c r="B4" s="330"/>
      <c r="C4" s="330"/>
      <c r="D4" s="369"/>
      <c r="E4" s="330"/>
      <c r="F4" s="330"/>
      <c r="G4" s="368"/>
      <c r="H4" s="423" t="s">
        <v>423</v>
      </c>
      <c r="I4" s="368"/>
      <c r="J4" s="368"/>
      <c r="K4" s="368"/>
      <c r="L4" s="368"/>
    </row>
    <row r="5" spans="1:12" s="342" customFormat="1" ht="40.5" customHeight="1">
      <c r="A5" s="596" t="s">
        <v>6</v>
      </c>
      <c r="B5" s="585" t="s">
        <v>134</v>
      </c>
      <c r="C5" s="585" t="s">
        <v>13</v>
      </c>
      <c r="D5" s="364" t="s">
        <v>342</v>
      </c>
      <c r="E5" s="372" t="s">
        <v>343</v>
      </c>
      <c r="F5" s="585" t="s">
        <v>417</v>
      </c>
      <c r="G5" s="596" t="s">
        <v>420</v>
      </c>
      <c r="H5" s="585" t="s">
        <v>344</v>
      </c>
      <c r="I5" s="368"/>
      <c r="J5" s="368"/>
      <c r="K5" s="368"/>
      <c r="L5" s="368"/>
    </row>
    <row r="6" spans="1:12" s="342" customFormat="1" ht="20.25" customHeight="1">
      <c r="A6" s="596"/>
      <c r="B6" s="586"/>
      <c r="C6" s="586"/>
      <c r="D6" s="585">
        <v>2018</v>
      </c>
      <c r="E6" s="594">
        <v>2018</v>
      </c>
      <c r="F6" s="586"/>
      <c r="G6" s="596"/>
      <c r="H6" s="586"/>
      <c r="I6" s="368"/>
      <c r="J6" s="368"/>
      <c r="K6" s="368"/>
      <c r="L6" s="368"/>
    </row>
    <row r="7" spans="1:12" s="342" customFormat="1" ht="20.25" customHeight="1">
      <c r="A7" s="596"/>
      <c r="B7" s="587"/>
      <c r="C7" s="587"/>
      <c r="D7" s="587"/>
      <c r="E7" s="595"/>
      <c r="F7" s="587"/>
      <c r="G7" s="596"/>
      <c r="H7" s="587"/>
      <c r="I7" s="368"/>
      <c r="J7" s="368"/>
      <c r="K7" s="368"/>
      <c r="L7" s="368"/>
    </row>
    <row r="8" spans="1:12" s="342" customFormat="1" ht="51" customHeight="1">
      <c r="A8" s="237">
        <v>1</v>
      </c>
      <c r="B8" s="162" t="s">
        <v>418</v>
      </c>
      <c r="C8" s="164" t="s">
        <v>16</v>
      </c>
      <c r="D8" s="345">
        <v>368473.4</v>
      </c>
      <c r="E8" s="345">
        <v>368400</v>
      </c>
      <c r="F8" s="345">
        <f>E8-D8</f>
        <v>-73.40000000002328</v>
      </c>
      <c r="G8" s="571" t="s">
        <v>421</v>
      </c>
      <c r="H8" s="574" t="s">
        <v>401</v>
      </c>
      <c r="I8" s="368"/>
      <c r="J8" s="368"/>
      <c r="K8" s="368"/>
      <c r="L8" s="368"/>
    </row>
    <row r="9" spans="1:12" s="342" customFormat="1" ht="49.5" customHeight="1">
      <c r="A9" s="299" t="s">
        <v>273</v>
      </c>
      <c r="B9" s="162" t="s">
        <v>87</v>
      </c>
      <c r="C9" s="164"/>
      <c r="D9" s="345">
        <v>50073.4</v>
      </c>
      <c r="E9" s="345">
        <v>50000</v>
      </c>
      <c r="F9" s="345">
        <f>E9-D9</f>
        <v>-73.40000000000146</v>
      </c>
      <c r="G9" s="572"/>
      <c r="H9" s="576"/>
      <c r="I9" s="368"/>
      <c r="J9" s="368"/>
      <c r="K9" s="368"/>
      <c r="L9" s="368"/>
    </row>
    <row r="10" spans="1:12" s="342" customFormat="1" ht="18.75">
      <c r="A10" s="596" t="s">
        <v>5</v>
      </c>
      <c r="B10" s="596"/>
      <c r="C10" s="364"/>
      <c r="D10" s="130">
        <f>SUM(D8:D8)</f>
        <v>368473.4</v>
      </c>
      <c r="E10" s="130">
        <f>SUM(E8:E8)</f>
        <v>368400</v>
      </c>
      <c r="F10" s="130"/>
      <c r="G10" s="373"/>
      <c r="H10" s="373"/>
      <c r="I10" s="368"/>
      <c r="J10" s="368"/>
      <c r="K10" s="368"/>
      <c r="L10" s="368"/>
    </row>
    <row r="11" spans="1:12" s="342" customFormat="1" ht="15.75">
      <c r="A11" s="135"/>
      <c r="B11" s="135"/>
      <c r="C11" s="135"/>
      <c r="D11" s="135"/>
      <c r="E11" s="331"/>
      <c r="F11" s="331"/>
      <c r="G11" s="368"/>
      <c r="H11" s="368"/>
      <c r="I11" s="368"/>
      <c r="J11" s="368"/>
      <c r="K11" s="368"/>
      <c r="L11" s="368"/>
    </row>
    <row r="12" spans="1:12" s="342" customFormat="1" ht="15.75">
      <c r="A12" s="135"/>
      <c r="B12" s="135"/>
      <c r="C12" s="135"/>
      <c r="D12" s="135"/>
      <c r="E12" s="331"/>
      <c r="F12" s="331"/>
      <c r="G12" s="368"/>
      <c r="H12" s="368"/>
      <c r="I12" s="368"/>
      <c r="J12" s="368"/>
      <c r="K12" s="368"/>
      <c r="L12" s="368"/>
    </row>
    <row r="13" spans="1:12" s="342" customFormat="1" ht="15.75">
      <c r="A13" s="135"/>
      <c r="B13" s="135"/>
      <c r="C13" s="135"/>
      <c r="D13" s="135"/>
      <c r="E13" s="136"/>
      <c r="F13" s="136"/>
      <c r="G13" s="368"/>
      <c r="H13" s="368"/>
      <c r="I13" s="368"/>
      <c r="J13" s="368"/>
      <c r="K13" s="368"/>
      <c r="L13" s="368"/>
    </row>
    <row r="14" spans="1:12" s="342" customFormat="1" ht="18.75">
      <c r="A14" s="578" t="s">
        <v>452</v>
      </c>
      <c r="B14" s="578"/>
      <c r="C14" s="374"/>
      <c r="D14" s="22"/>
      <c r="E14" s="184"/>
      <c r="F14" s="184"/>
      <c r="G14" s="68"/>
      <c r="H14" s="240" t="s">
        <v>453</v>
      </c>
      <c r="I14" s="368"/>
      <c r="J14" s="368"/>
      <c r="K14" s="368"/>
      <c r="L14" s="368"/>
    </row>
    <row r="15" spans="1:12" s="342" customFormat="1" ht="18.75">
      <c r="A15" s="375"/>
      <c r="B15" s="375"/>
      <c r="C15" s="375"/>
      <c r="D15" s="376"/>
      <c r="E15" s="136"/>
      <c r="F15" s="136"/>
      <c r="G15" s="338"/>
      <c r="H15" s="368"/>
      <c r="I15" s="368"/>
      <c r="J15" s="368"/>
      <c r="K15" s="368"/>
      <c r="L15" s="368"/>
    </row>
    <row r="16" spans="1:12" s="342" customFormat="1" ht="18.75">
      <c r="A16" s="584"/>
      <c r="B16" s="584"/>
      <c r="C16" s="363"/>
      <c r="D16" s="165"/>
      <c r="E16" s="377"/>
      <c r="F16" s="377"/>
      <c r="G16" s="368"/>
      <c r="H16" s="368"/>
      <c r="I16" s="368"/>
      <c r="J16" s="368"/>
      <c r="K16" s="368"/>
      <c r="L16" s="368"/>
    </row>
    <row r="17" s="342" customFormat="1" ht="15">
      <c r="A17" s="355"/>
    </row>
    <row r="18" s="342" customFormat="1" ht="15">
      <c r="A18" s="355"/>
    </row>
    <row r="19" s="342" customFormat="1" ht="15">
      <c r="A19" s="355"/>
    </row>
    <row r="20" s="342" customFormat="1" ht="15">
      <c r="A20" s="355"/>
    </row>
    <row r="21" s="342" customFormat="1" ht="15">
      <c r="A21" s="355"/>
    </row>
    <row r="22" s="342" customFormat="1" ht="15">
      <c r="A22" s="355"/>
    </row>
    <row r="23" s="342" customFormat="1" ht="15">
      <c r="A23" s="355"/>
    </row>
    <row r="24" s="342" customFormat="1" ht="15">
      <c r="A24" s="355"/>
    </row>
    <row r="25" s="342" customFormat="1" ht="15">
      <c r="A25" s="355"/>
    </row>
    <row r="26" s="342" customFormat="1" ht="15"/>
  </sheetData>
  <sheetProtection/>
  <mergeCells count="14">
    <mergeCell ref="H5:H7"/>
    <mergeCell ref="G8:G9"/>
    <mergeCell ref="H8:H9"/>
    <mergeCell ref="A5:A7"/>
    <mergeCell ref="A2:H2"/>
    <mergeCell ref="A14:B14"/>
    <mergeCell ref="F5:F7"/>
    <mergeCell ref="G5:G7"/>
    <mergeCell ref="A16:B16"/>
    <mergeCell ref="B5:B7"/>
    <mergeCell ref="C5:C7"/>
    <mergeCell ref="D6:D7"/>
    <mergeCell ref="E6:E7"/>
    <mergeCell ref="A10:B10"/>
  </mergeCells>
  <printOptions/>
  <pageMargins left="1.1811023622047245" right="0.5905511811023623" top="0.7874015748031497" bottom="0.7874015748031497" header="0.31496062992125984" footer="0.31496062992125984"/>
  <pageSetup fitToHeight="0"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V83"/>
  <sheetViews>
    <sheetView zoomScale="75" zoomScaleNormal="75" zoomScalePageLayoutView="0" workbookViewId="0" topLeftCell="A13">
      <selection activeCell="U16" sqref="U16"/>
    </sheetView>
  </sheetViews>
  <sheetFormatPr defaultColWidth="9.140625" defaultRowHeight="12.75"/>
  <cols>
    <col min="1" max="1" width="5.00390625" style="342" customWidth="1"/>
    <col min="2" max="2" width="64.140625" style="342" customWidth="1"/>
    <col min="3" max="3" width="21.57421875" style="342" customWidth="1"/>
    <col min="4" max="4" width="13.421875" style="342" hidden="1" customWidth="1"/>
    <col min="5" max="5" width="14.7109375" style="342" customWidth="1"/>
    <col min="6" max="6" width="12.8515625" style="342" customWidth="1"/>
    <col min="7" max="7" width="20.7109375" style="342" customWidth="1"/>
    <col min="8" max="8" width="16.140625" style="342" customWidth="1"/>
    <col min="9" max="9" width="13.7109375" style="342" customWidth="1"/>
    <col min="10" max="10" width="15.28125" style="342" customWidth="1"/>
    <col min="11" max="11" width="12.8515625" style="342" customWidth="1"/>
    <col min="12" max="12" width="16.00390625" style="342" customWidth="1"/>
    <col min="13" max="13" width="14.140625" style="342" customWidth="1"/>
    <col min="14" max="14" width="12.421875" style="342" hidden="1" customWidth="1"/>
    <col min="15" max="15" width="14.8515625" style="342" customWidth="1"/>
    <col min="16" max="16" width="13.140625" style="342" customWidth="1"/>
    <col min="17" max="17" width="21.00390625" style="342" customWidth="1"/>
    <col min="18" max="18" width="14.57421875" style="342" customWidth="1"/>
    <col min="19" max="19" width="14.8515625" style="342" customWidth="1"/>
    <col min="20" max="20" width="13.57421875" style="342" customWidth="1"/>
    <col min="21" max="21" width="17.28125" style="342" customWidth="1"/>
    <col min="22" max="22" width="12.28125" style="342" customWidth="1"/>
  </cols>
  <sheetData>
    <row r="1" spans="1:22" ht="15.75">
      <c r="A1" s="330"/>
      <c r="B1" s="330"/>
      <c r="C1" s="330"/>
      <c r="D1" s="330"/>
      <c r="E1" s="330"/>
      <c r="F1" s="330"/>
      <c r="G1" s="330"/>
      <c r="H1" s="330"/>
      <c r="I1" s="330"/>
      <c r="J1" s="420"/>
      <c r="K1" s="420"/>
      <c r="L1" s="420"/>
      <c r="M1" s="420"/>
      <c r="N1" s="420"/>
      <c r="O1" s="420"/>
      <c r="P1" s="330" t="s">
        <v>80</v>
      </c>
      <c r="Q1" s="341"/>
      <c r="R1" s="420"/>
      <c r="S1" s="420"/>
      <c r="T1" s="420"/>
      <c r="U1" s="420"/>
      <c r="V1" s="420"/>
    </row>
    <row r="2" spans="1:22" ht="9" customHeight="1">
      <c r="A2" s="330"/>
      <c r="B2" s="330"/>
      <c r="C2" s="330"/>
      <c r="D2" s="330"/>
      <c r="E2" s="330"/>
      <c r="F2" s="330"/>
      <c r="G2" s="330"/>
      <c r="H2" s="330"/>
      <c r="I2" s="330"/>
      <c r="J2" s="420"/>
      <c r="K2" s="420"/>
      <c r="L2" s="420"/>
      <c r="M2" s="420"/>
      <c r="N2" s="420"/>
      <c r="O2" s="420"/>
      <c r="P2" s="598" t="s">
        <v>781</v>
      </c>
      <c r="Q2" s="598"/>
      <c r="R2" s="598"/>
      <c r="S2" s="598"/>
      <c r="T2" s="421"/>
      <c r="U2" s="421"/>
      <c r="V2" s="421"/>
    </row>
    <row r="3" spans="1:22" ht="9" customHeight="1">
      <c r="A3" s="330"/>
      <c r="B3" s="330"/>
      <c r="C3" s="330"/>
      <c r="D3" s="330"/>
      <c r="E3" s="330"/>
      <c r="F3" s="330"/>
      <c r="G3" s="330"/>
      <c r="H3" s="330"/>
      <c r="I3" s="330"/>
      <c r="J3" s="420"/>
      <c r="K3" s="420"/>
      <c r="L3" s="420"/>
      <c r="M3" s="420"/>
      <c r="N3" s="420"/>
      <c r="O3" s="420"/>
      <c r="P3" s="598"/>
      <c r="Q3" s="598"/>
      <c r="R3" s="598"/>
      <c r="S3" s="598"/>
      <c r="T3" s="521"/>
      <c r="U3" s="521"/>
      <c r="V3" s="521"/>
    </row>
    <row r="4" spans="1:21" ht="15.75">
      <c r="A4" s="330"/>
      <c r="B4" s="330"/>
      <c r="C4" s="330"/>
      <c r="D4" s="330"/>
      <c r="E4" s="330"/>
      <c r="F4" s="330"/>
      <c r="G4" s="330"/>
      <c r="H4" s="330"/>
      <c r="I4" s="330"/>
      <c r="J4" s="420"/>
      <c r="K4" s="420"/>
      <c r="L4" s="420"/>
      <c r="M4" s="420"/>
      <c r="N4" s="420"/>
      <c r="O4" s="420"/>
      <c r="P4" s="598"/>
      <c r="Q4" s="598"/>
      <c r="R4" s="598"/>
      <c r="S4" s="598"/>
      <c r="T4" s="344"/>
      <c r="U4" s="344"/>
    </row>
    <row r="5" spans="1:21" ht="15.75">
      <c r="A5" s="330"/>
      <c r="B5" s="330"/>
      <c r="C5" s="330"/>
      <c r="D5" s="330"/>
      <c r="E5" s="330"/>
      <c r="F5" s="330"/>
      <c r="G5" s="330"/>
      <c r="H5" s="330"/>
      <c r="I5" s="330"/>
      <c r="J5" s="420"/>
      <c r="K5" s="420"/>
      <c r="L5" s="420"/>
      <c r="M5" s="420"/>
      <c r="N5" s="420"/>
      <c r="O5" s="420"/>
      <c r="P5" s="598"/>
      <c r="Q5" s="598"/>
      <c r="R5" s="598"/>
      <c r="S5" s="598"/>
      <c r="T5" s="344"/>
      <c r="U5" s="344"/>
    </row>
    <row r="6" spans="1:21" ht="15.75">
      <c r="A6" s="330"/>
      <c r="B6" s="330"/>
      <c r="C6" s="330"/>
      <c r="D6" s="330"/>
      <c r="E6" s="330"/>
      <c r="F6" s="330"/>
      <c r="G6" s="330"/>
      <c r="H6" s="330"/>
      <c r="I6" s="330"/>
      <c r="J6" s="420"/>
      <c r="K6" s="420"/>
      <c r="L6" s="420"/>
      <c r="M6" s="420"/>
      <c r="N6" s="420"/>
      <c r="O6" s="420"/>
      <c r="P6" s="598"/>
      <c r="Q6" s="598"/>
      <c r="R6" s="598"/>
      <c r="S6" s="598"/>
      <c r="T6" s="344"/>
      <c r="U6" s="344"/>
    </row>
    <row r="7" spans="1:21" ht="15.75">
      <c r="A7" s="330"/>
      <c r="B7" s="330"/>
      <c r="C7" s="330"/>
      <c r="D7" s="330"/>
      <c r="E7" s="330"/>
      <c r="F7" s="330"/>
      <c r="G7" s="330"/>
      <c r="H7" s="330"/>
      <c r="I7" s="330"/>
      <c r="J7" s="420"/>
      <c r="K7" s="420"/>
      <c r="L7" s="420"/>
      <c r="M7" s="420"/>
      <c r="N7" s="420"/>
      <c r="O7" s="420"/>
      <c r="P7" s="598"/>
      <c r="Q7" s="598"/>
      <c r="R7" s="598"/>
      <c r="S7" s="598"/>
      <c r="T7" s="344"/>
      <c r="U7" s="344"/>
    </row>
    <row r="8" spans="1:21" ht="30" customHeight="1">
      <c r="A8" s="330"/>
      <c r="B8" s="330"/>
      <c r="C8" s="330"/>
      <c r="D8" s="330"/>
      <c r="E8" s="330"/>
      <c r="F8" s="330"/>
      <c r="G8" s="330"/>
      <c r="H8" s="330"/>
      <c r="I8" s="330"/>
      <c r="J8" s="420"/>
      <c r="K8" s="420"/>
      <c r="L8" s="420"/>
      <c r="M8" s="420"/>
      <c r="N8" s="420"/>
      <c r="O8" s="420"/>
      <c r="P8" s="598"/>
      <c r="Q8" s="598"/>
      <c r="R8" s="598"/>
      <c r="S8" s="598"/>
      <c r="T8" s="344"/>
      <c r="U8" s="344"/>
    </row>
    <row r="9" spans="1:21" ht="15.75">
      <c r="A9" s="330"/>
      <c r="B9" s="330"/>
      <c r="C9" s="330"/>
      <c r="D9" s="330"/>
      <c r="E9" s="330"/>
      <c r="F9" s="330"/>
      <c r="G9" s="330"/>
      <c r="H9" s="330"/>
      <c r="I9" s="330"/>
      <c r="J9" s="420"/>
      <c r="K9" s="420"/>
      <c r="L9" s="420"/>
      <c r="M9" s="420"/>
      <c r="N9" s="420"/>
      <c r="O9" s="420"/>
      <c r="P9" s="343"/>
      <c r="Q9" s="421"/>
      <c r="R9" s="421"/>
      <c r="S9" s="421"/>
      <c r="T9" s="344"/>
      <c r="U9" s="344"/>
    </row>
    <row r="10" spans="1:21" ht="15.75" customHeight="1">
      <c r="A10" s="600" t="s">
        <v>616</v>
      </c>
      <c r="B10" s="600"/>
      <c r="C10" s="600"/>
      <c r="D10" s="600"/>
      <c r="E10" s="600"/>
      <c r="F10" s="600"/>
      <c r="G10" s="600"/>
      <c r="H10" s="600"/>
      <c r="I10" s="600"/>
      <c r="J10" s="600"/>
      <c r="K10" s="600"/>
      <c r="L10" s="600"/>
      <c r="M10" s="600"/>
      <c r="N10" s="600"/>
      <c r="O10" s="600"/>
      <c r="P10" s="600"/>
      <c r="Q10" s="600"/>
      <c r="R10" s="600"/>
      <c r="S10" s="600"/>
      <c r="T10" s="600"/>
      <c r="U10" s="600"/>
    </row>
    <row r="11" spans="1:22" ht="15.75">
      <c r="A11" s="330"/>
      <c r="B11" s="330"/>
      <c r="C11" s="330"/>
      <c r="D11" s="330"/>
      <c r="E11" s="330"/>
      <c r="F11" s="330"/>
      <c r="G11" s="330"/>
      <c r="H11" s="330"/>
      <c r="I11" s="330"/>
      <c r="J11" s="330"/>
      <c r="K11" s="330"/>
      <c r="L11" s="330"/>
      <c r="M11" s="330"/>
      <c r="N11" s="601"/>
      <c r="O11" s="601"/>
      <c r="P11" s="601"/>
      <c r="Q11" s="601"/>
      <c r="R11" s="601"/>
      <c r="S11" s="601"/>
      <c r="T11" s="601"/>
      <c r="U11" s="601"/>
      <c r="V11" s="342" t="s">
        <v>422</v>
      </c>
    </row>
    <row r="12" spans="1:22" ht="15.75" customHeight="1">
      <c r="A12" s="585" t="s">
        <v>6</v>
      </c>
      <c r="B12" s="585" t="s">
        <v>134</v>
      </c>
      <c r="C12" s="585" t="s">
        <v>424</v>
      </c>
      <c r="D12" s="424"/>
      <c r="E12" s="579" t="s">
        <v>135</v>
      </c>
      <c r="F12" s="599"/>
      <c r="G12" s="599"/>
      <c r="H12" s="599"/>
      <c r="I12" s="580"/>
      <c r="J12" s="579" t="s">
        <v>9</v>
      </c>
      <c r="K12" s="599"/>
      <c r="L12" s="599"/>
      <c r="M12" s="599"/>
      <c r="N12" s="599"/>
      <c r="O12" s="599"/>
      <c r="P12" s="599"/>
      <c r="Q12" s="599"/>
      <c r="R12" s="599"/>
      <c r="S12" s="599"/>
      <c r="T12" s="599"/>
      <c r="U12" s="599"/>
      <c r="V12" s="580"/>
    </row>
    <row r="13" spans="1:22" ht="15.75" customHeight="1">
      <c r="A13" s="586"/>
      <c r="B13" s="586"/>
      <c r="C13" s="586"/>
      <c r="D13" s="418"/>
      <c r="E13" s="585" t="s">
        <v>136</v>
      </c>
      <c r="F13" s="585" t="s">
        <v>137</v>
      </c>
      <c r="G13" s="585" t="s">
        <v>138</v>
      </c>
      <c r="H13" s="519"/>
      <c r="I13" s="585" t="s">
        <v>264</v>
      </c>
      <c r="J13" s="579" t="s">
        <v>425</v>
      </c>
      <c r="K13" s="599"/>
      <c r="L13" s="599"/>
      <c r="M13" s="580"/>
      <c r="N13" s="585" t="s">
        <v>139</v>
      </c>
      <c r="O13" s="579" t="s">
        <v>426</v>
      </c>
      <c r="P13" s="599"/>
      <c r="Q13" s="599"/>
      <c r="R13" s="580"/>
      <c r="S13" s="579" t="s">
        <v>427</v>
      </c>
      <c r="T13" s="599"/>
      <c r="U13" s="599"/>
      <c r="V13" s="580"/>
    </row>
    <row r="14" spans="1:22" ht="56.25">
      <c r="A14" s="587"/>
      <c r="B14" s="587"/>
      <c r="C14" s="587"/>
      <c r="D14" s="419"/>
      <c r="E14" s="587"/>
      <c r="F14" s="587"/>
      <c r="G14" s="587"/>
      <c r="H14" s="520" t="s">
        <v>652</v>
      </c>
      <c r="I14" s="587"/>
      <c r="J14" s="417" t="s">
        <v>136</v>
      </c>
      <c r="K14" s="417" t="s">
        <v>137</v>
      </c>
      <c r="L14" s="417" t="s">
        <v>138</v>
      </c>
      <c r="M14" s="417" t="s">
        <v>264</v>
      </c>
      <c r="N14" s="587"/>
      <c r="O14" s="417" t="s">
        <v>136</v>
      </c>
      <c r="P14" s="417" t="s">
        <v>137</v>
      </c>
      <c r="Q14" s="417" t="s">
        <v>138</v>
      </c>
      <c r="R14" s="417" t="s">
        <v>264</v>
      </c>
      <c r="S14" s="417" t="s">
        <v>136</v>
      </c>
      <c r="T14" s="417" t="s">
        <v>137</v>
      </c>
      <c r="U14" s="417" t="s">
        <v>652</v>
      </c>
      <c r="V14" s="417" t="s">
        <v>264</v>
      </c>
    </row>
    <row r="15" spans="1:22" ht="37.5">
      <c r="A15" s="237">
        <v>1</v>
      </c>
      <c r="B15" s="168" t="s">
        <v>314</v>
      </c>
      <c r="C15" s="126">
        <f>E15+F15+G15+I15+H15</f>
        <v>1321303.18</v>
      </c>
      <c r="D15" s="126">
        <f>E15+F15+G15</f>
        <v>894112.48</v>
      </c>
      <c r="E15" s="126">
        <f>J15+O15+S15</f>
        <v>202900</v>
      </c>
      <c r="F15" s="126"/>
      <c r="G15" s="126">
        <f>L15+Q15</f>
        <v>691212.48</v>
      </c>
      <c r="H15" s="126">
        <f>U15</f>
        <v>427190.7</v>
      </c>
      <c r="I15" s="130"/>
      <c r="J15" s="126">
        <v>41900</v>
      </c>
      <c r="K15" s="126"/>
      <c r="L15" s="126">
        <f>324400+2000+73.4+100-73.4</f>
        <v>326500</v>
      </c>
      <c r="M15" s="425"/>
      <c r="N15" s="126" t="e">
        <f>#REF!</f>
        <v>#REF!</v>
      </c>
      <c r="O15" s="126">
        <v>41000</v>
      </c>
      <c r="P15" s="126"/>
      <c r="Q15" s="126">
        <f>359992+3650+1000+70.48</f>
        <v>364712.48</v>
      </c>
      <c r="R15" s="126"/>
      <c r="S15" s="126">
        <f>0+120000</f>
        <v>120000</v>
      </c>
      <c r="T15" s="126"/>
      <c r="U15" s="126">
        <f>382915.5-11500-2190+49290.2+7675+1000</f>
        <v>427190.7</v>
      </c>
      <c r="V15" s="426"/>
    </row>
    <row r="16" spans="1:22" ht="37.5">
      <c r="A16" s="237">
        <f>A15+1</f>
        <v>2</v>
      </c>
      <c r="B16" s="168" t="s">
        <v>140</v>
      </c>
      <c r="C16" s="126">
        <f aca="true" t="shared" si="0" ref="C16:C34">E16+F16+G16+I16+H16</f>
        <v>181093.2</v>
      </c>
      <c r="D16" s="126">
        <f aca="true" t="shared" si="1" ref="D16:D26">E16+F16+G16</f>
        <v>105715.9</v>
      </c>
      <c r="E16" s="126">
        <f>J16+O16+S16</f>
        <v>0</v>
      </c>
      <c r="F16" s="126"/>
      <c r="G16" s="126">
        <f aca="true" t="shared" si="2" ref="G16:G34">L16+Q16</f>
        <v>105715.9</v>
      </c>
      <c r="H16" s="126">
        <f aca="true" t="shared" si="3" ref="H16:H34">U16</f>
        <v>75377.3</v>
      </c>
      <c r="I16" s="130"/>
      <c r="J16" s="126"/>
      <c r="K16" s="126"/>
      <c r="L16" s="126">
        <f>55000+750+190</f>
        <v>55940</v>
      </c>
      <c r="M16" s="426"/>
      <c r="N16" s="126">
        <v>4760</v>
      </c>
      <c r="O16" s="126">
        <v>0</v>
      </c>
      <c r="P16" s="126">
        <v>0</v>
      </c>
      <c r="Q16" s="126">
        <f>62000-1000-427-232+1500-1500-4384.6-5.4-96-50-120-5000-130-316.1-367-96</f>
        <v>49775.9</v>
      </c>
      <c r="R16" s="126"/>
      <c r="S16" s="126"/>
      <c r="T16" s="126">
        <v>0</v>
      </c>
      <c r="U16" s="126">
        <f>69000+6377.3+110-110</f>
        <v>75377.3</v>
      </c>
      <c r="V16" s="426"/>
    </row>
    <row r="17" spans="1:22" ht="56.25">
      <c r="A17" s="237">
        <f aca="true" t="shared" si="4" ref="A17:A24">A16+1</f>
        <v>3</v>
      </c>
      <c r="B17" s="168" t="s">
        <v>141</v>
      </c>
      <c r="C17" s="126">
        <f t="shared" si="0"/>
        <v>135445.33299999998</v>
      </c>
      <c r="D17" s="126">
        <f t="shared" si="1"/>
        <v>88989.333</v>
      </c>
      <c r="E17" s="126">
        <f aca="true" t="shared" si="5" ref="E17:E23">J17+O17+S17</f>
        <v>0</v>
      </c>
      <c r="F17" s="126">
        <f>K17+P17+T17</f>
        <v>0</v>
      </c>
      <c r="G17" s="126">
        <f t="shared" si="2"/>
        <v>88989.333</v>
      </c>
      <c r="H17" s="126">
        <f t="shared" si="3"/>
        <v>44715</v>
      </c>
      <c r="I17" s="126">
        <f>M17+R17+V17</f>
        <v>1741</v>
      </c>
      <c r="J17" s="126"/>
      <c r="K17" s="126"/>
      <c r="L17" s="37">
        <f>42867+500+138.333-540</f>
        <v>42965.333</v>
      </c>
      <c r="M17" s="427">
        <v>540</v>
      </c>
      <c r="N17" s="126">
        <v>13299.9</v>
      </c>
      <c r="O17" s="126"/>
      <c r="P17" s="126">
        <v>0</v>
      </c>
      <c r="Q17" s="126">
        <f>43416+700+17+350+41+900+600</f>
        <v>46024</v>
      </c>
      <c r="R17" s="126">
        <f>560+41</f>
        <v>601</v>
      </c>
      <c r="S17" s="126"/>
      <c r="T17" s="126"/>
      <c r="U17" s="126">
        <f>44715</f>
        <v>44715</v>
      </c>
      <c r="V17" s="427">
        <v>600</v>
      </c>
    </row>
    <row r="18" spans="1:22" ht="61.5" customHeight="1">
      <c r="A18" s="237">
        <f t="shared" si="4"/>
        <v>4</v>
      </c>
      <c r="B18" s="168" t="s">
        <v>142</v>
      </c>
      <c r="C18" s="126">
        <f t="shared" si="0"/>
        <v>69710.6</v>
      </c>
      <c r="D18" s="126">
        <f t="shared" si="1"/>
        <v>44413.600000000006</v>
      </c>
      <c r="E18" s="126">
        <f t="shared" si="5"/>
        <v>0</v>
      </c>
      <c r="F18" s="126"/>
      <c r="G18" s="126">
        <f t="shared" si="2"/>
        <v>44413.600000000006</v>
      </c>
      <c r="H18" s="126">
        <f t="shared" si="3"/>
        <v>24838</v>
      </c>
      <c r="I18" s="126">
        <f>M18+R18+V18</f>
        <v>459</v>
      </c>
      <c r="J18" s="126"/>
      <c r="K18" s="126"/>
      <c r="L18" s="37">
        <f>21696.7</f>
        <v>21696.7</v>
      </c>
      <c r="M18" s="427">
        <v>116</v>
      </c>
      <c r="N18" s="126">
        <v>117795.5</v>
      </c>
      <c r="O18" s="126"/>
      <c r="P18" s="126"/>
      <c r="Q18" s="126">
        <f>22613.5+98+5.4</f>
        <v>22716.9</v>
      </c>
      <c r="R18" s="126">
        <f>120+98</f>
        <v>218</v>
      </c>
      <c r="S18" s="126"/>
      <c r="T18" s="126"/>
      <c r="U18" s="126">
        <f>23329+1506+3</f>
        <v>24838</v>
      </c>
      <c r="V18" s="427">
        <v>125</v>
      </c>
    </row>
    <row r="19" spans="1:22" ht="18.75">
      <c r="A19" s="237">
        <f t="shared" si="4"/>
        <v>5</v>
      </c>
      <c r="B19" s="168" t="s">
        <v>143</v>
      </c>
      <c r="C19" s="126">
        <f t="shared" si="0"/>
        <v>23442.4</v>
      </c>
      <c r="D19" s="126">
        <f t="shared" si="1"/>
        <v>14032.4</v>
      </c>
      <c r="E19" s="126">
        <f t="shared" si="5"/>
        <v>0</v>
      </c>
      <c r="F19" s="126"/>
      <c r="G19" s="126">
        <f t="shared" si="2"/>
        <v>14032.4</v>
      </c>
      <c r="H19" s="126">
        <f t="shared" si="3"/>
        <v>9410</v>
      </c>
      <c r="I19" s="130"/>
      <c r="J19" s="126"/>
      <c r="K19" s="126"/>
      <c r="L19" s="37">
        <v>5421.4</v>
      </c>
      <c r="M19" s="426"/>
      <c r="N19" s="126">
        <v>7405.3</v>
      </c>
      <c r="O19" s="126"/>
      <c r="P19" s="126"/>
      <c r="Q19" s="126">
        <f>5500+3000+15+96</f>
        <v>8611</v>
      </c>
      <c r="R19" s="126"/>
      <c r="S19" s="126"/>
      <c r="T19" s="126"/>
      <c r="U19" s="126">
        <f>5660+3750</f>
        <v>9410</v>
      </c>
      <c r="V19" s="426"/>
    </row>
    <row r="20" spans="1:22" ht="37.5">
      <c r="A20" s="237">
        <f t="shared" si="4"/>
        <v>6</v>
      </c>
      <c r="B20" s="168" t="s">
        <v>144</v>
      </c>
      <c r="C20" s="126">
        <f t="shared" si="0"/>
        <v>62103.7</v>
      </c>
      <c r="D20" s="126">
        <f t="shared" si="1"/>
        <v>40283.7</v>
      </c>
      <c r="E20" s="126">
        <f t="shared" si="5"/>
        <v>0</v>
      </c>
      <c r="F20" s="126"/>
      <c r="G20" s="126">
        <f t="shared" si="2"/>
        <v>40283.7</v>
      </c>
      <c r="H20" s="126">
        <f t="shared" si="3"/>
        <v>21820</v>
      </c>
      <c r="I20" s="130"/>
      <c r="J20" s="126"/>
      <c r="K20" s="126"/>
      <c r="L20" s="37">
        <f>20075+25</f>
        <v>20100</v>
      </c>
      <c r="M20" s="426"/>
      <c r="N20" s="126">
        <v>22035.5</v>
      </c>
      <c r="O20" s="126"/>
      <c r="P20" s="126"/>
      <c r="Q20" s="126">
        <f>20255+2928.7-3000</f>
        <v>20183.7</v>
      </c>
      <c r="R20" s="126"/>
      <c r="S20" s="126"/>
      <c r="T20" s="126"/>
      <c r="U20" s="126">
        <f>21575+245+450-450</f>
        <v>21820</v>
      </c>
      <c r="V20" s="426"/>
    </row>
    <row r="21" spans="1:22" ht="37.5">
      <c r="A21" s="237">
        <f t="shared" si="4"/>
        <v>7</v>
      </c>
      <c r="B21" s="168" t="s">
        <v>145</v>
      </c>
      <c r="C21" s="126">
        <f t="shared" si="0"/>
        <v>3600</v>
      </c>
      <c r="D21" s="126">
        <f t="shared" si="1"/>
        <v>2200</v>
      </c>
      <c r="E21" s="126">
        <f t="shared" si="5"/>
        <v>0</v>
      </c>
      <c r="F21" s="126"/>
      <c r="G21" s="126">
        <f t="shared" si="2"/>
        <v>2200</v>
      </c>
      <c r="H21" s="126">
        <f t="shared" si="3"/>
        <v>1400</v>
      </c>
      <c r="I21" s="130"/>
      <c r="J21" s="126"/>
      <c r="K21" s="126"/>
      <c r="L21" s="37">
        <v>1000</v>
      </c>
      <c r="M21" s="426"/>
      <c r="N21" s="126">
        <v>13568.2</v>
      </c>
      <c r="O21" s="126"/>
      <c r="P21" s="126"/>
      <c r="Q21" s="126">
        <v>1200</v>
      </c>
      <c r="R21" s="126"/>
      <c r="S21" s="126"/>
      <c r="T21" s="126"/>
      <c r="U21" s="126">
        <v>1400</v>
      </c>
      <c r="V21" s="426"/>
    </row>
    <row r="22" spans="1:22" ht="37.5">
      <c r="A22" s="237">
        <f t="shared" si="4"/>
        <v>8</v>
      </c>
      <c r="B22" s="168" t="s">
        <v>254</v>
      </c>
      <c r="C22" s="126">
        <f t="shared" si="0"/>
        <v>67901</v>
      </c>
      <c r="D22" s="126">
        <f t="shared" si="1"/>
        <v>44301</v>
      </c>
      <c r="E22" s="126">
        <f t="shared" si="5"/>
        <v>20183.8</v>
      </c>
      <c r="F22" s="126"/>
      <c r="G22" s="126">
        <f t="shared" si="2"/>
        <v>24117.2</v>
      </c>
      <c r="H22" s="126">
        <f t="shared" si="3"/>
        <v>23600</v>
      </c>
      <c r="I22" s="130"/>
      <c r="J22" s="126">
        <f>0+5075</f>
        <v>5075</v>
      </c>
      <c r="K22" s="126"/>
      <c r="L22" s="37">
        <f>11780+152.2</f>
        <v>11932.2</v>
      </c>
      <c r="M22" s="426"/>
      <c r="N22" s="126">
        <v>2008.9</v>
      </c>
      <c r="O22" s="126">
        <f>0+6097+6401+20+500+636+670</f>
        <v>14324</v>
      </c>
      <c r="P22" s="126"/>
      <c r="Q22" s="126">
        <f>12000+185</f>
        <v>12185</v>
      </c>
      <c r="R22" s="126"/>
      <c r="S22" s="126">
        <f>575-575+784.8</f>
        <v>784.8</v>
      </c>
      <c r="T22" s="126"/>
      <c r="U22" s="126">
        <f>12100+11500</f>
        <v>23600</v>
      </c>
      <c r="V22" s="426"/>
    </row>
    <row r="23" spans="1:22" ht="37.5">
      <c r="A23" s="237">
        <f t="shared" si="4"/>
        <v>9</v>
      </c>
      <c r="B23" s="168" t="s">
        <v>146</v>
      </c>
      <c r="C23" s="126">
        <f t="shared" si="0"/>
        <v>229972.10000000003</v>
      </c>
      <c r="D23" s="126">
        <f t="shared" si="1"/>
        <v>159972.10000000003</v>
      </c>
      <c r="E23" s="126">
        <f t="shared" si="5"/>
        <v>25963.199999999997</v>
      </c>
      <c r="F23" s="126">
        <f>K23+P23+T23</f>
        <v>0</v>
      </c>
      <c r="G23" s="126">
        <f t="shared" si="2"/>
        <v>134008.90000000002</v>
      </c>
      <c r="H23" s="126">
        <f t="shared" si="3"/>
        <v>70000</v>
      </c>
      <c r="I23" s="130"/>
      <c r="J23" s="126">
        <f>160+1522+8354</f>
        <v>10036</v>
      </c>
      <c r="K23" s="126"/>
      <c r="L23" s="37">
        <f>66045.7+675.6</f>
        <v>66721.3</v>
      </c>
      <c r="M23" s="426"/>
      <c r="N23" s="126">
        <v>882.7</v>
      </c>
      <c r="O23" s="126">
        <f>5339.3+4663.3+4487+990+295</f>
        <v>15774.6</v>
      </c>
      <c r="P23" s="126"/>
      <c r="Q23" s="126">
        <f>68000+742.6-170-1285</f>
        <v>67287.6</v>
      </c>
      <c r="R23" s="126"/>
      <c r="S23" s="126">
        <f>0+152.6</f>
        <v>152.6</v>
      </c>
      <c r="T23" s="126"/>
      <c r="U23" s="126">
        <f>70000</f>
        <v>70000</v>
      </c>
      <c r="V23" s="426"/>
    </row>
    <row r="24" spans="1:22" ht="56.25">
      <c r="A24" s="237">
        <f t="shared" si="4"/>
        <v>10</v>
      </c>
      <c r="B24" s="168" t="s">
        <v>147</v>
      </c>
      <c r="C24" s="126">
        <f t="shared" si="0"/>
        <v>16063.192</v>
      </c>
      <c r="D24" s="381">
        <f t="shared" si="1"/>
        <v>9757.599999999999</v>
      </c>
      <c r="E24" s="381"/>
      <c r="F24" s="381"/>
      <c r="G24" s="126">
        <f t="shared" si="2"/>
        <v>9757.599999999999</v>
      </c>
      <c r="H24" s="126">
        <f t="shared" si="3"/>
        <v>6305.592</v>
      </c>
      <c r="I24" s="133"/>
      <c r="J24" s="381"/>
      <c r="K24" s="381"/>
      <c r="L24" s="428">
        <f>4152.22+1+150+34+150</f>
        <v>4487.22</v>
      </c>
      <c r="M24" s="429"/>
      <c r="N24" s="381">
        <v>1969.3</v>
      </c>
      <c r="O24" s="381"/>
      <c r="P24" s="381"/>
      <c r="Q24" s="381">
        <f>4304.855+100+51+250+30+29.82+12+16.2+13.5+84+283.005+96</f>
        <v>5270.379999999999</v>
      </c>
      <c r="R24" s="381"/>
      <c r="S24" s="381"/>
      <c r="T24" s="381"/>
      <c r="U24" s="381">
        <f>4530.052+723.24+60+190+4.3+79+190+40+39+450</f>
        <v>6305.592</v>
      </c>
      <c r="V24" s="426"/>
    </row>
    <row r="25" spans="1:22" ht="37.5">
      <c r="A25" s="237">
        <v>11</v>
      </c>
      <c r="B25" s="168" t="s">
        <v>148</v>
      </c>
      <c r="C25" s="126">
        <f t="shared" si="0"/>
        <v>133869.4</v>
      </c>
      <c r="D25" s="126">
        <f t="shared" si="1"/>
        <v>87508.4</v>
      </c>
      <c r="E25" s="126"/>
      <c r="F25" s="126"/>
      <c r="G25" s="126">
        <f t="shared" si="2"/>
        <v>87508.4</v>
      </c>
      <c r="H25" s="126">
        <f t="shared" si="3"/>
        <v>46361</v>
      </c>
      <c r="I25" s="130"/>
      <c r="J25" s="126"/>
      <c r="K25" s="126"/>
      <c r="L25" s="37">
        <f>7720.4+2240+3000-1400+700+35+2000+60+3000+1000+90+3000+10+2000+38</f>
        <v>23493.4</v>
      </c>
      <c r="M25" s="426"/>
      <c r="N25" s="126"/>
      <c r="O25" s="126"/>
      <c r="P25" s="126"/>
      <c r="Q25" s="126">
        <f>8580+2300+200+4000+4000+20000+3200+1000+2725+1000+140+3200+4000+1000+3500+50+120+5000</f>
        <v>64015</v>
      </c>
      <c r="R25" s="126"/>
      <c r="S25" s="126"/>
      <c r="T25" s="126"/>
      <c r="U25" s="126">
        <f>9650+29125-1700+80+1021+185+8000</f>
        <v>46361</v>
      </c>
      <c r="V25" s="426"/>
    </row>
    <row r="26" spans="1:22" ht="37.5">
      <c r="A26" s="237">
        <v>12</v>
      </c>
      <c r="B26" s="168" t="s">
        <v>149</v>
      </c>
      <c r="C26" s="126">
        <f t="shared" si="0"/>
        <v>34257.630000000005</v>
      </c>
      <c r="D26" s="126">
        <f t="shared" si="1"/>
        <v>28312.4</v>
      </c>
      <c r="E26" s="126">
        <f>SUM(J26)</f>
        <v>13705</v>
      </c>
      <c r="F26" s="126"/>
      <c r="G26" s="126">
        <f t="shared" si="2"/>
        <v>14607.400000000001</v>
      </c>
      <c r="H26" s="126">
        <f t="shared" si="3"/>
        <v>5945.23</v>
      </c>
      <c r="I26" s="130"/>
      <c r="J26" s="126">
        <v>13705</v>
      </c>
      <c r="K26" s="126"/>
      <c r="L26" s="37">
        <f>8124.7+500</f>
        <v>8624.7</v>
      </c>
      <c r="M26" s="426"/>
      <c r="N26" s="126"/>
      <c r="O26" s="126"/>
      <c r="P26" s="126"/>
      <c r="Q26" s="126">
        <f>1600+877-63+2209+427+232+384.6+316.1</f>
        <v>5982.700000000001</v>
      </c>
      <c r="R26" s="126"/>
      <c r="S26" s="126"/>
      <c r="T26" s="126"/>
      <c r="U26" s="126">
        <f>1650+2295.23+2000</f>
        <v>5945.23</v>
      </c>
      <c r="V26" s="426"/>
    </row>
    <row r="27" spans="1:22" ht="18.75">
      <c r="A27" s="237">
        <v>13</v>
      </c>
      <c r="B27" s="168" t="s">
        <v>150</v>
      </c>
      <c r="C27" s="126">
        <f t="shared" si="0"/>
        <v>6820</v>
      </c>
      <c r="D27" s="126"/>
      <c r="E27" s="126"/>
      <c r="F27" s="126"/>
      <c r="G27" s="126">
        <f t="shared" si="2"/>
        <v>4020</v>
      </c>
      <c r="H27" s="126">
        <f t="shared" si="3"/>
        <v>2800</v>
      </c>
      <c r="I27" s="130"/>
      <c r="J27" s="126"/>
      <c r="K27" s="126"/>
      <c r="L27" s="37">
        <f>1500+190</f>
        <v>1690</v>
      </c>
      <c r="M27" s="426"/>
      <c r="N27" s="126"/>
      <c r="O27" s="126"/>
      <c r="P27" s="126"/>
      <c r="Q27" s="126">
        <f>1500+300+100+130+170+130</f>
        <v>2330</v>
      </c>
      <c r="R27" s="126"/>
      <c r="S27" s="126"/>
      <c r="T27" s="126"/>
      <c r="U27" s="126">
        <f>1500+550+750</f>
        <v>2800</v>
      </c>
      <c r="V27" s="426"/>
    </row>
    <row r="28" spans="1:22" ht="56.25">
      <c r="A28" s="237">
        <v>14</v>
      </c>
      <c r="B28" s="168" t="s">
        <v>246</v>
      </c>
      <c r="C28" s="126">
        <f t="shared" si="0"/>
        <v>223334.074</v>
      </c>
      <c r="D28" s="126"/>
      <c r="E28" s="126"/>
      <c r="F28" s="126"/>
      <c r="G28" s="126">
        <f t="shared" si="2"/>
        <v>216036.674</v>
      </c>
      <c r="H28" s="126">
        <f t="shared" si="3"/>
        <v>7297.4</v>
      </c>
      <c r="I28" s="130"/>
      <c r="J28" s="126"/>
      <c r="K28" s="126"/>
      <c r="L28" s="37">
        <f>127284.3+500+85+44.1</f>
        <v>127913.40000000001</v>
      </c>
      <c r="M28" s="426"/>
      <c r="N28" s="126"/>
      <c r="O28" s="126"/>
      <c r="P28" s="126"/>
      <c r="Q28" s="126">
        <f>68207.872+3500+16252.402+63+1000-1000+100</f>
        <v>88123.274</v>
      </c>
      <c r="R28" s="126"/>
      <c r="S28" s="126"/>
      <c r="T28" s="126"/>
      <c r="U28" s="126">
        <f>0+7297.4</f>
        <v>7297.4</v>
      </c>
      <c r="V28" s="426"/>
    </row>
    <row r="29" spans="1:22" ht="56.25">
      <c r="A29" s="237">
        <v>15</v>
      </c>
      <c r="B29" s="168" t="s">
        <v>86</v>
      </c>
      <c r="C29" s="126">
        <f t="shared" si="0"/>
        <v>17972.5</v>
      </c>
      <c r="D29" s="126"/>
      <c r="E29" s="126"/>
      <c r="F29" s="126"/>
      <c r="G29" s="126">
        <f t="shared" si="2"/>
        <v>9972.5</v>
      </c>
      <c r="H29" s="126">
        <f t="shared" si="3"/>
        <v>8000</v>
      </c>
      <c r="I29" s="130"/>
      <c r="J29" s="126"/>
      <c r="K29" s="126"/>
      <c r="L29" s="37">
        <v>1980</v>
      </c>
      <c r="M29" s="426"/>
      <c r="N29" s="126"/>
      <c r="O29" s="126"/>
      <c r="P29" s="126"/>
      <c r="Q29" s="126">
        <f>10000-3000+992.5</f>
        <v>7992.5</v>
      </c>
      <c r="R29" s="126"/>
      <c r="S29" s="126"/>
      <c r="T29" s="126"/>
      <c r="U29" s="126">
        <v>8000</v>
      </c>
      <c r="V29" s="426"/>
    </row>
    <row r="30" spans="1:22" ht="37.5">
      <c r="A30" s="237">
        <v>16</v>
      </c>
      <c r="B30" s="168" t="s">
        <v>315</v>
      </c>
      <c r="C30" s="126">
        <f t="shared" si="0"/>
        <v>17199.58</v>
      </c>
      <c r="D30" s="126"/>
      <c r="E30" s="126"/>
      <c r="F30" s="126"/>
      <c r="G30" s="126">
        <f t="shared" si="2"/>
        <v>8099.58</v>
      </c>
      <c r="H30" s="126">
        <f t="shared" si="3"/>
        <v>9100</v>
      </c>
      <c r="I30" s="130"/>
      <c r="J30" s="126"/>
      <c r="K30" s="126"/>
      <c r="L30" s="37">
        <f>3000+2178+70+27.98</f>
        <v>5275.98</v>
      </c>
      <c r="M30" s="426"/>
      <c r="N30" s="126"/>
      <c r="O30" s="126"/>
      <c r="P30" s="126"/>
      <c r="Q30" s="126">
        <f>0+3000+1108.6-1285</f>
        <v>2823.6000000000004</v>
      </c>
      <c r="R30" s="126"/>
      <c r="S30" s="126"/>
      <c r="T30" s="126"/>
      <c r="U30" s="126">
        <f>0+100+9000</f>
        <v>9100</v>
      </c>
      <c r="V30" s="552">
        <v>54066.5</v>
      </c>
    </row>
    <row r="31" spans="1:22" ht="18.75">
      <c r="A31" s="237">
        <v>17</v>
      </c>
      <c r="B31" s="168" t="s">
        <v>316</v>
      </c>
      <c r="C31" s="126">
        <f t="shared" si="0"/>
        <v>281580.322</v>
      </c>
      <c r="D31" s="126"/>
      <c r="E31" s="126">
        <f>J31</f>
        <v>5512.9220000000005</v>
      </c>
      <c r="F31" s="126">
        <f>K31</f>
        <v>30</v>
      </c>
      <c r="G31" s="126">
        <f t="shared" si="2"/>
        <v>181037.4</v>
      </c>
      <c r="H31" s="126">
        <f t="shared" si="3"/>
        <v>95000</v>
      </c>
      <c r="I31" s="130"/>
      <c r="J31" s="126">
        <f>1845.922+1247+2420</f>
        <v>5512.9220000000005</v>
      </c>
      <c r="K31" s="126">
        <f>30</f>
        <v>30</v>
      </c>
      <c r="L31" s="126">
        <f>88000+37.4+1000</f>
        <v>89037.4</v>
      </c>
      <c r="M31" s="426"/>
      <c r="N31" s="126"/>
      <c r="O31" s="126"/>
      <c r="P31" s="126"/>
      <c r="Q31" s="126">
        <v>92000</v>
      </c>
      <c r="R31" s="126"/>
      <c r="S31" s="126"/>
      <c r="T31" s="126"/>
      <c r="U31" s="126">
        <v>95000</v>
      </c>
      <c r="V31" s="426"/>
    </row>
    <row r="32" spans="1:22" ht="37.5">
      <c r="A32" s="237">
        <v>18</v>
      </c>
      <c r="B32" s="168" t="s">
        <v>151</v>
      </c>
      <c r="C32" s="126">
        <f t="shared" si="0"/>
        <v>-2814</v>
      </c>
      <c r="D32" s="126"/>
      <c r="E32" s="126"/>
      <c r="F32" s="126"/>
      <c r="G32" s="126">
        <f t="shared" si="2"/>
        <v>-20</v>
      </c>
      <c r="H32" s="126">
        <f t="shared" si="3"/>
        <v>-2794</v>
      </c>
      <c r="I32" s="130"/>
      <c r="J32" s="126"/>
      <c r="K32" s="126"/>
      <c r="L32" s="126">
        <f>-2079.09+5+2054.09</f>
        <v>-20</v>
      </c>
      <c r="M32" s="426"/>
      <c r="N32" s="126"/>
      <c r="O32" s="126"/>
      <c r="P32" s="126"/>
      <c r="Q32" s="126">
        <f>-2794.09+2794.09</f>
        <v>0</v>
      </c>
      <c r="R32" s="126"/>
      <c r="S32" s="126"/>
      <c r="T32" s="126"/>
      <c r="U32" s="126">
        <f>0-2794</f>
        <v>-2794</v>
      </c>
      <c r="V32" s="426"/>
    </row>
    <row r="33" spans="1:22" ht="18.75">
      <c r="A33" s="237">
        <v>19</v>
      </c>
      <c r="B33" s="168" t="s">
        <v>266</v>
      </c>
      <c r="C33" s="126">
        <f t="shared" si="0"/>
        <v>74070.2</v>
      </c>
      <c r="D33" s="126"/>
      <c r="E33" s="126"/>
      <c r="F33" s="126"/>
      <c r="G33" s="126">
        <f t="shared" si="2"/>
        <v>74070.2</v>
      </c>
      <c r="H33" s="126">
        <f t="shared" si="3"/>
        <v>0</v>
      </c>
      <c r="I33" s="130"/>
      <c r="J33" s="126"/>
      <c r="K33" s="126"/>
      <c r="L33" s="126">
        <v>74070.2</v>
      </c>
      <c r="M33" s="126"/>
      <c r="N33" s="126"/>
      <c r="O33" s="126"/>
      <c r="P33" s="126"/>
      <c r="Q33" s="126">
        <v>0</v>
      </c>
      <c r="R33" s="126"/>
      <c r="S33" s="126"/>
      <c r="T33" s="126"/>
      <c r="U33" s="126">
        <v>0</v>
      </c>
      <c r="V33" s="426"/>
    </row>
    <row r="34" spans="1:22" ht="18.75">
      <c r="A34" s="237">
        <v>20</v>
      </c>
      <c r="B34" s="168" t="s">
        <v>317</v>
      </c>
      <c r="C34" s="126">
        <f t="shared" si="0"/>
        <v>0</v>
      </c>
      <c r="D34" s="126"/>
      <c r="E34" s="126"/>
      <c r="F34" s="126"/>
      <c r="G34" s="126">
        <f t="shared" si="2"/>
        <v>0</v>
      </c>
      <c r="H34" s="126">
        <f t="shared" si="3"/>
        <v>0</v>
      </c>
      <c r="I34" s="130"/>
      <c r="J34" s="126"/>
      <c r="K34" s="126"/>
      <c r="L34" s="126">
        <v>0</v>
      </c>
      <c r="M34" s="126"/>
      <c r="N34" s="126"/>
      <c r="O34" s="126"/>
      <c r="P34" s="126"/>
      <c r="Q34" s="126">
        <v>0</v>
      </c>
      <c r="R34" s="126"/>
      <c r="S34" s="126"/>
      <c r="T34" s="126"/>
      <c r="U34" s="126">
        <v>0</v>
      </c>
      <c r="V34" s="426"/>
    </row>
    <row r="35" spans="1:22" ht="15.75" customHeight="1">
      <c r="A35" s="579" t="s">
        <v>5</v>
      </c>
      <c r="B35" s="580"/>
      <c r="C35" s="130">
        <f>E35+F35+G35+I35+H35</f>
        <v>2896924.411</v>
      </c>
      <c r="D35" s="130">
        <f>D15+D16+D17+D18+D19+D20+D21+D22+D23+D24+D25+D26+D27+D28+D29+D30+D31+D32</f>
        <v>1519598.913</v>
      </c>
      <c r="E35" s="130">
        <f>E15+E16+E17+E18+E19+E20+E21+E22+E23+E24+E25+E26+E27+E28+E29+E30+E31+E32</f>
        <v>268264.922</v>
      </c>
      <c r="F35" s="130">
        <f>F15+F16+F17+F18+F19+F20+F21+F22+F23+F24+F25+F26+F27+F28+F29+F30+F31+F32</f>
        <v>30</v>
      </c>
      <c r="G35" s="130">
        <f>L35+Q35</f>
        <v>1750063.267</v>
      </c>
      <c r="H35" s="130">
        <f>U35</f>
        <v>876366.222</v>
      </c>
      <c r="I35" s="130">
        <f>I15+I16+I17+I18+I19+I20+I21+I22+I23+I24+I25+I26+I27+I28+I29+I30+I31+I32+I33</f>
        <v>2200</v>
      </c>
      <c r="J35" s="130">
        <f>J15+J16+J17+J18+J19+J20+J21+J22+J23+J24+J25+J26+J27+J28+J29+J30+J31+J32+J33</f>
        <v>76228.922</v>
      </c>
      <c r="K35" s="130">
        <f>K15+K16+K17+K18+K19+K20+K21+K22+K23+K24+K25+K26+K27+K28+K29+K30+K31+K32+K33</f>
        <v>30</v>
      </c>
      <c r="L35" s="130">
        <f>L15+L16+L17+L18+L19+L20+L21+L22+L23+L24+L25+L26+L27+L28+L29+L30+L31+L32+L33+L34</f>
        <v>888829.233</v>
      </c>
      <c r="M35" s="130">
        <f aca="true" t="shared" si="6" ref="M35:T35">M15+M16+M17+M18+M19+M20+M21+M22+M23+M24+M25+M26+M27+M28+M29+M30+M31+M32+M33+M34</f>
        <v>656</v>
      </c>
      <c r="N35" s="130" t="e">
        <f t="shared" si="6"/>
        <v>#REF!</v>
      </c>
      <c r="O35" s="130">
        <f t="shared" si="6"/>
        <v>71098.6</v>
      </c>
      <c r="P35" s="130">
        <f t="shared" si="6"/>
        <v>0</v>
      </c>
      <c r="Q35" s="130">
        <f>Q15+Q16+Q17+Q18+Q19+Q20+Q21+Q22+Q23+Q24+Q25+Q26+Q27+Q28+Q29+Q30+Q31+Q32+Q33+Q34</f>
        <v>861234.0339999999</v>
      </c>
      <c r="R35" s="130">
        <f t="shared" si="6"/>
        <v>819</v>
      </c>
      <c r="S35" s="130">
        <f t="shared" si="6"/>
        <v>120937.40000000001</v>
      </c>
      <c r="T35" s="130">
        <f t="shared" si="6"/>
        <v>0</v>
      </c>
      <c r="U35" s="130">
        <f>U15+U16+U17+U18+U19+U20+U21+U22+U23+U24+U25+U26+U27+U28+U29+U30+U31+U32+U33+U34</f>
        <v>876366.222</v>
      </c>
      <c r="V35" s="130">
        <f>V15+V16+V17+V18+V19+V20+V21+V22+V23+V24+V25+V26+V27+V28+V29+V30+V31+V32+V33+V34</f>
        <v>54791.5</v>
      </c>
    </row>
    <row r="36" spans="1:21" ht="15.75">
      <c r="A36" s="135"/>
      <c r="B36" s="135"/>
      <c r="C36" s="331"/>
      <c r="D36" s="331"/>
      <c r="E36" s="331"/>
      <c r="F36" s="331"/>
      <c r="G36" s="331"/>
      <c r="H36" s="331"/>
      <c r="I36" s="331"/>
      <c r="J36" s="331"/>
      <c r="K36" s="331"/>
      <c r="L36" s="331"/>
      <c r="M36" s="331"/>
      <c r="N36" s="331"/>
      <c r="O36" s="331"/>
      <c r="P36" s="331"/>
      <c r="Q36" s="331"/>
      <c r="R36" s="331"/>
      <c r="S36" s="331"/>
      <c r="T36" s="331"/>
      <c r="U36" s="331"/>
    </row>
    <row r="37" spans="1:21" ht="15.75">
      <c r="A37" s="135"/>
      <c r="B37" s="135"/>
      <c r="C37" s="331"/>
      <c r="D37" s="331"/>
      <c r="E37" s="331"/>
      <c r="F37" s="331"/>
      <c r="G37" s="331"/>
      <c r="H37" s="331"/>
      <c r="I37" s="331"/>
      <c r="J37" s="331"/>
      <c r="K37" s="331"/>
      <c r="L37" s="331"/>
      <c r="M37" s="331"/>
      <c r="N37" s="331"/>
      <c r="O37" s="331"/>
      <c r="P37" s="331"/>
      <c r="Q37" s="331"/>
      <c r="R37" s="331"/>
      <c r="S37" s="331"/>
      <c r="T37" s="331"/>
      <c r="U37" s="331"/>
    </row>
    <row r="38" spans="1:21" ht="15.75">
      <c r="A38" s="135"/>
      <c r="B38" s="135"/>
      <c r="C38" s="331"/>
      <c r="D38" s="331"/>
      <c r="E38" s="331"/>
      <c r="F38" s="331"/>
      <c r="G38" s="331"/>
      <c r="H38" s="331"/>
      <c r="I38" s="331"/>
      <c r="J38" s="331"/>
      <c r="K38" s="331"/>
      <c r="L38" s="331"/>
      <c r="M38" s="331"/>
      <c r="N38" s="331"/>
      <c r="O38" s="331"/>
      <c r="P38" s="331"/>
      <c r="Q38" s="331"/>
      <c r="R38" s="331"/>
      <c r="S38" s="331"/>
      <c r="T38" s="331"/>
      <c r="U38" s="331"/>
    </row>
    <row r="39" spans="1:21" ht="15.75">
      <c r="A39" s="135"/>
      <c r="B39" s="135"/>
      <c r="C39" s="136"/>
      <c r="D39" s="136"/>
      <c r="E39" s="136"/>
      <c r="F39" s="136"/>
      <c r="G39" s="136"/>
      <c r="H39" s="136"/>
      <c r="I39" s="136"/>
      <c r="J39" s="136"/>
      <c r="K39" s="136"/>
      <c r="L39" s="136"/>
      <c r="M39" s="136"/>
      <c r="N39" s="136"/>
      <c r="O39" s="136"/>
      <c r="P39" s="136"/>
      <c r="Q39" s="331"/>
      <c r="R39" s="332"/>
      <c r="S39" s="333"/>
      <c r="U39" s="334"/>
    </row>
    <row r="40" spans="1:22" ht="15.75" customHeight="1">
      <c r="A40" s="578" t="s">
        <v>18</v>
      </c>
      <c r="B40" s="578"/>
      <c r="C40" s="54"/>
      <c r="D40" s="26"/>
      <c r="E40" s="346"/>
      <c r="F40" s="347"/>
      <c r="G40" s="348"/>
      <c r="H40" s="348"/>
      <c r="I40" s="340"/>
      <c r="J40" s="349"/>
      <c r="K40" s="349"/>
      <c r="L40" s="349"/>
      <c r="M40" s="349"/>
      <c r="Q40" s="350"/>
      <c r="R40" s="350"/>
      <c r="S40" s="602" t="s">
        <v>30</v>
      </c>
      <c r="T40" s="602"/>
      <c r="U40" s="223"/>
      <c r="V40" s="338"/>
    </row>
    <row r="41" spans="1:22" ht="15.75">
      <c r="A41" s="351"/>
      <c r="B41" s="351"/>
      <c r="C41" s="352"/>
      <c r="D41" s="340"/>
      <c r="F41" s="340"/>
      <c r="G41" s="340"/>
      <c r="H41" s="340"/>
      <c r="I41" s="340"/>
      <c r="J41" s="136"/>
      <c r="K41" s="136"/>
      <c r="L41" s="136"/>
      <c r="M41" s="136"/>
      <c r="Q41" s="350"/>
      <c r="S41" s="353"/>
      <c r="T41" s="353"/>
      <c r="U41" s="224"/>
      <c r="V41" s="338"/>
    </row>
    <row r="42" spans="1:22" ht="15.75" customHeight="1">
      <c r="A42" s="584" t="s">
        <v>670</v>
      </c>
      <c r="B42" s="584"/>
      <c r="C42" s="339"/>
      <c r="D42" s="340"/>
      <c r="E42" s="340"/>
      <c r="F42" s="330"/>
      <c r="G42" s="330"/>
      <c r="H42" s="330"/>
      <c r="I42" s="330"/>
      <c r="J42" s="598"/>
      <c r="K42" s="598"/>
      <c r="L42" s="598"/>
      <c r="M42" s="598"/>
      <c r="N42" s="598"/>
      <c r="O42" s="598"/>
      <c r="P42" s="598"/>
      <c r="Q42" s="598"/>
      <c r="R42" s="421"/>
      <c r="S42" s="421"/>
      <c r="V42" s="421"/>
    </row>
    <row r="43" spans="1:21" ht="15.75">
      <c r="A43" s="341" t="s">
        <v>10</v>
      </c>
      <c r="B43" s="341"/>
      <c r="C43" s="350"/>
      <c r="D43" s="350"/>
      <c r="E43" s="350"/>
      <c r="F43" s="350"/>
      <c r="G43" s="350"/>
      <c r="H43" s="350"/>
      <c r="I43" s="350"/>
      <c r="U43" s="354"/>
    </row>
    <row r="44" spans="1:19" ht="15.75">
      <c r="A44" s="355"/>
      <c r="B44" s="356"/>
      <c r="R44" s="350"/>
      <c r="S44" s="350"/>
    </row>
    <row r="45" spans="1:2" ht="15">
      <c r="A45" s="355"/>
      <c r="B45" s="355"/>
    </row>
    <row r="46" spans="1:21" ht="15">
      <c r="A46" s="355"/>
      <c r="B46" s="355"/>
      <c r="E46" s="357"/>
      <c r="F46" s="357"/>
      <c r="G46" s="357"/>
      <c r="H46" s="357"/>
      <c r="I46" s="357"/>
      <c r="J46" s="357"/>
      <c r="K46" s="357"/>
      <c r="L46" s="357"/>
      <c r="M46" s="357"/>
      <c r="N46" s="357"/>
      <c r="O46" s="357"/>
      <c r="P46" s="357"/>
      <c r="Q46" s="357"/>
      <c r="R46" s="357"/>
      <c r="S46" s="357"/>
      <c r="T46" s="357"/>
      <c r="U46" s="357"/>
    </row>
    <row r="47" spans="1:2" ht="15">
      <c r="A47" s="355"/>
      <c r="B47" s="355"/>
    </row>
    <row r="48" spans="1:2" ht="15">
      <c r="A48" s="355"/>
      <c r="B48" s="355"/>
    </row>
    <row r="49" spans="1:19" ht="15">
      <c r="A49" s="355"/>
      <c r="B49" s="355"/>
      <c r="R49" s="350"/>
      <c r="S49" s="350"/>
    </row>
    <row r="50" spans="1:19" ht="15">
      <c r="A50" s="355"/>
      <c r="B50" s="355"/>
      <c r="C50" s="350"/>
      <c r="D50" s="350"/>
      <c r="E50" s="350"/>
      <c r="F50" s="350"/>
      <c r="G50" s="350"/>
      <c r="H50" s="350"/>
      <c r="I50" s="350"/>
      <c r="J50" s="350"/>
      <c r="K50" s="350"/>
      <c r="L50" s="350"/>
      <c r="M50" s="350"/>
      <c r="N50" s="350"/>
      <c r="O50" s="350"/>
      <c r="P50" s="350"/>
      <c r="Q50" s="350"/>
      <c r="R50" s="350"/>
      <c r="S50" s="350"/>
    </row>
    <row r="51" spans="1:19" ht="15">
      <c r="A51" s="355"/>
      <c r="B51" s="355"/>
      <c r="C51" s="350"/>
      <c r="D51" s="350"/>
      <c r="E51" s="350"/>
      <c r="F51" s="350"/>
      <c r="G51" s="350"/>
      <c r="H51" s="350"/>
      <c r="I51" s="350"/>
      <c r="R51" s="350"/>
      <c r="S51" s="350"/>
    </row>
    <row r="52" spans="1:2" ht="15">
      <c r="A52" s="355"/>
      <c r="B52" s="355"/>
    </row>
    <row r="53" spans="1:2" ht="15">
      <c r="A53" s="355"/>
      <c r="B53" s="355"/>
    </row>
    <row r="54" spans="1:19" ht="15">
      <c r="A54" s="355"/>
      <c r="B54" s="355"/>
      <c r="R54" s="350"/>
      <c r="S54" s="350"/>
    </row>
    <row r="55" spans="1:2" ht="15">
      <c r="A55" s="355"/>
      <c r="B55" s="355"/>
    </row>
    <row r="56" spans="1:19" ht="15">
      <c r="A56" s="355"/>
      <c r="B56" s="355"/>
      <c r="R56" s="350"/>
      <c r="S56" s="350"/>
    </row>
    <row r="57" spans="1:2" ht="15">
      <c r="A57" s="355"/>
      <c r="B57" s="355"/>
    </row>
    <row r="58" spans="1:2" ht="15">
      <c r="A58" s="355"/>
      <c r="B58" s="355"/>
    </row>
    <row r="59" spans="1:2" ht="15">
      <c r="A59" s="355"/>
      <c r="B59" s="355"/>
    </row>
    <row r="60" spans="1:2" ht="15">
      <c r="A60" s="355"/>
      <c r="B60" s="355"/>
    </row>
    <row r="61" spans="1:2" ht="15">
      <c r="A61" s="355"/>
      <c r="B61" s="355"/>
    </row>
    <row r="62" spans="1:2" ht="15">
      <c r="A62" s="355"/>
      <c r="B62" s="355"/>
    </row>
    <row r="63" spans="1:2" ht="15">
      <c r="A63" s="355"/>
      <c r="B63" s="355"/>
    </row>
    <row r="64" spans="1:2" ht="15">
      <c r="A64" s="355"/>
      <c r="B64" s="355"/>
    </row>
    <row r="65" spans="1:2" ht="15">
      <c r="A65" s="355"/>
      <c r="B65" s="355"/>
    </row>
    <row r="66" spans="1:2" ht="15">
      <c r="A66" s="355"/>
      <c r="B66" s="355"/>
    </row>
    <row r="67" spans="1:2" ht="15">
      <c r="A67" s="355"/>
      <c r="B67" s="355"/>
    </row>
    <row r="68" spans="1:2" ht="15">
      <c r="A68" s="355"/>
      <c r="B68" s="355"/>
    </row>
    <row r="69" spans="1:2" ht="15">
      <c r="A69" s="355"/>
      <c r="B69" s="355"/>
    </row>
    <row r="70" spans="1:2" ht="15">
      <c r="A70" s="355"/>
      <c r="B70" s="355"/>
    </row>
    <row r="71" spans="1:2" ht="15">
      <c r="A71" s="355"/>
      <c r="B71" s="355"/>
    </row>
    <row r="72" spans="1:2" ht="15">
      <c r="A72" s="355"/>
      <c r="B72" s="355"/>
    </row>
    <row r="73" spans="1:2" ht="15">
      <c r="A73" s="355"/>
      <c r="B73" s="355"/>
    </row>
    <row r="74" spans="1:2" ht="15">
      <c r="A74" s="355"/>
      <c r="B74" s="355"/>
    </row>
    <row r="75" spans="1:2" ht="15">
      <c r="A75" s="355"/>
      <c r="B75" s="355"/>
    </row>
    <row r="76" spans="1:2" ht="15">
      <c r="A76" s="355"/>
      <c r="B76" s="355"/>
    </row>
    <row r="77" spans="1:2" ht="15">
      <c r="A77" s="355"/>
      <c r="B77" s="355"/>
    </row>
    <row r="78" spans="1:2" ht="15">
      <c r="A78" s="355"/>
      <c r="B78" s="355"/>
    </row>
    <row r="79" spans="1:2" ht="15">
      <c r="A79" s="355"/>
      <c r="B79" s="355"/>
    </row>
    <row r="80" spans="1:2" ht="15">
      <c r="A80" s="355"/>
      <c r="B80" s="355"/>
    </row>
    <row r="81" spans="1:2" ht="15">
      <c r="A81" s="355"/>
      <c r="B81" s="355"/>
    </row>
    <row r="82" spans="1:2" ht="15">
      <c r="A82" s="355"/>
      <c r="B82" s="355"/>
    </row>
    <row r="83" ht="15">
      <c r="A83" s="355"/>
    </row>
  </sheetData>
  <sheetProtection/>
  <mergeCells count="21">
    <mergeCell ref="S40:T40"/>
    <mergeCell ref="C12:C14"/>
    <mergeCell ref="A40:B40"/>
    <mergeCell ref="N13:N14"/>
    <mergeCell ref="E12:I12"/>
    <mergeCell ref="A12:A14"/>
    <mergeCell ref="A42:B42"/>
    <mergeCell ref="J42:Q42"/>
    <mergeCell ref="G13:G14"/>
    <mergeCell ref="I13:I14"/>
    <mergeCell ref="J13:M13"/>
    <mergeCell ref="B12:B14"/>
    <mergeCell ref="E13:E14"/>
    <mergeCell ref="A35:B35"/>
    <mergeCell ref="P2:S8"/>
    <mergeCell ref="J12:V12"/>
    <mergeCell ref="O13:R13"/>
    <mergeCell ref="F13:F14"/>
    <mergeCell ref="S13:V13"/>
    <mergeCell ref="A10:U10"/>
    <mergeCell ref="N11:U11"/>
  </mergeCells>
  <printOptions/>
  <pageMargins left="1.1811023622047245" right="0.5905511811023623" top="1.1811023622047245" bottom="0.7874015748031497" header="0.31496062992125984" footer="0.31496062992125984"/>
  <pageSetup fitToHeight="0" fitToWidth="1" horizontalDpi="600" verticalDpi="600" orientation="landscape" paperSize="9" scale="37" r:id="rId1"/>
</worksheet>
</file>

<file path=xl/worksheets/sheet6.xml><?xml version="1.0" encoding="utf-8"?>
<worksheet xmlns="http://schemas.openxmlformats.org/spreadsheetml/2006/main" xmlns:r="http://schemas.openxmlformats.org/officeDocument/2006/relationships">
  <sheetPr>
    <tabColor rgb="FFFFFF00"/>
  </sheetPr>
  <dimension ref="A1:M141"/>
  <sheetViews>
    <sheetView view="pageBreakPreview" zoomScale="78" zoomScaleSheetLayoutView="78" zoomScalePageLayoutView="0" workbookViewId="0" topLeftCell="A23">
      <selection activeCell="B31" sqref="B31:B32"/>
    </sheetView>
  </sheetViews>
  <sheetFormatPr defaultColWidth="9.140625" defaultRowHeight="12.75"/>
  <cols>
    <col min="1" max="1" width="7.851562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182" t="s">
        <v>489</v>
      </c>
      <c r="I1" s="59"/>
      <c r="J1" s="12"/>
      <c r="K1" s="12"/>
    </row>
    <row r="2" spans="8:11" ht="18.75">
      <c r="H2" s="59" t="s">
        <v>11</v>
      </c>
      <c r="I2" s="59"/>
      <c r="J2" s="12"/>
      <c r="K2" s="12"/>
    </row>
    <row r="3" spans="8:11" ht="18.75">
      <c r="H3" s="59" t="s">
        <v>318</v>
      </c>
      <c r="I3" s="59"/>
      <c r="J3" s="12"/>
      <c r="K3" s="12"/>
    </row>
    <row r="4" spans="8:11" ht="18.75">
      <c r="H4" s="607" t="s">
        <v>673</v>
      </c>
      <c r="I4" s="607"/>
      <c r="J4" s="12"/>
      <c r="K4" s="12"/>
    </row>
    <row r="5" spans="8:13" ht="18.75">
      <c r="H5" s="73" t="s">
        <v>674</v>
      </c>
      <c r="I5" s="73"/>
      <c r="J5" s="17"/>
      <c r="K5" s="17"/>
      <c r="L5" s="17"/>
      <c r="M5" s="17"/>
    </row>
    <row r="6" spans="8:13" ht="18.75">
      <c r="H6" s="73" t="s">
        <v>675</v>
      </c>
      <c r="I6" s="73"/>
      <c r="J6" s="17"/>
      <c r="K6" s="17"/>
      <c r="L6" s="17"/>
      <c r="M6" s="17"/>
    </row>
    <row r="7" spans="2:11" ht="18.75">
      <c r="B7" s="15"/>
      <c r="C7" s="15"/>
      <c r="D7" s="15"/>
      <c r="H7" s="607" t="s">
        <v>676</v>
      </c>
      <c r="I7" s="607"/>
      <c r="J7" s="12"/>
      <c r="K7" s="12"/>
    </row>
    <row r="8" spans="2:11" ht="18.75">
      <c r="B8" s="15"/>
      <c r="C8" s="15"/>
      <c r="D8" s="15"/>
      <c r="H8" s="59" t="s">
        <v>677</v>
      </c>
      <c r="I8" s="59"/>
      <c r="J8" s="12"/>
      <c r="K8" s="12"/>
    </row>
    <row r="9" spans="2:13" ht="15.75" customHeight="1">
      <c r="B9" s="15"/>
      <c r="C9" s="15"/>
      <c r="D9" s="15"/>
      <c r="H9" s="366" t="s">
        <v>736</v>
      </c>
      <c r="I9" s="56"/>
      <c r="J9" s="17"/>
      <c r="K9" s="17"/>
      <c r="L9" s="17"/>
      <c r="M9" s="17"/>
    </row>
    <row r="10" spans="2:9" ht="12" customHeight="1">
      <c r="B10" s="15"/>
      <c r="C10" s="15"/>
      <c r="D10" s="15"/>
      <c r="E10" s="15"/>
      <c r="F10" s="15"/>
      <c r="G10" s="15"/>
      <c r="H10" s="12" t="s">
        <v>534</v>
      </c>
      <c r="I10" s="12"/>
    </row>
    <row r="11" spans="1:9" ht="17.25" customHeight="1">
      <c r="A11" s="611" t="s">
        <v>618</v>
      </c>
      <c r="B11" s="611"/>
      <c r="C11" s="611"/>
      <c r="D11" s="611"/>
      <c r="E11" s="611"/>
      <c r="F11" s="611"/>
      <c r="G11" s="611"/>
      <c r="H11" s="611"/>
      <c r="I11" s="15"/>
    </row>
    <row r="12" spans="2:9" ht="13.5" customHeight="1">
      <c r="B12" s="34"/>
      <c r="C12" s="34"/>
      <c r="D12" s="34"/>
      <c r="E12" s="34"/>
      <c r="F12" s="34"/>
      <c r="G12" s="34"/>
      <c r="H12" s="430" t="s">
        <v>422</v>
      </c>
      <c r="I12" s="15"/>
    </row>
    <row r="13" spans="1:9" ht="19.5" customHeight="1">
      <c r="A13" s="608" t="s">
        <v>32</v>
      </c>
      <c r="B13" s="608" t="s">
        <v>12</v>
      </c>
      <c r="C13" s="608" t="s">
        <v>13</v>
      </c>
      <c r="D13" s="608" t="s">
        <v>428</v>
      </c>
      <c r="E13" s="613" t="s">
        <v>9</v>
      </c>
      <c r="F13" s="613"/>
      <c r="G13" s="613"/>
      <c r="H13" s="613" t="s">
        <v>15</v>
      </c>
      <c r="I13" s="15"/>
    </row>
    <row r="14" spans="1:9" ht="15.75" customHeight="1">
      <c r="A14" s="609"/>
      <c r="B14" s="609"/>
      <c r="C14" s="609"/>
      <c r="D14" s="609"/>
      <c r="E14" s="608" t="s">
        <v>425</v>
      </c>
      <c r="F14" s="608" t="s">
        <v>426</v>
      </c>
      <c r="G14" s="608" t="s">
        <v>427</v>
      </c>
      <c r="H14" s="613"/>
      <c r="I14" s="15"/>
    </row>
    <row r="15" spans="1:9" ht="21" customHeight="1">
      <c r="A15" s="610"/>
      <c r="B15" s="610"/>
      <c r="C15" s="610"/>
      <c r="D15" s="610"/>
      <c r="E15" s="610"/>
      <c r="F15" s="610"/>
      <c r="G15" s="610"/>
      <c r="H15" s="613"/>
      <c r="I15" s="15"/>
    </row>
    <row r="16" spans="1:9" ht="33.75" customHeight="1" hidden="1">
      <c r="A16" s="66">
        <v>1</v>
      </c>
      <c r="B16" s="61" t="s">
        <v>34</v>
      </c>
      <c r="C16" s="36" t="s">
        <v>16</v>
      </c>
      <c r="D16" s="74" t="e">
        <f>#REF!+E16+F16+G16</f>
        <v>#REF!</v>
      </c>
      <c r="E16" s="74"/>
      <c r="F16" s="74"/>
      <c r="G16" s="74"/>
      <c r="H16" s="36" t="s">
        <v>35</v>
      </c>
      <c r="I16" s="15"/>
    </row>
    <row r="17" spans="1:9" ht="33" customHeight="1">
      <c r="A17" s="581">
        <v>1</v>
      </c>
      <c r="B17" s="603" t="s">
        <v>87</v>
      </c>
      <c r="C17" s="36" t="s">
        <v>16</v>
      </c>
      <c r="D17" s="75">
        <f aca="true" t="shared" si="0" ref="D17:D22">E17+F17+G17</f>
        <v>105814.48000000001</v>
      </c>
      <c r="E17" s="75">
        <f>50073.4-73.4</f>
        <v>50000</v>
      </c>
      <c r="F17" s="75">
        <f>55744+70.48</f>
        <v>55814.48</v>
      </c>
      <c r="G17" s="75"/>
      <c r="H17" s="603" t="s">
        <v>526</v>
      </c>
      <c r="I17" s="15"/>
    </row>
    <row r="18" spans="1:9" ht="25.5" customHeight="1">
      <c r="A18" s="582"/>
      <c r="B18" s="604"/>
      <c r="C18" s="36" t="s">
        <v>643</v>
      </c>
      <c r="D18" s="75">
        <f t="shared" si="0"/>
        <v>58621</v>
      </c>
      <c r="E18" s="75"/>
      <c r="F18" s="75"/>
      <c r="G18" s="75">
        <v>58621</v>
      </c>
      <c r="H18" s="604"/>
      <c r="I18" s="15"/>
    </row>
    <row r="19" spans="1:9" ht="33" customHeight="1">
      <c r="A19" s="581">
        <v>2</v>
      </c>
      <c r="B19" s="603" t="s">
        <v>89</v>
      </c>
      <c r="C19" s="36" t="s">
        <v>16</v>
      </c>
      <c r="D19" s="75">
        <f t="shared" si="0"/>
        <v>164728</v>
      </c>
      <c r="E19" s="75">
        <f>77890</f>
        <v>77890</v>
      </c>
      <c r="F19" s="75">
        <f>86838</f>
        <v>86838</v>
      </c>
      <c r="G19" s="38"/>
      <c r="H19" s="603" t="s">
        <v>400</v>
      </c>
      <c r="I19" s="15"/>
    </row>
    <row r="20" spans="1:9" ht="26.25" customHeight="1">
      <c r="A20" s="582"/>
      <c r="B20" s="604"/>
      <c r="C20" s="36" t="s">
        <v>643</v>
      </c>
      <c r="D20" s="75">
        <f t="shared" si="0"/>
        <v>138420</v>
      </c>
      <c r="E20" s="75"/>
      <c r="F20" s="75"/>
      <c r="G20" s="38">
        <f>91319.8-2190+49290.2</f>
        <v>138420</v>
      </c>
      <c r="H20" s="604"/>
      <c r="I20" s="15"/>
    </row>
    <row r="21" spans="1:9" ht="77.25" customHeight="1">
      <c r="A21" s="299" t="s">
        <v>383</v>
      </c>
      <c r="B21" s="61" t="s">
        <v>711</v>
      </c>
      <c r="C21" s="36" t="s">
        <v>62</v>
      </c>
      <c r="D21" s="75">
        <f t="shared" si="0"/>
        <v>202900</v>
      </c>
      <c r="E21" s="75">
        <v>41900</v>
      </c>
      <c r="F21" s="75">
        <v>41000</v>
      </c>
      <c r="G21" s="38">
        <v>120000</v>
      </c>
      <c r="H21" s="603" t="s">
        <v>88</v>
      </c>
      <c r="I21" s="15"/>
    </row>
    <row r="22" spans="1:9" ht="39.75" customHeight="1">
      <c r="A22" s="532" t="s">
        <v>710</v>
      </c>
      <c r="B22" s="533" t="s">
        <v>712</v>
      </c>
      <c r="C22" s="437" t="s">
        <v>62</v>
      </c>
      <c r="D22" s="75">
        <f t="shared" si="0"/>
        <v>120000</v>
      </c>
      <c r="E22" s="534"/>
      <c r="F22" s="534"/>
      <c r="G22" s="535">
        <v>120000</v>
      </c>
      <c r="H22" s="604"/>
      <c r="I22" s="15"/>
    </row>
    <row r="23" spans="1:9" ht="33.75" customHeight="1">
      <c r="A23" s="581">
        <v>3</v>
      </c>
      <c r="B23" s="603" t="s">
        <v>713</v>
      </c>
      <c r="C23" s="36" t="s">
        <v>16</v>
      </c>
      <c r="D23" s="75">
        <f aca="true" t="shared" si="1" ref="D23:D36">E23+F23+G23</f>
        <v>86680.3</v>
      </c>
      <c r="E23" s="75">
        <f>41000</f>
        <v>41000</v>
      </c>
      <c r="F23" s="37">
        <f>43480.3+2200</f>
        <v>45680.3</v>
      </c>
      <c r="G23" s="38"/>
      <c r="H23" s="603" t="s">
        <v>400</v>
      </c>
      <c r="I23" s="15"/>
    </row>
    <row r="24" spans="1:9" ht="21" customHeight="1">
      <c r="A24" s="582"/>
      <c r="B24" s="604"/>
      <c r="C24" s="36" t="s">
        <v>643</v>
      </c>
      <c r="D24" s="75">
        <f t="shared" si="1"/>
        <v>45724.4</v>
      </c>
      <c r="E24" s="75"/>
      <c r="F24" s="37"/>
      <c r="G24" s="38">
        <f>45724.4</f>
        <v>45724.4</v>
      </c>
      <c r="H24" s="604"/>
      <c r="I24" s="15"/>
    </row>
    <row r="25" spans="1:9" ht="36" customHeight="1">
      <c r="A25" s="581">
        <v>4</v>
      </c>
      <c r="B25" s="581" t="s">
        <v>207</v>
      </c>
      <c r="C25" s="237" t="s">
        <v>16</v>
      </c>
      <c r="D25" s="126">
        <f>E25+F25+G25</f>
        <v>1350</v>
      </c>
      <c r="E25" s="126">
        <v>400</v>
      </c>
      <c r="F25" s="126">
        <f>400+550</f>
        <v>950</v>
      </c>
      <c r="G25" s="126"/>
      <c r="H25" s="603" t="s">
        <v>90</v>
      </c>
      <c r="I25" s="15"/>
    </row>
    <row r="26" spans="1:9" ht="18.75">
      <c r="A26" s="582"/>
      <c r="B26" s="582"/>
      <c r="C26" s="237" t="s">
        <v>643</v>
      </c>
      <c r="D26" s="126">
        <f>E26+F26+G26</f>
        <v>500</v>
      </c>
      <c r="E26" s="126"/>
      <c r="F26" s="126"/>
      <c r="G26" s="126">
        <v>500</v>
      </c>
      <c r="H26" s="604"/>
      <c r="I26" s="15"/>
    </row>
    <row r="27" spans="1:9" ht="34.5" customHeight="1">
      <c r="A27" s="603">
        <v>5</v>
      </c>
      <c r="B27" s="581" t="s">
        <v>248</v>
      </c>
      <c r="C27" s="237" t="s">
        <v>16</v>
      </c>
      <c r="D27" s="126">
        <f t="shared" si="1"/>
        <v>11800</v>
      </c>
      <c r="E27" s="126">
        <v>6000</v>
      </c>
      <c r="F27" s="126">
        <f>8000-2200</f>
        <v>5800</v>
      </c>
      <c r="G27" s="126"/>
      <c r="H27" s="603" t="s">
        <v>91</v>
      </c>
      <c r="I27" s="15"/>
    </row>
    <row r="28" spans="1:9" ht="36" customHeight="1">
      <c r="A28" s="604"/>
      <c r="B28" s="582"/>
      <c r="C28" s="237" t="s">
        <v>643</v>
      </c>
      <c r="D28" s="126">
        <f t="shared" si="1"/>
        <v>10000</v>
      </c>
      <c r="E28" s="126"/>
      <c r="F28" s="126"/>
      <c r="G28" s="126">
        <v>10000</v>
      </c>
      <c r="H28" s="604"/>
      <c r="I28" s="15"/>
    </row>
    <row r="29" spans="1:9" ht="36" customHeight="1">
      <c r="A29" s="603">
        <v>6</v>
      </c>
      <c r="B29" s="605" t="s">
        <v>656</v>
      </c>
      <c r="C29" s="237" t="s">
        <v>16</v>
      </c>
      <c r="D29" s="126">
        <f t="shared" si="1"/>
        <v>266488</v>
      </c>
      <c r="E29" s="126">
        <f>25000+100000</f>
        <v>125000</v>
      </c>
      <c r="F29" s="126">
        <f>30000+111488</f>
        <v>141488</v>
      </c>
      <c r="G29" s="126"/>
      <c r="H29" s="603" t="s">
        <v>92</v>
      </c>
      <c r="I29" s="15"/>
    </row>
    <row r="30" spans="1:9" ht="53.25" customHeight="1">
      <c r="A30" s="604"/>
      <c r="B30" s="606"/>
      <c r="C30" s="76" t="s">
        <v>643</v>
      </c>
      <c r="D30" s="75">
        <f t="shared" si="1"/>
        <v>145417</v>
      </c>
      <c r="E30" s="75"/>
      <c r="F30" s="529"/>
      <c r="G30" s="75">
        <f>152242-11500-3000+7675</f>
        <v>145417</v>
      </c>
      <c r="H30" s="604"/>
      <c r="I30" s="15"/>
    </row>
    <row r="31" spans="1:9" ht="40.5" customHeight="1">
      <c r="A31" s="603">
        <v>7</v>
      </c>
      <c r="B31" s="603" t="s">
        <v>94</v>
      </c>
      <c r="C31" s="36" t="s">
        <v>16</v>
      </c>
      <c r="D31" s="75">
        <f t="shared" si="1"/>
        <v>17151.7</v>
      </c>
      <c r="E31" s="75">
        <v>8110</v>
      </c>
      <c r="F31" s="528">
        <v>9041.7</v>
      </c>
      <c r="G31" s="75"/>
      <c r="H31" s="603" t="s">
        <v>93</v>
      </c>
      <c r="I31" s="15"/>
    </row>
    <row r="32" spans="1:9" ht="28.5" customHeight="1">
      <c r="A32" s="604"/>
      <c r="B32" s="604"/>
      <c r="C32" s="36" t="s">
        <v>643</v>
      </c>
      <c r="D32" s="75">
        <f t="shared" si="1"/>
        <v>9508.3</v>
      </c>
      <c r="E32" s="75"/>
      <c r="F32" s="528"/>
      <c r="G32" s="75">
        <v>9508.3</v>
      </c>
      <c r="H32" s="604"/>
      <c r="I32" s="15"/>
    </row>
    <row r="33" spans="1:9" ht="42.75" customHeight="1">
      <c r="A33" s="603">
        <v>8</v>
      </c>
      <c r="B33" s="581" t="s">
        <v>95</v>
      </c>
      <c r="C33" s="237" t="s">
        <v>16</v>
      </c>
      <c r="D33" s="126">
        <f t="shared" si="1"/>
        <v>36200</v>
      </c>
      <c r="E33" s="126">
        <v>18100</v>
      </c>
      <c r="F33" s="126">
        <f>15000+3100</f>
        <v>18100</v>
      </c>
      <c r="G33" s="126"/>
      <c r="H33" s="603" t="s">
        <v>96</v>
      </c>
      <c r="I33" s="15"/>
    </row>
    <row r="34" spans="1:9" ht="29.25" customHeight="1">
      <c r="A34" s="604"/>
      <c r="B34" s="582"/>
      <c r="C34" s="237" t="s">
        <v>643</v>
      </c>
      <c r="D34" s="126">
        <f t="shared" si="1"/>
        <v>15000</v>
      </c>
      <c r="E34" s="126"/>
      <c r="F34" s="444"/>
      <c r="G34" s="126">
        <v>15000</v>
      </c>
      <c r="H34" s="604"/>
      <c r="I34" s="15"/>
    </row>
    <row r="35" spans="1:9" ht="75" customHeight="1">
      <c r="A35" s="36">
        <v>9</v>
      </c>
      <c r="B35" s="168" t="s">
        <v>405</v>
      </c>
      <c r="C35" s="237" t="s">
        <v>16</v>
      </c>
      <c r="D35" s="126">
        <f t="shared" si="1"/>
        <v>1000</v>
      </c>
      <c r="E35" s="126"/>
      <c r="F35" s="444">
        <f>0+1000</f>
        <v>1000</v>
      </c>
      <c r="G35" s="126"/>
      <c r="H35" s="36" t="s">
        <v>96</v>
      </c>
      <c r="I35" s="15"/>
    </row>
    <row r="36" spans="1:9" ht="76.5" customHeight="1">
      <c r="A36" s="36">
        <v>10</v>
      </c>
      <c r="B36" s="168" t="s">
        <v>657</v>
      </c>
      <c r="C36" s="237" t="s">
        <v>643</v>
      </c>
      <c r="D36" s="126">
        <f t="shared" si="1"/>
        <v>4000</v>
      </c>
      <c r="E36" s="126"/>
      <c r="F36" s="126"/>
      <c r="G36" s="126">
        <f>3000+1000</f>
        <v>4000</v>
      </c>
      <c r="H36" s="36" t="s">
        <v>714</v>
      </c>
      <c r="I36" s="15"/>
    </row>
    <row r="37" spans="1:9" ht="18.75">
      <c r="A37" s="77"/>
      <c r="B37" s="78" t="s">
        <v>5</v>
      </c>
      <c r="C37" s="78"/>
      <c r="D37" s="62">
        <f>D17+D19+D23+D25+D27+D29+D31+D33+D21+D35+D18+D20+D24+D26+D28+D30+D32+D34+D36</f>
        <v>1321303.18</v>
      </c>
      <c r="E37" s="62">
        <f>E17+E19+E23+E25+E27+E29+E31+E33+E21</f>
        <v>368400</v>
      </c>
      <c r="F37" s="62">
        <f>F17+F19+F23+F25+F27+F29+F31+F33+F21+F35</f>
        <v>405712.48000000004</v>
      </c>
      <c r="G37" s="62">
        <f>G17+G19+G23+G25+G27+G29+G31+G33+G21+G18+G20+G24+G26+G28+G30+G32+G34+G36</f>
        <v>547190.7000000001</v>
      </c>
      <c r="H37" s="72"/>
      <c r="I37" s="15"/>
    </row>
    <row r="38" spans="1:9" ht="15.75">
      <c r="A38" s="41"/>
      <c r="B38" s="183"/>
      <c r="C38" s="183"/>
      <c r="D38" s="19"/>
      <c r="E38" s="19"/>
      <c r="F38" s="19"/>
      <c r="G38" s="19"/>
      <c r="H38" s="20"/>
      <c r="I38" s="15"/>
    </row>
    <row r="39" spans="1:9" ht="11.25" customHeight="1">
      <c r="A39" s="41"/>
      <c r="B39" s="279"/>
      <c r="C39" s="183"/>
      <c r="D39" s="19"/>
      <c r="E39" s="19"/>
      <c r="F39" s="19"/>
      <c r="G39" s="19"/>
      <c r="H39" s="20"/>
      <c r="I39" s="15"/>
    </row>
    <row r="40" spans="1:9" ht="15.75">
      <c r="A40" s="41"/>
      <c r="B40" s="183"/>
      <c r="C40" s="183"/>
      <c r="D40" s="19"/>
      <c r="E40" s="19"/>
      <c r="F40" s="19"/>
      <c r="G40" s="19"/>
      <c r="H40" s="20"/>
      <c r="I40" s="15"/>
    </row>
    <row r="41" spans="2:9" ht="15.75">
      <c r="B41" s="15"/>
      <c r="C41" s="15"/>
      <c r="D41" s="15"/>
      <c r="E41" s="15"/>
      <c r="F41" s="15"/>
      <c r="G41" s="15"/>
      <c r="H41" s="15"/>
      <c r="I41" s="15"/>
    </row>
    <row r="42" spans="2:11" ht="20.25" customHeight="1">
      <c r="B42" s="578" t="s">
        <v>617</v>
      </c>
      <c r="C42" s="578"/>
      <c r="D42" s="374"/>
      <c r="E42" s="22"/>
      <c r="F42" s="184"/>
      <c r="G42" s="16"/>
      <c r="H42" s="240" t="s">
        <v>30</v>
      </c>
      <c r="J42" s="23"/>
      <c r="K42" s="24"/>
    </row>
    <row r="43" spans="2:11" ht="18.75">
      <c r="B43" s="374"/>
      <c r="C43" s="374"/>
      <c r="D43" s="374"/>
      <c r="E43" s="22"/>
      <c r="F43" s="184"/>
      <c r="G43" s="16"/>
      <c r="H43" s="240"/>
      <c r="J43" s="23"/>
      <c r="K43" s="24"/>
    </row>
    <row r="44" spans="2:11" ht="18.75">
      <c r="B44" s="612" t="s">
        <v>670</v>
      </c>
      <c r="C44" s="612"/>
      <c r="D44" s="25"/>
      <c r="E44" s="26"/>
      <c r="F44" s="26"/>
      <c r="G44" s="26"/>
      <c r="H44" s="26"/>
      <c r="I44" s="26"/>
      <c r="J44" s="15"/>
      <c r="K44" s="15"/>
    </row>
    <row r="45" spans="2:11" ht="15.75" customHeight="1">
      <c r="B45" s="27" t="s">
        <v>37</v>
      </c>
      <c r="C45" s="27"/>
      <c r="D45" s="26"/>
      <c r="E45" s="26"/>
      <c r="F45" s="26"/>
      <c r="G45" s="26"/>
      <c r="H45" s="26"/>
      <c r="I45" s="26"/>
      <c r="J45" s="15"/>
      <c r="K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sheetData>
  <sheetProtection/>
  <mergeCells count="39">
    <mergeCell ref="B44:C44"/>
    <mergeCell ref="H13:H15"/>
    <mergeCell ref="E14:E15"/>
    <mergeCell ref="F14:F15"/>
    <mergeCell ref="G14:G15"/>
    <mergeCell ref="C13:C15"/>
    <mergeCell ref="D13:D15"/>
    <mergeCell ref="E13:G13"/>
    <mergeCell ref="B19:B20"/>
    <mergeCell ref="H19:H20"/>
    <mergeCell ref="H4:I4"/>
    <mergeCell ref="H7:I7"/>
    <mergeCell ref="A13:A15"/>
    <mergeCell ref="B13:B15"/>
    <mergeCell ref="A11:H11"/>
    <mergeCell ref="B42:C42"/>
    <mergeCell ref="A17:A18"/>
    <mergeCell ref="B17:B18"/>
    <mergeCell ref="H17:H18"/>
    <mergeCell ref="A19:A20"/>
    <mergeCell ref="A29:A30"/>
    <mergeCell ref="B29:B30"/>
    <mergeCell ref="H29:H30"/>
    <mergeCell ref="A23:A24"/>
    <mergeCell ref="B23:B24"/>
    <mergeCell ref="H23:H24"/>
    <mergeCell ref="A25:A26"/>
    <mergeCell ref="B25:B26"/>
    <mergeCell ref="H25:H26"/>
    <mergeCell ref="H21:H22"/>
    <mergeCell ref="A31:A32"/>
    <mergeCell ref="B31:B32"/>
    <mergeCell ref="H31:H32"/>
    <mergeCell ref="A33:A34"/>
    <mergeCell ref="B33:B34"/>
    <mergeCell ref="H33:H34"/>
    <mergeCell ref="A27:A28"/>
    <mergeCell ref="B27:B28"/>
    <mergeCell ref="H27:H28"/>
  </mergeCells>
  <printOptions horizontalCentered="1"/>
  <pageMargins left="1.1811023622047245" right="0.5905511811023623" top="1.1811023622047245" bottom="0.7874015748031497" header="0" footer="0"/>
  <pageSetup fitToWidth="0"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O35"/>
  <sheetViews>
    <sheetView view="pageBreakPreview" zoomScaleSheetLayoutView="100" zoomScalePageLayoutView="0" workbookViewId="0" topLeftCell="A1">
      <selection activeCell="J22" sqref="J22"/>
    </sheetView>
  </sheetViews>
  <sheetFormatPr defaultColWidth="9.140625" defaultRowHeight="12.75"/>
  <cols>
    <col min="1" max="1" width="5.8515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616" t="s">
        <v>490</v>
      </c>
      <c r="G1" s="616"/>
      <c r="H1" s="616"/>
      <c r="I1" s="616"/>
      <c r="J1" s="616"/>
      <c r="K1" s="17"/>
      <c r="L1" s="13" t="s">
        <v>19</v>
      </c>
    </row>
    <row r="2" spans="2:12" ht="15" customHeight="1">
      <c r="B2" s="15"/>
      <c r="C2" s="15"/>
      <c r="D2" s="15"/>
      <c r="E2" s="15"/>
      <c r="F2" s="12" t="s">
        <v>11</v>
      </c>
      <c r="G2" s="12"/>
      <c r="H2" s="15"/>
      <c r="I2" s="12" t="s">
        <v>11</v>
      </c>
      <c r="J2" s="12"/>
      <c r="K2" s="12"/>
      <c r="L2" s="12" t="s">
        <v>11</v>
      </c>
    </row>
    <row r="3" spans="2:12" ht="15" customHeight="1">
      <c r="B3" s="15"/>
      <c r="C3" s="15"/>
      <c r="D3" s="15"/>
      <c r="E3" s="15"/>
      <c r="F3" s="12" t="s">
        <v>678</v>
      </c>
      <c r="G3" s="12"/>
      <c r="H3" s="15"/>
      <c r="I3" s="12"/>
      <c r="J3" s="12"/>
      <c r="K3" s="12"/>
      <c r="L3" s="12"/>
    </row>
    <row r="4" spans="2:12" ht="16.5" customHeight="1">
      <c r="B4" s="15"/>
      <c r="C4" s="15"/>
      <c r="D4" s="15"/>
      <c r="E4" s="15"/>
      <c r="F4" s="17" t="s">
        <v>679</v>
      </c>
      <c r="G4" s="17"/>
      <c r="H4" s="15"/>
      <c r="I4" s="12" t="s">
        <v>21</v>
      </c>
      <c r="J4" s="12"/>
      <c r="K4" s="12"/>
      <c r="L4" s="12" t="s">
        <v>21</v>
      </c>
    </row>
    <row r="5" spans="2:12" ht="15" customHeight="1">
      <c r="B5" s="15"/>
      <c r="C5" s="15"/>
      <c r="D5" s="15"/>
      <c r="E5" s="15"/>
      <c r="F5" s="17" t="s">
        <v>688</v>
      </c>
      <c r="G5" s="17"/>
      <c r="H5" s="15"/>
      <c r="I5" s="12" t="s">
        <v>23</v>
      </c>
      <c r="J5" s="12"/>
      <c r="K5" s="12"/>
      <c r="L5" s="12" t="s">
        <v>23</v>
      </c>
    </row>
    <row r="6" spans="2:12" ht="16.5" customHeight="1">
      <c r="B6" s="15"/>
      <c r="C6" s="15"/>
      <c r="D6" s="15"/>
      <c r="E6" s="15"/>
      <c r="F6" s="17" t="s">
        <v>680</v>
      </c>
      <c r="G6" s="17"/>
      <c r="H6" s="347"/>
      <c r="I6" s="12" t="s">
        <v>24</v>
      </c>
      <c r="J6" s="12"/>
      <c r="K6" s="12"/>
      <c r="L6" s="12" t="s">
        <v>24</v>
      </c>
    </row>
    <row r="7" spans="2:12" ht="16.5" customHeight="1">
      <c r="B7" s="15"/>
      <c r="C7" s="15"/>
      <c r="D7" s="15"/>
      <c r="E7" s="15"/>
      <c r="F7" s="17" t="s">
        <v>681</v>
      </c>
      <c r="G7" s="17"/>
      <c r="H7" s="347"/>
      <c r="I7" s="12"/>
      <c r="J7" s="12"/>
      <c r="K7" s="12"/>
      <c r="L7" s="12"/>
    </row>
    <row r="8" spans="2:15" ht="15.75" customHeight="1">
      <c r="B8" s="15"/>
      <c r="C8" s="15"/>
      <c r="D8" s="15"/>
      <c r="E8" s="15"/>
      <c r="F8" s="617" t="s">
        <v>737</v>
      </c>
      <c r="G8" s="617"/>
      <c r="H8" s="617"/>
      <c r="I8" s="617"/>
      <c r="J8" s="617"/>
      <c r="K8" s="617"/>
      <c r="L8" s="17"/>
      <c r="M8" s="17"/>
      <c r="N8" s="17"/>
      <c r="O8" s="17"/>
    </row>
    <row r="9" spans="2:12" ht="15.75">
      <c r="B9" s="15"/>
      <c r="C9" s="15"/>
      <c r="D9" s="15"/>
      <c r="E9" s="15"/>
      <c r="F9" s="15"/>
      <c r="G9" s="15"/>
      <c r="H9" s="15"/>
      <c r="I9" s="15"/>
      <c r="J9" s="15"/>
      <c r="K9" s="15"/>
      <c r="L9" s="15"/>
    </row>
    <row r="10" spans="2:12" ht="18.75" customHeight="1">
      <c r="B10" s="611" t="s">
        <v>619</v>
      </c>
      <c r="C10" s="611"/>
      <c r="D10" s="611"/>
      <c r="E10" s="611"/>
      <c r="F10" s="611"/>
      <c r="G10" s="611"/>
      <c r="H10" s="611"/>
      <c r="I10" s="611"/>
      <c r="J10" s="611"/>
      <c r="K10" s="611"/>
      <c r="L10" s="15"/>
    </row>
    <row r="11" spans="2:12" ht="15.75">
      <c r="B11" s="15"/>
      <c r="C11" s="15"/>
      <c r="D11" s="614"/>
      <c r="E11" s="614"/>
      <c r="F11" s="614"/>
      <c r="G11" s="614"/>
      <c r="H11" s="614"/>
      <c r="I11" s="15"/>
      <c r="J11" s="15"/>
      <c r="K11" s="35" t="s">
        <v>26</v>
      </c>
      <c r="L11" s="15"/>
    </row>
    <row r="12" spans="1:12" ht="15.75" customHeight="1">
      <c r="A12" s="608" t="s">
        <v>6</v>
      </c>
      <c r="B12" s="608" t="s">
        <v>12</v>
      </c>
      <c r="C12" s="608" t="s">
        <v>13</v>
      </c>
      <c r="D12" s="608" t="s">
        <v>428</v>
      </c>
      <c r="E12" s="615" t="s">
        <v>9</v>
      </c>
      <c r="F12" s="615"/>
      <c r="G12" s="615"/>
      <c r="H12" s="615"/>
      <c r="I12" s="615"/>
      <c r="J12" s="615"/>
      <c r="K12" s="613" t="s">
        <v>15</v>
      </c>
      <c r="L12" s="15"/>
    </row>
    <row r="13" spans="1:12" ht="15.75" customHeight="1">
      <c r="A13" s="609"/>
      <c r="B13" s="609"/>
      <c r="C13" s="609"/>
      <c r="D13" s="609"/>
      <c r="E13" s="608" t="s">
        <v>457</v>
      </c>
      <c r="F13" s="608" t="s">
        <v>440</v>
      </c>
      <c r="G13" s="608" t="s">
        <v>27</v>
      </c>
      <c r="H13" s="608" t="s">
        <v>28</v>
      </c>
      <c r="I13" s="608" t="s">
        <v>29</v>
      </c>
      <c r="J13" s="613" t="s">
        <v>458</v>
      </c>
      <c r="K13" s="613"/>
      <c r="L13" s="15"/>
    </row>
    <row r="14" spans="1:12" ht="21" customHeight="1">
      <c r="A14" s="610"/>
      <c r="B14" s="610"/>
      <c r="C14" s="610"/>
      <c r="D14" s="610"/>
      <c r="E14" s="610"/>
      <c r="F14" s="610"/>
      <c r="G14" s="610"/>
      <c r="H14" s="610"/>
      <c r="I14" s="610"/>
      <c r="J14" s="613"/>
      <c r="K14" s="613"/>
      <c r="L14" s="15"/>
    </row>
    <row r="15" spans="1:12" ht="46.5" customHeight="1">
      <c r="A15" s="603">
        <v>1</v>
      </c>
      <c r="B15" s="603" t="s">
        <v>715</v>
      </c>
      <c r="C15" s="36" t="s">
        <v>16</v>
      </c>
      <c r="D15" s="102">
        <f>SUM(E15:J15)</f>
        <v>34338.8</v>
      </c>
      <c r="E15" s="103">
        <f>20000+190</f>
        <v>20190</v>
      </c>
      <c r="F15" s="104">
        <f>22000-4384.6-3286.6-84-96</f>
        <v>14148.800000000001</v>
      </c>
      <c r="G15" s="103"/>
      <c r="H15" s="103"/>
      <c r="I15" s="103"/>
      <c r="J15" s="103"/>
      <c r="K15" s="603" t="s">
        <v>54</v>
      </c>
      <c r="L15" s="15"/>
    </row>
    <row r="16" spans="1:12" ht="21.75" customHeight="1">
      <c r="A16" s="604"/>
      <c r="B16" s="604"/>
      <c r="C16" s="36" t="s">
        <v>643</v>
      </c>
      <c r="D16" s="102">
        <f>E16+F16+J16</f>
        <v>24000</v>
      </c>
      <c r="E16" s="103"/>
      <c r="F16" s="104"/>
      <c r="G16" s="103"/>
      <c r="H16" s="103"/>
      <c r="I16" s="103"/>
      <c r="J16" s="103">
        <v>24000</v>
      </c>
      <c r="K16" s="604"/>
      <c r="L16" s="15"/>
    </row>
    <row r="17" spans="1:14" ht="51" customHeight="1">
      <c r="A17" s="603">
        <v>2</v>
      </c>
      <c r="B17" s="603" t="s">
        <v>78</v>
      </c>
      <c r="C17" s="36" t="s">
        <v>16</v>
      </c>
      <c r="D17" s="102">
        <f>SUM(E17:J17)</f>
        <v>25840.5</v>
      </c>
      <c r="E17" s="104">
        <v>15000</v>
      </c>
      <c r="F17" s="103">
        <f>20000-1427-232-1500-5.4-96-50-120-5000-316.1-130-200-80-3</f>
        <v>10840.499999999998</v>
      </c>
      <c r="G17" s="103"/>
      <c r="H17" s="103"/>
      <c r="I17" s="103"/>
      <c r="J17" s="103"/>
      <c r="K17" s="603" t="s">
        <v>54</v>
      </c>
      <c r="L17" s="15"/>
      <c r="N17" s="33">
        <v>441</v>
      </c>
    </row>
    <row r="18" spans="1:14" ht="18.75">
      <c r="A18" s="604"/>
      <c r="B18" s="604"/>
      <c r="C18" s="36" t="s">
        <v>643</v>
      </c>
      <c r="D18" s="102">
        <f>E18+F18+J18</f>
        <v>25000</v>
      </c>
      <c r="E18" s="104"/>
      <c r="F18" s="103"/>
      <c r="G18" s="103"/>
      <c r="H18" s="103"/>
      <c r="I18" s="103"/>
      <c r="J18" s="103">
        <v>25000</v>
      </c>
      <c r="K18" s="604"/>
      <c r="L18" s="15"/>
      <c r="N18" s="33"/>
    </row>
    <row r="19" spans="1:14" ht="39.75" customHeight="1">
      <c r="A19" s="603">
        <v>3</v>
      </c>
      <c r="B19" s="603" t="s">
        <v>79</v>
      </c>
      <c r="C19" s="36" t="s">
        <v>16</v>
      </c>
      <c r="D19" s="102">
        <f>60750-26377.3</f>
        <v>34372.7</v>
      </c>
      <c r="E19" s="104">
        <v>20750</v>
      </c>
      <c r="F19" s="103">
        <f>20000+1500+3286.6</f>
        <v>24786.6</v>
      </c>
      <c r="G19" s="103"/>
      <c r="H19" s="103"/>
      <c r="I19" s="103"/>
      <c r="J19" s="103"/>
      <c r="K19" s="603" t="s">
        <v>31</v>
      </c>
      <c r="L19" s="15"/>
      <c r="N19" s="33"/>
    </row>
    <row r="20" spans="1:14" ht="17.25" customHeight="1">
      <c r="A20" s="604"/>
      <c r="B20" s="604"/>
      <c r="C20" s="36" t="s">
        <v>643</v>
      </c>
      <c r="D20" s="102">
        <f>E20+F20+J20</f>
        <v>26377.3</v>
      </c>
      <c r="E20" s="104"/>
      <c r="F20" s="103"/>
      <c r="G20" s="103"/>
      <c r="H20" s="103"/>
      <c r="I20" s="103"/>
      <c r="J20" s="103">
        <v>26377.3</v>
      </c>
      <c r="K20" s="604"/>
      <c r="L20" s="15"/>
      <c r="N20" s="33"/>
    </row>
    <row r="21" spans="1:12" s="368" customFormat="1" ht="64.5" customHeight="1">
      <c r="A21" s="237">
        <v>4</v>
      </c>
      <c r="B21" s="549" t="s">
        <v>723</v>
      </c>
      <c r="C21" s="36" t="s">
        <v>643</v>
      </c>
      <c r="D21" s="547">
        <f>SUM(E21:J21)</f>
        <v>0</v>
      </c>
      <c r="E21" s="548"/>
      <c r="F21" s="548"/>
      <c r="G21" s="548"/>
      <c r="H21" s="548"/>
      <c r="I21" s="548"/>
      <c r="J21" s="548">
        <f>110-110</f>
        <v>0</v>
      </c>
      <c r="K21" s="237" t="s">
        <v>31</v>
      </c>
      <c r="L21" s="330"/>
    </row>
    <row r="22" spans="1:12" ht="32.25" customHeight="1">
      <c r="A22" s="70"/>
      <c r="B22" s="60" t="s">
        <v>5</v>
      </c>
      <c r="C22" s="71"/>
      <c r="D22" s="102">
        <f>D15+D17+D19+D20+D21+D18+D16</f>
        <v>169929.3</v>
      </c>
      <c r="E22" s="143">
        <f>E15+E17+E19+E20+E21</f>
        <v>55940</v>
      </c>
      <c r="F22" s="143">
        <f>F15+F17+F19+F18+F16</f>
        <v>49775.899999999994</v>
      </c>
      <c r="G22" s="143">
        <f>G15+G17+G19+G20+G21</f>
        <v>0</v>
      </c>
      <c r="H22" s="143">
        <f>H15+H17+H19+H20+H21</f>
        <v>0</v>
      </c>
      <c r="I22" s="143">
        <f>I15+I17+I19+I20+I21</f>
        <v>0</v>
      </c>
      <c r="J22" s="143">
        <f>J15+J17+J19+J20+J21+J16+J18</f>
        <v>75377.3</v>
      </c>
      <c r="K22" s="72"/>
      <c r="L22" s="15"/>
    </row>
    <row r="23" spans="1:12" ht="15.75" customHeight="1">
      <c r="A23" s="39"/>
      <c r="B23" s="18"/>
      <c r="C23" s="18"/>
      <c r="D23" s="19"/>
      <c r="E23" s="137"/>
      <c r="F23" s="137"/>
      <c r="G23" s="137"/>
      <c r="H23" s="137"/>
      <c r="I23" s="137"/>
      <c r="J23" s="137"/>
      <c r="K23" s="20"/>
      <c r="L23" s="15"/>
    </row>
    <row r="24" spans="1:12" ht="15" customHeight="1">
      <c r="A24" s="39"/>
      <c r="B24" s="18"/>
      <c r="C24" s="18"/>
      <c r="D24" s="19"/>
      <c r="E24" s="137"/>
      <c r="F24" s="137"/>
      <c r="G24" s="137"/>
      <c r="H24" s="137"/>
      <c r="I24" s="137"/>
      <c r="J24" s="137"/>
      <c r="K24" s="20"/>
      <c r="L24" s="15"/>
    </row>
    <row r="25" spans="1:12" ht="15.75" customHeight="1">
      <c r="A25" s="39"/>
      <c r="B25" s="18"/>
      <c r="C25" s="18"/>
      <c r="D25" s="19"/>
      <c r="E25" s="137"/>
      <c r="F25" s="137"/>
      <c r="G25" s="137"/>
      <c r="H25" s="137"/>
      <c r="I25" s="137"/>
      <c r="J25" s="137"/>
      <c r="K25" s="20"/>
      <c r="L25" s="15"/>
    </row>
    <row r="26" spans="2:12" ht="15.75">
      <c r="B26" s="18"/>
      <c r="C26" s="18"/>
      <c r="D26" s="19"/>
      <c r="E26" s="19"/>
      <c r="F26" s="19"/>
      <c r="G26" s="19"/>
      <c r="H26" s="19"/>
      <c r="I26" s="19"/>
      <c r="J26" s="19"/>
      <c r="K26" s="20"/>
      <c r="L26" s="15"/>
    </row>
    <row r="27" spans="2:12" ht="18.75" customHeight="1">
      <c r="B27" s="578" t="s">
        <v>617</v>
      </c>
      <c r="C27" s="578"/>
      <c r="D27" s="374"/>
      <c r="E27" s="22"/>
      <c r="F27" s="22"/>
      <c r="G27" s="16"/>
      <c r="H27" s="16"/>
      <c r="I27" s="16"/>
      <c r="J27" s="16"/>
      <c r="K27" s="23" t="s">
        <v>30</v>
      </c>
      <c r="L27" s="23"/>
    </row>
    <row r="28" spans="2:12" ht="15.75" customHeight="1">
      <c r="B28" s="374"/>
      <c r="C28" s="374"/>
      <c r="D28" s="374"/>
      <c r="E28" s="22"/>
      <c r="F28" s="22"/>
      <c r="G28" s="16"/>
      <c r="H28" s="16"/>
      <c r="I28" s="16"/>
      <c r="J28" s="16"/>
      <c r="K28" s="23"/>
      <c r="L28" s="23"/>
    </row>
    <row r="29" spans="2:11" ht="18.75">
      <c r="B29" s="612" t="s">
        <v>670</v>
      </c>
      <c r="C29" s="612"/>
      <c r="D29" s="25"/>
      <c r="E29" s="26"/>
      <c r="F29" s="26"/>
      <c r="G29" s="26"/>
      <c r="H29" s="26"/>
      <c r="I29" s="26"/>
      <c r="J29" s="26"/>
      <c r="K29" s="15"/>
    </row>
    <row r="30" spans="2:13" ht="15.75">
      <c r="B30" s="27" t="s">
        <v>10</v>
      </c>
      <c r="C30" s="27"/>
      <c r="D30" s="26"/>
      <c r="E30" s="26"/>
      <c r="F30" s="26"/>
      <c r="G30" s="26"/>
      <c r="H30" s="26"/>
      <c r="I30" s="26"/>
      <c r="J30" s="26"/>
      <c r="K30" s="15"/>
      <c r="M30" s="12"/>
    </row>
    <row r="31" spans="2:11" ht="15.75">
      <c r="B31" s="28"/>
      <c r="C31" s="29"/>
      <c r="D31" s="30"/>
      <c r="E31" s="26"/>
      <c r="F31" s="26"/>
      <c r="G31" s="26"/>
      <c r="H31" s="26"/>
      <c r="I31" s="26"/>
      <c r="J31" s="26"/>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7">
    <mergeCell ref="F1:J1"/>
    <mergeCell ref="F8:K8"/>
    <mergeCell ref="B27:C27"/>
    <mergeCell ref="B29:C29"/>
    <mergeCell ref="A15:A16"/>
    <mergeCell ref="B15:B16"/>
    <mergeCell ref="K15:K16"/>
    <mergeCell ref="A17:A18"/>
    <mergeCell ref="B17:B18"/>
    <mergeCell ref="K17:K18"/>
    <mergeCell ref="K12:K14"/>
    <mergeCell ref="E13:E14"/>
    <mergeCell ref="F13:F14"/>
    <mergeCell ref="G13:G14"/>
    <mergeCell ref="H13:H14"/>
    <mergeCell ref="I13:I14"/>
    <mergeCell ref="J13:J14"/>
    <mergeCell ref="A19:A20"/>
    <mergeCell ref="B19:B20"/>
    <mergeCell ref="K19:K20"/>
    <mergeCell ref="B10:K10"/>
    <mergeCell ref="D11:H11"/>
    <mergeCell ref="A12:A14"/>
    <mergeCell ref="B12:B14"/>
    <mergeCell ref="C12:C14"/>
    <mergeCell ref="D12:D14"/>
    <mergeCell ref="E12:J12"/>
  </mergeCells>
  <printOptions horizontalCentered="1"/>
  <pageMargins left="0" right="0" top="1.1811023622047245" bottom="0" header="0" footer="0"/>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N137"/>
  <sheetViews>
    <sheetView view="pageBreakPreview" zoomScale="75" zoomScaleSheetLayoutView="75" zoomScalePageLayoutView="0" workbookViewId="0" topLeftCell="A54">
      <selection activeCell="A75" sqref="A75"/>
    </sheetView>
  </sheetViews>
  <sheetFormatPr defaultColWidth="9.140625" defaultRowHeight="12.75"/>
  <cols>
    <col min="1" max="1" width="6.140625" style="185" bestFit="1" customWidth="1"/>
    <col min="2" max="2" width="73.7109375" style="0" customWidth="1"/>
    <col min="3" max="3" width="17.7109375" style="0" customWidth="1"/>
    <col min="4" max="4" width="14.421875" style="0" customWidth="1"/>
    <col min="5" max="5" width="12.28125" style="274" customWidth="1"/>
    <col min="6" max="7" width="12.28125" style="0" customWidth="1"/>
    <col min="8" max="9" width="9.140625" style="0" hidden="1" customWidth="1"/>
    <col min="10" max="10" width="9.7109375" style="0" hidden="1" customWidth="1"/>
    <col min="11" max="11" width="51.28125" style="0" customWidth="1"/>
    <col min="12" max="12" width="9.8515625" style="0" customWidth="1"/>
  </cols>
  <sheetData>
    <row r="1" spans="11:13" ht="18.75">
      <c r="K1" s="56" t="s">
        <v>491</v>
      </c>
      <c r="L1" s="186"/>
      <c r="M1" s="2"/>
    </row>
    <row r="2" spans="11:13" ht="18.75">
      <c r="K2" s="618" t="s">
        <v>11</v>
      </c>
      <c r="L2" s="618"/>
      <c r="M2" s="1"/>
    </row>
    <row r="3" spans="11:13" ht="18.75">
      <c r="K3" s="56" t="s">
        <v>682</v>
      </c>
      <c r="L3" s="56"/>
      <c r="M3" s="1"/>
    </row>
    <row r="4" spans="11:13" ht="18.75">
      <c r="K4" s="56" t="s">
        <v>683</v>
      </c>
      <c r="L4" s="56"/>
      <c r="M4" s="1"/>
    </row>
    <row r="5" spans="2:14" ht="18.75">
      <c r="B5" s="1"/>
      <c r="C5" s="1"/>
      <c r="D5" s="1"/>
      <c r="E5" s="275"/>
      <c r="F5" s="1"/>
      <c r="G5" s="1"/>
      <c r="H5" s="1"/>
      <c r="I5" s="1"/>
      <c r="J5" s="2" t="s">
        <v>80</v>
      </c>
      <c r="K5" s="56" t="s">
        <v>684</v>
      </c>
      <c r="L5" s="56"/>
      <c r="M5" s="3"/>
      <c r="N5" s="2"/>
    </row>
    <row r="6" spans="2:14" ht="18.75">
      <c r="B6" s="1"/>
      <c r="C6" s="1"/>
      <c r="D6" s="1"/>
      <c r="E6" s="275"/>
      <c r="F6" s="1"/>
      <c r="G6" s="1"/>
      <c r="H6" s="1"/>
      <c r="I6" s="1"/>
      <c r="J6" s="2"/>
      <c r="K6" s="56" t="s">
        <v>675</v>
      </c>
      <c r="L6" s="56"/>
      <c r="M6" s="3"/>
      <c r="N6" s="2"/>
    </row>
    <row r="7" spans="2:14" ht="18.75">
      <c r="B7" s="1"/>
      <c r="C7" s="1"/>
      <c r="D7" s="1"/>
      <c r="E7" s="275"/>
      <c r="F7" s="1"/>
      <c r="G7" s="1"/>
      <c r="H7" s="1"/>
      <c r="I7" s="9"/>
      <c r="J7" s="3" t="s">
        <v>97</v>
      </c>
      <c r="K7" s="56" t="s">
        <v>676</v>
      </c>
      <c r="L7" s="56"/>
      <c r="M7" s="3"/>
      <c r="N7" s="3"/>
    </row>
    <row r="8" spans="2:14" ht="18.75">
      <c r="B8" s="1"/>
      <c r="C8" s="1"/>
      <c r="D8" s="1"/>
      <c r="E8" s="275"/>
      <c r="F8" s="1"/>
      <c r="G8" s="1"/>
      <c r="H8" s="1"/>
      <c r="I8" s="9"/>
      <c r="J8" s="3"/>
      <c r="K8" s="56" t="s">
        <v>677</v>
      </c>
      <c r="L8" s="56"/>
      <c r="M8" s="3"/>
      <c r="N8" s="3"/>
    </row>
    <row r="9" spans="2:14" ht="18.75">
      <c r="B9" s="1"/>
      <c r="C9" s="1"/>
      <c r="D9" s="1"/>
      <c r="E9" s="275"/>
      <c r="F9" s="1"/>
      <c r="G9" s="1"/>
      <c r="H9" s="1"/>
      <c r="I9" s="9"/>
      <c r="J9" s="3"/>
      <c r="K9" s="366" t="s">
        <v>739</v>
      </c>
      <c r="L9" s="56"/>
      <c r="M9" s="3"/>
      <c r="N9" s="3"/>
    </row>
    <row r="10" spans="2:11" ht="15.75">
      <c r="B10" s="1"/>
      <c r="C10" s="1"/>
      <c r="D10" s="1"/>
      <c r="E10" s="275"/>
      <c r="F10" s="1"/>
      <c r="G10" s="1"/>
      <c r="H10" s="1"/>
      <c r="I10" s="1"/>
      <c r="J10" s="1"/>
      <c r="K10" s="1"/>
    </row>
    <row r="11" spans="2:11" ht="40.5" customHeight="1">
      <c r="B11" s="619" t="s">
        <v>620</v>
      </c>
      <c r="C11" s="619"/>
      <c r="D11" s="619"/>
      <c r="E11" s="619"/>
      <c r="F11" s="619"/>
      <c r="G11" s="619"/>
      <c r="H11" s="619"/>
      <c r="I11" s="619"/>
      <c r="J11" s="619"/>
      <c r="K11" s="619"/>
    </row>
    <row r="12" spans="2:11" ht="15.75">
      <c r="B12" s="1"/>
      <c r="C12" s="1"/>
      <c r="D12" s="1"/>
      <c r="E12" s="275"/>
      <c r="F12" s="1"/>
      <c r="G12" s="1"/>
      <c r="H12" s="1"/>
      <c r="I12" s="1"/>
      <c r="J12" s="1"/>
      <c r="K12" s="46" t="s">
        <v>462</v>
      </c>
    </row>
    <row r="13" spans="1:11" ht="18.75">
      <c r="A13" s="623" t="s">
        <v>98</v>
      </c>
      <c r="B13" s="625" t="s">
        <v>12</v>
      </c>
      <c r="C13" s="625" t="s">
        <v>13</v>
      </c>
      <c r="D13" s="625" t="s">
        <v>428</v>
      </c>
      <c r="E13" s="626" t="s">
        <v>9</v>
      </c>
      <c r="F13" s="626"/>
      <c r="G13" s="626"/>
      <c r="H13" s="626"/>
      <c r="I13" s="626"/>
      <c r="J13" s="626"/>
      <c r="K13" s="625" t="s">
        <v>15</v>
      </c>
    </row>
    <row r="14" spans="1:11" ht="40.5" customHeight="1">
      <c r="A14" s="624"/>
      <c r="B14" s="625"/>
      <c r="C14" s="625"/>
      <c r="D14" s="625"/>
      <c r="E14" s="251" t="s">
        <v>464</v>
      </c>
      <c r="F14" s="57" t="s">
        <v>465</v>
      </c>
      <c r="G14" s="57" t="s">
        <v>441</v>
      </c>
      <c r="H14" s="187" t="s">
        <v>27</v>
      </c>
      <c r="I14" s="187" t="s">
        <v>28</v>
      </c>
      <c r="J14" s="187" t="s">
        <v>29</v>
      </c>
      <c r="K14" s="625"/>
    </row>
    <row r="15" spans="1:11" ht="19.5" customHeight="1">
      <c r="A15" s="623">
        <v>1</v>
      </c>
      <c r="B15" s="188" t="s">
        <v>99</v>
      </c>
      <c r="C15" s="620" t="s">
        <v>650</v>
      </c>
      <c r="D15" s="189">
        <f>E15+F15+G15</f>
        <v>11601</v>
      </c>
      <c r="E15" s="255">
        <f>E16+E17+E20+E18+E19</f>
        <v>2630</v>
      </c>
      <c r="F15" s="190">
        <f>F16+F17+F20+F18+F19</f>
        <v>5225</v>
      </c>
      <c r="G15" s="190">
        <f>G16+G17+G20+G18+G19</f>
        <v>3746</v>
      </c>
      <c r="H15" s="191">
        <f>H16+H17</f>
        <v>0</v>
      </c>
      <c r="I15" s="191">
        <f>I16+I17</f>
        <v>0</v>
      </c>
      <c r="J15" s="191">
        <f>J16+J17</f>
        <v>0</v>
      </c>
      <c r="K15" s="620" t="s">
        <v>100</v>
      </c>
    </row>
    <row r="16" spans="1:12" ht="32.25" customHeight="1">
      <c r="A16" s="627"/>
      <c r="B16" s="69" t="s">
        <v>574</v>
      </c>
      <c r="C16" s="621"/>
      <c r="D16" s="189">
        <f aca="true" t="shared" si="0" ref="D16:D55">E16+F16+G16</f>
        <v>8670</v>
      </c>
      <c r="E16" s="255">
        <f>2700-1000</f>
        <v>1700</v>
      </c>
      <c r="F16" s="192">
        <f>2700+1820-250</f>
        <v>4270</v>
      </c>
      <c r="G16" s="190">
        <v>2700</v>
      </c>
      <c r="H16" s="191"/>
      <c r="I16" s="191"/>
      <c r="J16" s="191"/>
      <c r="K16" s="621"/>
      <c r="L16" s="5"/>
    </row>
    <row r="17" spans="1:11" ht="41.25" customHeight="1">
      <c r="A17" s="627"/>
      <c r="B17" s="69" t="s">
        <v>212</v>
      </c>
      <c r="C17" s="621"/>
      <c r="D17" s="189">
        <f t="shared" si="0"/>
        <v>1840</v>
      </c>
      <c r="E17" s="255">
        <v>590</v>
      </c>
      <c r="F17" s="192">
        <v>610</v>
      </c>
      <c r="G17" s="190">
        <v>640</v>
      </c>
      <c r="H17" s="191"/>
      <c r="I17" s="191"/>
      <c r="J17" s="191"/>
      <c r="K17" s="621"/>
    </row>
    <row r="18" spans="1:11" ht="19.5" customHeight="1">
      <c r="A18" s="627"/>
      <c r="B18" s="69" t="s">
        <v>245</v>
      </c>
      <c r="C18" s="621"/>
      <c r="D18" s="189">
        <f>E18+F18+G18</f>
        <v>225</v>
      </c>
      <c r="E18" s="255">
        <v>65</v>
      </c>
      <c r="F18" s="192">
        <v>70</v>
      </c>
      <c r="G18" s="190">
        <f>75+15</f>
        <v>90</v>
      </c>
      <c r="H18" s="191"/>
      <c r="I18" s="191"/>
      <c r="J18" s="191"/>
      <c r="K18" s="621"/>
    </row>
    <row r="19" spans="1:11" ht="37.5">
      <c r="A19" s="627"/>
      <c r="B19" s="69" t="s">
        <v>103</v>
      </c>
      <c r="C19" s="621"/>
      <c r="D19" s="189">
        <f>E19+F19+G19</f>
        <v>570</v>
      </c>
      <c r="E19" s="255">
        <v>190</v>
      </c>
      <c r="F19" s="192">
        <v>190</v>
      </c>
      <c r="G19" s="190">
        <v>190</v>
      </c>
      <c r="H19" s="191"/>
      <c r="I19" s="191"/>
      <c r="J19" s="191"/>
      <c r="K19" s="621"/>
    </row>
    <row r="20" spans="1:11" ht="19.5" customHeight="1">
      <c r="A20" s="624"/>
      <c r="B20" s="69" t="s">
        <v>104</v>
      </c>
      <c r="C20" s="622"/>
      <c r="D20" s="189">
        <f t="shared" si="0"/>
        <v>296</v>
      </c>
      <c r="E20" s="255">
        <v>85</v>
      </c>
      <c r="F20" s="192">
        <v>85</v>
      </c>
      <c r="G20" s="190">
        <f>85+41</f>
        <v>126</v>
      </c>
      <c r="H20" s="191"/>
      <c r="I20" s="191"/>
      <c r="J20" s="191"/>
      <c r="K20" s="622"/>
    </row>
    <row r="21" spans="1:11" ht="19.5" customHeight="1">
      <c r="A21" s="623">
        <v>2</v>
      </c>
      <c r="B21" s="188" t="s">
        <v>105</v>
      </c>
      <c r="C21" s="620" t="s">
        <v>651</v>
      </c>
      <c r="D21" s="189">
        <f>D22+D23+D24</f>
        <v>12220</v>
      </c>
      <c r="E21" s="255">
        <f>E22+E23+E24</f>
        <v>3560</v>
      </c>
      <c r="F21" s="192">
        <f>F22+F23+F24</f>
        <v>3820</v>
      </c>
      <c r="G21" s="190">
        <f>G22+G23+G24</f>
        <v>4840</v>
      </c>
      <c r="H21" s="191" t="e">
        <f>H22+H23+#REF!+H24</f>
        <v>#REF!</v>
      </c>
      <c r="I21" s="191" t="e">
        <f>I22+I23+#REF!+I24</f>
        <v>#REF!</v>
      </c>
      <c r="J21" s="191" t="e">
        <f>J22+J23+#REF!+J24</f>
        <v>#REF!</v>
      </c>
      <c r="K21" s="620" t="s">
        <v>100</v>
      </c>
    </row>
    <row r="22" spans="1:11" ht="33.75" customHeight="1">
      <c r="A22" s="627"/>
      <c r="B22" s="193" t="s">
        <v>569</v>
      </c>
      <c r="C22" s="621"/>
      <c r="D22" s="189">
        <f t="shared" si="0"/>
        <v>5650</v>
      </c>
      <c r="E22" s="255">
        <f>2100-500</f>
        <v>1600</v>
      </c>
      <c r="F22" s="192">
        <f>2200-450</f>
        <v>1750</v>
      </c>
      <c r="G22" s="190">
        <v>2300</v>
      </c>
      <c r="H22" s="191"/>
      <c r="I22" s="191"/>
      <c r="J22" s="191"/>
      <c r="K22" s="621"/>
    </row>
    <row r="23" spans="1:11" ht="19.5" customHeight="1">
      <c r="A23" s="627"/>
      <c r="B23" s="69" t="s">
        <v>106</v>
      </c>
      <c r="C23" s="621"/>
      <c r="D23" s="189">
        <f t="shared" si="0"/>
        <v>4800</v>
      </c>
      <c r="E23" s="255">
        <v>1500</v>
      </c>
      <c r="F23" s="192">
        <v>1600</v>
      </c>
      <c r="G23" s="190">
        <v>1700</v>
      </c>
      <c r="H23" s="191"/>
      <c r="I23" s="191"/>
      <c r="J23" s="191"/>
      <c r="K23" s="621"/>
    </row>
    <row r="24" spans="1:11" ht="20.25" customHeight="1">
      <c r="A24" s="624"/>
      <c r="B24" s="69" t="s">
        <v>107</v>
      </c>
      <c r="C24" s="622"/>
      <c r="D24" s="189">
        <f t="shared" si="0"/>
        <v>1770</v>
      </c>
      <c r="E24" s="255">
        <v>460</v>
      </c>
      <c r="F24" s="192">
        <v>470</v>
      </c>
      <c r="G24" s="190">
        <f>480+360</f>
        <v>840</v>
      </c>
      <c r="H24" s="191"/>
      <c r="I24" s="191"/>
      <c r="J24" s="191"/>
      <c r="K24" s="622"/>
    </row>
    <row r="25" spans="1:11" ht="15" customHeight="1" hidden="1">
      <c r="A25" s="194"/>
      <c r="B25" s="69" t="s">
        <v>108</v>
      </c>
      <c r="C25" s="47" t="s">
        <v>16</v>
      </c>
      <c r="D25" s="189">
        <f t="shared" si="0"/>
        <v>0</v>
      </c>
      <c r="E25" s="255"/>
      <c r="F25" s="192"/>
      <c r="G25" s="466"/>
      <c r="H25" s="195"/>
      <c r="I25" s="191"/>
      <c r="J25" s="191"/>
      <c r="K25" s="47" t="s">
        <v>109</v>
      </c>
    </row>
    <row r="26" spans="1:11" ht="15" customHeight="1" hidden="1">
      <c r="A26" s="194"/>
      <c r="B26" s="69" t="s">
        <v>110</v>
      </c>
      <c r="C26" s="47" t="s">
        <v>16</v>
      </c>
      <c r="D26" s="189">
        <f t="shared" si="0"/>
        <v>0</v>
      </c>
      <c r="E26" s="255">
        <v>0</v>
      </c>
      <c r="F26" s="192">
        <v>0</v>
      </c>
      <c r="G26" s="466">
        <v>0</v>
      </c>
      <c r="H26" s="196"/>
      <c r="I26" s="196"/>
      <c r="J26" s="196"/>
      <c r="K26" s="47" t="s">
        <v>109</v>
      </c>
    </row>
    <row r="27" spans="1:11" ht="19.5" customHeight="1">
      <c r="A27" s="623">
        <v>3</v>
      </c>
      <c r="B27" s="188" t="s">
        <v>111</v>
      </c>
      <c r="C27" s="620" t="s">
        <v>651</v>
      </c>
      <c r="D27" s="189">
        <f>D28+D29+D30+D33+D31+D32+D34</f>
        <v>6202.4</v>
      </c>
      <c r="E27" s="255">
        <f>E28+E29+E30+E33+E31+E32</f>
        <v>1607</v>
      </c>
      <c r="F27" s="192">
        <f>F28+F29+F30+F33+F31+F32</f>
        <v>1738</v>
      </c>
      <c r="G27" s="190">
        <f>G28+G29+G30+G33+G31+G32+G34</f>
        <v>2857.4</v>
      </c>
      <c r="H27" s="191">
        <f>H28+H29+H30</f>
        <v>0</v>
      </c>
      <c r="I27" s="191">
        <f>I28+I29+I30</f>
        <v>0</v>
      </c>
      <c r="J27" s="191">
        <f>J28+J29+J30</f>
        <v>0</v>
      </c>
      <c r="K27" s="620" t="s">
        <v>100</v>
      </c>
    </row>
    <row r="28" spans="1:11" ht="30.75" customHeight="1">
      <c r="A28" s="627"/>
      <c r="B28" s="69" t="s">
        <v>573</v>
      </c>
      <c r="C28" s="621"/>
      <c r="D28" s="189">
        <f t="shared" si="0"/>
        <v>4400</v>
      </c>
      <c r="E28" s="255">
        <v>1300</v>
      </c>
      <c r="F28" s="192">
        <v>1400</v>
      </c>
      <c r="G28" s="190">
        <f>1500+200</f>
        <v>1700</v>
      </c>
      <c r="H28" s="191"/>
      <c r="I28" s="191"/>
      <c r="J28" s="191"/>
      <c r="K28" s="621"/>
    </row>
    <row r="29" spans="1:11" ht="19.5" customHeight="1">
      <c r="A29" s="627"/>
      <c r="B29" s="69" t="s">
        <v>112</v>
      </c>
      <c r="C29" s="621"/>
      <c r="D29" s="189">
        <f t="shared" si="0"/>
        <v>720</v>
      </c>
      <c r="E29" s="255">
        <v>230</v>
      </c>
      <c r="F29" s="192">
        <v>240</v>
      </c>
      <c r="G29" s="190">
        <v>250</v>
      </c>
      <c r="H29" s="191"/>
      <c r="I29" s="191"/>
      <c r="J29" s="191"/>
      <c r="K29" s="621"/>
    </row>
    <row r="30" spans="1:11" ht="19.5" customHeight="1">
      <c r="A30" s="627"/>
      <c r="B30" s="69" t="s">
        <v>113</v>
      </c>
      <c r="C30" s="621"/>
      <c r="D30" s="189">
        <f t="shared" si="0"/>
        <v>47</v>
      </c>
      <c r="E30" s="255">
        <v>2</v>
      </c>
      <c r="F30" s="192">
        <f>3+17</f>
        <v>20</v>
      </c>
      <c r="G30" s="190">
        <f>4+21</f>
        <v>25</v>
      </c>
      <c r="H30" s="191"/>
      <c r="I30" s="191"/>
      <c r="J30" s="191"/>
      <c r="K30" s="621"/>
    </row>
    <row r="31" spans="1:11" ht="19.5" customHeight="1">
      <c r="A31" s="627"/>
      <c r="B31" s="69" t="s">
        <v>114</v>
      </c>
      <c r="C31" s="621"/>
      <c r="D31" s="189">
        <f t="shared" si="0"/>
        <v>15</v>
      </c>
      <c r="E31" s="255">
        <v>4</v>
      </c>
      <c r="F31" s="192">
        <v>5</v>
      </c>
      <c r="G31" s="190">
        <v>6</v>
      </c>
      <c r="H31" s="191"/>
      <c r="I31" s="191"/>
      <c r="J31" s="191"/>
      <c r="K31" s="621"/>
    </row>
    <row r="32" spans="1:11" ht="19.5" customHeight="1">
      <c r="A32" s="627"/>
      <c r="B32" s="69" t="s">
        <v>115</v>
      </c>
      <c r="C32" s="621"/>
      <c r="D32" s="189">
        <f t="shared" si="0"/>
        <v>15</v>
      </c>
      <c r="E32" s="255">
        <v>4</v>
      </c>
      <c r="F32" s="192">
        <v>5</v>
      </c>
      <c r="G32" s="190">
        <v>6</v>
      </c>
      <c r="H32" s="191"/>
      <c r="I32" s="191"/>
      <c r="J32" s="191"/>
      <c r="K32" s="621"/>
    </row>
    <row r="33" spans="1:11" ht="19.5" customHeight="1">
      <c r="A33" s="624"/>
      <c r="B33" s="69" t="s">
        <v>570</v>
      </c>
      <c r="C33" s="621"/>
      <c r="D33" s="189">
        <f t="shared" si="0"/>
        <v>215</v>
      </c>
      <c r="E33" s="255">
        <v>67</v>
      </c>
      <c r="F33" s="192">
        <v>68</v>
      </c>
      <c r="G33" s="190">
        <f>69+11</f>
        <v>80</v>
      </c>
      <c r="H33" s="191"/>
      <c r="I33" s="191"/>
      <c r="J33" s="191"/>
      <c r="K33" s="621"/>
    </row>
    <row r="34" spans="1:11" ht="30" customHeight="1">
      <c r="A34" s="241"/>
      <c r="B34" s="69" t="s">
        <v>572</v>
      </c>
      <c r="C34" s="622"/>
      <c r="D34" s="189">
        <f t="shared" si="0"/>
        <v>790.4</v>
      </c>
      <c r="E34" s="255">
        <v>0</v>
      </c>
      <c r="F34" s="192">
        <v>0</v>
      </c>
      <c r="G34" s="190">
        <v>790.4</v>
      </c>
      <c r="H34" s="191"/>
      <c r="I34" s="191"/>
      <c r="J34" s="191"/>
      <c r="K34" s="622"/>
    </row>
    <row r="35" spans="1:11" ht="30.75" customHeight="1">
      <c r="A35" s="632">
        <v>4</v>
      </c>
      <c r="B35" s="637" t="s">
        <v>576</v>
      </c>
      <c r="C35" s="47" t="s">
        <v>16</v>
      </c>
      <c r="D35" s="197">
        <f>E35+F35+G35</f>
        <v>2700</v>
      </c>
      <c r="E35" s="255">
        <v>1300</v>
      </c>
      <c r="F35" s="192">
        <v>1400</v>
      </c>
      <c r="G35" s="198"/>
      <c r="H35" s="191"/>
      <c r="I35" s="191"/>
      <c r="J35" s="191"/>
      <c r="K35" s="620" t="s">
        <v>100</v>
      </c>
    </row>
    <row r="36" spans="1:11" ht="25.5" customHeight="1">
      <c r="A36" s="633"/>
      <c r="B36" s="638"/>
      <c r="C36" s="515" t="s">
        <v>643</v>
      </c>
      <c r="D36" s="197">
        <f>E36+F36+G36</f>
        <v>1500</v>
      </c>
      <c r="E36" s="255"/>
      <c r="F36" s="192"/>
      <c r="G36" s="198">
        <v>1500</v>
      </c>
      <c r="H36" s="191"/>
      <c r="I36" s="191"/>
      <c r="J36" s="191"/>
      <c r="K36" s="622"/>
    </row>
    <row r="37" spans="1:11" ht="24" customHeight="1">
      <c r="A37" s="623">
        <v>5</v>
      </c>
      <c r="B37" s="188" t="s">
        <v>117</v>
      </c>
      <c r="C37" s="620" t="s">
        <v>651</v>
      </c>
      <c r="D37" s="197">
        <f>D38+D39+D40+D41+D42+D43</f>
        <v>7776.6</v>
      </c>
      <c r="E37" s="255">
        <f>E38+E39+E40+E41+E42+E43</f>
        <v>3100</v>
      </c>
      <c r="F37" s="192">
        <f>F38+F39+F40+F41+F42+F43</f>
        <v>3270</v>
      </c>
      <c r="G37" s="198">
        <f>G38+G39+G40+G41+G42+G43</f>
        <v>1406.6</v>
      </c>
      <c r="H37" s="199" t="e">
        <f>H38+H39+H40+H41+H42+#REF!+H43+#REF!+#REF!+#REF!</f>
        <v>#REF!</v>
      </c>
      <c r="I37" s="199" t="e">
        <f>I38+I39+I40+I41+I42+#REF!+I43+#REF!+#REF!+#REF!</f>
        <v>#REF!</v>
      </c>
      <c r="J37" s="199" t="e">
        <f>J38+J39+J40+J41+J42+#REF!+J43+#REF!+#REF!+#REF!</f>
        <v>#REF!</v>
      </c>
      <c r="K37" s="620" t="s">
        <v>100</v>
      </c>
    </row>
    <row r="38" spans="1:11" ht="33.75" customHeight="1">
      <c r="A38" s="627"/>
      <c r="B38" s="69" t="s">
        <v>118</v>
      </c>
      <c r="C38" s="621"/>
      <c r="D38" s="197">
        <f t="shared" si="0"/>
        <v>660</v>
      </c>
      <c r="E38" s="255">
        <v>210</v>
      </c>
      <c r="F38" s="192">
        <v>220</v>
      </c>
      <c r="G38" s="198">
        <v>230</v>
      </c>
      <c r="H38" s="191"/>
      <c r="I38" s="191"/>
      <c r="J38" s="191"/>
      <c r="K38" s="621"/>
    </row>
    <row r="39" spans="1:11" ht="20.25" customHeight="1">
      <c r="A39" s="627"/>
      <c r="B39" s="69" t="s">
        <v>101</v>
      </c>
      <c r="C39" s="621"/>
      <c r="D39" s="197">
        <f t="shared" si="0"/>
        <v>630</v>
      </c>
      <c r="E39" s="255">
        <v>205</v>
      </c>
      <c r="F39" s="192">
        <v>210</v>
      </c>
      <c r="G39" s="198">
        <v>215</v>
      </c>
      <c r="H39" s="191"/>
      <c r="I39" s="191"/>
      <c r="J39" s="191"/>
      <c r="K39" s="621"/>
    </row>
    <row r="40" spans="1:11" ht="20.25" customHeight="1">
      <c r="A40" s="627"/>
      <c r="B40" s="69" t="s">
        <v>102</v>
      </c>
      <c r="C40" s="621"/>
      <c r="D40" s="197">
        <f t="shared" si="0"/>
        <v>330</v>
      </c>
      <c r="E40" s="255">
        <v>105</v>
      </c>
      <c r="F40" s="192">
        <v>110</v>
      </c>
      <c r="G40" s="198">
        <v>115</v>
      </c>
      <c r="H40" s="191"/>
      <c r="I40" s="191"/>
      <c r="J40" s="191"/>
      <c r="K40" s="621"/>
    </row>
    <row r="41" spans="1:11" ht="22.5" customHeight="1">
      <c r="A41" s="627"/>
      <c r="B41" s="69" t="s">
        <v>119</v>
      </c>
      <c r="C41" s="621"/>
      <c r="D41" s="197">
        <f t="shared" si="0"/>
        <v>1130</v>
      </c>
      <c r="E41" s="255">
        <v>350</v>
      </c>
      <c r="F41" s="192">
        <v>380</v>
      </c>
      <c r="G41" s="198">
        <v>400</v>
      </c>
      <c r="H41" s="191"/>
      <c r="I41" s="191"/>
      <c r="J41" s="191"/>
      <c r="K41" s="621"/>
    </row>
    <row r="42" spans="1:11" ht="20.25" customHeight="1">
      <c r="A42" s="627"/>
      <c r="B42" s="69" t="s">
        <v>106</v>
      </c>
      <c r="C42" s="621"/>
      <c r="D42" s="197">
        <f t="shared" si="0"/>
        <v>1326.6</v>
      </c>
      <c r="E42" s="255">
        <v>430</v>
      </c>
      <c r="F42" s="192">
        <v>450</v>
      </c>
      <c r="G42" s="198">
        <f>480-33.4</f>
        <v>446.6</v>
      </c>
      <c r="H42" s="191"/>
      <c r="I42" s="191"/>
      <c r="J42" s="191"/>
      <c r="K42" s="621"/>
    </row>
    <row r="43" spans="1:11" ht="18.75">
      <c r="A43" s="624"/>
      <c r="B43" s="69" t="s">
        <v>120</v>
      </c>
      <c r="C43" s="622"/>
      <c r="D43" s="197">
        <f t="shared" si="0"/>
        <v>3700</v>
      </c>
      <c r="E43" s="255">
        <v>1800</v>
      </c>
      <c r="F43" s="192">
        <v>1900</v>
      </c>
      <c r="G43" s="198">
        <f>2100-1343-757</f>
        <v>0</v>
      </c>
      <c r="H43" s="191"/>
      <c r="I43" s="191"/>
      <c r="J43" s="191"/>
      <c r="K43" s="621"/>
    </row>
    <row r="44" spans="1:11" ht="30.75" customHeight="1">
      <c r="A44" s="623">
        <v>6</v>
      </c>
      <c r="B44" s="630" t="s">
        <v>385</v>
      </c>
      <c r="C44" s="200" t="s">
        <v>16</v>
      </c>
      <c r="D44" s="197">
        <f>E44+F44+G44</f>
        <v>710</v>
      </c>
      <c r="E44" s="255">
        <v>100</v>
      </c>
      <c r="F44" s="192">
        <v>610</v>
      </c>
      <c r="G44" s="198"/>
      <c r="H44" s="191"/>
      <c r="I44" s="191"/>
      <c r="J44" s="191"/>
      <c r="K44" s="621"/>
    </row>
    <row r="45" spans="1:11" ht="18.75">
      <c r="A45" s="624"/>
      <c r="B45" s="631"/>
      <c r="C45" s="200" t="s">
        <v>643</v>
      </c>
      <c r="D45" s="197">
        <f>E45+F45+G45</f>
        <v>315</v>
      </c>
      <c r="E45" s="255"/>
      <c r="F45" s="192"/>
      <c r="G45" s="198">
        <v>315</v>
      </c>
      <c r="H45" s="191"/>
      <c r="I45" s="191"/>
      <c r="J45" s="191"/>
      <c r="K45" s="621"/>
    </row>
    <row r="46" spans="1:11" ht="39" customHeight="1">
      <c r="A46" s="632">
        <v>7</v>
      </c>
      <c r="B46" s="630" t="s">
        <v>571</v>
      </c>
      <c r="C46" s="200" t="s">
        <v>16</v>
      </c>
      <c r="D46" s="197">
        <f t="shared" si="0"/>
        <v>3020</v>
      </c>
      <c r="E46" s="255">
        <v>1200</v>
      </c>
      <c r="F46" s="192">
        <v>1820</v>
      </c>
      <c r="G46" s="198"/>
      <c r="H46" s="191"/>
      <c r="I46" s="191"/>
      <c r="J46" s="191"/>
      <c r="K46" s="621"/>
    </row>
    <row r="47" spans="1:11" ht="18.75">
      <c r="A47" s="633"/>
      <c r="B47" s="631"/>
      <c r="C47" s="200" t="s">
        <v>643</v>
      </c>
      <c r="D47" s="197">
        <f t="shared" si="0"/>
        <v>1979</v>
      </c>
      <c r="E47" s="255"/>
      <c r="F47" s="192"/>
      <c r="G47" s="198">
        <v>1979</v>
      </c>
      <c r="H47" s="191"/>
      <c r="I47" s="191"/>
      <c r="J47" s="191"/>
      <c r="K47" s="622"/>
    </row>
    <row r="48" spans="1:11" ht="51" customHeight="1">
      <c r="A48" s="632">
        <v>8</v>
      </c>
      <c r="B48" s="630" t="s">
        <v>122</v>
      </c>
      <c r="C48" s="200" t="s">
        <v>16</v>
      </c>
      <c r="D48" s="197">
        <f t="shared" si="0"/>
        <v>6900</v>
      </c>
      <c r="E48" s="255">
        <v>3400</v>
      </c>
      <c r="F48" s="192">
        <v>3500</v>
      </c>
      <c r="G48" s="198"/>
      <c r="H48" s="191"/>
      <c r="I48" s="191"/>
      <c r="J48" s="191"/>
      <c r="K48" s="620" t="s">
        <v>123</v>
      </c>
    </row>
    <row r="49" spans="1:11" ht="18.75">
      <c r="A49" s="633"/>
      <c r="B49" s="631"/>
      <c r="C49" s="200" t="s">
        <v>643</v>
      </c>
      <c r="D49" s="197">
        <f t="shared" si="0"/>
        <v>3450</v>
      </c>
      <c r="E49" s="255"/>
      <c r="F49" s="192"/>
      <c r="G49" s="198">
        <v>3450</v>
      </c>
      <c r="H49" s="191"/>
      <c r="I49" s="191"/>
      <c r="J49" s="191"/>
      <c r="K49" s="622"/>
    </row>
    <row r="50" spans="1:11" ht="21.75" customHeight="1">
      <c r="A50" s="632">
        <v>9</v>
      </c>
      <c r="B50" s="640" t="s">
        <v>263</v>
      </c>
      <c r="C50" s="200" t="s">
        <v>262</v>
      </c>
      <c r="D50" s="197">
        <f>D51</f>
        <v>1141</v>
      </c>
      <c r="E50" s="198">
        <f>E51</f>
        <v>540</v>
      </c>
      <c r="F50" s="198">
        <f>F51</f>
        <v>601</v>
      </c>
      <c r="G50" s="198">
        <f>G51+G52</f>
        <v>600</v>
      </c>
      <c r="H50" s="191"/>
      <c r="I50" s="191"/>
      <c r="J50" s="191"/>
      <c r="K50" s="620" t="s">
        <v>100</v>
      </c>
    </row>
    <row r="51" spans="1:11" ht="33" customHeight="1">
      <c r="A51" s="639"/>
      <c r="B51" s="641"/>
      <c r="C51" s="253" t="s">
        <v>16</v>
      </c>
      <c r="D51" s="254">
        <f t="shared" si="0"/>
        <v>1141</v>
      </c>
      <c r="E51" s="255">
        <v>540</v>
      </c>
      <c r="F51" s="255">
        <f>560+41</f>
        <v>601</v>
      </c>
      <c r="G51" s="255"/>
      <c r="H51" s="191"/>
      <c r="I51" s="191"/>
      <c r="J51" s="191"/>
      <c r="K51" s="621"/>
    </row>
    <row r="52" spans="1:11" ht="20.25" customHeight="1">
      <c r="A52" s="633"/>
      <c r="B52" s="642"/>
      <c r="C52" s="253" t="s">
        <v>643</v>
      </c>
      <c r="D52" s="254">
        <f t="shared" si="0"/>
        <v>600</v>
      </c>
      <c r="E52" s="255"/>
      <c r="F52" s="255"/>
      <c r="G52" s="255">
        <v>600</v>
      </c>
      <c r="H52" s="191"/>
      <c r="I52" s="191"/>
      <c r="J52" s="191"/>
      <c r="K52" s="622"/>
    </row>
    <row r="53" spans="1:11" ht="56.25" customHeight="1">
      <c r="A53" s="632">
        <v>10</v>
      </c>
      <c r="B53" s="643" t="s">
        <v>577</v>
      </c>
      <c r="C53" s="47" t="s">
        <v>16</v>
      </c>
      <c r="D53" s="197">
        <f t="shared" si="0"/>
        <v>550</v>
      </c>
      <c r="E53" s="255">
        <v>100</v>
      </c>
      <c r="F53" s="192">
        <f>100+350</f>
        <v>450</v>
      </c>
      <c r="G53" s="198"/>
      <c r="H53" s="191"/>
      <c r="I53" s="191"/>
      <c r="J53" s="191"/>
      <c r="K53" s="620" t="s">
        <v>124</v>
      </c>
    </row>
    <row r="54" spans="1:11" ht="18.75">
      <c r="A54" s="633"/>
      <c r="B54" s="628"/>
      <c r="C54" s="47" t="s">
        <v>643</v>
      </c>
      <c r="D54" s="197">
        <f t="shared" si="0"/>
        <v>210</v>
      </c>
      <c r="E54" s="255"/>
      <c r="F54" s="192"/>
      <c r="G54" s="198">
        <v>210</v>
      </c>
      <c r="H54" s="191"/>
      <c r="I54" s="191"/>
      <c r="J54" s="191"/>
      <c r="K54" s="622"/>
    </row>
    <row r="55" spans="1:11" ht="15" customHeight="1">
      <c r="A55" s="623">
        <v>11</v>
      </c>
      <c r="B55" s="201" t="s">
        <v>125</v>
      </c>
      <c r="C55" s="635" t="s">
        <v>651</v>
      </c>
      <c r="D55" s="197">
        <f t="shared" si="0"/>
        <v>1120</v>
      </c>
      <c r="E55" s="255">
        <f>E57+E59+E56+E60+E61+E58</f>
        <v>290</v>
      </c>
      <c r="F55" s="198">
        <f>F57+F59+F56+F60+F61+F58</f>
        <v>380</v>
      </c>
      <c r="G55" s="198">
        <f>G57+G59+G56+G60+G61+G58</f>
        <v>450</v>
      </c>
      <c r="H55" s="191"/>
      <c r="I55" s="191"/>
      <c r="J55" s="191"/>
      <c r="K55" s="620" t="s">
        <v>126</v>
      </c>
    </row>
    <row r="56" spans="1:11" ht="18.75">
      <c r="A56" s="627"/>
      <c r="B56" s="202" t="s">
        <v>127</v>
      </c>
      <c r="C56" s="636"/>
      <c r="D56" s="197">
        <f aca="true" t="shared" si="1" ref="D56:D67">E56+F56+G56</f>
        <v>450</v>
      </c>
      <c r="E56" s="255">
        <v>100</v>
      </c>
      <c r="F56" s="192">
        <v>150</v>
      </c>
      <c r="G56" s="198">
        <v>200</v>
      </c>
      <c r="H56" s="191"/>
      <c r="I56" s="191"/>
      <c r="J56" s="191"/>
      <c r="K56" s="627"/>
    </row>
    <row r="57" spans="1:11" ht="37.5">
      <c r="A57" s="627"/>
      <c r="B57" s="202" t="s">
        <v>128</v>
      </c>
      <c r="C57" s="636"/>
      <c r="D57" s="197">
        <f t="shared" si="1"/>
        <v>210</v>
      </c>
      <c r="E57" s="255">
        <v>60</v>
      </c>
      <c r="F57" s="192">
        <v>70</v>
      </c>
      <c r="G57" s="198">
        <v>80</v>
      </c>
      <c r="H57" s="191"/>
      <c r="I57" s="191"/>
      <c r="J57" s="191"/>
      <c r="K57" s="627"/>
    </row>
    <row r="58" spans="1:11" ht="18.75">
      <c r="A58" s="627"/>
      <c r="B58" s="256" t="s">
        <v>215</v>
      </c>
      <c r="C58" s="636"/>
      <c r="D58" s="197">
        <f t="shared" si="1"/>
        <v>150</v>
      </c>
      <c r="E58" s="255">
        <v>40</v>
      </c>
      <c r="F58" s="192">
        <v>50</v>
      </c>
      <c r="G58" s="198">
        <v>60</v>
      </c>
      <c r="H58" s="191"/>
      <c r="I58" s="191"/>
      <c r="J58" s="191"/>
      <c r="K58" s="627"/>
    </row>
    <row r="59" spans="1:11" ht="18.75">
      <c r="A59" s="627"/>
      <c r="B59" s="202" t="s">
        <v>121</v>
      </c>
      <c r="C59" s="636"/>
      <c r="D59" s="197">
        <f t="shared" si="1"/>
        <v>140</v>
      </c>
      <c r="E59" s="255">
        <v>40</v>
      </c>
      <c r="F59" s="192">
        <v>50</v>
      </c>
      <c r="G59" s="198">
        <v>50</v>
      </c>
      <c r="H59" s="191"/>
      <c r="I59" s="191"/>
      <c r="J59" s="191"/>
      <c r="K59" s="627"/>
    </row>
    <row r="60" spans="1:11" ht="18.75" hidden="1">
      <c r="A60" s="627"/>
      <c r="B60" s="69"/>
      <c r="C60" s="636"/>
      <c r="D60" s="197">
        <f t="shared" si="1"/>
        <v>0</v>
      </c>
      <c r="E60" s="255"/>
      <c r="F60" s="192"/>
      <c r="G60" s="198"/>
      <c r="H60" s="191"/>
      <c r="I60" s="191"/>
      <c r="J60" s="191"/>
      <c r="K60" s="627"/>
    </row>
    <row r="61" spans="1:11" ht="37.5">
      <c r="A61" s="624"/>
      <c r="B61" s="69" t="s">
        <v>116</v>
      </c>
      <c r="C61" s="636"/>
      <c r="D61" s="197">
        <f t="shared" si="1"/>
        <v>170</v>
      </c>
      <c r="E61" s="255">
        <v>50</v>
      </c>
      <c r="F61" s="192">
        <v>60</v>
      </c>
      <c r="G61" s="198">
        <v>60</v>
      </c>
      <c r="H61" s="191"/>
      <c r="I61" s="191"/>
      <c r="J61" s="191"/>
      <c r="K61" s="624"/>
    </row>
    <row r="62" spans="1:11" ht="37.5" customHeight="1">
      <c r="A62" s="623">
        <v>12</v>
      </c>
      <c r="B62" s="640" t="s">
        <v>213</v>
      </c>
      <c r="C62" s="200" t="s">
        <v>16</v>
      </c>
      <c r="D62" s="197">
        <f t="shared" si="1"/>
        <v>10000</v>
      </c>
      <c r="E62" s="255">
        <v>5000</v>
      </c>
      <c r="F62" s="192">
        <v>5000</v>
      </c>
      <c r="G62" s="198"/>
      <c r="H62" s="191"/>
      <c r="I62" s="191"/>
      <c r="J62" s="191"/>
      <c r="K62" s="620" t="s">
        <v>214</v>
      </c>
    </row>
    <row r="63" spans="1:11" ht="21.75" customHeight="1">
      <c r="A63" s="624"/>
      <c r="B63" s="642"/>
      <c r="C63" s="200" t="s">
        <v>643</v>
      </c>
      <c r="D63" s="197">
        <f t="shared" si="1"/>
        <v>5000</v>
      </c>
      <c r="E63" s="255"/>
      <c r="F63" s="192"/>
      <c r="G63" s="198">
        <v>5000</v>
      </c>
      <c r="H63" s="191"/>
      <c r="I63" s="191"/>
      <c r="J63" s="191"/>
      <c r="K63" s="622"/>
    </row>
    <row r="64" spans="1:11" ht="37.5">
      <c r="A64" s="623">
        <v>13</v>
      </c>
      <c r="B64" s="640" t="s">
        <v>216</v>
      </c>
      <c r="C64" s="200" t="s">
        <v>16</v>
      </c>
      <c r="D64" s="197">
        <f t="shared" si="1"/>
        <v>2200</v>
      </c>
      <c r="E64" s="255">
        <v>1000</v>
      </c>
      <c r="F64" s="192">
        <v>1200</v>
      </c>
      <c r="G64" s="198"/>
      <c r="H64" s="191"/>
      <c r="I64" s="191"/>
      <c r="J64" s="191"/>
      <c r="K64" s="620" t="s">
        <v>214</v>
      </c>
    </row>
    <row r="65" spans="1:11" ht="18.75">
      <c r="A65" s="624"/>
      <c r="B65" s="642"/>
      <c r="C65" s="200" t="s">
        <v>643</v>
      </c>
      <c r="D65" s="197">
        <f t="shared" si="1"/>
        <v>1500</v>
      </c>
      <c r="E65" s="255"/>
      <c r="F65" s="192"/>
      <c r="G65" s="198">
        <v>1500</v>
      </c>
      <c r="H65" s="191"/>
      <c r="I65" s="191"/>
      <c r="J65" s="191"/>
      <c r="K65" s="622"/>
    </row>
    <row r="66" spans="1:11" ht="37.5">
      <c r="A66" s="623">
        <v>14</v>
      </c>
      <c r="B66" s="644" t="s">
        <v>249</v>
      </c>
      <c r="C66" s="47" t="s">
        <v>16</v>
      </c>
      <c r="D66" s="197">
        <f t="shared" si="1"/>
        <v>36000</v>
      </c>
      <c r="E66" s="255">
        <v>18000</v>
      </c>
      <c r="F66" s="255">
        <v>18000</v>
      </c>
      <c r="G66" s="255"/>
      <c r="H66" s="191"/>
      <c r="I66" s="191"/>
      <c r="J66" s="191"/>
      <c r="K66" s="620" t="s">
        <v>214</v>
      </c>
    </row>
    <row r="67" spans="1:11" ht="18.75">
      <c r="A67" s="624"/>
      <c r="B67" s="645"/>
      <c r="C67" s="47" t="s">
        <v>643</v>
      </c>
      <c r="D67" s="197">
        <f t="shared" si="1"/>
        <v>16211</v>
      </c>
      <c r="E67" s="255"/>
      <c r="F67" s="255"/>
      <c r="G67" s="255">
        <v>16211</v>
      </c>
      <c r="H67" s="191"/>
      <c r="I67" s="191"/>
      <c r="J67" s="191"/>
      <c r="K67" s="622"/>
    </row>
    <row r="68" spans="1:11" ht="37.5">
      <c r="A68" s="514">
        <v>15</v>
      </c>
      <c r="B68" s="513" t="s">
        <v>269</v>
      </c>
      <c r="C68" s="36" t="s">
        <v>16</v>
      </c>
      <c r="D68" s="293">
        <v>500</v>
      </c>
      <c r="E68" s="294">
        <v>500</v>
      </c>
      <c r="F68" s="295"/>
      <c r="G68" s="295"/>
      <c r="H68" s="296"/>
      <c r="I68" s="296"/>
      <c r="J68" s="296"/>
      <c r="K68" s="36" t="s">
        <v>270</v>
      </c>
    </row>
    <row r="69" spans="1:11" ht="37.5">
      <c r="A69" s="632">
        <v>16</v>
      </c>
      <c r="B69" s="585" t="s">
        <v>271</v>
      </c>
      <c r="C69" s="36" t="s">
        <v>16</v>
      </c>
      <c r="D69" s="297">
        <f>E69+F69+G69</f>
        <v>838.333</v>
      </c>
      <c r="E69" s="298">
        <v>138.333</v>
      </c>
      <c r="F69" s="295">
        <f>0+700</f>
        <v>700</v>
      </c>
      <c r="G69" s="295"/>
      <c r="H69" s="296"/>
      <c r="I69" s="296"/>
      <c r="J69" s="296"/>
      <c r="K69" s="646" t="s">
        <v>270</v>
      </c>
    </row>
    <row r="70" spans="1:11" ht="18.75">
      <c r="A70" s="633"/>
      <c r="B70" s="587"/>
      <c r="C70" s="36" t="s">
        <v>643</v>
      </c>
      <c r="D70" s="297">
        <f>E70+F70+G70</f>
        <v>150</v>
      </c>
      <c r="E70" s="298"/>
      <c r="F70" s="295"/>
      <c r="G70" s="295">
        <v>150</v>
      </c>
      <c r="H70" s="296"/>
      <c r="I70" s="296"/>
      <c r="J70" s="296"/>
      <c r="K70" s="646"/>
    </row>
    <row r="71" spans="1:11" ht="37.5">
      <c r="A71" s="194">
        <v>17</v>
      </c>
      <c r="B71" s="129" t="s">
        <v>384</v>
      </c>
      <c r="C71" s="36" t="s">
        <v>16</v>
      </c>
      <c r="D71" s="297">
        <f>E71+F71</f>
        <v>400</v>
      </c>
      <c r="E71" s="298"/>
      <c r="F71" s="295">
        <v>400</v>
      </c>
      <c r="G71" s="295"/>
      <c r="H71" s="296"/>
      <c r="I71" s="296"/>
      <c r="J71" s="296"/>
      <c r="K71" s="286" t="s">
        <v>270</v>
      </c>
    </row>
    <row r="72" spans="1:11" ht="48.75" customHeight="1">
      <c r="A72" s="194">
        <v>18</v>
      </c>
      <c r="B72" s="292" t="s">
        <v>404</v>
      </c>
      <c r="C72" s="36" t="s">
        <v>16</v>
      </c>
      <c r="D72" s="297">
        <f>E72+F72</f>
        <v>600</v>
      </c>
      <c r="E72" s="298"/>
      <c r="F72" s="295">
        <v>600</v>
      </c>
      <c r="G72" s="295"/>
      <c r="H72" s="296"/>
      <c r="I72" s="296"/>
      <c r="J72" s="296"/>
      <c r="K72" s="286" t="s">
        <v>270</v>
      </c>
    </row>
    <row r="73" spans="1:11" ht="36" customHeight="1">
      <c r="A73" s="632">
        <v>19</v>
      </c>
      <c r="B73" s="588" t="s">
        <v>575</v>
      </c>
      <c r="C73" s="36" t="s">
        <v>16</v>
      </c>
      <c r="D73" s="297">
        <f>E73+F73+G73</f>
        <v>950</v>
      </c>
      <c r="E73" s="298">
        <v>500</v>
      </c>
      <c r="F73" s="295">
        <v>450</v>
      </c>
      <c r="G73" s="295"/>
      <c r="H73" s="296"/>
      <c r="I73" s="296"/>
      <c r="J73" s="296"/>
      <c r="K73" s="603" t="s">
        <v>270</v>
      </c>
    </row>
    <row r="74" spans="1:11" ht="36" customHeight="1">
      <c r="A74" s="633"/>
      <c r="B74" s="592"/>
      <c r="C74" s="36" t="s">
        <v>643</v>
      </c>
      <c r="D74" s="297">
        <f>E74+F74+G74</f>
        <v>500</v>
      </c>
      <c r="E74" s="298"/>
      <c r="F74" s="295"/>
      <c r="G74" s="295">
        <v>500</v>
      </c>
      <c r="H74" s="296"/>
      <c r="I74" s="296"/>
      <c r="J74" s="296"/>
      <c r="K74" s="604"/>
    </row>
    <row r="75" spans="1:11" ht="24" customHeight="1">
      <c r="A75" s="409"/>
      <c r="B75" s="628" t="s">
        <v>5</v>
      </c>
      <c r="C75" s="629"/>
      <c r="D75" s="327">
        <f>D15+D21+D27+D35+D37+D48+D51+D53+D55+D46+D44+D62+D64+D66+D68+D69+D71+D72+D36+D45+D47+D49+D52+D54+D63+D65+D67+D70+D73+D74+141</f>
        <v>136985.33299999998</v>
      </c>
      <c r="E75" s="327">
        <f>E15+E21+E27+E35+E37+E48+E50+E51+E53+E55+E46+E44+E62+E64+E66+E68+E69</f>
        <v>43005.333</v>
      </c>
      <c r="F75" s="327">
        <f>F15+F21+F27+F35+F37+F48+F50+F51+F53+F55+F46+F44+F62+F64+F66+F68+F69+F71+F72</f>
        <v>49315</v>
      </c>
      <c r="G75" s="327">
        <f>G15+G21+G27+G35+G37+G48+G50+G51+G53+G55+G46+G44+G62+G64+G66+G68+G69+G73+G36+G45+G47+G49+G52+G54+G63+G65+G67+G70+G74</f>
        <v>45315</v>
      </c>
      <c r="H75" s="327" t="e">
        <f>H15+H21+H27+H35+#REF!+#REF!+#REF!+#REF!+#REF!+#REF!+#REF!+H37+#REF!+#REF!+#REF!</f>
        <v>#REF!</v>
      </c>
      <c r="I75" s="327" t="e">
        <f>I15+I21+I27+I35+#REF!+#REF!+#REF!+#REF!+#REF!+#REF!+#REF!+I37+#REF!+#REF!+#REF!</f>
        <v>#REF!</v>
      </c>
      <c r="J75" s="327" t="e">
        <f>J15+J21+J27+J35+#REF!+#REF!+#REF!+#REF!+#REF!+#REF!+#REF!+J37+#REF!+#REF!+#REF!</f>
        <v>#REF!</v>
      </c>
      <c r="K75" s="328"/>
    </row>
    <row r="76" spans="2:11" ht="15.75" customHeight="1">
      <c r="B76" s="4"/>
      <c r="C76" s="4"/>
      <c r="D76" s="203"/>
      <c r="E76" s="276"/>
      <c r="F76" s="203"/>
      <c r="G76" s="203"/>
      <c r="H76" s="203"/>
      <c r="I76" s="203"/>
      <c r="J76" s="203"/>
      <c r="K76" s="204"/>
    </row>
    <row r="77" spans="2:11" ht="32.25" customHeight="1">
      <c r="B77" s="4"/>
      <c r="C77" s="4"/>
      <c r="D77" s="203"/>
      <c r="E77" s="276"/>
      <c r="F77" s="203"/>
      <c r="G77" s="203"/>
      <c r="H77" s="203"/>
      <c r="I77" s="203"/>
      <c r="J77" s="203"/>
      <c r="K77" s="204"/>
    </row>
    <row r="78" spans="2:11" ht="27.75" customHeight="1">
      <c r="B78" s="4"/>
      <c r="C78" s="4"/>
      <c r="D78" s="203"/>
      <c r="E78" s="276"/>
      <c r="F78" s="203"/>
      <c r="G78" s="203"/>
      <c r="H78" s="203"/>
      <c r="I78" s="203"/>
      <c r="J78" s="203"/>
      <c r="K78" s="204"/>
    </row>
    <row r="79" spans="2:13" ht="33" customHeight="1">
      <c r="B79" s="634" t="s">
        <v>18</v>
      </c>
      <c r="C79" s="634"/>
      <c r="D79" s="9"/>
      <c r="E79" s="391"/>
      <c r="F79" s="392"/>
      <c r="G79" s="392"/>
      <c r="H79" s="392"/>
      <c r="I79" s="392"/>
      <c r="J79" s="392"/>
      <c r="K79" s="49" t="s">
        <v>30</v>
      </c>
      <c r="L79" s="205"/>
      <c r="M79" s="205"/>
    </row>
    <row r="80" spans="2:12" ht="18.75">
      <c r="B80" s="390"/>
      <c r="C80" s="49"/>
      <c r="D80" s="9"/>
      <c r="E80" s="391"/>
      <c r="F80" s="392"/>
      <c r="G80" s="392"/>
      <c r="H80" s="392"/>
      <c r="I80" s="392"/>
      <c r="J80" s="392"/>
      <c r="K80" s="49"/>
      <c r="L80" s="1"/>
    </row>
    <row r="81" spans="2:12" ht="18.75">
      <c r="B81" s="438" t="s">
        <v>671</v>
      </c>
      <c r="C81" s="49"/>
      <c r="D81" s="49"/>
      <c r="E81" s="277"/>
      <c r="F81" s="8"/>
      <c r="G81" s="8"/>
      <c r="H81" s="9"/>
      <c r="I81" s="9"/>
      <c r="J81" s="9"/>
      <c r="K81" s="393"/>
      <c r="L81" s="1"/>
    </row>
    <row r="82" spans="2:11" ht="15.75">
      <c r="B82" s="1"/>
      <c r="C82" s="44"/>
      <c r="D82" s="7"/>
      <c r="E82" s="278"/>
      <c r="F82" s="7"/>
      <c r="G82" s="7"/>
      <c r="H82" s="7"/>
      <c r="I82" s="7"/>
      <c r="J82" s="7"/>
      <c r="K82" s="1"/>
    </row>
    <row r="83" spans="2:11" ht="15.75">
      <c r="B83" s="1"/>
      <c r="C83" s="45"/>
      <c r="D83" s="7"/>
      <c r="E83" s="278"/>
      <c r="F83" s="7"/>
      <c r="G83" s="7"/>
      <c r="H83" s="7"/>
      <c r="I83" s="7"/>
      <c r="J83" s="7"/>
      <c r="K83" s="1"/>
    </row>
    <row r="84" spans="2:11" ht="15.75">
      <c r="B84" s="1"/>
      <c r="C84" s="1"/>
      <c r="D84" s="1"/>
      <c r="E84" s="275"/>
      <c r="F84" s="1"/>
      <c r="G84" s="1"/>
      <c r="H84" s="1"/>
      <c r="I84" s="1"/>
      <c r="J84" s="1"/>
      <c r="K84" s="1"/>
    </row>
    <row r="85" spans="2:11" ht="15.75">
      <c r="B85" s="1"/>
      <c r="C85" s="1"/>
      <c r="D85" s="1"/>
      <c r="E85" s="275"/>
      <c r="F85" s="1"/>
      <c r="G85" s="1"/>
      <c r="H85" s="1"/>
      <c r="I85" s="1"/>
      <c r="J85" s="1"/>
      <c r="K85" s="1"/>
    </row>
    <row r="86" spans="2:11" ht="15.75">
      <c r="B86" s="1"/>
      <c r="C86" s="1"/>
      <c r="D86" s="1"/>
      <c r="E86" s="275"/>
      <c r="F86" s="1"/>
      <c r="G86" s="1"/>
      <c r="H86" s="1"/>
      <c r="I86" s="1"/>
      <c r="J86" s="1"/>
      <c r="K86" s="1"/>
    </row>
    <row r="87" spans="2:11" ht="15.75">
      <c r="B87" s="1"/>
      <c r="C87" s="1"/>
      <c r="D87" s="1"/>
      <c r="E87" s="275"/>
      <c r="F87" s="1"/>
      <c r="G87" s="1"/>
      <c r="H87" s="1"/>
      <c r="I87" s="1"/>
      <c r="J87" s="1"/>
      <c r="K87" s="1"/>
    </row>
    <row r="88" spans="2:11" ht="15.75">
      <c r="B88" s="1"/>
      <c r="C88" s="1"/>
      <c r="D88" s="1"/>
      <c r="E88" s="275"/>
      <c r="F88" s="1"/>
      <c r="G88" s="1"/>
      <c r="H88" s="1"/>
      <c r="I88" s="1"/>
      <c r="J88" s="1"/>
      <c r="K88" s="1"/>
    </row>
    <row r="89" spans="2:11" ht="15.75">
      <c r="B89" s="1"/>
      <c r="C89" s="1"/>
      <c r="D89" s="1"/>
      <c r="E89" s="275"/>
      <c r="F89" s="1"/>
      <c r="G89" s="1"/>
      <c r="H89" s="1"/>
      <c r="I89" s="1"/>
      <c r="J89" s="1"/>
      <c r="K89" s="1"/>
    </row>
    <row r="90" spans="2:11" ht="15.75">
      <c r="B90" s="1"/>
      <c r="C90" s="1"/>
      <c r="D90" s="1"/>
      <c r="E90" s="275"/>
      <c r="F90" s="1"/>
      <c r="G90" s="1"/>
      <c r="H90" s="1"/>
      <c r="I90" s="1"/>
      <c r="J90" s="1"/>
      <c r="K90" s="1"/>
    </row>
    <row r="91" spans="2:11" ht="15.75">
      <c r="B91" s="1"/>
      <c r="C91" s="1"/>
      <c r="D91" s="1"/>
      <c r="E91" s="275"/>
      <c r="F91" s="1"/>
      <c r="G91" s="1"/>
      <c r="H91" s="1"/>
      <c r="I91" s="1"/>
      <c r="J91" s="1"/>
      <c r="K91" s="1"/>
    </row>
    <row r="92" spans="2:11" ht="15.75">
      <c r="B92" s="1"/>
      <c r="C92" s="1"/>
      <c r="D92" s="1"/>
      <c r="E92" s="275"/>
      <c r="F92" s="1"/>
      <c r="G92" s="1"/>
      <c r="H92" s="1"/>
      <c r="I92" s="1"/>
      <c r="J92" s="1"/>
      <c r="K92" s="1"/>
    </row>
    <row r="93" spans="2:11" ht="15.75">
      <c r="B93" s="1"/>
      <c r="C93" s="1"/>
      <c r="D93" s="1"/>
      <c r="E93" s="275"/>
      <c r="F93" s="1"/>
      <c r="G93" s="1"/>
      <c r="H93" s="1"/>
      <c r="I93" s="1"/>
      <c r="J93" s="1"/>
      <c r="K93" s="1"/>
    </row>
    <row r="94" spans="2:11" ht="15.75">
      <c r="B94" s="1"/>
      <c r="C94" s="1"/>
      <c r="D94" s="1"/>
      <c r="E94" s="275"/>
      <c r="F94" s="1"/>
      <c r="G94" s="1"/>
      <c r="H94" s="1"/>
      <c r="I94" s="1"/>
      <c r="J94" s="1"/>
      <c r="K94" s="1"/>
    </row>
    <row r="95" spans="2:11" ht="15.75">
      <c r="B95" s="1"/>
      <c r="C95" s="1"/>
      <c r="D95" s="1"/>
      <c r="E95" s="275"/>
      <c r="F95" s="1"/>
      <c r="G95" s="1"/>
      <c r="H95" s="1"/>
      <c r="I95" s="1"/>
      <c r="J95" s="1"/>
      <c r="K95" s="1"/>
    </row>
    <row r="96" spans="2:11" ht="15.75">
      <c r="B96" s="1"/>
      <c r="C96" s="1"/>
      <c r="D96" s="1"/>
      <c r="E96" s="275"/>
      <c r="F96" s="1"/>
      <c r="G96" s="1"/>
      <c r="H96" s="1"/>
      <c r="I96" s="1"/>
      <c r="J96" s="1"/>
      <c r="K96" s="1"/>
    </row>
    <row r="97" spans="2:11" ht="15.75">
      <c r="B97" s="1"/>
      <c r="C97" s="1"/>
      <c r="D97" s="1"/>
      <c r="E97" s="275"/>
      <c r="F97" s="1"/>
      <c r="G97" s="1"/>
      <c r="H97" s="1"/>
      <c r="I97" s="1"/>
      <c r="J97" s="1"/>
      <c r="K97" s="1"/>
    </row>
    <row r="98" spans="2:11" ht="15.75">
      <c r="B98" s="1"/>
      <c r="C98" s="1"/>
      <c r="D98" s="1"/>
      <c r="E98" s="275"/>
      <c r="F98" s="1"/>
      <c r="G98" s="1"/>
      <c r="H98" s="1"/>
      <c r="I98" s="1"/>
      <c r="J98" s="1"/>
      <c r="K98" s="1"/>
    </row>
    <row r="99" spans="2:11" ht="15.75">
      <c r="B99" s="1"/>
      <c r="C99" s="1"/>
      <c r="D99" s="1"/>
      <c r="E99" s="275"/>
      <c r="F99" s="1"/>
      <c r="G99" s="1"/>
      <c r="H99" s="1"/>
      <c r="I99" s="1"/>
      <c r="J99" s="1"/>
      <c r="K99" s="1"/>
    </row>
    <row r="100" spans="2:11" ht="15.75">
      <c r="B100" s="1"/>
      <c r="C100" s="1"/>
      <c r="D100" s="1"/>
      <c r="E100" s="275"/>
      <c r="F100" s="1"/>
      <c r="G100" s="1"/>
      <c r="H100" s="1"/>
      <c r="I100" s="1"/>
      <c r="J100" s="1"/>
      <c r="K100" s="1"/>
    </row>
    <row r="101" spans="2:11" ht="15.75">
      <c r="B101" s="1"/>
      <c r="C101" s="1"/>
      <c r="D101" s="1"/>
      <c r="E101" s="275"/>
      <c r="F101" s="1"/>
      <c r="G101" s="1"/>
      <c r="H101" s="1"/>
      <c r="I101" s="1"/>
      <c r="J101" s="1"/>
      <c r="K101" s="1"/>
    </row>
    <row r="102" spans="2:11" ht="15.75">
      <c r="B102" s="1"/>
      <c r="C102" s="1"/>
      <c r="D102" s="1"/>
      <c r="E102" s="275"/>
      <c r="F102" s="1"/>
      <c r="G102" s="1"/>
      <c r="H102" s="1"/>
      <c r="I102" s="1"/>
      <c r="J102" s="1"/>
      <c r="K102" s="1"/>
    </row>
    <row r="103" spans="2:11" ht="15.75">
      <c r="B103" s="1"/>
      <c r="C103" s="1"/>
      <c r="D103" s="1"/>
      <c r="E103" s="275"/>
      <c r="F103" s="1"/>
      <c r="G103" s="1"/>
      <c r="H103" s="1"/>
      <c r="I103" s="1"/>
      <c r="J103" s="1"/>
      <c r="K103" s="1"/>
    </row>
    <row r="104" spans="2:11" ht="15.75">
      <c r="B104" s="1"/>
      <c r="C104" s="1"/>
      <c r="D104" s="1"/>
      <c r="E104" s="275"/>
      <c r="F104" s="1"/>
      <c r="G104" s="1"/>
      <c r="H104" s="1"/>
      <c r="I104" s="1"/>
      <c r="J104" s="1"/>
      <c r="K104" s="1"/>
    </row>
    <row r="105" spans="2:11" ht="15.75">
      <c r="B105" s="1"/>
      <c r="C105" s="1"/>
      <c r="D105" s="1"/>
      <c r="E105" s="275"/>
      <c r="F105" s="1"/>
      <c r="G105" s="1"/>
      <c r="H105" s="1"/>
      <c r="I105" s="1"/>
      <c r="J105" s="1"/>
      <c r="K105" s="1"/>
    </row>
    <row r="106" spans="2:11" ht="15.75">
      <c r="B106" s="1"/>
      <c r="C106" s="1"/>
      <c r="D106" s="1"/>
      <c r="E106" s="275"/>
      <c r="F106" s="1"/>
      <c r="G106" s="1"/>
      <c r="H106" s="1"/>
      <c r="I106" s="1"/>
      <c r="J106" s="1"/>
      <c r="K106" s="1"/>
    </row>
    <row r="107" spans="2:11" ht="15.75">
      <c r="B107" s="1"/>
      <c r="C107" s="1"/>
      <c r="D107" s="1"/>
      <c r="E107" s="275"/>
      <c r="F107" s="1"/>
      <c r="G107" s="1"/>
      <c r="H107" s="1"/>
      <c r="I107" s="1"/>
      <c r="J107" s="1"/>
      <c r="K107" s="1"/>
    </row>
    <row r="108" spans="2:11" ht="15.75">
      <c r="B108" s="1"/>
      <c r="C108" s="1"/>
      <c r="D108" s="1"/>
      <c r="E108" s="275"/>
      <c r="F108" s="1"/>
      <c r="G108" s="1"/>
      <c r="H108" s="1"/>
      <c r="I108" s="1"/>
      <c r="J108" s="1"/>
      <c r="K108" s="1"/>
    </row>
    <row r="109" spans="2:11" ht="15.75">
      <c r="B109" s="1"/>
      <c r="C109" s="1"/>
      <c r="D109" s="1"/>
      <c r="E109" s="275"/>
      <c r="F109" s="1"/>
      <c r="G109" s="1"/>
      <c r="H109" s="1"/>
      <c r="I109" s="1"/>
      <c r="J109" s="1"/>
      <c r="K109" s="1"/>
    </row>
    <row r="110" spans="2:11" ht="15.75">
      <c r="B110" s="1"/>
      <c r="C110" s="1"/>
      <c r="D110" s="1"/>
      <c r="E110" s="275"/>
      <c r="F110" s="1"/>
      <c r="G110" s="1"/>
      <c r="H110" s="1"/>
      <c r="I110" s="1"/>
      <c r="J110" s="1"/>
      <c r="K110" s="1"/>
    </row>
    <row r="111" spans="2:11" ht="15.75">
      <c r="B111" s="1"/>
      <c r="C111" s="1"/>
      <c r="D111" s="1"/>
      <c r="E111" s="275"/>
      <c r="F111" s="1"/>
      <c r="G111" s="1"/>
      <c r="H111" s="1"/>
      <c r="I111" s="1"/>
      <c r="J111" s="1"/>
      <c r="K111" s="1"/>
    </row>
    <row r="112" spans="2:11" ht="15.75">
      <c r="B112" s="1"/>
      <c r="C112" s="1"/>
      <c r="D112" s="1"/>
      <c r="E112" s="275"/>
      <c r="F112" s="1"/>
      <c r="G112" s="1"/>
      <c r="H112" s="1"/>
      <c r="I112" s="1"/>
      <c r="J112" s="1"/>
      <c r="K112" s="1"/>
    </row>
    <row r="113" spans="2:11" ht="15.75">
      <c r="B113" s="1"/>
      <c r="C113" s="1"/>
      <c r="D113" s="1"/>
      <c r="E113" s="275"/>
      <c r="F113" s="1"/>
      <c r="G113" s="1"/>
      <c r="H113" s="1"/>
      <c r="I113" s="1"/>
      <c r="J113" s="1"/>
      <c r="K113" s="1"/>
    </row>
    <row r="114" spans="2:11" ht="15.75">
      <c r="B114" s="1"/>
      <c r="C114" s="1"/>
      <c r="D114" s="1"/>
      <c r="E114" s="275"/>
      <c r="F114" s="1"/>
      <c r="G114" s="1"/>
      <c r="H114" s="1"/>
      <c r="I114" s="1"/>
      <c r="J114" s="1"/>
      <c r="K114" s="1"/>
    </row>
    <row r="115" spans="2:11" ht="15.75">
      <c r="B115" s="1"/>
      <c r="C115" s="1"/>
      <c r="D115" s="1"/>
      <c r="E115" s="275"/>
      <c r="F115" s="1"/>
      <c r="G115" s="1"/>
      <c r="H115" s="1"/>
      <c r="I115" s="1"/>
      <c r="J115" s="1"/>
      <c r="K115" s="1"/>
    </row>
    <row r="116" spans="2:11" ht="15.75">
      <c r="B116" s="1"/>
      <c r="C116" s="1"/>
      <c r="D116" s="1"/>
      <c r="E116" s="275"/>
      <c r="F116" s="1"/>
      <c r="G116" s="1"/>
      <c r="H116" s="1"/>
      <c r="I116" s="1"/>
      <c r="J116" s="1"/>
      <c r="K116" s="1"/>
    </row>
    <row r="117" spans="2:11" ht="15.75">
      <c r="B117" s="1"/>
      <c r="C117" s="1"/>
      <c r="D117" s="1"/>
      <c r="E117" s="275"/>
      <c r="F117" s="1"/>
      <c r="G117" s="1"/>
      <c r="H117" s="1"/>
      <c r="I117" s="1"/>
      <c r="J117" s="1"/>
      <c r="K117" s="1"/>
    </row>
    <row r="118" spans="2:11" ht="15.75">
      <c r="B118" s="1"/>
      <c r="C118" s="1"/>
      <c r="D118" s="1"/>
      <c r="E118" s="275"/>
      <c r="F118" s="1"/>
      <c r="G118" s="1"/>
      <c r="H118" s="1"/>
      <c r="I118" s="1"/>
      <c r="J118" s="1"/>
      <c r="K118" s="1"/>
    </row>
    <row r="119" spans="2:11" ht="15.75">
      <c r="B119" s="1"/>
      <c r="C119" s="1"/>
      <c r="D119" s="1"/>
      <c r="E119" s="275"/>
      <c r="F119" s="1"/>
      <c r="G119" s="1"/>
      <c r="H119" s="1"/>
      <c r="I119" s="1"/>
      <c r="J119" s="1"/>
      <c r="K119" s="1"/>
    </row>
    <row r="120" spans="2:11" ht="15.75">
      <c r="B120" s="1"/>
      <c r="C120" s="1"/>
      <c r="D120" s="1"/>
      <c r="E120" s="275"/>
      <c r="F120" s="1"/>
      <c r="G120" s="1"/>
      <c r="H120" s="1"/>
      <c r="I120" s="1"/>
      <c r="J120" s="1"/>
      <c r="K120" s="1"/>
    </row>
    <row r="121" spans="2:11" ht="15.75">
      <c r="B121" s="1"/>
      <c r="C121" s="1"/>
      <c r="D121" s="1"/>
      <c r="E121" s="275"/>
      <c r="F121" s="1"/>
      <c r="G121" s="1"/>
      <c r="H121" s="1"/>
      <c r="I121" s="1"/>
      <c r="J121" s="1"/>
      <c r="K121" s="1"/>
    </row>
    <row r="122" spans="2:11" ht="15.75">
      <c r="B122" s="1"/>
      <c r="C122" s="1"/>
      <c r="D122" s="1"/>
      <c r="E122" s="275"/>
      <c r="F122" s="1"/>
      <c r="G122" s="1"/>
      <c r="H122" s="1"/>
      <c r="I122" s="1"/>
      <c r="J122" s="1"/>
      <c r="K122" s="1"/>
    </row>
    <row r="123" spans="2:11" ht="15.75">
      <c r="B123" s="1"/>
      <c r="C123" s="1"/>
      <c r="D123" s="1"/>
      <c r="E123" s="275"/>
      <c r="F123" s="1"/>
      <c r="G123" s="1"/>
      <c r="H123" s="1"/>
      <c r="I123" s="1"/>
      <c r="J123" s="1"/>
      <c r="K123" s="1"/>
    </row>
    <row r="124" spans="2:11" ht="15.75">
      <c r="B124" s="1"/>
      <c r="C124" s="1"/>
      <c r="D124" s="1"/>
      <c r="E124" s="275"/>
      <c r="F124" s="1"/>
      <c r="G124" s="1"/>
      <c r="H124" s="1"/>
      <c r="I124" s="1"/>
      <c r="J124" s="1"/>
      <c r="K124" s="1"/>
    </row>
    <row r="125" spans="2:11" ht="15.75">
      <c r="B125" s="1"/>
      <c r="C125" s="1"/>
      <c r="D125" s="1"/>
      <c r="E125" s="275"/>
      <c r="F125" s="1"/>
      <c r="G125" s="1"/>
      <c r="H125" s="1"/>
      <c r="I125" s="1"/>
      <c r="J125" s="1"/>
      <c r="K125" s="1"/>
    </row>
    <row r="126" spans="2:11" ht="15.75">
      <c r="B126" s="1"/>
      <c r="C126" s="1"/>
      <c r="D126" s="1"/>
      <c r="E126" s="275"/>
      <c r="F126" s="1"/>
      <c r="G126" s="1"/>
      <c r="H126" s="1"/>
      <c r="I126" s="1"/>
      <c r="J126" s="1"/>
      <c r="K126" s="1"/>
    </row>
    <row r="127" spans="2:11" ht="15.75">
      <c r="B127" s="1"/>
      <c r="C127" s="1"/>
      <c r="D127" s="1"/>
      <c r="E127" s="275"/>
      <c r="F127" s="1"/>
      <c r="G127" s="1"/>
      <c r="H127" s="1"/>
      <c r="I127" s="1"/>
      <c r="J127" s="1"/>
      <c r="K127" s="1"/>
    </row>
    <row r="128" spans="2:11" ht="15.75">
      <c r="B128" s="1"/>
      <c r="C128" s="1"/>
      <c r="D128" s="1"/>
      <c r="E128" s="275"/>
      <c r="F128" s="1"/>
      <c r="G128" s="1"/>
      <c r="H128" s="1"/>
      <c r="I128" s="1"/>
      <c r="J128" s="1"/>
      <c r="K128" s="1"/>
    </row>
    <row r="129" spans="2:11" ht="15.75">
      <c r="B129" s="1"/>
      <c r="C129" s="1"/>
      <c r="D129" s="1"/>
      <c r="E129" s="275"/>
      <c r="F129" s="1"/>
      <c r="G129" s="1"/>
      <c r="H129" s="1"/>
      <c r="I129" s="1"/>
      <c r="J129" s="1"/>
      <c r="K129" s="1"/>
    </row>
    <row r="130" spans="2:11" ht="15.75">
      <c r="B130" s="1"/>
      <c r="C130" s="1"/>
      <c r="D130" s="1"/>
      <c r="E130" s="275"/>
      <c r="F130" s="1"/>
      <c r="G130" s="1"/>
      <c r="H130" s="1"/>
      <c r="I130" s="1"/>
      <c r="J130" s="1"/>
      <c r="K130" s="1"/>
    </row>
    <row r="131" spans="2:11" ht="15.75">
      <c r="B131" s="1"/>
      <c r="C131" s="1"/>
      <c r="D131" s="1"/>
      <c r="E131" s="275"/>
      <c r="F131" s="1"/>
      <c r="G131" s="1"/>
      <c r="H131" s="1"/>
      <c r="I131" s="1"/>
      <c r="J131" s="1"/>
      <c r="K131" s="1"/>
    </row>
    <row r="132" spans="2:11" ht="15.75">
      <c r="B132" s="1"/>
      <c r="C132" s="1"/>
      <c r="D132" s="1"/>
      <c r="E132" s="275"/>
      <c r="F132" s="1"/>
      <c r="G132" s="1"/>
      <c r="H132" s="1"/>
      <c r="I132" s="1"/>
      <c r="J132" s="1"/>
      <c r="K132" s="1"/>
    </row>
    <row r="133" spans="2:11" ht="15.75">
      <c r="B133" s="1"/>
      <c r="C133" s="1"/>
      <c r="D133" s="1"/>
      <c r="E133" s="275"/>
      <c r="F133" s="1"/>
      <c r="G133" s="1"/>
      <c r="H133" s="1"/>
      <c r="I133" s="1"/>
      <c r="J133" s="1"/>
      <c r="K133" s="1"/>
    </row>
    <row r="134" spans="2:11" ht="15.75">
      <c r="B134" s="1"/>
      <c r="C134" s="1"/>
      <c r="D134" s="1"/>
      <c r="E134" s="275"/>
      <c r="F134" s="1"/>
      <c r="G134" s="1"/>
      <c r="H134" s="1"/>
      <c r="I134" s="1"/>
      <c r="J134" s="1"/>
      <c r="K134" s="1"/>
    </row>
    <row r="135" spans="2:11" ht="15.75">
      <c r="B135" s="1"/>
      <c r="C135" s="1"/>
      <c r="D135" s="1"/>
      <c r="E135" s="275"/>
      <c r="F135" s="1"/>
      <c r="G135" s="1"/>
      <c r="H135" s="1"/>
      <c r="I135" s="1"/>
      <c r="J135" s="1"/>
      <c r="K135" s="1"/>
    </row>
    <row r="136" spans="2:11" ht="15.75">
      <c r="B136" s="1"/>
      <c r="C136" s="1"/>
      <c r="D136" s="1"/>
      <c r="E136" s="275"/>
      <c r="F136" s="1"/>
      <c r="G136" s="1"/>
      <c r="H136" s="1"/>
      <c r="I136" s="1"/>
      <c r="J136" s="1"/>
      <c r="K136" s="1"/>
    </row>
    <row r="137" spans="2:11" ht="15.75">
      <c r="B137" s="1"/>
      <c r="C137" s="1"/>
      <c r="D137" s="1"/>
      <c r="E137" s="275"/>
      <c r="F137" s="1"/>
      <c r="G137" s="1"/>
      <c r="H137" s="1"/>
      <c r="I137" s="1"/>
      <c r="J137" s="1"/>
      <c r="K137" s="1"/>
    </row>
  </sheetData>
  <sheetProtection/>
  <mergeCells count="56">
    <mergeCell ref="A73:A74"/>
    <mergeCell ref="B73:B74"/>
    <mergeCell ref="K73:K74"/>
    <mergeCell ref="A69:A70"/>
    <mergeCell ref="B69:B70"/>
    <mergeCell ref="K69:K70"/>
    <mergeCell ref="A64:A65"/>
    <mergeCell ref="B64:B65"/>
    <mergeCell ref="K64:K65"/>
    <mergeCell ref="A66:A67"/>
    <mergeCell ref="B66:B67"/>
    <mergeCell ref="K66:K67"/>
    <mergeCell ref="A53:A54"/>
    <mergeCell ref="B53:B54"/>
    <mergeCell ref="K53:K54"/>
    <mergeCell ref="A62:A63"/>
    <mergeCell ref="B62:B63"/>
    <mergeCell ref="K62:K63"/>
    <mergeCell ref="K55:K61"/>
    <mergeCell ref="K37:K47"/>
    <mergeCell ref="A48:A49"/>
    <mergeCell ref="B48:B49"/>
    <mergeCell ref="K48:K49"/>
    <mergeCell ref="A50:A52"/>
    <mergeCell ref="B50:B52"/>
    <mergeCell ref="K50:K52"/>
    <mergeCell ref="B79:C79"/>
    <mergeCell ref="A27:A33"/>
    <mergeCell ref="A37:A43"/>
    <mergeCell ref="C37:C43"/>
    <mergeCell ref="A55:A61"/>
    <mergeCell ref="C55:C61"/>
    <mergeCell ref="C27:C34"/>
    <mergeCell ref="A35:A36"/>
    <mergeCell ref="B35:B36"/>
    <mergeCell ref="A44:A45"/>
    <mergeCell ref="C15:C20"/>
    <mergeCell ref="K15:K20"/>
    <mergeCell ref="A21:A24"/>
    <mergeCell ref="C21:C24"/>
    <mergeCell ref="K21:K24"/>
    <mergeCell ref="B75:C75"/>
    <mergeCell ref="K35:K36"/>
    <mergeCell ref="B44:B45"/>
    <mergeCell ref="A46:A47"/>
    <mergeCell ref="B46:B47"/>
    <mergeCell ref="K2:L2"/>
    <mergeCell ref="B11:K11"/>
    <mergeCell ref="K27:K34"/>
    <mergeCell ref="A13:A14"/>
    <mergeCell ref="B13:B14"/>
    <mergeCell ref="C13:C14"/>
    <mergeCell ref="D13:D14"/>
    <mergeCell ref="E13:J13"/>
    <mergeCell ref="K13:K14"/>
    <mergeCell ref="A15:A20"/>
  </mergeCells>
  <printOptions horizontalCentered="1"/>
  <pageMargins left="0" right="0" top="1.1811023622047245" bottom="0" header="0" footer="0"/>
  <pageSetup fitToHeight="2" fitToWidth="1" horizontalDpi="600" verticalDpi="600" orientation="landscape" paperSize="9" scale="50" r:id="rId1"/>
  <rowBreaks count="1" manualBreakCount="1">
    <brk id="43" max="11" man="1"/>
  </rowBreaks>
</worksheet>
</file>

<file path=xl/worksheets/sheet9.xml><?xml version="1.0" encoding="utf-8"?>
<worksheet xmlns="http://schemas.openxmlformats.org/spreadsheetml/2006/main" xmlns:r="http://schemas.openxmlformats.org/officeDocument/2006/relationships">
  <sheetPr>
    <tabColor rgb="FFFFFF00"/>
    <pageSetUpPr fitToPage="1"/>
  </sheetPr>
  <dimension ref="A1:K42"/>
  <sheetViews>
    <sheetView view="pageBreakPreview" zoomScale="87" zoomScaleSheetLayoutView="87" zoomScalePageLayoutView="0" workbookViewId="0" topLeftCell="A10">
      <selection activeCell="B27" sqref="B27:B28"/>
    </sheetView>
  </sheetViews>
  <sheetFormatPr defaultColWidth="9.140625" defaultRowHeight="12.75"/>
  <cols>
    <col min="1" max="1" width="6.7109375" style="150" customWidth="1"/>
    <col min="2" max="2" width="47.7109375" style="150" customWidth="1"/>
    <col min="3" max="3" width="18.00390625" style="150" customWidth="1"/>
    <col min="4" max="4" width="18.8515625" style="150" customWidth="1"/>
    <col min="5" max="5" width="17.140625" style="150" customWidth="1"/>
    <col min="6" max="6" width="16.421875" style="150" customWidth="1"/>
    <col min="7" max="7" width="17.7109375" style="150" customWidth="1"/>
    <col min="8" max="8" width="55.57421875" style="150" customWidth="1"/>
    <col min="9" max="10" width="9.140625" style="150" hidden="1" customWidth="1"/>
    <col min="11" max="11" width="9.8515625" style="150" hidden="1" customWidth="1"/>
    <col min="12" max="12" width="10.140625" style="150" customWidth="1"/>
    <col min="13" max="16384" width="9.140625" style="150" customWidth="1"/>
  </cols>
  <sheetData>
    <row r="1" spans="2:9" ht="18.75">
      <c r="B1" s="157"/>
      <c r="C1" s="157"/>
      <c r="D1" s="157"/>
      <c r="E1" s="157"/>
      <c r="F1" s="157"/>
      <c r="G1" s="647" t="s">
        <v>492</v>
      </c>
      <c r="H1" s="647"/>
      <c r="I1" s="206" t="s">
        <v>19</v>
      </c>
    </row>
    <row r="2" spans="2:9" ht="18.75">
      <c r="B2" s="157"/>
      <c r="C2" s="157"/>
      <c r="D2" s="157"/>
      <c r="E2" s="157"/>
      <c r="F2" s="157"/>
      <c r="G2" s="647" t="s">
        <v>11</v>
      </c>
      <c r="H2" s="647"/>
      <c r="I2" s="207" t="s">
        <v>11</v>
      </c>
    </row>
    <row r="3" spans="2:9" ht="18.75">
      <c r="B3" s="157"/>
      <c r="C3" s="157"/>
      <c r="D3" s="157"/>
      <c r="E3" s="157"/>
      <c r="F3" s="157"/>
      <c r="G3" s="208" t="s">
        <v>685</v>
      </c>
      <c r="H3" s="208"/>
      <c r="I3" s="207"/>
    </row>
    <row r="4" spans="2:9" ht="18.75">
      <c r="B4" s="157"/>
      <c r="C4" s="157"/>
      <c r="D4" s="157"/>
      <c r="E4" s="157"/>
      <c r="F4" s="157"/>
      <c r="G4" s="208" t="s">
        <v>686</v>
      </c>
      <c r="H4" s="208"/>
      <c r="I4" s="207" t="s">
        <v>21</v>
      </c>
    </row>
    <row r="5" spans="2:9" ht="18.75">
      <c r="B5" s="157"/>
      <c r="C5" s="157"/>
      <c r="D5" s="157"/>
      <c r="E5" s="157"/>
      <c r="F5" s="157"/>
      <c r="G5" s="208" t="s">
        <v>688</v>
      </c>
      <c r="H5" s="208"/>
      <c r="I5" s="207" t="s">
        <v>23</v>
      </c>
    </row>
    <row r="6" spans="2:9" ht="18.75">
      <c r="B6" s="157"/>
      <c r="C6" s="157"/>
      <c r="D6" s="157"/>
      <c r="E6" s="157"/>
      <c r="F6" s="157"/>
      <c r="G6" s="208" t="s">
        <v>687</v>
      </c>
      <c r="H6" s="208"/>
      <c r="I6" s="207"/>
    </row>
    <row r="7" spans="2:9" ht="18.75">
      <c r="B7" s="157"/>
      <c r="C7" s="157"/>
      <c r="D7" s="157"/>
      <c r="E7" s="157"/>
      <c r="F7" s="157"/>
      <c r="G7" s="208" t="s">
        <v>677</v>
      </c>
      <c r="H7" s="208"/>
      <c r="I7" s="207" t="s">
        <v>24</v>
      </c>
    </row>
    <row r="8" spans="2:9" ht="15.75">
      <c r="B8" s="157"/>
      <c r="C8" s="157"/>
      <c r="D8" s="157"/>
      <c r="E8" s="157"/>
      <c r="F8" s="157"/>
      <c r="G8" s="157" t="s">
        <v>738</v>
      </c>
      <c r="H8" s="157"/>
      <c r="I8" s="157"/>
    </row>
    <row r="9" spans="1:9" ht="36.75" customHeight="1">
      <c r="A9" s="648" t="s">
        <v>621</v>
      </c>
      <c r="B9" s="648"/>
      <c r="C9" s="648"/>
      <c r="D9" s="648"/>
      <c r="E9" s="648"/>
      <c r="F9" s="648"/>
      <c r="G9" s="648"/>
      <c r="H9" s="648"/>
      <c r="I9" s="157"/>
    </row>
    <row r="10" spans="2:9" ht="15.75">
      <c r="B10" s="157"/>
      <c r="C10" s="157"/>
      <c r="D10" s="649"/>
      <c r="E10" s="649"/>
      <c r="F10" s="649"/>
      <c r="G10" s="157"/>
      <c r="H10" s="439" t="s">
        <v>462</v>
      </c>
      <c r="I10" s="157"/>
    </row>
    <row r="11" spans="1:9" ht="18.75">
      <c r="A11" s="650" t="s">
        <v>32</v>
      </c>
      <c r="B11" s="650" t="s">
        <v>12</v>
      </c>
      <c r="C11" s="650" t="s">
        <v>13</v>
      </c>
      <c r="D11" s="650" t="s">
        <v>428</v>
      </c>
      <c r="E11" s="658" t="s">
        <v>9</v>
      </c>
      <c r="F11" s="658"/>
      <c r="G11" s="659"/>
      <c r="H11" s="660" t="s">
        <v>15</v>
      </c>
      <c r="I11" s="157"/>
    </row>
    <row r="12" spans="1:9" ht="15.75" customHeight="1">
      <c r="A12" s="651"/>
      <c r="B12" s="651"/>
      <c r="C12" s="651"/>
      <c r="D12" s="651"/>
      <c r="E12" s="650" t="s">
        <v>466</v>
      </c>
      <c r="F12" s="650" t="s">
        <v>435</v>
      </c>
      <c r="G12" s="660" t="s">
        <v>458</v>
      </c>
      <c r="H12" s="660"/>
      <c r="I12" s="157"/>
    </row>
    <row r="13" spans="1:9" ht="26.25" customHeight="1">
      <c r="A13" s="652"/>
      <c r="B13" s="652"/>
      <c r="C13" s="652"/>
      <c r="D13" s="652"/>
      <c r="E13" s="652"/>
      <c r="F13" s="652"/>
      <c r="G13" s="660"/>
      <c r="H13" s="660"/>
      <c r="I13" s="157"/>
    </row>
    <row r="14" spans="1:9" ht="35.25" customHeight="1">
      <c r="A14" s="655">
        <v>1</v>
      </c>
      <c r="B14" s="581" t="s">
        <v>211</v>
      </c>
      <c r="C14" s="239" t="s">
        <v>16</v>
      </c>
      <c r="D14" s="249">
        <f aca="true" t="shared" si="0" ref="D14:D28">E14+F14+G14</f>
        <v>30500.9</v>
      </c>
      <c r="E14" s="250">
        <v>15200.9</v>
      </c>
      <c r="F14" s="250">
        <v>15300</v>
      </c>
      <c r="G14" s="250"/>
      <c r="H14" s="655" t="s">
        <v>55</v>
      </c>
      <c r="I14" s="157"/>
    </row>
    <row r="15" spans="1:9" ht="18.75">
      <c r="A15" s="656"/>
      <c r="B15" s="582"/>
      <c r="C15" s="239" t="s">
        <v>643</v>
      </c>
      <c r="D15" s="249">
        <f t="shared" si="0"/>
        <v>15300</v>
      </c>
      <c r="E15" s="250"/>
      <c r="F15" s="250"/>
      <c r="G15" s="250">
        <f>15400-100</f>
        <v>15300</v>
      </c>
      <c r="H15" s="656"/>
      <c r="I15" s="157"/>
    </row>
    <row r="16" spans="1:11" ht="33.75" customHeight="1">
      <c r="A16" s="655">
        <v>2</v>
      </c>
      <c r="B16" s="653" t="s">
        <v>209</v>
      </c>
      <c r="C16" s="239" t="s">
        <v>16</v>
      </c>
      <c r="D16" s="249">
        <f t="shared" si="0"/>
        <v>11.9</v>
      </c>
      <c r="E16" s="250">
        <v>3</v>
      </c>
      <c r="F16" s="250">
        <f>3.5+5.4</f>
        <v>8.9</v>
      </c>
      <c r="G16" s="250"/>
      <c r="H16" s="655" t="s">
        <v>31</v>
      </c>
      <c r="I16" s="157"/>
      <c r="K16" s="150">
        <v>441</v>
      </c>
    </row>
    <row r="17" spans="1:9" ht="18.75">
      <c r="A17" s="656"/>
      <c r="B17" s="654"/>
      <c r="C17" s="239" t="s">
        <v>643</v>
      </c>
      <c r="D17" s="249">
        <f t="shared" si="0"/>
        <v>13</v>
      </c>
      <c r="E17" s="250"/>
      <c r="F17" s="250"/>
      <c r="G17" s="250">
        <f>10+3</f>
        <v>13</v>
      </c>
      <c r="H17" s="656"/>
      <c r="I17" s="157"/>
    </row>
    <row r="18" spans="1:9" ht="35.25" customHeight="1">
      <c r="A18" s="655">
        <v>3</v>
      </c>
      <c r="B18" s="653" t="s">
        <v>129</v>
      </c>
      <c r="C18" s="239" t="s">
        <v>16</v>
      </c>
      <c r="D18" s="249">
        <f t="shared" si="0"/>
        <v>9900.2</v>
      </c>
      <c r="E18" s="250">
        <v>4800.2</v>
      </c>
      <c r="F18" s="250">
        <v>5100</v>
      </c>
      <c r="G18" s="250"/>
      <c r="H18" s="655" t="s">
        <v>208</v>
      </c>
      <c r="I18" s="157"/>
    </row>
    <row r="19" spans="1:9" ht="18.75">
      <c r="A19" s="656"/>
      <c r="B19" s="654"/>
      <c r="C19" s="239" t="s">
        <v>643</v>
      </c>
      <c r="D19" s="249">
        <f t="shared" si="0"/>
        <v>5200</v>
      </c>
      <c r="E19" s="250"/>
      <c r="F19" s="250"/>
      <c r="G19" s="250">
        <v>5200</v>
      </c>
      <c r="H19" s="656"/>
      <c r="I19" s="157"/>
    </row>
    <row r="20" spans="1:9" ht="33.75" customHeight="1">
      <c r="A20" s="655">
        <v>4</v>
      </c>
      <c r="B20" s="653" t="s">
        <v>130</v>
      </c>
      <c r="C20" s="239" t="s">
        <v>16</v>
      </c>
      <c r="D20" s="249">
        <f t="shared" si="0"/>
        <v>355</v>
      </c>
      <c r="E20" s="250">
        <v>175</v>
      </c>
      <c r="F20" s="250">
        <v>180</v>
      </c>
      <c r="G20" s="250"/>
      <c r="H20" s="655" t="s">
        <v>55</v>
      </c>
      <c r="I20" s="157"/>
    </row>
    <row r="21" spans="1:9" ht="18.75">
      <c r="A21" s="656"/>
      <c r="B21" s="654"/>
      <c r="C21" s="239" t="s">
        <v>643</v>
      </c>
      <c r="D21" s="249">
        <f t="shared" si="0"/>
        <v>185</v>
      </c>
      <c r="E21" s="250"/>
      <c r="F21" s="250"/>
      <c r="G21" s="250">
        <v>185</v>
      </c>
      <c r="H21" s="656"/>
      <c r="I21" s="157"/>
    </row>
    <row r="22" spans="1:9" ht="44.25" customHeight="1">
      <c r="A22" s="655">
        <v>5</v>
      </c>
      <c r="B22" s="653" t="s">
        <v>131</v>
      </c>
      <c r="C22" s="239" t="s">
        <v>16</v>
      </c>
      <c r="D22" s="249">
        <f t="shared" si="0"/>
        <v>811.6</v>
      </c>
      <c r="E22" s="250">
        <v>401.6</v>
      </c>
      <c r="F22" s="250">
        <v>410</v>
      </c>
      <c r="G22" s="250"/>
      <c r="H22" s="655" t="s">
        <v>132</v>
      </c>
      <c r="I22" s="157"/>
    </row>
    <row r="23" spans="1:9" ht="28.5" customHeight="1">
      <c r="A23" s="656"/>
      <c r="B23" s="654"/>
      <c r="C23" s="239" t="s">
        <v>643</v>
      </c>
      <c r="D23" s="249">
        <f t="shared" si="0"/>
        <v>415</v>
      </c>
      <c r="E23" s="250"/>
      <c r="F23" s="250"/>
      <c r="G23" s="250">
        <v>415</v>
      </c>
      <c r="H23" s="656"/>
      <c r="I23" s="157"/>
    </row>
    <row r="24" spans="1:9" ht="23.25" customHeight="1">
      <c r="A24" s="655">
        <v>6</v>
      </c>
      <c r="B24" s="653" t="s">
        <v>782</v>
      </c>
      <c r="C24" s="239" t="s">
        <v>262</v>
      </c>
      <c r="D24" s="249">
        <f t="shared" si="0"/>
        <v>459</v>
      </c>
      <c r="E24" s="250">
        <v>116</v>
      </c>
      <c r="F24" s="250">
        <f>120+98</f>
        <v>218</v>
      </c>
      <c r="G24" s="250">
        <v>125</v>
      </c>
      <c r="H24" s="655" t="s">
        <v>55</v>
      </c>
      <c r="I24" s="157"/>
    </row>
    <row r="25" spans="1:9" ht="29.25" customHeight="1">
      <c r="A25" s="662"/>
      <c r="B25" s="663"/>
      <c r="C25" s="239" t="s">
        <v>16</v>
      </c>
      <c r="D25" s="249">
        <f t="shared" si="0"/>
        <v>334</v>
      </c>
      <c r="E25" s="250">
        <v>116</v>
      </c>
      <c r="F25" s="250">
        <f>120+98</f>
        <v>218</v>
      </c>
      <c r="G25" s="250"/>
      <c r="H25" s="662"/>
      <c r="I25" s="157"/>
    </row>
    <row r="26" spans="1:9" ht="39" customHeight="1">
      <c r="A26" s="656"/>
      <c r="B26" s="654"/>
      <c r="C26" s="239" t="s">
        <v>643</v>
      </c>
      <c r="D26" s="249">
        <f t="shared" si="0"/>
        <v>125</v>
      </c>
      <c r="E26" s="250"/>
      <c r="F26" s="250"/>
      <c r="G26" s="250">
        <v>125</v>
      </c>
      <c r="H26" s="656"/>
      <c r="I26" s="157"/>
    </row>
    <row r="27" spans="1:9" ht="34.5" customHeight="1">
      <c r="A27" s="655">
        <v>7</v>
      </c>
      <c r="B27" s="653" t="s">
        <v>210</v>
      </c>
      <c r="C27" s="239" t="s">
        <v>16</v>
      </c>
      <c r="D27" s="249">
        <f t="shared" si="0"/>
        <v>2500</v>
      </c>
      <c r="E27" s="250">
        <v>1000</v>
      </c>
      <c r="F27" s="250">
        <v>1500</v>
      </c>
      <c r="G27" s="250"/>
      <c r="H27" s="655" t="s">
        <v>55</v>
      </c>
      <c r="I27" s="157"/>
    </row>
    <row r="28" spans="1:9" ht="18.75">
      <c r="A28" s="656"/>
      <c r="B28" s="654"/>
      <c r="C28" s="239" t="s">
        <v>643</v>
      </c>
      <c r="D28" s="249">
        <f t="shared" si="0"/>
        <v>2000</v>
      </c>
      <c r="E28" s="250"/>
      <c r="F28" s="250"/>
      <c r="G28" s="250">
        <v>2000</v>
      </c>
      <c r="H28" s="656"/>
      <c r="I28" s="157"/>
    </row>
    <row r="29" spans="1:9" ht="56.25" customHeight="1">
      <c r="A29" s="209">
        <v>8</v>
      </c>
      <c r="B29" s="238" t="s">
        <v>536</v>
      </c>
      <c r="C29" s="239" t="s">
        <v>643</v>
      </c>
      <c r="D29" s="249">
        <f>E29+F29+G29</f>
        <v>1600</v>
      </c>
      <c r="E29" s="250"/>
      <c r="F29" s="250"/>
      <c r="G29" s="250">
        <f>1500+100</f>
        <v>1600</v>
      </c>
      <c r="H29" s="209" t="s">
        <v>55</v>
      </c>
      <c r="I29" s="157"/>
    </row>
    <row r="30" spans="1:9" ht="18.75">
      <c r="A30" s="210"/>
      <c r="B30" s="251" t="s">
        <v>5</v>
      </c>
      <c r="C30" s="252"/>
      <c r="D30" s="249">
        <f>E30+F30+G30</f>
        <v>69710.6</v>
      </c>
      <c r="E30" s="249">
        <f>E27+E25+E24+E22+E20+E18+E16+E14</f>
        <v>21812.699999999997</v>
      </c>
      <c r="F30" s="249">
        <f>F27+F25+F24+F22+F20+F18+F16+F14</f>
        <v>22934.9</v>
      </c>
      <c r="G30" s="249">
        <f>G27+G25+G24+G22+G20+G18+G16+G14+G29+G15+G17+G19+G21+G23+G26+G28</f>
        <v>24963</v>
      </c>
      <c r="H30" s="211"/>
      <c r="I30" s="157"/>
    </row>
    <row r="31" spans="1:9" ht="15.75">
      <c r="A31" s="212"/>
      <c r="B31" s="213"/>
      <c r="C31" s="213"/>
      <c r="D31" s="214"/>
      <c r="E31" s="214"/>
      <c r="F31" s="214"/>
      <c r="G31" s="214"/>
      <c r="H31" s="215"/>
      <c r="I31" s="157"/>
    </row>
    <row r="32" spans="1:9" ht="15.75">
      <c r="A32" s="212"/>
      <c r="B32" s="213"/>
      <c r="C32" s="213"/>
      <c r="D32" s="214"/>
      <c r="E32" s="214"/>
      <c r="F32" s="214"/>
      <c r="G32" s="214"/>
      <c r="H32" s="215"/>
      <c r="I32" s="157"/>
    </row>
    <row r="33" spans="1:9" ht="15.75">
      <c r="A33" s="212"/>
      <c r="B33" s="213"/>
      <c r="C33" s="213"/>
      <c r="D33" s="214"/>
      <c r="E33" s="214"/>
      <c r="F33" s="214"/>
      <c r="G33" s="214"/>
      <c r="H33" s="215"/>
      <c r="I33" s="157"/>
    </row>
    <row r="34" spans="2:9" ht="15.75">
      <c r="B34" s="213"/>
      <c r="C34" s="213"/>
      <c r="D34" s="214"/>
      <c r="E34" s="214"/>
      <c r="F34" s="214"/>
      <c r="G34" s="214"/>
      <c r="H34" s="215"/>
      <c r="I34" s="157"/>
    </row>
    <row r="35" spans="2:9" ht="18.75">
      <c r="B35" s="657" t="s">
        <v>18</v>
      </c>
      <c r="C35" s="657"/>
      <c r="D35" s="405"/>
      <c r="E35" s="216"/>
      <c r="F35" s="216"/>
      <c r="G35" s="153"/>
      <c r="H35" s="153" t="s">
        <v>30</v>
      </c>
      <c r="I35" s="153"/>
    </row>
    <row r="36" spans="2:9" ht="18.75">
      <c r="B36" s="151"/>
      <c r="C36" s="151"/>
      <c r="D36" s="151"/>
      <c r="E36" s="216"/>
      <c r="F36" s="216"/>
      <c r="G36" s="153"/>
      <c r="H36" s="217"/>
      <c r="I36" s="153"/>
    </row>
    <row r="37" spans="2:9" ht="18.75">
      <c r="B37" s="151"/>
      <c r="C37" s="151"/>
      <c r="D37" s="151"/>
      <c r="E37" s="216"/>
      <c r="F37" s="216"/>
      <c r="G37" s="153"/>
      <c r="H37" s="217"/>
      <c r="I37" s="153"/>
    </row>
    <row r="38" spans="2:8" ht="18.75">
      <c r="B38" s="661" t="s">
        <v>670</v>
      </c>
      <c r="C38" s="661"/>
      <c r="D38" s="155"/>
      <c r="E38" s="156"/>
      <c r="F38" s="156"/>
      <c r="G38" s="157"/>
      <c r="H38" s="157"/>
    </row>
    <row r="39" spans="2:10" ht="15.75">
      <c r="B39" s="158" t="s">
        <v>10</v>
      </c>
      <c r="C39" s="158"/>
      <c r="D39" s="156"/>
      <c r="E39" s="156"/>
      <c r="F39" s="156"/>
      <c r="G39" s="157"/>
      <c r="H39" s="157"/>
      <c r="J39" s="207"/>
    </row>
    <row r="40" spans="2:8" ht="15.75">
      <c r="B40" s="218"/>
      <c r="C40" s="219"/>
      <c r="D40" s="220"/>
      <c r="E40" s="156"/>
      <c r="F40" s="156"/>
      <c r="G40" s="157"/>
      <c r="H40" s="157"/>
    </row>
    <row r="41" spans="3:7" ht="15.75">
      <c r="C41" s="220"/>
      <c r="D41" s="156"/>
      <c r="E41" s="156"/>
      <c r="F41" s="156"/>
      <c r="G41" s="156"/>
    </row>
    <row r="42" spans="3:7" ht="15.75">
      <c r="C42" s="221"/>
      <c r="D42" s="156"/>
      <c r="E42" s="156"/>
      <c r="F42" s="156"/>
      <c r="G42" s="156"/>
    </row>
  </sheetData>
  <sheetProtection/>
  <mergeCells count="36">
    <mergeCell ref="B27:B28"/>
    <mergeCell ref="H27:H28"/>
    <mergeCell ref="H20:H21"/>
    <mergeCell ref="A22:A23"/>
    <mergeCell ref="B22:B23"/>
    <mergeCell ref="H22:H23"/>
    <mergeCell ref="A24:A26"/>
    <mergeCell ref="B24:B26"/>
    <mergeCell ref="H24:H26"/>
    <mergeCell ref="B38:C38"/>
    <mergeCell ref="H11:H13"/>
    <mergeCell ref="E12:E13"/>
    <mergeCell ref="F12:F13"/>
    <mergeCell ref="B11:B13"/>
    <mergeCell ref="C11:C13"/>
    <mergeCell ref="B14:B15"/>
    <mergeCell ref="H14:H15"/>
    <mergeCell ref="B16:B17"/>
    <mergeCell ref="H16:H17"/>
    <mergeCell ref="B35:C35"/>
    <mergeCell ref="D11:D13"/>
    <mergeCell ref="E11:G11"/>
    <mergeCell ref="G12:G13"/>
    <mergeCell ref="A14:A15"/>
    <mergeCell ref="A16:A17"/>
    <mergeCell ref="A18:A19"/>
    <mergeCell ref="A20:A21"/>
    <mergeCell ref="B20:B21"/>
    <mergeCell ref="A27:A28"/>
    <mergeCell ref="G1:H1"/>
    <mergeCell ref="G2:H2"/>
    <mergeCell ref="A9:H9"/>
    <mergeCell ref="D10:F10"/>
    <mergeCell ref="A11:A13"/>
    <mergeCell ref="B18:B19"/>
    <mergeCell ref="H18:H19"/>
  </mergeCells>
  <printOptions horizontalCentered="1"/>
  <pageMargins left="0" right="0" top="1.1811023622047245" bottom="0"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Кузнєцова Олена Анатоліївна</cp:lastModifiedBy>
  <cp:lastPrinted>2020-07-15T06:50:58Z</cp:lastPrinted>
  <dcterms:created xsi:type="dcterms:W3CDTF">1996-10-08T23:32:33Z</dcterms:created>
  <dcterms:modified xsi:type="dcterms:W3CDTF">2020-07-15T06:52:10Z</dcterms:modified>
  <cp:category/>
  <cp:version/>
  <cp:contentType/>
  <cp:contentStatus/>
</cp:coreProperties>
</file>