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казники" sheetId="1" r:id="rId1"/>
  </sheets>
  <definedNames>
    <definedName name="_xlnm.Print_Area" localSheetId="0">'Показники'!$A$1:$K$401</definedName>
  </definedNames>
  <calcPr fullCalcOnLoad="1"/>
</workbook>
</file>

<file path=xl/sharedStrings.xml><?xml version="1.0" encoding="utf-8"?>
<sst xmlns="http://schemas.openxmlformats.org/spreadsheetml/2006/main" count="409" uniqueCount="244">
  <si>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</si>
  <si>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</si>
  <si>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</si>
  <si>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</si>
  <si>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</si>
  <si>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</si>
  <si>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</si>
  <si>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</si>
  <si>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</si>
  <si>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</si>
  <si>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</si>
  <si>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</si>
  <si>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</si>
  <si>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</si>
  <si>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</si>
  <si>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</si>
  <si>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</si>
  <si>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</si>
  <si>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</si>
  <si>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</si>
  <si>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</si>
  <si>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</si>
  <si>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</si>
  <si>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</si>
  <si>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</si>
  <si>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</si>
  <si>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</si>
  <si>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</si>
  <si>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</si>
  <si>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</si>
  <si>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</si>
  <si>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</si>
  <si>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</si>
  <si>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</si>
  <si>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</si>
  <si>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</si>
  <si>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</si>
  <si>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</si>
  <si>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</si>
  <si>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</si>
  <si>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</si>
  <si>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</si>
  <si>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</si>
  <si>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</si>
  <si>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</si>
  <si>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</si>
  <si>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</si>
  <si>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</si>
  <si>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</si>
  <si>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</si>
  <si>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</si>
  <si>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</si>
  <si>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</si>
  <si>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</si>
  <si>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</si>
  <si>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</si>
  <si>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</si>
  <si>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</si>
  <si>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</si>
  <si>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</si>
  <si>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</si>
  <si>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</si>
  <si>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</si>
  <si>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</si>
  <si>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</si>
  <si>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</si>
  <si>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</si>
  <si>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</si>
  <si>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</si>
  <si>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</si>
  <si>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</si>
  <si>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</si>
  <si>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</si>
  <si>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</si>
  <si>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</si>
  <si>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</si>
  <si>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</si>
  <si>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</si>
  <si>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</si>
  <si>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</si>
  <si>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</si>
  <si>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</si>
  <si>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</si>
  <si>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</si>
  <si>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</si>
  <si>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</si>
  <si>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</si>
  <si>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</si>
  <si>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</si>
  <si>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</si>
  <si>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</si>
  <si>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</si>
  <si>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</si>
  <si>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</si>
  <si>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</si>
  <si>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</si>
  <si>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</si>
  <si>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</si>
  <si>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</si>
  <si>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</si>
  <si>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</si>
  <si>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</si>
  <si>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</si>
  <si>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</si>
  <si>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</si>
  <si>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</si>
  <si>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</si>
  <si>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</si>
  <si>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</si>
  <si>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</si>
  <si>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</si>
  <si>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</si>
  <si>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</si>
  <si>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</si>
  <si>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</si>
  <si>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</si>
  <si>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</si>
  <si>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</si>
  <si>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</si>
  <si>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</si>
  <si>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</si>
  <si>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</si>
  <si>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</si>
  <si>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</si>
  <si>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</si>
  <si>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</si>
  <si>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</si>
  <si>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</si>
  <si>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</si>
  <si>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</si>
  <si>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</si>
  <si>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</si>
  <si>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</si>
  <si>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</si>
  <si>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</si>
  <si>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</si>
  <si>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</si>
  <si>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</si>
  <si>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</si>
  <si>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</si>
  <si>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</si>
  <si>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</si>
  <si>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</si>
  <si>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</si>
  <si>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</si>
  <si>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</si>
  <si>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</si>
  <si>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</si>
  <si>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</si>
  <si>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</si>
  <si>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</si>
  <si>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</si>
  <si>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</si>
  <si>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</si>
  <si>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</si>
  <si>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</si>
  <si>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</si>
  <si>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</si>
  <si>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</si>
  <si>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</si>
  <si>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</si>
  <si>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</si>
  <si>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</si>
  <si>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</si>
  <si>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</si>
  <si>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</si>
  <si>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</si>
  <si>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</si>
  <si>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</si>
  <si>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</si>
  <si>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</si>
  <si>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</si>
  <si>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</si>
  <si>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</si>
  <si>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</si>
  <si>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</si>
  <si>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</si>
  <si>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</si>
  <si>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</si>
  <si>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</si>
  <si>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</si>
  <si>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</si>
  <si>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</si>
  <si>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</si>
  <si>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</si>
  <si>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</si>
  <si>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</si>
  <si>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</si>
  <si>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</si>
  <si>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</si>
  <si>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</si>
  <si>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</si>
  <si>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</si>
  <si>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</si>
  <si>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</si>
  <si>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</si>
  <si>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2020 рік (план)</t>
  </si>
  <si>
    <t>кількість осіб похилого віку, які будуть приймати участь у заходах, осіб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</si>
  <si>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</si>
  <si>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</si>
  <si>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</si>
  <si>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</si>
  <si>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</si>
  <si>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</si>
  <si>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</si>
  <si>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</si>
  <si>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</si>
  <si>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</si>
  <si>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</si>
  <si>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</si>
  <si>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</si>
  <si>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</si>
  <si>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</si>
  <si>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</si>
  <si>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</si>
  <si>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</si>
  <si>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</si>
  <si>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>Разом (бюджет Сумської міської ОТГ)</t>
  </si>
  <si>
    <t>Разом (міський бюджет)</t>
  </si>
  <si>
    <t>Сумський міський голова</t>
  </si>
  <si>
    <t>О.М. Лисенко</t>
  </si>
  <si>
    <t>Виконавець: Масік Т.О.</t>
  </si>
  <si>
    <t>___________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</si>
  <si>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</t>
  </si>
  <si>
    <t>середня кількість днів харчування в закладі загальної середньої освіти</t>
  </si>
  <si>
    <t>середня кількість днів харчування в дошкільному навчальному закладі</t>
  </si>
  <si>
    <t xml:space="preserve">Завдання 4.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</si>
  <si>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 xml:space="preserve">Завдання 3.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</si>
  <si>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 (в т.ч. погашення заборгованості за спожиту теплову енергію за минулі періоди у зв'язку з проведеними перерахунками                                              ТОВ «Сумитеплоенерго»).</t>
  </si>
  <si>
    <t>Завдання 6. Забезпечення проведення розрахунків за пільговий проїзд окремих категорій громадян залізничним транспортом приміського сполучення.</t>
  </si>
  <si>
    <t xml:space="preserve">Завдання 5.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 </t>
  </si>
  <si>
    <t xml:space="preserve">кредиторська заборгованість, що виникла станом на 01.01.2016 і не погашена за рахунок субвенції з державного бюджету, яку планується погасити, грн. </t>
  </si>
  <si>
    <t>відсоток погашення заборгованості,  що виникла станом на 01.01.2016 і не погашена за рахунок субвенції з державного бюджету, %</t>
  </si>
  <si>
    <t>Додаток 6</t>
  </si>
  <si>
    <t>Продовження додатка 6</t>
  </si>
  <si>
    <t>Завдання 7. 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</si>
  <si>
    <t xml:space="preserve">кількість отримувачів пільгових послуг, осіб </t>
  </si>
  <si>
    <t>середній розмір компенсаційних виплат, грн./в місяць на одну особу</t>
  </si>
  <si>
    <t>частка осіб, які скористалися пільговими послугами , %</t>
  </si>
  <si>
    <t>Завдання 3. 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віку.</t>
  </si>
  <si>
    <t xml:space="preserve">середній розмір витрат на одну особу похилого віку, охоплену заходами, грн. </t>
  </si>
  <si>
    <t>середній розмір витрат на одну особу, охоплену заходами та якій надано матеріальну допомогу до святкових та визначних дат, грн.</t>
  </si>
  <si>
    <t>від ___ липня 2020 року № ______-МР</t>
  </si>
  <si>
    <t>кількість громадян, які будуть охоплені заходами та яким буде надано матеріальну допомогу до святкових та визначних дат, осіб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</si>
</sst>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218" fontId="64" fillId="0" borderId="10" xfId="0" applyNumberFormat="1" applyFont="1" applyFill="1" applyBorder="1" applyAlignment="1">
      <alignment horizontal="center" vertical="center"/>
    </xf>
    <xf numFmtId="218" fontId="6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justify" vertical="top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 shrinkToFit="1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 shrinkToFit="1"/>
    </xf>
    <xf numFmtId="218" fontId="70" fillId="0" borderId="10" xfId="0" applyNumberFormat="1" applyFont="1" applyFill="1" applyBorder="1" applyAlignment="1">
      <alignment horizontal="center" vertical="center"/>
    </xf>
    <xf numFmtId="218" fontId="7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textRotation="180"/>
    </xf>
    <xf numFmtId="4" fontId="73" fillId="0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216" fontId="5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tabSelected="1" zoomScaleSheetLayoutView="80" zoomScalePageLayoutView="0" workbookViewId="0" topLeftCell="A1">
      <selection activeCell="G12" sqref="G12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200" t="s">
        <v>233</v>
      </c>
      <c r="I1" s="200"/>
      <c r="J1" s="200"/>
      <c r="K1" s="149"/>
    </row>
    <row r="2" spans="1:12" ht="84" customHeight="1">
      <c r="A2" s="12"/>
      <c r="H2" s="204" t="s">
        <v>223</v>
      </c>
      <c r="I2" s="204"/>
      <c r="J2" s="204"/>
      <c r="K2" s="204"/>
      <c r="L2" s="72"/>
    </row>
    <row r="3" spans="1:11" ht="15.75">
      <c r="A3" s="11"/>
      <c r="H3" s="205" t="s">
        <v>242</v>
      </c>
      <c r="I3" s="205"/>
      <c r="J3" s="205"/>
      <c r="K3" s="205"/>
    </row>
    <row r="4" spans="8:10" ht="15.75">
      <c r="H4" s="73"/>
      <c r="I4" s="73"/>
      <c r="J4" s="73"/>
    </row>
    <row r="5" spans="1:12" ht="41.25" customHeight="1">
      <c r="A5" s="201" t="s">
        <v>205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38"/>
    </row>
    <row r="6" ht="12.75">
      <c r="A6" s="74"/>
    </row>
    <row r="7" spans="1:12" ht="32.25" customHeight="1">
      <c r="A7" s="203" t="s">
        <v>70</v>
      </c>
      <c r="B7" s="203" t="s">
        <v>21</v>
      </c>
      <c r="C7" s="203" t="s">
        <v>206</v>
      </c>
      <c r="D7" s="203"/>
      <c r="E7" s="203"/>
      <c r="F7" s="203" t="s">
        <v>196</v>
      </c>
      <c r="G7" s="203"/>
      <c r="H7" s="203"/>
      <c r="I7" s="203" t="s">
        <v>130</v>
      </c>
      <c r="J7" s="203"/>
      <c r="K7" s="203"/>
      <c r="L7" s="39"/>
    </row>
    <row r="8" spans="1:12" ht="1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39"/>
    </row>
    <row r="9" spans="1:12" ht="18.75" customHeight="1">
      <c r="A9" s="203"/>
      <c r="B9" s="203"/>
      <c r="C9" s="210" t="s">
        <v>218</v>
      </c>
      <c r="D9" s="202" t="s">
        <v>0</v>
      </c>
      <c r="E9" s="202"/>
      <c r="F9" s="210" t="s">
        <v>217</v>
      </c>
      <c r="G9" s="202" t="s">
        <v>0</v>
      </c>
      <c r="H9" s="202"/>
      <c r="I9" s="202" t="s">
        <v>217</v>
      </c>
      <c r="J9" s="202" t="s">
        <v>0</v>
      </c>
      <c r="K9" s="202"/>
      <c r="L9" s="23"/>
    </row>
    <row r="10" spans="1:12" ht="28.5">
      <c r="A10" s="203"/>
      <c r="B10" s="203"/>
      <c r="C10" s="211"/>
      <c r="D10" s="16" t="s">
        <v>1</v>
      </c>
      <c r="E10" s="16" t="s">
        <v>2</v>
      </c>
      <c r="F10" s="211"/>
      <c r="G10" s="16" t="s">
        <v>1</v>
      </c>
      <c r="H10" s="16" t="s">
        <v>2</v>
      </c>
      <c r="I10" s="202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86264097</v>
      </c>
      <c r="D12" s="10">
        <f>+D17+D97+D114+D139+D169+D182+D197+D210+D322+D359+D290+D316</f>
        <v>86222097</v>
      </c>
      <c r="E12" s="10">
        <f>+E17+E97+E114+E139+E169+E182+E197+E210+E305+E322+E359+E290</f>
        <v>42000</v>
      </c>
      <c r="F12" s="10">
        <f>G12+H12</f>
        <v>88791179</v>
      </c>
      <c r="G12" s="10">
        <f>+G17+G97+G114+G139+G169+G182+G197+G210+G322+G359+G290+G316</f>
        <v>88755539</v>
      </c>
      <c r="H12" s="10">
        <f>+H17+H97+H114+H139+H169+H182+H197+H210+H305+H322+H359+H290</f>
        <v>35640</v>
      </c>
      <c r="I12" s="10">
        <f>J12+K12</f>
        <v>91731393</v>
      </c>
      <c r="J12" s="10">
        <f>+J17+J97+J114+J139+J169+J182+J197+J210+J322+J359+J290+J316</f>
        <v>91693722</v>
      </c>
      <c r="K12" s="10">
        <f>+K17+K97+K114+K139+K169+K182+K197+K210+K305+K322+K359+K290</f>
        <v>37671</v>
      </c>
      <c r="L12" s="71"/>
      <c r="O12" s="34"/>
    </row>
    <row r="13" spans="1:12" ht="17.25" customHeight="1">
      <c r="A13" s="26" t="s">
        <v>110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64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213" t="s">
        <v>207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75"/>
    </row>
    <row r="16" spans="1:12" ht="17.25" customHeight="1">
      <c r="A16" s="191" t="s">
        <v>19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76"/>
    </row>
    <row r="17" spans="1:14" s="78" customFormat="1" ht="23.25" customHeight="1">
      <c r="A17" s="203" t="s">
        <v>6</v>
      </c>
      <c r="B17" s="27" t="s">
        <v>15</v>
      </c>
      <c r="C17" s="4">
        <f>+D17+E17</f>
        <v>14395492</v>
      </c>
      <c r="D17" s="4">
        <f>+D18+D19</f>
        <v>14353492</v>
      </c>
      <c r="E17" s="4">
        <f>+E18+E19</f>
        <v>42000</v>
      </c>
      <c r="F17" s="4">
        <f>+G17+H17</f>
        <v>12903883</v>
      </c>
      <c r="G17" s="4">
        <f>+G18+G19</f>
        <v>12868243</v>
      </c>
      <c r="H17" s="4">
        <f>+H18+H19</f>
        <v>35640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203"/>
      <c r="B18" s="52" t="s">
        <v>111</v>
      </c>
      <c r="C18" s="4">
        <f>+D18+E18</f>
        <v>14222822</v>
      </c>
      <c r="D18" s="4">
        <f>+D29+D43+D20+D55+D63+D73</f>
        <v>14180822</v>
      </c>
      <c r="E18" s="4">
        <f>+E29+E43+E20+E55+E63+E73</f>
        <v>42000</v>
      </c>
      <c r="F18" s="4">
        <f>+G18+H18</f>
        <v>12711473</v>
      </c>
      <c r="G18" s="4">
        <f>+G29+G43+G20+G55+G63+G73+G84</f>
        <v>12675833</v>
      </c>
      <c r="H18" s="4">
        <f>+H29+H43+H20+H55+H63+H73+H84</f>
        <v>35640</v>
      </c>
      <c r="I18" s="4">
        <f>J18+K18</f>
        <v>12379525</v>
      </c>
      <c r="J18" s="4">
        <f>+J29+J43+J20+J55+J63+J73+J84</f>
        <v>12341854</v>
      </c>
      <c r="K18" s="4">
        <f>+K29+K43+K20+K55+K63+K73+K84</f>
        <v>37671</v>
      </c>
      <c r="L18" s="77"/>
      <c r="N18" s="79"/>
    </row>
    <row r="19" spans="1:14" s="78" customFormat="1" ht="23.25" customHeight="1">
      <c r="A19" s="203"/>
      <c r="B19" s="52" t="s">
        <v>112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111</v>
      </c>
      <c r="C20" s="28">
        <f>D20</f>
        <v>12826568</v>
      </c>
      <c r="D20" s="28">
        <v>12826568</v>
      </c>
      <c r="E20" s="28">
        <v>0</v>
      </c>
      <c r="F20" s="4">
        <f>G20</f>
        <v>10935809</v>
      </c>
      <c r="G20" s="4">
        <f>10552473+350000+28800+4436+100</f>
        <v>10935809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3559</v>
      </c>
      <c r="D23" s="29">
        <v>3559</v>
      </c>
      <c r="E23" s="29">
        <v>0</v>
      </c>
      <c r="F23" s="29">
        <f>G23+H23</f>
        <v>3090</v>
      </c>
      <c r="G23" s="29">
        <f>3086+1+1+2</f>
        <v>3090</v>
      </c>
      <c r="H23" s="29">
        <v>0</v>
      </c>
      <c r="I23" s="29">
        <f>J23+K23</f>
        <v>3086</v>
      </c>
      <c r="J23" s="29">
        <v>3086</v>
      </c>
      <c r="K23" s="29">
        <v>0</v>
      </c>
      <c r="L23" s="44"/>
      <c r="M23" s="206"/>
      <c r="O23" s="86" t="e">
        <f>D23+D33+D46+D68+D117+D143+D158+D173+D188+D221+D222+#REF!+D223+D236+D250+D294+D326+D327+D336+D337+D349+D350+D351+D364+D365+D374+D378+D379+D388+D389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206"/>
    </row>
    <row r="25" spans="1:12" ht="16.5">
      <c r="A25" s="47" t="s">
        <v>10</v>
      </c>
      <c r="B25" s="27"/>
      <c r="C25" s="30">
        <f>D25+E25</f>
        <v>3603.980893509413</v>
      </c>
      <c r="D25" s="30">
        <f>D20/D23</f>
        <v>3603.980893509413</v>
      </c>
      <c r="E25" s="30">
        <v>0</v>
      </c>
      <c r="F25" s="30">
        <f>G25+H25</f>
        <v>3539.0967637540452</v>
      </c>
      <c r="G25" s="8">
        <f>G20/G23</f>
        <v>3539.0967637540452</v>
      </c>
      <c r="H25" s="30">
        <v>0</v>
      </c>
      <c r="I25" s="30">
        <f>J25+K25</f>
        <v>3576.541153596889</v>
      </c>
      <c r="J25" s="8">
        <f>J20/J23</f>
        <v>3576.541153596889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112.80513797350049</v>
      </c>
      <c r="D27" s="48">
        <f>D20/11370553*100</f>
        <v>112.80513797350049</v>
      </c>
      <c r="E27" s="48">
        <v>0</v>
      </c>
      <c r="F27" s="48">
        <f>G27+H27</f>
        <v>85.2590420134209</v>
      </c>
      <c r="G27" s="9">
        <f>G20/D20*100</f>
        <v>85.2590420134209</v>
      </c>
      <c r="H27" s="48">
        <v>0</v>
      </c>
      <c r="I27" s="48">
        <f>J27+K27</f>
        <v>100.92720163638556</v>
      </c>
      <c r="J27" s="9">
        <f>J20/G20*100</f>
        <v>100.92720163638556</v>
      </c>
      <c r="K27" s="48">
        <v>0</v>
      </c>
      <c r="L27" s="22"/>
    </row>
    <row r="28" spans="1:12" ht="22.5" customHeight="1">
      <c r="A28" s="208" t="s">
        <v>20</v>
      </c>
      <c r="B28" s="27" t="s">
        <v>15</v>
      </c>
      <c r="C28" s="28">
        <f>C29+C30</f>
        <v>834612</v>
      </c>
      <c r="D28" s="28">
        <f>D29+D30</f>
        <v>834612</v>
      </c>
      <c r="E28" s="28">
        <f>E29+E30</f>
        <v>0</v>
      </c>
      <c r="F28" s="28">
        <f aca="true" t="shared" si="0" ref="F28:K28">F29+F30</f>
        <v>1307287</v>
      </c>
      <c r="G28" s="28">
        <f t="shared" si="0"/>
        <v>1307287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208"/>
      <c r="B29" s="40" t="s">
        <v>111</v>
      </c>
      <c r="C29" s="28">
        <f>D29+E29</f>
        <v>661942</v>
      </c>
      <c r="D29" s="28">
        <v>661942</v>
      </c>
      <c r="E29" s="28">
        <v>0</v>
      </c>
      <c r="F29" s="28">
        <f>G29+H29</f>
        <v>1114877</v>
      </c>
      <c r="G29" s="4">
        <f>660962+526829-72914</f>
        <v>1114877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206"/>
    </row>
    <row r="30" spans="1:13" ht="22.5" customHeight="1">
      <c r="A30" s="208"/>
      <c r="B30" s="40" t="s">
        <v>112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f>192410</f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206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182</v>
      </c>
      <c r="B33" s="27"/>
      <c r="C33" s="50">
        <f>D33+E33</f>
        <v>6</v>
      </c>
      <c r="D33" s="50">
        <v>6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183</v>
      </c>
      <c r="B34" s="27"/>
      <c r="C34" s="50">
        <f>D34+E34</f>
        <v>319</v>
      </c>
      <c r="D34" s="50">
        <v>319</v>
      </c>
      <c r="E34" s="50">
        <v>0</v>
      </c>
      <c r="F34" s="50">
        <f>G34+H34</f>
        <v>188</v>
      </c>
      <c r="G34" s="50">
        <f>188+2-2</f>
        <v>188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79" t="s">
        <v>234</v>
      </c>
      <c r="J36" s="179"/>
      <c r="K36" s="179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199</v>
      </c>
      <c r="B39" s="27"/>
      <c r="C39" s="30">
        <f>D39+E39</f>
        <v>12519.166666666666</v>
      </c>
      <c r="D39" s="30">
        <f>75115/D33</f>
        <v>12519.166666666666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198</v>
      </c>
      <c r="B40" s="27"/>
      <c r="C40" s="30">
        <f>D40+E40</f>
        <v>198.40569487983282</v>
      </c>
      <c r="D40" s="30">
        <f>759497/D34/12</f>
        <v>198.40569487983282</v>
      </c>
      <c r="E40" s="30">
        <v>0</v>
      </c>
      <c r="F40" s="30">
        <f>G40+H40</f>
        <v>536.6830673758865</v>
      </c>
      <c r="G40" s="8">
        <f>1210757/G34/12</f>
        <v>536.6830673758865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C28/568628*100</f>
        <v>146.77645138825383</v>
      </c>
      <c r="D42" s="48">
        <f>D28/568628*100</f>
        <v>146.77645138825383</v>
      </c>
      <c r="E42" s="48">
        <v>0</v>
      </c>
      <c r="F42" s="48">
        <f>F28/C28*100</f>
        <v>156.63410063598414</v>
      </c>
      <c r="G42" s="9">
        <f>G28/D28*100</f>
        <v>156.63410063598414</v>
      </c>
      <c r="H42" s="9">
        <v>0</v>
      </c>
      <c r="I42" s="48">
        <f>I28/F28*100</f>
        <v>68.76401279902576</v>
      </c>
      <c r="J42" s="9">
        <f>J28/G28*100</f>
        <v>68.76401279902576</v>
      </c>
      <c r="K42" s="9">
        <v>0</v>
      </c>
      <c r="L42" s="51"/>
    </row>
    <row r="43" spans="1:12" ht="60" customHeight="1">
      <c r="A43" s="7" t="s">
        <v>239</v>
      </c>
      <c r="B43" s="52" t="s">
        <v>111</v>
      </c>
      <c r="C43" s="28">
        <f>D43+E43</f>
        <v>414600</v>
      </c>
      <c r="D43" s="28">
        <v>414600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41.25" customHeight="1">
      <c r="A46" s="53" t="s">
        <v>243</v>
      </c>
      <c r="B46" s="27"/>
      <c r="C46" s="50">
        <f>D46+E46</f>
        <v>762</v>
      </c>
      <c r="D46" s="50">
        <v>762</v>
      </c>
      <c r="E46" s="50">
        <v>0</v>
      </c>
      <c r="F46" s="50">
        <f>G46+H46</f>
        <v>722</v>
      </c>
      <c r="G46" s="50">
        <f>716+6</f>
        <v>722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197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184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33.75" customHeight="1">
      <c r="A50" s="47" t="s">
        <v>241</v>
      </c>
      <c r="B50" s="27"/>
      <c r="C50" s="30">
        <f>D50+E50</f>
        <v>412.6719160104987</v>
      </c>
      <c r="D50" s="30">
        <f>314456/D46</f>
        <v>412.6719160104987</v>
      </c>
      <c r="E50" s="30">
        <v>0</v>
      </c>
      <c r="F50" s="30">
        <f>G50+H50</f>
        <v>397.09141274238226</v>
      </c>
      <c r="G50" s="8">
        <f>286700/G46</f>
        <v>397.09141274238226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36.75" customHeight="1">
      <c r="A51" s="47" t="s">
        <v>240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185</v>
      </c>
      <c r="B52" s="27"/>
      <c r="C52" s="30">
        <f>+D52</f>
        <v>415.53526970954357</v>
      </c>
      <c r="D52" s="30">
        <f>100144/D48</f>
        <v>415.53526970954357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238.27586206896552</v>
      </c>
      <c r="D54" s="48">
        <f>D43/174000*100</f>
        <v>238.27586206896552</v>
      </c>
      <c r="E54" s="48">
        <v>0</v>
      </c>
      <c r="F54" s="48">
        <f>F43/C43*100</f>
        <v>72.3589001447178</v>
      </c>
      <c r="G54" s="9">
        <f>G43/D43*100</f>
        <v>72.3589001447178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90" customHeight="1">
      <c r="A55" s="55" t="s">
        <v>228</v>
      </c>
      <c r="B55" s="52" t="s">
        <v>111</v>
      </c>
      <c r="C55" s="28">
        <f>D55+E55</f>
        <v>68552</v>
      </c>
      <c r="D55" s="28">
        <v>68552</v>
      </c>
      <c r="E55" s="28">
        <v>0</v>
      </c>
      <c r="F55" s="28">
        <f>G55+H55</f>
        <v>69032</v>
      </c>
      <c r="G55" s="4">
        <f>62000+7032</f>
        <v>69032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208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209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17258</v>
      </c>
      <c r="G60" s="8">
        <f>+G55/G58</f>
        <v>17258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100.70019838954369</v>
      </c>
      <c r="G62" s="9">
        <f>G55/D55*100</f>
        <v>100.70019838954369</v>
      </c>
      <c r="H62" s="48">
        <v>0</v>
      </c>
      <c r="I62" s="48">
        <f>+J62+K62</f>
        <v>94.93278479545718</v>
      </c>
      <c r="J62" s="9">
        <f>J55/G55*100</f>
        <v>94.93278479545718</v>
      </c>
      <c r="K62" s="48">
        <v>0</v>
      </c>
      <c r="L62" s="22"/>
    </row>
    <row r="63" spans="1:12" ht="61.5" customHeight="1">
      <c r="A63" s="7" t="s">
        <v>210</v>
      </c>
      <c r="B63" s="52" t="s">
        <v>111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9.5" customHeight="1">
      <c r="A64" s="11"/>
      <c r="B64" s="12"/>
      <c r="C64" s="13"/>
      <c r="D64" s="13"/>
      <c r="E64" s="13"/>
      <c r="F64" s="13"/>
      <c r="G64" s="13"/>
      <c r="H64" s="13"/>
      <c r="I64" s="179" t="s">
        <v>234</v>
      </c>
      <c r="J64" s="179"/>
      <c r="K64" s="179"/>
      <c r="L64" s="13"/>
    </row>
    <row r="65" spans="1:12" ht="14.25">
      <c r="A65" s="14">
        <v>1</v>
      </c>
      <c r="B65" s="15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  <c r="H65" s="16">
        <v>8</v>
      </c>
      <c r="I65" s="16">
        <v>9</v>
      </c>
      <c r="J65" s="16">
        <v>10</v>
      </c>
      <c r="K65" s="16">
        <v>11</v>
      </c>
      <c r="L65" s="23"/>
    </row>
    <row r="66" spans="1:12" ht="18" customHeight="1">
      <c r="A66" s="1" t="s">
        <v>4</v>
      </c>
      <c r="B66" s="27"/>
      <c r="C66" s="41"/>
      <c r="D66" s="41"/>
      <c r="E66" s="41"/>
      <c r="F66" s="41"/>
      <c r="G66" s="41"/>
      <c r="H66" s="41"/>
      <c r="I66" s="41"/>
      <c r="J66" s="41"/>
      <c r="K66" s="41"/>
      <c r="L66" s="42"/>
    </row>
    <row r="67" spans="1:12" ht="20.25" customHeight="1">
      <c r="A67" s="24" t="s">
        <v>5</v>
      </c>
      <c r="B67" s="27"/>
      <c r="C67" s="41"/>
      <c r="D67" s="41"/>
      <c r="E67" s="41"/>
      <c r="F67" s="41"/>
      <c r="G67" s="41"/>
      <c r="H67" s="41"/>
      <c r="I67" s="41"/>
      <c r="J67" s="41"/>
      <c r="K67" s="41"/>
      <c r="L67" s="42"/>
    </row>
    <row r="68" spans="1:12" ht="45.75" customHeight="1">
      <c r="A68" s="53" t="s">
        <v>211</v>
      </c>
      <c r="B68" s="27"/>
      <c r="C68" s="50">
        <f>D68+E68</f>
        <v>232</v>
      </c>
      <c r="D68" s="50">
        <v>232</v>
      </c>
      <c r="E68" s="50">
        <v>0</v>
      </c>
      <c r="F68" s="50">
        <f>G68+H68</f>
        <v>219</v>
      </c>
      <c r="G68" s="50">
        <v>219</v>
      </c>
      <c r="H68" s="50">
        <v>0</v>
      </c>
      <c r="I68" s="50">
        <f>J68+K68</f>
        <v>219</v>
      </c>
      <c r="J68" s="50">
        <v>219</v>
      </c>
      <c r="K68" s="50">
        <v>0</v>
      </c>
      <c r="L68" s="44"/>
    </row>
    <row r="69" spans="1:12" ht="15">
      <c r="A69" s="45" t="s">
        <v>13</v>
      </c>
      <c r="B69" s="27"/>
      <c r="C69" s="54"/>
      <c r="D69" s="54"/>
      <c r="E69" s="54"/>
      <c r="F69" s="54"/>
      <c r="G69" s="54"/>
      <c r="H69" s="54"/>
      <c r="I69" s="54"/>
      <c r="J69" s="54"/>
      <c r="K69" s="54"/>
      <c r="L69" s="22"/>
    </row>
    <row r="70" spans="1:12" ht="18" customHeight="1">
      <c r="A70" s="47" t="s">
        <v>67</v>
      </c>
      <c r="B70" s="27"/>
      <c r="C70" s="30">
        <f>D70+E70</f>
        <v>80</v>
      </c>
      <c r="D70" s="8">
        <f>D63/D68</f>
        <v>80</v>
      </c>
      <c r="E70" s="30">
        <v>0</v>
      </c>
      <c r="F70" s="30">
        <f>G70+H70</f>
        <v>85</v>
      </c>
      <c r="G70" s="8">
        <f>G63/G68</f>
        <v>85</v>
      </c>
      <c r="H70" s="30">
        <v>0</v>
      </c>
      <c r="I70" s="30">
        <f>J70+K70</f>
        <v>90</v>
      </c>
      <c r="J70" s="8">
        <f>+J63/J68</f>
        <v>90</v>
      </c>
      <c r="K70" s="30">
        <v>0</v>
      </c>
      <c r="L70" s="22"/>
    </row>
    <row r="71" spans="1:12" ht="18" customHeight="1">
      <c r="A71" s="2" t="s">
        <v>12</v>
      </c>
      <c r="B71" s="27"/>
      <c r="C71" s="30"/>
      <c r="D71" s="30"/>
      <c r="E71" s="30"/>
      <c r="F71" s="30"/>
      <c r="G71" s="8"/>
      <c r="H71" s="30"/>
      <c r="I71" s="30"/>
      <c r="J71" s="8"/>
      <c r="K71" s="30"/>
      <c r="L71" s="22"/>
    </row>
    <row r="72" spans="1:12" ht="24.75" customHeight="1">
      <c r="A72" s="25" t="s">
        <v>35</v>
      </c>
      <c r="B72" s="27"/>
      <c r="C72" s="48">
        <f>D72+E72</f>
        <v>91.42857142857143</v>
      </c>
      <c r="D72" s="48">
        <f>D63/20300*100</f>
        <v>91.42857142857143</v>
      </c>
      <c r="E72" s="48">
        <v>0</v>
      </c>
      <c r="F72" s="48">
        <f>F63/C63*100</f>
        <v>100.29633620689656</v>
      </c>
      <c r="G72" s="9">
        <f>G63/D63*100</f>
        <v>100.29633620689656</v>
      </c>
      <c r="H72" s="48">
        <v>0</v>
      </c>
      <c r="I72" s="48">
        <f>I63/F63*100</f>
        <v>105.88235294117648</v>
      </c>
      <c r="J72" s="9">
        <f>J63/G63*100</f>
        <v>105.88235294117648</v>
      </c>
      <c r="K72" s="48">
        <v>0</v>
      </c>
      <c r="L72" s="22"/>
    </row>
    <row r="73" spans="1:11" s="88" customFormat="1" ht="78.75" customHeight="1">
      <c r="A73" s="3" t="s">
        <v>190</v>
      </c>
      <c r="B73" s="52" t="s">
        <v>111</v>
      </c>
      <c r="C73" s="68">
        <f>D73+E73</f>
        <v>232600</v>
      </c>
      <c r="D73" s="68">
        <f>+D75+D76</f>
        <v>190600</v>
      </c>
      <c r="E73" s="68">
        <f>+E75+E76</f>
        <v>42000</v>
      </c>
      <c r="F73" s="69">
        <f>+G73+H73</f>
        <v>235640</v>
      </c>
      <c r="G73" s="68">
        <f>+G75+G76</f>
        <v>200000</v>
      </c>
      <c r="H73" s="68">
        <f>+H75+H76</f>
        <v>35640</v>
      </c>
      <c r="I73" s="68">
        <f>J73+K73</f>
        <v>249071</v>
      </c>
      <c r="J73" s="68">
        <f>+J75+J76</f>
        <v>211400</v>
      </c>
      <c r="K73" s="68">
        <f>+K75+K76</f>
        <v>37671</v>
      </c>
    </row>
    <row r="74" spans="1:11" s="88" customFormat="1" ht="21" customHeight="1">
      <c r="A74" s="2" t="s">
        <v>25</v>
      </c>
      <c r="B74" s="87"/>
      <c r="C74" s="68"/>
      <c r="D74" s="68"/>
      <c r="E74" s="68"/>
      <c r="F74" s="69"/>
      <c r="G74" s="68"/>
      <c r="H74" s="68"/>
      <c r="I74" s="68"/>
      <c r="J74" s="68"/>
      <c r="K74" s="68"/>
    </row>
    <row r="75" spans="1:11" s="88" customFormat="1" ht="21" customHeight="1">
      <c r="A75" s="58" t="s">
        <v>192</v>
      </c>
      <c r="B75" s="87"/>
      <c r="C75" s="37">
        <f>+D75+E75</f>
        <v>190600</v>
      </c>
      <c r="D75" s="37">
        <v>190600</v>
      </c>
      <c r="E75" s="37">
        <v>0</v>
      </c>
      <c r="F75" s="37">
        <f>+G75+H75</f>
        <v>200000</v>
      </c>
      <c r="G75" s="37">
        <v>200000</v>
      </c>
      <c r="H75" s="37">
        <v>0</v>
      </c>
      <c r="I75" s="37">
        <f>+J75+K75</f>
        <v>211400</v>
      </c>
      <c r="J75" s="37">
        <v>211400</v>
      </c>
      <c r="K75" s="37">
        <v>0</v>
      </c>
    </row>
    <row r="76" spans="1:11" s="88" customFormat="1" ht="34.5" customHeight="1">
      <c r="A76" s="25" t="s">
        <v>193</v>
      </c>
      <c r="B76" s="87"/>
      <c r="C76" s="37">
        <f>+D76+E76</f>
        <v>42000</v>
      </c>
      <c r="D76" s="37">
        <v>0</v>
      </c>
      <c r="E76" s="37">
        <v>42000</v>
      </c>
      <c r="F76" s="37">
        <f>+G76+H76</f>
        <v>35640</v>
      </c>
      <c r="G76" s="37">
        <v>0</v>
      </c>
      <c r="H76" s="37">
        <v>35640</v>
      </c>
      <c r="I76" s="37">
        <f>+J76+K76</f>
        <v>37671</v>
      </c>
      <c r="J76" s="37">
        <v>0</v>
      </c>
      <c r="K76" s="37">
        <v>37671</v>
      </c>
    </row>
    <row r="77" spans="1:14" ht="21.75" customHeight="1">
      <c r="A77" s="2" t="s">
        <v>54</v>
      </c>
      <c r="B77" s="27"/>
      <c r="C77" s="48"/>
      <c r="D77" s="48"/>
      <c r="E77" s="48"/>
      <c r="F77" s="48"/>
      <c r="G77" s="9"/>
      <c r="H77" s="48"/>
      <c r="I77" s="48"/>
      <c r="J77" s="9"/>
      <c r="K77" s="48"/>
      <c r="N77" s="19"/>
    </row>
    <row r="78" spans="1:14" ht="25.5" customHeight="1">
      <c r="A78" s="58" t="s">
        <v>191</v>
      </c>
      <c r="B78" s="27"/>
      <c r="C78" s="29">
        <f>+D78</f>
        <v>4</v>
      </c>
      <c r="D78" s="29">
        <v>4</v>
      </c>
      <c r="E78" s="29">
        <v>0</v>
      </c>
      <c r="F78" s="29">
        <f>+G78</f>
        <v>4</v>
      </c>
      <c r="G78" s="17">
        <v>4</v>
      </c>
      <c r="H78" s="29">
        <v>0</v>
      </c>
      <c r="I78" s="29">
        <f>J78+K78</f>
        <v>4</v>
      </c>
      <c r="J78" s="17">
        <v>4</v>
      </c>
      <c r="K78" s="29">
        <v>0</v>
      </c>
      <c r="N78" s="19"/>
    </row>
    <row r="79" spans="1:14" ht="20.25" customHeight="1">
      <c r="A79" s="2" t="s">
        <v>57</v>
      </c>
      <c r="B79" s="27"/>
      <c r="C79" s="48"/>
      <c r="D79" s="48"/>
      <c r="E79" s="48"/>
      <c r="F79" s="48"/>
      <c r="G79" s="9"/>
      <c r="H79" s="48"/>
      <c r="I79" s="48"/>
      <c r="J79" s="9"/>
      <c r="K79" s="48"/>
      <c r="N79" s="19"/>
    </row>
    <row r="80" spans="1:14" ht="38.25" customHeight="1">
      <c r="A80" s="58" t="s">
        <v>194</v>
      </c>
      <c r="B80" s="27"/>
      <c r="C80" s="30">
        <f>+D80+E80</f>
        <v>47650</v>
      </c>
      <c r="D80" s="30">
        <f>+D75/D78</f>
        <v>47650</v>
      </c>
      <c r="E80" s="30">
        <v>0</v>
      </c>
      <c r="F80" s="30">
        <f>+G80+H80</f>
        <v>50000</v>
      </c>
      <c r="G80" s="30">
        <f>+G75/G78</f>
        <v>50000</v>
      </c>
      <c r="H80" s="30">
        <v>0</v>
      </c>
      <c r="I80" s="30">
        <f>+J80+K80</f>
        <v>52850</v>
      </c>
      <c r="J80" s="30">
        <f>+J75/J78</f>
        <v>52850</v>
      </c>
      <c r="K80" s="30">
        <v>0</v>
      </c>
      <c r="N80" s="19"/>
    </row>
    <row r="81" spans="1:14" ht="51.75" customHeight="1">
      <c r="A81" s="5" t="s">
        <v>195</v>
      </c>
      <c r="B81" s="27"/>
      <c r="C81" s="48">
        <f>+D81+E81</f>
        <v>10500</v>
      </c>
      <c r="D81" s="48">
        <v>0</v>
      </c>
      <c r="E81" s="48">
        <f>+E76/D78</f>
        <v>10500</v>
      </c>
      <c r="F81" s="48">
        <f>+G81+H81</f>
        <v>8910</v>
      </c>
      <c r="G81" s="48">
        <v>0</v>
      </c>
      <c r="H81" s="48">
        <f>+H76/G78</f>
        <v>8910</v>
      </c>
      <c r="I81" s="48">
        <f>+J81+K81</f>
        <v>9417.75</v>
      </c>
      <c r="J81" s="48">
        <v>0</v>
      </c>
      <c r="K81" s="48">
        <f>+K76/J78</f>
        <v>9417.75</v>
      </c>
      <c r="N81" s="19"/>
    </row>
    <row r="82" spans="1:11" s="88" customFormat="1" ht="18.75" customHeight="1">
      <c r="A82" s="2" t="s">
        <v>60</v>
      </c>
      <c r="B82" s="87"/>
      <c r="C82" s="89"/>
      <c r="D82" s="89"/>
      <c r="E82" s="89"/>
      <c r="F82" s="89"/>
      <c r="G82" s="90"/>
      <c r="H82" s="89"/>
      <c r="I82" s="89"/>
      <c r="J82" s="90"/>
      <c r="K82" s="89"/>
    </row>
    <row r="83" spans="1:11" s="88" customFormat="1" ht="23.25" customHeight="1">
      <c r="A83" s="25" t="s">
        <v>35</v>
      </c>
      <c r="B83" s="87"/>
      <c r="C83" s="48">
        <f>+E83</f>
        <v>0</v>
      </c>
      <c r="D83" s="48">
        <v>0</v>
      </c>
      <c r="E83" s="48">
        <v>0</v>
      </c>
      <c r="F83" s="9">
        <f aca="true" t="shared" si="1" ref="F83:K83">F73/C73*100</f>
        <v>101.30696474634566</v>
      </c>
      <c r="G83" s="9">
        <f t="shared" si="1"/>
        <v>104.93179433368311</v>
      </c>
      <c r="H83" s="9">
        <f t="shared" si="1"/>
        <v>84.85714285714285</v>
      </c>
      <c r="I83" s="9">
        <f t="shared" si="1"/>
        <v>105.69979629943983</v>
      </c>
      <c r="J83" s="9">
        <f t="shared" si="1"/>
        <v>105.69999999999999</v>
      </c>
      <c r="K83" s="9">
        <f t="shared" si="1"/>
        <v>105.69865319865319</v>
      </c>
    </row>
    <row r="84" spans="1:11" s="88" customFormat="1" ht="126.75" customHeight="1">
      <c r="A84" s="3" t="s">
        <v>235</v>
      </c>
      <c r="B84" s="52" t="s">
        <v>111</v>
      </c>
      <c r="C84" s="68">
        <f>D84+E84</f>
        <v>0</v>
      </c>
      <c r="D84" s="68">
        <v>0</v>
      </c>
      <c r="E84" s="68">
        <v>0</v>
      </c>
      <c r="F84" s="69">
        <f>+G84+H84</f>
        <v>37500</v>
      </c>
      <c r="G84" s="68">
        <v>37500</v>
      </c>
      <c r="H84" s="68">
        <v>0</v>
      </c>
      <c r="I84" s="68">
        <f>J84+K84</f>
        <v>0</v>
      </c>
      <c r="J84" s="68">
        <v>0</v>
      </c>
      <c r="K84" s="68">
        <v>0</v>
      </c>
    </row>
    <row r="85" spans="1:14" ht="21.75" customHeight="1">
      <c r="A85" s="2" t="s">
        <v>54</v>
      </c>
      <c r="B85" s="27"/>
      <c r="C85" s="48"/>
      <c r="D85" s="48"/>
      <c r="E85" s="48"/>
      <c r="F85" s="48"/>
      <c r="G85" s="9"/>
      <c r="H85" s="48"/>
      <c r="I85" s="48"/>
      <c r="J85" s="9"/>
      <c r="K85" s="48"/>
      <c r="N85" s="19"/>
    </row>
    <row r="86" spans="1:14" ht="25.5" customHeight="1">
      <c r="A86" s="177" t="s">
        <v>236</v>
      </c>
      <c r="B86" s="27"/>
      <c r="C86" s="29">
        <f>+D86</f>
        <v>0</v>
      </c>
      <c r="D86" s="29">
        <v>0</v>
      </c>
      <c r="E86" s="29">
        <v>0</v>
      </c>
      <c r="F86" s="29">
        <f>+G86</f>
        <v>14</v>
      </c>
      <c r="G86" s="17">
        <v>14</v>
      </c>
      <c r="H86" s="29">
        <v>0</v>
      </c>
      <c r="I86" s="29">
        <f>J86+K86</f>
        <v>0</v>
      </c>
      <c r="J86" s="17">
        <v>0</v>
      </c>
      <c r="K86" s="29">
        <v>0</v>
      </c>
      <c r="N86" s="19"/>
    </row>
    <row r="87" spans="1:14" ht="20.25" customHeight="1">
      <c r="A87" s="2" t="s">
        <v>57</v>
      </c>
      <c r="B87" s="27"/>
      <c r="C87" s="48"/>
      <c r="D87" s="48"/>
      <c r="E87" s="48"/>
      <c r="F87" s="48"/>
      <c r="G87" s="9"/>
      <c r="H87" s="48"/>
      <c r="I87" s="48"/>
      <c r="J87" s="9"/>
      <c r="K87" s="48"/>
      <c r="N87" s="19"/>
    </row>
    <row r="88" spans="1:14" ht="38.25" customHeight="1">
      <c r="A88" s="177" t="s">
        <v>237</v>
      </c>
      <c r="B88" s="27"/>
      <c r="C88" s="30">
        <f>+D88+E88</f>
        <v>0</v>
      </c>
      <c r="D88" s="30">
        <v>0</v>
      </c>
      <c r="E88" s="30">
        <v>0</v>
      </c>
      <c r="F88" s="30">
        <f>+G88+H88</f>
        <v>446</v>
      </c>
      <c r="G88" s="30">
        <f>ROUND(G84/G86/6,0)</f>
        <v>446</v>
      </c>
      <c r="H88" s="30">
        <v>0</v>
      </c>
      <c r="I88" s="30">
        <f>+J88+K88</f>
        <v>0</v>
      </c>
      <c r="J88" s="30">
        <v>0</v>
      </c>
      <c r="K88" s="30">
        <v>0</v>
      </c>
      <c r="N88" s="19"/>
    </row>
    <row r="89" spans="1:11" s="88" customFormat="1" ht="18.75" customHeight="1">
      <c r="A89" s="2" t="s">
        <v>60</v>
      </c>
      <c r="B89" s="87"/>
      <c r="C89" s="89"/>
      <c r="D89" s="89"/>
      <c r="E89" s="89"/>
      <c r="F89" s="89"/>
      <c r="G89" s="90"/>
      <c r="H89" s="89"/>
      <c r="I89" s="89"/>
      <c r="J89" s="90"/>
      <c r="K89" s="89"/>
    </row>
    <row r="90" spans="1:11" s="88" customFormat="1" ht="36.75" customHeight="1">
      <c r="A90" s="25" t="s">
        <v>238</v>
      </c>
      <c r="B90" s="87"/>
      <c r="C90" s="48">
        <f>+E90</f>
        <v>0</v>
      </c>
      <c r="D90" s="48">
        <v>0</v>
      </c>
      <c r="E90" s="48">
        <v>0</v>
      </c>
      <c r="F90" s="9">
        <f>G90+H90</f>
        <v>100</v>
      </c>
      <c r="G90" s="9">
        <v>100</v>
      </c>
      <c r="H90" s="9">
        <v>0</v>
      </c>
      <c r="I90" s="9">
        <f>I84/F84*100</f>
        <v>0</v>
      </c>
      <c r="J90" s="9">
        <f>J84/G84*100</f>
        <v>0</v>
      </c>
      <c r="K90" s="9">
        <v>0</v>
      </c>
    </row>
    <row r="91" spans="1:12" ht="26.25" customHeight="1">
      <c r="A91" s="11"/>
      <c r="B91" s="12"/>
      <c r="C91" s="13"/>
      <c r="D91" s="13"/>
      <c r="E91" s="13"/>
      <c r="F91" s="13"/>
      <c r="G91" s="13"/>
      <c r="H91" s="13"/>
      <c r="I91" s="179" t="s">
        <v>234</v>
      </c>
      <c r="J91" s="179"/>
      <c r="K91" s="179"/>
      <c r="L91" s="13"/>
    </row>
    <row r="92" spans="1:12" ht="14.25">
      <c r="A92" s="14">
        <v>1</v>
      </c>
      <c r="B92" s="15">
        <v>2</v>
      </c>
      <c r="C92" s="16">
        <v>3</v>
      </c>
      <c r="D92" s="16">
        <v>4</v>
      </c>
      <c r="E92" s="16">
        <v>5</v>
      </c>
      <c r="F92" s="16">
        <v>6</v>
      </c>
      <c r="G92" s="16">
        <v>7</v>
      </c>
      <c r="H92" s="16">
        <v>8</v>
      </c>
      <c r="I92" s="16">
        <v>9</v>
      </c>
      <c r="J92" s="16">
        <v>10</v>
      </c>
      <c r="K92" s="16">
        <v>11</v>
      </c>
      <c r="L92" s="23"/>
    </row>
    <row r="93" spans="1:12" ht="21.75" customHeight="1">
      <c r="A93" s="56" t="s">
        <v>113</v>
      </c>
      <c r="B93" s="52" t="s">
        <v>114</v>
      </c>
      <c r="C93" s="54"/>
      <c r="D93" s="54"/>
      <c r="E93" s="54"/>
      <c r="F93" s="54"/>
      <c r="G93" s="54"/>
      <c r="H93" s="54"/>
      <c r="I93" s="54"/>
      <c r="J93" s="54"/>
      <c r="K93" s="54"/>
      <c r="L93" s="22"/>
    </row>
    <row r="94" spans="1:12" ht="25.5" customHeight="1">
      <c r="A94" s="2" t="s">
        <v>65</v>
      </c>
      <c r="B94" s="27"/>
      <c r="C94" s="54"/>
      <c r="D94" s="54"/>
      <c r="E94" s="54"/>
      <c r="F94" s="54"/>
      <c r="G94" s="54"/>
      <c r="H94" s="54"/>
      <c r="I94" s="54"/>
      <c r="J94" s="54"/>
      <c r="K94" s="54"/>
      <c r="L94" s="22"/>
    </row>
    <row r="95" spans="1:12" ht="24.75" customHeight="1">
      <c r="A95" s="186" t="s">
        <v>121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80"/>
    </row>
    <row r="96" spans="1:12" ht="27.75" customHeight="1">
      <c r="A96" s="192" t="s">
        <v>122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35"/>
    </row>
    <row r="97" spans="1:12" ht="45.75" customHeight="1">
      <c r="A97" s="24" t="s">
        <v>123</v>
      </c>
      <c r="B97" s="27"/>
      <c r="C97" s="28">
        <f>E97+D97</f>
        <v>1385920</v>
      </c>
      <c r="D97" s="28">
        <v>1385920</v>
      </c>
      <c r="E97" s="28">
        <v>0</v>
      </c>
      <c r="F97" s="28">
        <f>H97+G97</f>
        <v>1892237</v>
      </c>
      <c r="G97" s="4">
        <v>1892237</v>
      </c>
      <c r="H97" s="4">
        <f>E97*1.05</f>
        <v>0</v>
      </c>
      <c r="I97" s="28">
        <f>K97+J97</f>
        <v>1563066</v>
      </c>
      <c r="J97" s="4">
        <v>1563066</v>
      </c>
      <c r="K97" s="4">
        <f>H97*1.043</f>
        <v>0</v>
      </c>
      <c r="L97" s="67"/>
    </row>
    <row r="98" spans="1:12" ht="19.5" customHeight="1">
      <c r="A98" s="47" t="s">
        <v>4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21.75" customHeight="1">
      <c r="A99" s="2" t="s">
        <v>25</v>
      </c>
      <c r="B99" s="27"/>
      <c r="C99" s="46"/>
      <c r="D99" s="46"/>
      <c r="E99" s="46"/>
      <c r="F99" s="46"/>
      <c r="G99" s="46"/>
      <c r="H99" s="46"/>
      <c r="I99" s="46"/>
      <c r="J99" s="46"/>
      <c r="K99" s="46"/>
      <c r="L99" s="42"/>
    </row>
    <row r="100" spans="1:12" ht="35.25" customHeight="1">
      <c r="A100" s="25" t="s">
        <v>149</v>
      </c>
      <c r="B100" s="27"/>
      <c r="C100" s="50">
        <f>D100+E100</f>
        <v>3</v>
      </c>
      <c r="D100" s="50">
        <v>3</v>
      </c>
      <c r="E100" s="50">
        <v>0</v>
      </c>
      <c r="F100" s="50">
        <f>G100+H100</f>
        <v>3</v>
      </c>
      <c r="G100" s="50">
        <v>3</v>
      </c>
      <c r="H100" s="50">
        <v>0</v>
      </c>
      <c r="I100" s="50">
        <f>J100+K100</f>
        <v>3</v>
      </c>
      <c r="J100" s="50">
        <v>3</v>
      </c>
      <c r="K100" s="50">
        <v>0</v>
      </c>
      <c r="L100" s="42"/>
    </row>
    <row r="101" spans="1:12" ht="33" customHeight="1">
      <c r="A101" s="25" t="s">
        <v>150</v>
      </c>
      <c r="B101" s="27"/>
      <c r="C101" s="50">
        <f>+D101</f>
        <v>1</v>
      </c>
      <c r="D101" s="50">
        <v>1</v>
      </c>
      <c r="E101" s="50">
        <v>0</v>
      </c>
      <c r="F101" s="50">
        <f>+G101</f>
        <v>1</v>
      </c>
      <c r="G101" s="50">
        <v>1</v>
      </c>
      <c r="H101" s="50">
        <v>0</v>
      </c>
      <c r="I101" s="50">
        <f>+J101</f>
        <v>1</v>
      </c>
      <c r="J101" s="50">
        <v>1</v>
      </c>
      <c r="K101" s="50">
        <v>0</v>
      </c>
      <c r="L101" s="42"/>
    </row>
    <row r="102" spans="1:12" ht="22.5" customHeight="1">
      <c r="A102" s="25" t="s">
        <v>151</v>
      </c>
      <c r="B102" s="27"/>
      <c r="C102" s="29">
        <f>+D102+E102</f>
        <v>1176</v>
      </c>
      <c r="D102" s="29">
        <f>1143+33</f>
        <v>1176</v>
      </c>
      <c r="E102" s="29">
        <v>0</v>
      </c>
      <c r="F102" s="29">
        <f>+G102+H102</f>
        <v>1180</v>
      </c>
      <c r="G102" s="29">
        <v>1180</v>
      </c>
      <c r="H102" s="29">
        <v>0</v>
      </c>
      <c r="I102" s="29">
        <f>+J102+K102</f>
        <v>1180</v>
      </c>
      <c r="J102" s="29">
        <v>1180</v>
      </c>
      <c r="K102" s="29">
        <v>0</v>
      </c>
      <c r="L102" s="42"/>
    </row>
    <row r="103" spans="1:12" ht="24.75" customHeight="1">
      <c r="A103" s="57" t="s">
        <v>5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2" ht="33.75" customHeight="1">
      <c r="A104" s="58" t="s">
        <v>153</v>
      </c>
      <c r="B104" s="27"/>
      <c r="C104" s="29">
        <f>D104+E104</f>
        <v>73916</v>
      </c>
      <c r="D104" s="29">
        <f>886992/1/12</f>
        <v>73916</v>
      </c>
      <c r="E104" s="50">
        <v>0</v>
      </c>
      <c r="F104" s="29">
        <f>G104+H104</f>
        <v>113323.41666666667</v>
      </c>
      <c r="G104" s="29">
        <f>1359881/12</f>
        <v>113323.41666666667</v>
      </c>
      <c r="H104" s="29">
        <v>0</v>
      </c>
      <c r="I104" s="29">
        <f>J104+K104</f>
        <v>83363.83333333333</v>
      </c>
      <c r="J104" s="29">
        <f>1000366/12</f>
        <v>83363.83333333333</v>
      </c>
      <c r="K104" s="50">
        <v>0</v>
      </c>
      <c r="L104" s="44"/>
    </row>
    <row r="105" spans="1:12" ht="33" customHeight="1">
      <c r="A105" s="58" t="s">
        <v>152</v>
      </c>
      <c r="B105" s="27"/>
      <c r="C105" s="29">
        <f>+D105</f>
        <v>13859.111111111111</v>
      </c>
      <c r="D105" s="29">
        <f>498928/3/12</f>
        <v>13859.111111111111</v>
      </c>
      <c r="E105" s="29">
        <v>0</v>
      </c>
      <c r="F105" s="29">
        <f>+G105</f>
        <v>14787.666666666666</v>
      </c>
      <c r="G105" s="29">
        <f>532356/3/12</f>
        <v>14787.666666666666</v>
      </c>
      <c r="H105" s="29">
        <v>0</v>
      </c>
      <c r="I105" s="29">
        <f>+J105</f>
        <v>15630.555555555555</v>
      </c>
      <c r="J105" s="29">
        <f>562700/3/12</f>
        <v>15630.555555555555</v>
      </c>
      <c r="K105" s="29">
        <v>0</v>
      </c>
      <c r="L105" s="42"/>
    </row>
    <row r="106" spans="1:12" ht="16.5">
      <c r="A106" s="2" t="s">
        <v>13</v>
      </c>
      <c r="B106" s="27"/>
      <c r="C106" s="46"/>
      <c r="D106" s="46"/>
      <c r="E106" s="46"/>
      <c r="F106" s="46"/>
      <c r="G106" s="46"/>
      <c r="H106" s="46"/>
      <c r="I106" s="46"/>
      <c r="J106" s="46"/>
      <c r="K106" s="46"/>
      <c r="L106" s="42"/>
    </row>
    <row r="107" spans="1:12" ht="64.5" customHeight="1">
      <c r="A107" s="5" t="s">
        <v>154</v>
      </c>
      <c r="B107" s="27"/>
      <c r="C107" s="30">
        <f>D107+E107</f>
        <v>100</v>
      </c>
      <c r="D107" s="30">
        <v>100</v>
      </c>
      <c r="E107" s="30">
        <v>0</v>
      </c>
      <c r="F107" s="30">
        <f>G107+H107</f>
        <v>100</v>
      </c>
      <c r="G107" s="8">
        <v>100</v>
      </c>
      <c r="H107" s="30">
        <v>0</v>
      </c>
      <c r="I107" s="30">
        <f>J107+K107</f>
        <v>100</v>
      </c>
      <c r="J107" s="8">
        <v>100</v>
      </c>
      <c r="K107" s="30">
        <v>0</v>
      </c>
      <c r="L107" s="18"/>
    </row>
    <row r="108" spans="1:12" ht="17.25" customHeight="1">
      <c r="A108" s="2" t="s">
        <v>12</v>
      </c>
      <c r="B108" s="27"/>
      <c r="C108" s="46"/>
      <c r="D108" s="46"/>
      <c r="E108" s="46"/>
      <c r="F108" s="46"/>
      <c r="G108" s="46"/>
      <c r="H108" s="46"/>
      <c r="I108" s="46"/>
      <c r="J108" s="46"/>
      <c r="K108" s="46"/>
      <c r="L108" s="42"/>
    </row>
    <row r="109" spans="1:13" ht="49.5" customHeight="1">
      <c r="A109" s="25" t="s">
        <v>124</v>
      </c>
      <c r="B109" s="27"/>
      <c r="C109" s="48">
        <f>D109+E109</f>
        <v>100</v>
      </c>
      <c r="D109" s="48">
        <v>100</v>
      </c>
      <c r="E109" s="48">
        <v>0</v>
      </c>
      <c r="F109" s="48">
        <f>G109+H109</f>
        <v>100</v>
      </c>
      <c r="G109" s="48">
        <v>100</v>
      </c>
      <c r="H109" s="48">
        <v>0</v>
      </c>
      <c r="I109" s="48">
        <f>J109+K109</f>
        <v>100</v>
      </c>
      <c r="J109" s="48">
        <v>100</v>
      </c>
      <c r="K109" s="48">
        <v>0</v>
      </c>
      <c r="L109" s="22"/>
      <c r="M109" s="66"/>
    </row>
    <row r="110" spans="1:12" ht="24" customHeight="1">
      <c r="A110" s="26" t="s">
        <v>115</v>
      </c>
      <c r="B110" s="40" t="s">
        <v>116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2"/>
    </row>
    <row r="111" spans="1:12" ht="24.75" customHeight="1">
      <c r="A111" s="2" t="s">
        <v>66</v>
      </c>
      <c r="B111" s="27"/>
      <c r="C111" s="41"/>
      <c r="D111" s="41"/>
      <c r="E111" s="41"/>
      <c r="F111" s="41"/>
      <c r="G111" s="41"/>
      <c r="H111" s="41"/>
      <c r="I111" s="41"/>
      <c r="J111" s="41"/>
      <c r="K111" s="41"/>
      <c r="L111" s="42"/>
    </row>
    <row r="112" spans="1:15" ht="39.75" customHeight="1">
      <c r="A112" s="194" t="s">
        <v>79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6"/>
      <c r="L112" s="18"/>
      <c r="M112" s="81"/>
      <c r="N112" s="82"/>
      <c r="O112" s="20"/>
    </row>
    <row r="113" spans="1:12" ht="30.75" customHeight="1">
      <c r="A113" s="187" t="s">
        <v>80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9"/>
      <c r="L113" s="83"/>
    </row>
    <row r="114" spans="1:12" ht="31.5" customHeight="1">
      <c r="A114" s="59" t="s">
        <v>82</v>
      </c>
      <c r="B114" s="27"/>
      <c r="C114" s="28">
        <f>E114+D114</f>
        <v>1704214</v>
      </c>
      <c r="D114" s="28">
        <v>1704214</v>
      </c>
      <c r="E114" s="28">
        <v>0</v>
      </c>
      <c r="F114" s="28">
        <f>H114+G114</f>
        <v>1829300</v>
      </c>
      <c r="G114" s="4">
        <f>1876300-47000</f>
        <v>1829300</v>
      </c>
      <c r="H114" s="4">
        <f>E114*1.05</f>
        <v>0</v>
      </c>
      <c r="I114" s="28">
        <f>K114+J114</f>
        <v>1983255</v>
      </c>
      <c r="J114" s="4">
        <v>1983255</v>
      </c>
      <c r="K114" s="4">
        <f>H114*1.043</f>
        <v>0</v>
      </c>
      <c r="L114" s="67"/>
    </row>
    <row r="115" spans="1:12" ht="22.5" customHeight="1">
      <c r="A115" s="47" t="s">
        <v>4</v>
      </c>
      <c r="B115" s="27"/>
      <c r="C115" s="46"/>
      <c r="D115" s="46"/>
      <c r="E115" s="46"/>
      <c r="F115" s="46"/>
      <c r="G115" s="46"/>
      <c r="H115" s="46"/>
      <c r="I115" s="46"/>
      <c r="J115" s="46"/>
      <c r="K115" s="46"/>
      <c r="L115" s="42"/>
    </row>
    <row r="116" spans="1:12" ht="19.5" customHeight="1">
      <c r="A116" s="2" t="s">
        <v>5</v>
      </c>
      <c r="B116" s="27"/>
      <c r="C116" s="46"/>
      <c r="D116" s="46"/>
      <c r="E116" s="46"/>
      <c r="F116" s="46"/>
      <c r="G116" s="46"/>
      <c r="H116" s="46"/>
      <c r="I116" s="46"/>
      <c r="J116" s="46"/>
      <c r="K116" s="46"/>
      <c r="L116" s="42"/>
    </row>
    <row r="117" spans="1:12" ht="22.5" customHeight="1">
      <c r="A117" s="47" t="s">
        <v>14</v>
      </c>
      <c r="B117" s="62"/>
      <c r="C117" s="29">
        <f aca="true" t="shared" si="2" ref="C117:C124">D117+E117</f>
        <v>1014</v>
      </c>
      <c r="D117" s="29">
        <v>1014</v>
      </c>
      <c r="E117" s="29">
        <v>0</v>
      </c>
      <c r="F117" s="29">
        <f aca="true" t="shared" si="3" ref="F117:F124">G117+H117</f>
        <v>984</v>
      </c>
      <c r="G117" s="29">
        <f>G118+G119+G120+G121+G124</f>
        <v>984</v>
      </c>
      <c r="H117" s="29">
        <v>0</v>
      </c>
      <c r="I117" s="29">
        <f aca="true" t="shared" si="4" ref="I117:I124">J117+K117</f>
        <v>965</v>
      </c>
      <c r="J117" s="29">
        <f>J118+J119+J120+J121+J124</f>
        <v>965</v>
      </c>
      <c r="K117" s="29">
        <v>0</v>
      </c>
      <c r="L117" s="44"/>
    </row>
    <row r="118" spans="1:12" ht="22.5" customHeight="1">
      <c r="A118" s="47" t="s">
        <v>16</v>
      </c>
      <c r="B118" s="27"/>
      <c r="C118" s="60">
        <f t="shared" si="2"/>
        <v>1</v>
      </c>
      <c r="D118" s="60">
        <v>1</v>
      </c>
      <c r="E118" s="60">
        <v>0</v>
      </c>
      <c r="F118" s="60">
        <f t="shared" si="3"/>
        <v>1</v>
      </c>
      <c r="G118" s="60">
        <f>D118</f>
        <v>1</v>
      </c>
      <c r="H118" s="60">
        <v>0</v>
      </c>
      <c r="I118" s="60">
        <f t="shared" si="4"/>
        <v>1</v>
      </c>
      <c r="J118" s="60">
        <f>G118</f>
        <v>1</v>
      </c>
      <c r="K118" s="60">
        <v>0</v>
      </c>
      <c r="L118" s="61"/>
    </row>
    <row r="119" spans="1:12" ht="20.25" customHeight="1">
      <c r="A119" s="47" t="s">
        <v>171</v>
      </c>
      <c r="B119" s="27"/>
      <c r="C119" s="60">
        <f t="shared" si="2"/>
        <v>620</v>
      </c>
      <c r="D119" s="60">
        <v>620</v>
      </c>
      <c r="E119" s="60">
        <v>0</v>
      </c>
      <c r="F119" s="60">
        <f t="shared" si="3"/>
        <v>620</v>
      </c>
      <c r="G119" s="60">
        <v>620</v>
      </c>
      <c r="H119" s="60">
        <v>0</v>
      </c>
      <c r="I119" s="60">
        <f t="shared" si="4"/>
        <v>620</v>
      </c>
      <c r="J119" s="60">
        <v>620</v>
      </c>
      <c r="K119" s="60">
        <v>0</v>
      </c>
      <c r="L119" s="61"/>
    </row>
    <row r="120" spans="1:12" ht="30.75" customHeight="1">
      <c r="A120" s="25" t="s">
        <v>81</v>
      </c>
      <c r="B120" s="27"/>
      <c r="C120" s="60">
        <f t="shared" si="2"/>
        <v>90</v>
      </c>
      <c r="D120" s="60">
        <v>90</v>
      </c>
      <c r="E120" s="60">
        <v>0</v>
      </c>
      <c r="F120" s="60">
        <f t="shared" si="3"/>
        <v>76</v>
      </c>
      <c r="G120" s="60">
        <v>76</v>
      </c>
      <c r="H120" s="60">
        <v>0</v>
      </c>
      <c r="I120" s="60">
        <f t="shared" si="4"/>
        <v>76</v>
      </c>
      <c r="J120" s="60">
        <v>76</v>
      </c>
      <c r="K120" s="60">
        <v>0</v>
      </c>
      <c r="L120" s="61"/>
    </row>
    <row r="121" spans="1:12" ht="31.5" customHeight="1">
      <c r="A121" s="25" t="s">
        <v>172</v>
      </c>
      <c r="B121" s="27"/>
      <c r="C121" s="60">
        <f t="shared" si="2"/>
        <v>100</v>
      </c>
      <c r="D121" s="60">
        <v>100</v>
      </c>
      <c r="E121" s="60">
        <v>0</v>
      </c>
      <c r="F121" s="60">
        <f t="shared" si="3"/>
        <v>103</v>
      </c>
      <c r="G121" s="60">
        <f>84+19</f>
        <v>103</v>
      </c>
      <c r="H121" s="60">
        <v>0</v>
      </c>
      <c r="I121" s="60">
        <f t="shared" si="4"/>
        <v>84</v>
      </c>
      <c r="J121" s="60">
        <v>84</v>
      </c>
      <c r="K121" s="60">
        <v>0</v>
      </c>
      <c r="L121" s="61"/>
    </row>
    <row r="122" spans="1:12" ht="26.25" customHeight="1">
      <c r="A122" s="11"/>
      <c r="B122" s="12"/>
      <c r="C122" s="13"/>
      <c r="D122" s="13"/>
      <c r="E122" s="13"/>
      <c r="F122" s="13"/>
      <c r="G122" s="13"/>
      <c r="H122" s="13"/>
      <c r="I122" s="179" t="s">
        <v>234</v>
      </c>
      <c r="J122" s="179"/>
      <c r="K122" s="179"/>
      <c r="L122" s="13"/>
    </row>
    <row r="123" spans="1:12" ht="14.25">
      <c r="A123" s="14">
        <v>1</v>
      </c>
      <c r="B123" s="15">
        <v>2</v>
      </c>
      <c r="C123" s="16">
        <v>3</v>
      </c>
      <c r="D123" s="16">
        <v>4</v>
      </c>
      <c r="E123" s="16">
        <v>5</v>
      </c>
      <c r="F123" s="16">
        <v>6</v>
      </c>
      <c r="G123" s="16">
        <v>7</v>
      </c>
      <c r="H123" s="16">
        <v>8</v>
      </c>
      <c r="I123" s="16">
        <v>9</v>
      </c>
      <c r="J123" s="16">
        <v>10</v>
      </c>
      <c r="K123" s="16">
        <v>11</v>
      </c>
      <c r="L123" s="23"/>
    </row>
    <row r="124" spans="1:14" ht="81" customHeight="1">
      <c r="A124" s="25" t="s">
        <v>109</v>
      </c>
      <c r="B124" s="27"/>
      <c r="C124" s="60">
        <f t="shared" si="2"/>
        <v>203</v>
      </c>
      <c r="D124" s="60">
        <v>203</v>
      </c>
      <c r="E124" s="60">
        <v>0</v>
      </c>
      <c r="F124" s="60">
        <f t="shared" si="3"/>
        <v>184</v>
      </c>
      <c r="G124" s="60">
        <v>184</v>
      </c>
      <c r="H124" s="60">
        <v>0</v>
      </c>
      <c r="I124" s="60">
        <f t="shared" si="4"/>
        <v>184</v>
      </c>
      <c r="J124" s="60">
        <v>184</v>
      </c>
      <c r="K124" s="60">
        <v>0</v>
      </c>
      <c r="L124" s="61"/>
      <c r="N124" s="84"/>
    </row>
    <row r="125" spans="1:12" ht="15">
      <c r="A125" s="2" t="s">
        <v>13</v>
      </c>
      <c r="B125" s="27"/>
      <c r="C125" s="54"/>
      <c r="D125" s="54"/>
      <c r="E125" s="54"/>
      <c r="F125" s="54"/>
      <c r="G125" s="54"/>
      <c r="H125" s="54"/>
      <c r="I125" s="54"/>
      <c r="J125" s="54"/>
      <c r="K125" s="54"/>
      <c r="L125" s="22"/>
    </row>
    <row r="126" spans="1:12" ht="36.75" customHeight="1">
      <c r="A126" s="25" t="s">
        <v>84</v>
      </c>
      <c r="B126" s="27"/>
      <c r="C126" s="30">
        <f aca="true" t="shared" si="5" ref="C126:C131">D126+E126</f>
        <v>1680.6844181459567</v>
      </c>
      <c r="D126" s="30">
        <f>D114/D117</f>
        <v>1680.6844181459567</v>
      </c>
      <c r="E126" s="30">
        <v>0</v>
      </c>
      <c r="F126" s="30">
        <f aca="true" t="shared" si="6" ref="F126:F131">G126+H126</f>
        <v>1859.0447154471544</v>
      </c>
      <c r="G126" s="30">
        <f>G114/G117</f>
        <v>1859.0447154471544</v>
      </c>
      <c r="H126" s="30">
        <v>0</v>
      </c>
      <c r="I126" s="30">
        <f aca="true" t="shared" si="7" ref="I126:I131">J126+K126</f>
        <v>2055.186528497409</v>
      </c>
      <c r="J126" s="30">
        <f>J114/J117</f>
        <v>2055.186528497409</v>
      </c>
      <c r="K126" s="30">
        <v>0</v>
      </c>
      <c r="L126" s="22"/>
    </row>
    <row r="127" spans="1:12" ht="20.25" customHeight="1">
      <c r="A127" s="25" t="s">
        <v>36</v>
      </c>
      <c r="B127" s="27"/>
      <c r="C127" s="30">
        <f t="shared" si="5"/>
        <v>15824</v>
      </c>
      <c r="D127" s="30">
        <f>15824/D118</f>
        <v>15824</v>
      </c>
      <c r="E127" s="30">
        <v>0</v>
      </c>
      <c r="F127" s="30">
        <f t="shared" si="6"/>
        <v>14820</v>
      </c>
      <c r="G127" s="30">
        <f>14820/G118</f>
        <v>14820</v>
      </c>
      <c r="H127" s="30">
        <v>0</v>
      </c>
      <c r="I127" s="30">
        <f t="shared" si="7"/>
        <v>15665</v>
      </c>
      <c r="J127" s="30">
        <f>15665/J118</f>
        <v>15665</v>
      </c>
      <c r="K127" s="30">
        <v>0</v>
      </c>
      <c r="L127" s="63"/>
    </row>
    <row r="128" spans="1:12" ht="18.75" customHeight="1">
      <c r="A128" s="25" t="s">
        <v>37</v>
      </c>
      <c r="B128" s="27"/>
      <c r="C128" s="30">
        <f t="shared" si="5"/>
        <v>1163.1935483870968</v>
      </c>
      <c r="D128" s="30">
        <f>721180/D119</f>
        <v>1163.1935483870968</v>
      </c>
      <c r="E128" s="30">
        <v>0</v>
      </c>
      <c r="F128" s="30">
        <f t="shared" si="6"/>
        <v>1243.225806451613</v>
      </c>
      <c r="G128" s="30">
        <f>770800/G119</f>
        <v>1243.225806451613</v>
      </c>
      <c r="H128" s="30">
        <v>0</v>
      </c>
      <c r="I128" s="30">
        <f t="shared" si="7"/>
        <v>1341.3677419354838</v>
      </c>
      <c r="J128" s="30">
        <f>831648/J119</f>
        <v>1341.3677419354838</v>
      </c>
      <c r="K128" s="30">
        <v>0</v>
      </c>
      <c r="L128" s="63"/>
    </row>
    <row r="129" spans="1:12" ht="39" customHeight="1">
      <c r="A129" s="47" t="s">
        <v>83</v>
      </c>
      <c r="B129" s="27"/>
      <c r="C129" s="30">
        <f t="shared" si="5"/>
        <v>2729.2555555555555</v>
      </c>
      <c r="D129" s="30">
        <f>245633/D120</f>
        <v>2729.2555555555555</v>
      </c>
      <c r="E129" s="30">
        <v>0</v>
      </c>
      <c r="F129" s="30">
        <f t="shared" si="6"/>
        <v>3179.342105263158</v>
      </c>
      <c r="G129" s="30">
        <f>241630/G120</f>
        <v>3179.342105263158</v>
      </c>
      <c r="H129" s="30">
        <v>0</v>
      </c>
      <c r="I129" s="30">
        <f t="shared" si="7"/>
        <v>3791.7763157894738</v>
      </c>
      <c r="J129" s="30">
        <f>288175/J120</f>
        <v>3791.7763157894738</v>
      </c>
      <c r="K129" s="30">
        <v>0</v>
      </c>
      <c r="L129" s="63"/>
    </row>
    <row r="130" spans="1:12" ht="33.75" customHeight="1">
      <c r="A130" s="25" t="s">
        <v>173</v>
      </c>
      <c r="B130" s="27"/>
      <c r="C130" s="30">
        <f t="shared" si="5"/>
        <v>2197.42</v>
      </c>
      <c r="D130" s="30">
        <f>219742/D121</f>
        <v>2197.42</v>
      </c>
      <c r="E130" s="30">
        <v>0</v>
      </c>
      <c r="F130" s="30">
        <f t="shared" si="6"/>
        <v>2554.854368932039</v>
      </c>
      <c r="G130" s="30">
        <f>263150/G121</f>
        <v>2554.854368932039</v>
      </c>
      <c r="H130" s="30">
        <v>0</v>
      </c>
      <c r="I130" s="30">
        <f t="shared" si="7"/>
        <v>3311.309523809524</v>
      </c>
      <c r="J130" s="30">
        <f>278150/J121</f>
        <v>3311.309523809524</v>
      </c>
      <c r="K130" s="30">
        <v>0</v>
      </c>
      <c r="L130" s="63"/>
    </row>
    <row r="131" spans="1:12" ht="42.75" customHeight="1">
      <c r="A131" s="25" t="s">
        <v>85</v>
      </c>
      <c r="B131" s="27"/>
      <c r="C131" s="30">
        <f t="shared" si="5"/>
        <v>2472.093596059113</v>
      </c>
      <c r="D131" s="30">
        <f>501835/D124</f>
        <v>2472.093596059113</v>
      </c>
      <c r="E131" s="30">
        <v>0</v>
      </c>
      <c r="F131" s="30">
        <f t="shared" si="6"/>
        <v>2928.804347826087</v>
      </c>
      <c r="G131" s="30">
        <f>538900/G124</f>
        <v>2928.804347826087</v>
      </c>
      <c r="H131" s="30">
        <v>0</v>
      </c>
      <c r="I131" s="30">
        <f t="shared" si="7"/>
        <v>3095.7445652173915</v>
      </c>
      <c r="J131" s="30">
        <f>569617/J124</f>
        <v>3095.7445652173915</v>
      </c>
      <c r="K131" s="30">
        <v>0</v>
      </c>
      <c r="L131" s="63"/>
    </row>
    <row r="132" spans="1:12" ht="24" customHeight="1">
      <c r="A132" s="2" t="s">
        <v>174</v>
      </c>
      <c r="B132" s="27"/>
      <c r="C132" s="30"/>
      <c r="D132" s="30"/>
      <c r="E132" s="30"/>
      <c r="F132" s="30"/>
      <c r="G132" s="30"/>
      <c r="H132" s="30"/>
      <c r="I132" s="30"/>
      <c r="J132" s="30"/>
      <c r="K132" s="30"/>
      <c r="L132" s="22"/>
    </row>
    <row r="133" spans="1:12" ht="19.5" customHeight="1">
      <c r="A133" s="64" t="s">
        <v>18</v>
      </c>
      <c r="B133" s="27"/>
      <c r="C133" s="30">
        <f>D133+E133</f>
        <v>100</v>
      </c>
      <c r="D133" s="30">
        <v>100</v>
      </c>
      <c r="E133" s="30">
        <v>0</v>
      </c>
      <c r="F133" s="30">
        <f>G133+H133</f>
        <v>100</v>
      </c>
      <c r="G133" s="30">
        <v>100</v>
      </c>
      <c r="H133" s="30">
        <v>0</v>
      </c>
      <c r="I133" s="30">
        <f>J133+K133</f>
        <v>100</v>
      </c>
      <c r="J133" s="30">
        <v>100</v>
      </c>
      <c r="K133" s="30">
        <v>0</v>
      </c>
      <c r="L133" s="22"/>
    </row>
    <row r="134" spans="1:12" ht="33.75" customHeight="1">
      <c r="A134" s="58" t="s">
        <v>23</v>
      </c>
      <c r="B134" s="27"/>
      <c r="C134" s="65">
        <f>D134+E134</f>
        <v>123.89138764920166</v>
      </c>
      <c r="D134" s="6">
        <f>D114/1375571*100</f>
        <v>123.89138764920166</v>
      </c>
      <c r="E134" s="65">
        <v>0</v>
      </c>
      <c r="F134" s="9">
        <f>F114/C114*100</f>
        <v>107.33980591639313</v>
      </c>
      <c r="G134" s="9">
        <f>G114/D114*100</f>
        <v>107.33980591639313</v>
      </c>
      <c r="H134" s="48">
        <v>0</v>
      </c>
      <c r="I134" s="9">
        <f>+I114/F114*100</f>
        <v>108.41606078827968</v>
      </c>
      <c r="J134" s="9">
        <f>+J114/G114*100</f>
        <v>108.41606078827968</v>
      </c>
      <c r="K134" s="65">
        <v>0</v>
      </c>
      <c r="L134" s="63"/>
    </row>
    <row r="135" spans="1:12" ht="18.75" customHeight="1">
      <c r="A135" s="26" t="s">
        <v>117</v>
      </c>
      <c r="B135" s="40" t="s">
        <v>118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2"/>
    </row>
    <row r="136" spans="1:13" ht="22.5" customHeight="1">
      <c r="A136" s="2" t="s">
        <v>66</v>
      </c>
      <c r="B136" s="27"/>
      <c r="C136" s="41"/>
      <c r="D136" s="41"/>
      <c r="E136" s="41"/>
      <c r="F136" s="41"/>
      <c r="G136" s="41"/>
      <c r="H136" s="41"/>
      <c r="I136" s="41"/>
      <c r="J136" s="41"/>
      <c r="K136" s="41"/>
      <c r="L136" s="42"/>
      <c r="M136" s="66"/>
    </row>
    <row r="137" spans="1:12" ht="20.25" customHeight="1">
      <c r="A137" s="207" t="s">
        <v>212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18"/>
    </row>
    <row r="138" spans="1:12" ht="21" customHeight="1">
      <c r="A138" s="209" t="s">
        <v>213</v>
      </c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142"/>
    </row>
    <row r="139" spans="1:12" ht="19.5" customHeight="1">
      <c r="A139" s="143" t="s">
        <v>6</v>
      </c>
      <c r="B139" s="141"/>
      <c r="C139" s="4">
        <f>D139+E139</f>
        <v>991969</v>
      </c>
      <c r="D139" s="4">
        <f>+D140+D155</f>
        <v>991969</v>
      </c>
      <c r="E139" s="4">
        <f>E140+0</f>
        <v>0</v>
      </c>
      <c r="F139" s="144">
        <f aca="true" t="shared" si="8" ref="F139:K139">F140+F155</f>
        <v>999344</v>
      </c>
      <c r="G139" s="144">
        <f t="shared" si="8"/>
        <v>999344</v>
      </c>
      <c r="H139" s="144">
        <f t="shared" si="8"/>
        <v>0</v>
      </c>
      <c r="I139" s="144">
        <f t="shared" si="8"/>
        <v>1094390</v>
      </c>
      <c r="J139" s="144">
        <f t="shared" si="8"/>
        <v>1094390</v>
      </c>
      <c r="K139" s="144">
        <f t="shared" si="8"/>
        <v>0</v>
      </c>
      <c r="L139" s="145"/>
    </row>
    <row r="140" spans="1:13" ht="36.75" customHeight="1">
      <c r="A140" s="3" t="s">
        <v>26</v>
      </c>
      <c r="B140" s="27"/>
      <c r="C140" s="28">
        <f>E140+D140</f>
        <v>124475</v>
      </c>
      <c r="D140" s="28">
        <v>124475</v>
      </c>
      <c r="E140" s="28">
        <v>0</v>
      </c>
      <c r="F140" s="28">
        <f>H140+G140</f>
        <v>116376</v>
      </c>
      <c r="G140" s="4">
        <f>131376-15000</f>
        <v>116376</v>
      </c>
      <c r="H140" s="4">
        <f>E140*1.05</f>
        <v>0</v>
      </c>
      <c r="I140" s="28">
        <f>K140+J140</f>
        <v>138879</v>
      </c>
      <c r="J140" s="4">
        <v>138879</v>
      </c>
      <c r="K140" s="4">
        <f>H140*1.043</f>
        <v>0</v>
      </c>
      <c r="L140" s="67"/>
      <c r="M140" s="146"/>
    </row>
    <row r="141" spans="1:12" ht="23.25" customHeight="1">
      <c r="A141" s="47" t="s">
        <v>7</v>
      </c>
      <c r="B141" s="27"/>
      <c r="C141" s="46"/>
      <c r="D141" s="46"/>
      <c r="E141" s="46"/>
      <c r="F141" s="46"/>
      <c r="G141" s="46"/>
      <c r="H141" s="46"/>
      <c r="I141" s="46"/>
      <c r="J141" s="46"/>
      <c r="K141" s="46"/>
      <c r="L141" s="42"/>
    </row>
    <row r="142" spans="1:12" ht="24.75" customHeight="1">
      <c r="A142" s="2" t="s">
        <v>8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18"/>
    </row>
    <row r="143" spans="1:15" ht="28.5" customHeight="1">
      <c r="A143" s="47" t="s">
        <v>14</v>
      </c>
      <c r="B143" s="27"/>
      <c r="C143" s="50">
        <f>D143+E143</f>
        <v>19</v>
      </c>
      <c r="D143" s="29">
        <f>D144+D145</f>
        <v>19</v>
      </c>
      <c r="E143" s="50">
        <v>0</v>
      </c>
      <c r="F143" s="50">
        <f>G143+H143</f>
        <v>15</v>
      </c>
      <c r="G143" s="29">
        <f>G144+G145</f>
        <v>15</v>
      </c>
      <c r="H143" s="50">
        <v>0</v>
      </c>
      <c r="I143" s="50">
        <f>J143+K143</f>
        <v>16</v>
      </c>
      <c r="J143" s="29">
        <f>J144+J145</f>
        <v>16</v>
      </c>
      <c r="K143" s="50">
        <v>0</v>
      </c>
      <c r="L143" s="18"/>
      <c r="M143" s="44"/>
      <c r="N143" s="19"/>
      <c r="O143" s="20"/>
    </row>
    <row r="144" spans="1:12" ht="51" customHeight="1">
      <c r="A144" s="92" t="s">
        <v>78</v>
      </c>
      <c r="B144" s="27"/>
      <c r="C144" s="50">
        <f>D144+E144</f>
        <v>16</v>
      </c>
      <c r="D144" s="50">
        <v>16</v>
      </c>
      <c r="E144" s="50">
        <v>0</v>
      </c>
      <c r="F144" s="50">
        <f>G144+H144</f>
        <v>15</v>
      </c>
      <c r="G144" s="50">
        <v>15</v>
      </c>
      <c r="H144" s="50">
        <v>0</v>
      </c>
      <c r="I144" s="50">
        <f>J144+K144</f>
        <v>16</v>
      </c>
      <c r="J144" s="50">
        <v>16</v>
      </c>
      <c r="K144" s="50">
        <v>0</v>
      </c>
      <c r="L144" s="44"/>
    </row>
    <row r="145" spans="1:12" ht="34.5" customHeight="1">
      <c r="A145" s="92" t="s">
        <v>40</v>
      </c>
      <c r="B145" s="27"/>
      <c r="C145" s="50">
        <f>D145+E145</f>
        <v>3</v>
      </c>
      <c r="D145" s="50">
        <v>3</v>
      </c>
      <c r="E145" s="50">
        <v>0</v>
      </c>
      <c r="F145" s="50">
        <f>G145+H145</f>
        <v>0</v>
      </c>
      <c r="G145" s="50">
        <v>0</v>
      </c>
      <c r="H145" s="50">
        <v>0</v>
      </c>
      <c r="I145" s="50">
        <f>J145+K145</f>
        <v>0</v>
      </c>
      <c r="J145" s="50">
        <v>0</v>
      </c>
      <c r="K145" s="50">
        <v>0</v>
      </c>
      <c r="L145" s="44"/>
    </row>
    <row r="146" spans="1:12" ht="22.5" customHeight="1">
      <c r="A146" s="2" t="s">
        <v>13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36.75" customHeight="1">
      <c r="A147" s="25" t="s">
        <v>31</v>
      </c>
      <c r="B147" s="27"/>
      <c r="C147" s="30">
        <f>D147+E147</f>
        <v>6551.315789473684</v>
      </c>
      <c r="D147" s="30">
        <f>D140/D143</f>
        <v>6551.315789473684</v>
      </c>
      <c r="E147" s="30">
        <v>0</v>
      </c>
      <c r="F147" s="30">
        <f>G147+H147</f>
        <v>7758.4</v>
      </c>
      <c r="G147" s="8">
        <f>G140/G143</f>
        <v>7758.4</v>
      </c>
      <c r="H147" s="30">
        <v>0</v>
      </c>
      <c r="I147" s="30">
        <f>J147+K147</f>
        <v>8679.9375</v>
      </c>
      <c r="J147" s="8">
        <f>J140/J143</f>
        <v>8679.9375</v>
      </c>
      <c r="K147" s="30">
        <v>0</v>
      </c>
      <c r="L147" s="18"/>
    </row>
    <row r="148" spans="1:12" ht="39.75" customHeight="1">
      <c r="A148" s="25" t="s">
        <v>32</v>
      </c>
      <c r="B148" s="27"/>
      <c r="C148" s="30">
        <f>D148+E148</f>
        <v>7033.75</v>
      </c>
      <c r="D148" s="30">
        <f>112540/D144</f>
        <v>7033.75</v>
      </c>
      <c r="E148" s="30">
        <v>0</v>
      </c>
      <c r="F148" s="30">
        <f>G148+H148</f>
        <v>7758.4</v>
      </c>
      <c r="G148" s="8">
        <f>116376/G144</f>
        <v>7758.4</v>
      </c>
      <c r="H148" s="30">
        <v>0</v>
      </c>
      <c r="I148" s="30">
        <f>J148+K148</f>
        <v>8679.9375</v>
      </c>
      <c r="J148" s="8">
        <f>138879/J144</f>
        <v>8679.9375</v>
      </c>
      <c r="K148" s="30">
        <v>0</v>
      </c>
      <c r="L148" s="22"/>
    </row>
    <row r="149" spans="1:12" ht="34.5" customHeight="1">
      <c r="A149" s="92" t="s">
        <v>41</v>
      </c>
      <c r="B149" s="27"/>
      <c r="C149" s="30">
        <f>D149+E149</f>
        <v>3978.3333333333335</v>
      </c>
      <c r="D149" s="30">
        <f>11935/D145</f>
        <v>3978.3333333333335</v>
      </c>
      <c r="E149" s="30">
        <v>0</v>
      </c>
      <c r="F149" s="30">
        <f>G149+H149</f>
        <v>0</v>
      </c>
      <c r="G149" s="8">
        <v>0</v>
      </c>
      <c r="H149" s="30">
        <v>0</v>
      </c>
      <c r="I149" s="30">
        <f>J149+K149</f>
        <v>0</v>
      </c>
      <c r="J149" s="8">
        <v>0</v>
      </c>
      <c r="K149" s="30">
        <v>0</v>
      </c>
      <c r="L149" s="22"/>
    </row>
    <row r="150" spans="1:12" ht="23.25" customHeight="1">
      <c r="A150" s="2" t="s">
        <v>12</v>
      </c>
      <c r="B150" s="27"/>
      <c r="C150" s="46"/>
      <c r="D150" s="46"/>
      <c r="E150" s="46"/>
      <c r="F150" s="46"/>
      <c r="G150" s="46"/>
      <c r="H150" s="46"/>
      <c r="I150" s="46"/>
      <c r="J150" s="46"/>
      <c r="K150" s="46"/>
      <c r="L150" s="42"/>
    </row>
    <row r="151" spans="1:12" ht="26.25" customHeight="1">
      <c r="A151" s="5" t="s">
        <v>18</v>
      </c>
      <c r="B151" s="27"/>
      <c r="C151" s="30">
        <f>D151+E151</f>
        <v>100</v>
      </c>
      <c r="D151" s="30">
        <v>100</v>
      </c>
      <c r="E151" s="30">
        <v>0</v>
      </c>
      <c r="F151" s="30">
        <f>G151+H151</f>
        <v>100</v>
      </c>
      <c r="G151" s="30">
        <v>100</v>
      </c>
      <c r="H151" s="30">
        <v>0</v>
      </c>
      <c r="I151" s="30">
        <f>J151+K151</f>
        <v>100</v>
      </c>
      <c r="J151" s="30">
        <v>100</v>
      </c>
      <c r="K151" s="30">
        <v>0</v>
      </c>
      <c r="L151" s="22"/>
    </row>
    <row r="152" spans="1:12" ht="16.5" customHeight="1">
      <c r="A152" s="11"/>
      <c r="B152" s="12"/>
      <c r="C152" s="13"/>
      <c r="D152" s="13"/>
      <c r="E152" s="13"/>
      <c r="F152" s="13"/>
      <c r="G152" s="13"/>
      <c r="H152" s="13"/>
      <c r="I152" s="179" t="s">
        <v>234</v>
      </c>
      <c r="J152" s="179"/>
      <c r="K152" s="179"/>
      <c r="L152" s="13"/>
    </row>
    <row r="153" spans="1:12" ht="14.25">
      <c r="A153" s="14">
        <v>1</v>
      </c>
      <c r="B153" s="15">
        <v>2</v>
      </c>
      <c r="C153" s="16">
        <v>3</v>
      </c>
      <c r="D153" s="16">
        <v>4</v>
      </c>
      <c r="E153" s="16">
        <v>5</v>
      </c>
      <c r="F153" s="16">
        <v>6</v>
      </c>
      <c r="G153" s="16">
        <v>7</v>
      </c>
      <c r="H153" s="16">
        <v>8</v>
      </c>
      <c r="I153" s="16">
        <v>9</v>
      </c>
      <c r="J153" s="16">
        <v>10</v>
      </c>
      <c r="K153" s="16">
        <v>11</v>
      </c>
      <c r="L153" s="23"/>
    </row>
    <row r="154" spans="1:12" ht="37.5" customHeight="1">
      <c r="A154" s="5" t="s">
        <v>24</v>
      </c>
      <c r="B154" s="27"/>
      <c r="C154" s="30">
        <f>D154+E154</f>
        <v>87.42265579458221</v>
      </c>
      <c r="D154" s="30">
        <f>D140/142383*100</f>
        <v>87.42265579458221</v>
      </c>
      <c r="E154" s="30">
        <v>0</v>
      </c>
      <c r="F154" s="30">
        <f>G154+H154</f>
        <v>93.49347258485639</v>
      </c>
      <c r="G154" s="30">
        <f>G140/D140*100</f>
        <v>93.49347258485639</v>
      </c>
      <c r="H154" s="30">
        <v>0</v>
      </c>
      <c r="I154" s="30">
        <f>J154+K154</f>
        <v>119.33646112600536</v>
      </c>
      <c r="J154" s="30">
        <f>J140/G140*100</f>
        <v>119.33646112600536</v>
      </c>
      <c r="K154" s="30">
        <v>0</v>
      </c>
      <c r="L154" s="22"/>
    </row>
    <row r="155" spans="1:12" ht="39.75" customHeight="1">
      <c r="A155" s="3" t="s">
        <v>214</v>
      </c>
      <c r="B155" s="27"/>
      <c r="C155" s="28">
        <f>E155+D155</f>
        <v>867494</v>
      </c>
      <c r="D155" s="28">
        <v>867494</v>
      </c>
      <c r="E155" s="28">
        <v>0</v>
      </c>
      <c r="F155" s="28">
        <f>H155+G155</f>
        <v>882968</v>
      </c>
      <c r="G155" s="4">
        <f>920224-7032-30224</f>
        <v>882968</v>
      </c>
      <c r="H155" s="4">
        <f>E155*1.05</f>
        <v>0</v>
      </c>
      <c r="I155" s="28">
        <f>K155+J155</f>
        <v>955511</v>
      </c>
      <c r="J155" s="4">
        <v>955511</v>
      </c>
      <c r="K155" s="4">
        <f>H155*1.043</f>
        <v>0</v>
      </c>
      <c r="L155" s="67"/>
    </row>
    <row r="156" spans="1:12" ht="21.75" customHeight="1">
      <c r="A156" s="47" t="s">
        <v>7</v>
      </c>
      <c r="B156" s="27"/>
      <c r="C156" s="41"/>
      <c r="D156" s="41"/>
      <c r="E156" s="41"/>
      <c r="F156" s="41"/>
      <c r="G156" s="41"/>
      <c r="H156" s="41"/>
      <c r="I156" s="41"/>
      <c r="J156" s="41"/>
      <c r="K156" s="41"/>
      <c r="L156" s="42"/>
    </row>
    <row r="157" spans="1:12" ht="21.75" customHeight="1">
      <c r="A157" s="2" t="s">
        <v>8</v>
      </c>
      <c r="B157" s="27"/>
      <c r="C157" s="41"/>
      <c r="D157" s="41"/>
      <c r="E157" s="41"/>
      <c r="F157" s="41"/>
      <c r="G157" s="41"/>
      <c r="H157" s="41"/>
      <c r="I157" s="41"/>
      <c r="J157" s="41"/>
      <c r="K157" s="41"/>
      <c r="L157" s="42"/>
    </row>
    <row r="158" spans="1:12" ht="24" customHeight="1">
      <c r="A158" s="115" t="s">
        <v>201</v>
      </c>
      <c r="B158" s="27"/>
      <c r="C158" s="50">
        <f>D158+E158</f>
        <v>84</v>
      </c>
      <c r="D158" s="50">
        <v>84</v>
      </c>
      <c r="E158" s="50">
        <v>0</v>
      </c>
      <c r="F158" s="50">
        <f>G158+H158</f>
        <v>62</v>
      </c>
      <c r="G158" s="50">
        <v>62</v>
      </c>
      <c r="H158" s="50">
        <v>0</v>
      </c>
      <c r="I158" s="50">
        <f>J158+K158</f>
        <v>70</v>
      </c>
      <c r="J158" s="50">
        <v>70</v>
      </c>
      <c r="K158" s="50">
        <v>0</v>
      </c>
      <c r="L158" s="44"/>
    </row>
    <row r="159" spans="1:12" ht="24" customHeight="1">
      <c r="A159" s="47" t="s">
        <v>200</v>
      </c>
      <c r="B159" s="27"/>
      <c r="C159" s="50">
        <f>D159+E159</f>
        <v>52</v>
      </c>
      <c r="D159" s="50">
        <v>52</v>
      </c>
      <c r="E159" s="50">
        <v>0</v>
      </c>
      <c r="F159" s="50">
        <f>G159+H159</f>
        <v>55</v>
      </c>
      <c r="G159" s="50">
        <f>56-1</f>
        <v>55</v>
      </c>
      <c r="H159" s="50">
        <v>0</v>
      </c>
      <c r="I159" s="50">
        <f>J159+K159</f>
        <v>56</v>
      </c>
      <c r="J159" s="50">
        <v>56</v>
      </c>
      <c r="K159" s="50">
        <v>0</v>
      </c>
      <c r="L159" s="44"/>
    </row>
    <row r="160" spans="1:12" ht="23.25" customHeight="1">
      <c r="A160" s="2" t="s">
        <v>13</v>
      </c>
      <c r="B160" s="27"/>
      <c r="C160" s="46"/>
      <c r="D160" s="46"/>
      <c r="E160" s="46"/>
      <c r="F160" s="46"/>
      <c r="G160" s="46"/>
      <c r="H160" s="46"/>
      <c r="I160" s="46"/>
      <c r="J160" s="46"/>
      <c r="K160" s="46"/>
      <c r="L160" s="42"/>
    </row>
    <row r="161" spans="1:12" ht="28.5" customHeight="1">
      <c r="A161" s="25" t="s">
        <v>202</v>
      </c>
      <c r="B161" s="27"/>
      <c r="C161" s="30">
        <f>D161+E161</f>
        <v>1111.5714285714287</v>
      </c>
      <c r="D161" s="30">
        <f>93372/D158</f>
        <v>1111.5714285714287</v>
      </c>
      <c r="E161" s="30">
        <v>0</v>
      </c>
      <c r="F161" s="30">
        <f>G161+H161</f>
        <v>1005.9354838709677</v>
      </c>
      <c r="G161" s="8">
        <f>62368/G158</f>
        <v>1005.9354838709677</v>
      </c>
      <c r="H161" s="30">
        <v>0</v>
      </c>
      <c r="I161" s="30">
        <f>J161+K161</f>
        <v>1005</v>
      </c>
      <c r="J161" s="8">
        <f>70350/J158</f>
        <v>1005</v>
      </c>
      <c r="K161" s="30">
        <v>0</v>
      </c>
      <c r="L161" s="22"/>
    </row>
    <row r="162" spans="1:12" ht="30" customHeight="1">
      <c r="A162" s="25" t="s">
        <v>203</v>
      </c>
      <c r="B162" s="27"/>
      <c r="C162" s="30">
        <f>D162+E162</f>
        <v>1240.5801282051282</v>
      </c>
      <c r="D162" s="30">
        <f>774122/D159/12</f>
        <v>1240.5801282051282</v>
      </c>
      <c r="E162" s="30">
        <v>0</v>
      </c>
      <c r="F162" s="30">
        <f>G162+H162</f>
        <v>1243.3333333333333</v>
      </c>
      <c r="G162" s="8">
        <f>820600/G159/12</f>
        <v>1243.3333333333333</v>
      </c>
      <c r="H162" s="30">
        <v>0</v>
      </c>
      <c r="I162" s="30">
        <f>J162+K162</f>
        <v>1317.203869047619</v>
      </c>
      <c r="J162" s="8">
        <f>885161/J159/12</f>
        <v>1317.203869047619</v>
      </c>
      <c r="K162" s="30">
        <v>0</v>
      </c>
      <c r="L162" s="22"/>
    </row>
    <row r="163" spans="1:12" ht="25.5" customHeight="1">
      <c r="A163" s="2" t="s">
        <v>12</v>
      </c>
      <c r="B163" s="27"/>
      <c r="C163" s="41"/>
      <c r="D163" s="41"/>
      <c r="E163" s="41"/>
      <c r="F163" s="41"/>
      <c r="G163" s="41"/>
      <c r="H163" s="41"/>
      <c r="I163" s="41"/>
      <c r="J163" s="41"/>
      <c r="K163" s="41"/>
      <c r="L163" s="42"/>
    </row>
    <row r="164" spans="1:12" ht="33.75" customHeight="1">
      <c r="A164" s="58" t="s">
        <v>24</v>
      </c>
      <c r="B164" s="27"/>
      <c r="C164" s="48">
        <f>D164+E164</f>
        <v>115.85602502240344</v>
      </c>
      <c r="D164" s="48">
        <f>D155/748769*100</f>
        <v>115.85602502240344</v>
      </c>
      <c r="E164" s="48">
        <v>0</v>
      </c>
      <c r="F164" s="48">
        <f>G164+H164</f>
        <v>101.78375873493073</v>
      </c>
      <c r="G164" s="48">
        <f>G155/D155*100</f>
        <v>101.78375873493073</v>
      </c>
      <c r="H164" s="48">
        <v>0</v>
      </c>
      <c r="I164" s="48">
        <f>J164+K164</f>
        <v>108.21581303059679</v>
      </c>
      <c r="J164" s="48">
        <f>J155/G155*100</f>
        <v>108.21581303059679</v>
      </c>
      <c r="K164" s="48">
        <v>0</v>
      </c>
      <c r="L164" s="22"/>
    </row>
    <row r="165" spans="1:12" ht="18.75" customHeight="1">
      <c r="A165" s="26" t="s">
        <v>86</v>
      </c>
      <c r="B165" s="40" t="s">
        <v>176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12"/>
    </row>
    <row r="166" spans="1:12" ht="21" customHeight="1">
      <c r="A166" s="93" t="s">
        <v>66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2"/>
    </row>
    <row r="167" spans="1:12" ht="25.5" customHeight="1">
      <c r="A167" s="207" t="s">
        <v>177</v>
      </c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94"/>
    </row>
    <row r="168" spans="1:12" ht="28.5" customHeight="1">
      <c r="A168" s="197" t="s">
        <v>178</v>
      </c>
      <c r="B168" s="198"/>
      <c r="C168" s="198"/>
      <c r="D168" s="198"/>
      <c r="E168" s="198"/>
      <c r="F168" s="198"/>
      <c r="G168" s="198"/>
      <c r="H168" s="198"/>
      <c r="I168" s="198"/>
      <c r="J168" s="198"/>
      <c r="K168" s="199"/>
      <c r="L168" s="95"/>
    </row>
    <row r="169" spans="1:15" ht="49.5" customHeight="1">
      <c r="A169" s="96" t="s">
        <v>215</v>
      </c>
      <c r="B169" s="97" t="s">
        <v>0</v>
      </c>
      <c r="C169" s="28">
        <f>E169+D169</f>
        <v>255150</v>
      </c>
      <c r="D169" s="28">
        <v>255150</v>
      </c>
      <c r="E169" s="28">
        <v>0</v>
      </c>
      <c r="F169" s="28">
        <f>H169+G169</f>
        <v>270500</v>
      </c>
      <c r="G169" s="4">
        <v>270500</v>
      </c>
      <c r="H169" s="4">
        <f>E169*1.05</f>
        <v>0</v>
      </c>
      <c r="I169" s="28">
        <f>K169+J169</f>
        <v>285919</v>
      </c>
      <c r="J169" s="4">
        <v>285919</v>
      </c>
      <c r="K169" s="4">
        <f>H169*1.05</f>
        <v>0</v>
      </c>
      <c r="L169" s="18"/>
      <c r="M169" s="67"/>
      <c r="N169" s="19"/>
      <c r="O169" s="20"/>
    </row>
    <row r="170" spans="1:12" ht="23.25" customHeight="1">
      <c r="A170" s="64" t="s">
        <v>4</v>
      </c>
      <c r="B170" s="27"/>
      <c r="C170" s="98"/>
      <c r="D170" s="98"/>
      <c r="E170" s="98"/>
      <c r="F170" s="98"/>
      <c r="G170" s="98"/>
      <c r="H170" s="98"/>
      <c r="I170" s="98"/>
      <c r="J170" s="98"/>
      <c r="K170" s="98"/>
      <c r="L170" s="99"/>
    </row>
    <row r="171" spans="1:12" ht="22.5" customHeight="1">
      <c r="A171" s="2" t="s">
        <v>8</v>
      </c>
      <c r="B171" s="27"/>
      <c r="C171" s="100"/>
      <c r="D171" s="100"/>
      <c r="E171" s="100"/>
      <c r="F171" s="100"/>
      <c r="G171" s="100"/>
      <c r="H171" s="100"/>
      <c r="I171" s="100"/>
      <c r="J171" s="100"/>
      <c r="K171" s="100"/>
      <c r="L171" s="101"/>
    </row>
    <row r="172" spans="1:12" ht="49.5" customHeight="1">
      <c r="A172" s="25" t="s">
        <v>179</v>
      </c>
      <c r="B172" s="27"/>
      <c r="C172" s="50">
        <f>D172+E172</f>
        <v>1</v>
      </c>
      <c r="D172" s="50">
        <v>1</v>
      </c>
      <c r="E172" s="50">
        <v>0</v>
      </c>
      <c r="F172" s="50">
        <f>G172+H172</f>
        <v>1</v>
      </c>
      <c r="G172" s="50">
        <f>D172</f>
        <v>1</v>
      </c>
      <c r="H172" s="50">
        <v>0</v>
      </c>
      <c r="I172" s="50">
        <f>J172+K172</f>
        <v>1</v>
      </c>
      <c r="J172" s="50">
        <f>D172</f>
        <v>1</v>
      </c>
      <c r="K172" s="50">
        <v>0</v>
      </c>
      <c r="L172" s="102"/>
    </row>
    <row r="173" spans="1:12" ht="31.5" customHeight="1">
      <c r="A173" s="25" t="s">
        <v>180</v>
      </c>
      <c r="B173" s="27"/>
      <c r="C173" s="50">
        <f>D173+E173</f>
        <v>189</v>
      </c>
      <c r="D173" s="50">
        <v>189</v>
      </c>
      <c r="E173" s="50">
        <v>0</v>
      </c>
      <c r="F173" s="50">
        <f>G173+H173</f>
        <v>180</v>
      </c>
      <c r="G173" s="50">
        <v>180</v>
      </c>
      <c r="H173" s="50">
        <v>0</v>
      </c>
      <c r="I173" s="50">
        <f>J173+K173</f>
        <v>180</v>
      </c>
      <c r="J173" s="50">
        <v>180</v>
      </c>
      <c r="K173" s="50">
        <v>0</v>
      </c>
      <c r="L173" s="102"/>
    </row>
    <row r="174" spans="1:12" ht="32.25" customHeight="1">
      <c r="A174" s="2" t="s">
        <v>13</v>
      </c>
      <c r="B174" s="27"/>
      <c r="C174" s="30"/>
      <c r="D174" s="30"/>
      <c r="E174" s="30"/>
      <c r="F174" s="30"/>
      <c r="G174" s="30"/>
      <c r="H174" s="30"/>
      <c r="I174" s="30"/>
      <c r="J174" s="30"/>
      <c r="K174" s="30"/>
      <c r="L174" s="101"/>
    </row>
    <row r="175" spans="1:12" ht="30" customHeight="1">
      <c r="A175" s="5" t="s">
        <v>29</v>
      </c>
      <c r="B175" s="27"/>
      <c r="C175" s="30">
        <f>+D175+E175</f>
        <v>112.5</v>
      </c>
      <c r="D175" s="8">
        <f>D169/D173/12</f>
        <v>112.5</v>
      </c>
      <c r="E175" s="30">
        <v>0</v>
      </c>
      <c r="F175" s="30">
        <f>+G175+H175</f>
        <v>125.23148148148148</v>
      </c>
      <c r="G175" s="8">
        <f>G169/G173/12</f>
        <v>125.23148148148148</v>
      </c>
      <c r="H175" s="30">
        <v>0</v>
      </c>
      <c r="I175" s="30">
        <f>+J175+K175</f>
        <v>132.3699074074074</v>
      </c>
      <c r="J175" s="8">
        <f>J169/J173/12</f>
        <v>132.3699074074074</v>
      </c>
      <c r="K175" s="30">
        <v>0</v>
      </c>
      <c r="L175" s="101"/>
    </row>
    <row r="176" spans="1:12" ht="22.5" customHeight="1">
      <c r="A176" s="2" t="s">
        <v>12</v>
      </c>
      <c r="B176" s="27"/>
      <c r="C176" s="30"/>
      <c r="D176" s="30"/>
      <c r="E176" s="30"/>
      <c r="F176" s="30"/>
      <c r="G176" s="30"/>
      <c r="H176" s="30"/>
      <c r="I176" s="30"/>
      <c r="J176" s="30"/>
      <c r="K176" s="30"/>
      <c r="L176" s="101"/>
    </row>
    <row r="177" spans="1:12" ht="18" customHeight="1">
      <c r="A177" s="64" t="s">
        <v>11</v>
      </c>
      <c r="B177" s="27"/>
      <c r="C177" s="48">
        <f>D177+E177</f>
        <v>100</v>
      </c>
      <c r="D177" s="48">
        <v>100</v>
      </c>
      <c r="E177" s="48">
        <v>0</v>
      </c>
      <c r="F177" s="48">
        <f>G177+H177</f>
        <v>100</v>
      </c>
      <c r="G177" s="48">
        <v>100</v>
      </c>
      <c r="H177" s="48">
        <v>0</v>
      </c>
      <c r="I177" s="48">
        <f>J177+K177</f>
        <v>100</v>
      </c>
      <c r="J177" s="48">
        <v>100</v>
      </c>
      <c r="K177" s="48">
        <v>0</v>
      </c>
      <c r="L177" s="101"/>
    </row>
    <row r="178" spans="1:11" ht="20.25" customHeight="1">
      <c r="A178" s="103" t="s">
        <v>97</v>
      </c>
      <c r="B178" s="104" t="s">
        <v>98</v>
      </c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8" customHeight="1">
      <c r="A179" s="93" t="s">
        <v>66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5" ht="36.75" customHeight="1">
      <c r="A180" s="186" t="s">
        <v>131</v>
      </c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N180" s="19"/>
      <c r="O180" s="105"/>
    </row>
    <row r="181" spans="1:11" ht="31.5" customHeight="1">
      <c r="A181" s="192" t="s">
        <v>68</v>
      </c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</row>
    <row r="182" spans="1:11" ht="42.75" customHeight="1">
      <c r="A182" s="106" t="s">
        <v>69</v>
      </c>
      <c r="B182" s="27"/>
      <c r="C182" s="28">
        <f>D182+E182</f>
        <v>305300</v>
      </c>
      <c r="D182" s="28">
        <v>305300</v>
      </c>
      <c r="E182" s="28">
        <v>0</v>
      </c>
      <c r="F182" s="28">
        <f>G182+H182</f>
        <v>320000</v>
      </c>
      <c r="G182" s="28">
        <v>320000</v>
      </c>
      <c r="H182" s="28">
        <v>0</v>
      </c>
      <c r="I182" s="28">
        <f>J182+K182</f>
        <v>339000</v>
      </c>
      <c r="J182" s="28">
        <v>339000</v>
      </c>
      <c r="K182" s="28">
        <v>0</v>
      </c>
    </row>
    <row r="183" spans="1:12" ht="19.5" customHeight="1">
      <c r="A183" s="21"/>
      <c r="B183" s="1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ht="26.25" customHeight="1">
      <c r="A184" s="11"/>
      <c r="B184" s="12"/>
      <c r="C184" s="13"/>
      <c r="D184" s="13"/>
      <c r="E184" s="13"/>
      <c r="F184" s="13"/>
      <c r="G184" s="13"/>
      <c r="H184" s="13"/>
      <c r="I184" s="179" t="s">
        <v>234</v>
      </c>
      <c r="J184" s="179"/>
      <c r="K184" s="179"/>
      <c r="L184" s="13"/>
    </row>
    <row r="185" spans="1:12" ht="14.25">
      <c r="A185" s="14">
        <v>1</v>
      </c>
      <c r="B185" s="15">
        <v>2</v>
      </c>
      <c r="C185" s="16">
        <v>3</v>
      </c>
      <c r="D185" s="16">
        <v>4</v>
      </c>
      <c r="E185" s="16">
        <v>5</v>
      </c>
      <c r="F185" s="16">
        <v>6</v>
      </c>
      <c r="G185" s="16">
        <v>7</v>
      </c>
      <c r="H185" s="16">
        <v>8</v>
      </c>
      <c r="I185" s="16">
        <v>9</v>
      </c>
      <c r="J185" s="16">
        <v>10</v>
      </c>
      <c r="K185" s="16">
        <v>11</v>
      </c>
      <c r="L185" s="23"/>
    </row>
    <row r="186" spans="1:11" ht="18.75" customHeight="1">
      <c r="A186" s="1" t="s">
        <v>4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8.75" customHeight="1">
      <c r="A187" s="24" t="s">
        <v>5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43.5" customHeight="1">
      <c r="A188" s="58" t="s">
        <v>38</v>
      </c>
      <c r="B188" s="27"/>
      <c r="C188" s="60">
        <f>D188+E188</f>
        <v>135</v>
      </c>
      <c r="D188" s="60">
        <v>135</v>
      </c>
      <c r="E188" s="60">
        <v>0</v>
      </c>
      <c r="F188" s="60">
        <f>G188+H188</f>
        <v>130</v>
      </c>
      <c r="G188" s="60">
        <v>130</v>
      </c>
      <c r="H188" s="60">
        <v>0</v>
      </c>
      <c r="I188" s="60">
        <f>J188+K188</f>
        <v>130</v>
      </c>
      <c r="J188" s="60">
        <v>130</v>
      </c>
      <c r="K188" s="60">
        <v>0</v>
      </c>
    </row>
    <row r="189" spans="1:11" ht="21" customHeight="1">
      <c r="A189" s="2" t="s">
        <v>13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30">
      <c r="A190" s="58" t="s">
        <v>39</v>
      </c>
      <c r="B190" s="27"/>
      <c r="C190" s="30">
        <f>D190+E190</f>
        <v>2261.4814814814813</v>
      </c>
      <c r="D190" s="30">
        <f>D182/D188</f>
        <v>2261.4814814814813</v>
      </c>
      <c r="E190" s="30"/>
      <c r="F190" s="30">
        <f>G190+H190</f>
        <v>2461.5384615384614</v>
      </c>
      <c r="G190" s="30">
        <f>+G182/G188</f>
        <v>2461.5384615384614</v>
      </c>
      <c r="H190" s="30"/>
      <c r="I190" s="30">
        <f>J190+K190</f>
        <v>2607.6923076923076</v>
      </c>
      <c r="J190" s="30">
        <f>+J182/J188</f>
        <v>2607.6923076923076</v>
      </c>
      <c r="K190" s="30"/>
    </row>
    <row r="191" spans="1:11" ht="20.25" customHeight="1">
      <c r="A191" s="2" t="s">
        <v>12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21.75" customHeight="1">
      <c r="A192" s="5" t="s">
        <v>35</v>
      </c>
      <c r="B192" s="27"/>
      <c r="C192" s="65">
        <f>+C182/255700*100</f>
        <v>119.39773171685569</v>
      </c>
      <c r="D192" s="65">
        <f>+D182/255700*100</f>
        <v>119.39773171685569</v>
      </c>
      <c r="E192" s="60">
        <v>0</v>
      </c>
      <c r="F192" s="65">
        <f>+F182/C182*100</f>
        <v>104.8149361283983</v>
      </c>
      <c r="G192" s="65">
        <f>+G182/D182*100</f>
        <v>104.8149361283983</v>
      </c>
      <c r="H192" s="65">
        <v>0</v>
      </c>
      <c r="I192" s="65">
        <f>J192+K192</f>
        <v>105.9375</v>
      </c>
      <c r="J192" s="65">
        <f>+J182/G182*100</f>
        <v>105.9375</v>
      </c>
      <c r="K192" s="65">
        <v>0</v>
      </c>
    </row>
    <row r="193" spans="1:11" ht="15.75">
      <c r="A193" s="103" t="s">
        <v>119</v>
      </c>
      <c r="B193" s="40" t="s">
        <v>120</v>
      </c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2" ht="14.25">
      <c r="A194" s="93" t="s">
        <v>66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12"/>
    </row>
    <row r="195" spans="1:12" ht="21" customHeight="1">
      <c r="A195" s="190" t="s">
        <v>132</v>
      </c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07"/>
    </row>
    <row r="196" spans="1:12" ht="22.5" customHeight="1">
      <c r="A196" s="193" t="s">
        <v>71</v>
      </c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09"/>
    </row>
    <row r="197" spans="1:12" ht="22.5" customHeight="1">
      <c r="A197" s="150" t="s">
        <v>6</v>
      </c>
      <c r="B197" s="115"/>
      <c r="C197" s="68">
        <f>D197+E197</f>
        <v>81525</v>
      </c>
      <c r="D197" s="68">
        <f>+D198</f>
        <v>81525</v>
      </c>
      <c r="E197" s="68">
        <v>0</v>
      </c>
      <c r="F197" s="68">
        <f>G197+H197</f>
        <v>86500</v>
      </c>
      <c r="G197" s="68">
        <f>+G198</f>
        <v>86500</v>
      </c>
      <c r="H197" s="68">
        <v>0</v>
      </c>
      <c r="I197" s="68">
        <f>J197+K197</f>
        <v>91431</v>
      </c>
      <c r="J197" s="68">
        <f>+J198</f>
        <v>91431</v>
      </c>
      <c r="K197" s="68">
        <v>0</v>
      </c>
      <c r="L197" s="151"/>
    </row>
    <row r="198" spans="1:11" ht="50.25" customHeight="1">
      <c r="A198" s="7" t="s">
        <v>133</v>
      </c>
      <c r="B198" s="27"/>
      <c r="C198" s="152">
        <f>D198+E198</f>
        <v>81525</v>
      </c>
      <c r="D198" s="152">
        <v>81525</v>
      </c>
      <c r="E198" s="152">
        <v>0</v>
      </c>
      <c r="F198" s="152">
        <f>G198+H198</f>
        <v>86500</v>
      </c>
      <c r="G198" s="152">
        <v>86500</v>
      </c>
      <c r="H198" s="152">
        <v>0</v>
      </c>
      <c r="I198" s="152">
        <f>J198+K198</f>
        <v>91431</v>
      </c>
      <c r="J198" s="152">
        <v>91431</v>
      </c>
      <c r="K198" s="152">
        <v>0</v>
      </c>
    </row>
    <row r="199" spans="1:11" ht="21" customHeight="1">
      <c r="A199" s="1" t="s">
        <v>4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19.5" customHeight="1">
      <c r="A200" s="24" t="s">
        <v>72</v>
      </c>
      <c r="B200" s="27"/>
      <c r="C200" s="65"/>
      <c r="D200" s="48"/>
      <c r="E200" s="48"/>
      <c r="F200" s="48"/>
      <c r="G200" s="48"/>
      <c r="H200" s="48"/>
      <c r="I200" s="48"/>
      <c r="J200" s="48"/>
      <c r="K200" s="48"/>
    </row>
    <row r="201" spans="1:11" ht="53.25" customHeight="1">
      <c r="A201" s="5" t="s">
        <v>73</v>
      </c>
      <c r="B201" s="27"/>
      <c r="C201" s="65">
        <f>D201+E201</f>
        <v>81.5</v>
      </c>
      <c r="D201" s="48">
        <v>81.5</v>
      </c>
      <c r="E201" s="48">
        <v>0</v>
      </c>
      <c r="F201" s="48">
        <f>G201+H201</f>
        <v>86.5</v>
      </c>
      <c r="G201" s="48">
        <v>86.5</v>
      </c>
      <c r="H201" s="48">
        <v>0</v>
      </c>
      <c r="I201" s="48">
        <f>J201+K201</f>
        <v>91.4</v>
      </c>
      <c r="J201" s="48">
        <v>91.4</v>
      </c>
      <c r="K201" s="48">
        <v>0</v>
      </c>
    </row>
    <row r="202" spans="1:11" ht="24.75" customHeight="1">
      <c r="A202" s="24" t="s">
        <v>5</v>
      </c>
      <c r="B202" s="27"/>
      <c r="C202" s="65"/>
      <c r="D202" s="48"/>
      <c r="E202" s="48"/>
      <c r="F202" s="48"/>
      <c r="G202" s="48"/>
      <c r="H202" s="48"/>
      <c r="I202" s="48"/>
      <c r="J202" s="48"/>
      <c r="K202" s="48"/>
    </row>
    <row r="203" spans="1:11" ht="24.75" customHeight="1">
      <c r="A203" s="1" t="s">
        <v>74</v>
      </c>
      <c r="B203" s="27"/>
      <c r="C203" s="29">
        <f>D203+E203</f>
        <v>190028</v>
      </c>
      <c r="D203" s="29">
        <v>190028</v>
      </c>
      <c r="E203" s="50">
        <v>0</v>
      </c>
      <c r="F203" s="29">
        <f>G203+H203</f>
        <v>144281</v>
      </c>
      <c r="G203" s="29">
        <v>144281</v>
      </c>
      <c r="H203" s="29">
        <v>0</v>
      </c>
      <c r="I203" s="29">
        <f>J203+K203</f>
        <v>144281</v>
      </c>
      <c r="J203" s="29">
        <v>144281</v>
      </c>
      <c r="K203" s="29">
        <v>0</v>
      </c>
    </row>
    <row r="204" spans="1:11" ht="16.5">
      <c r="A204" s="2" t="s">
        <v>13</v>
      </c>
      <c r="B204" s="27"/>
      <c r="C204" s="65"/>
      <c r="D204" s="48"/>
      <c r="E204" s="48"/>
      <c r="F204" s="48"/>
      <c r="G204" s="48"/>
      <c r="H204" s="48"/>
      <c r="I204" s="48"/>
      <c r="J204" s="48"/>
      <c r="K204" s="48"/>
    </row>
    <row r="205" spans="1:11" ht="26.25" customHeight="1">
      <c r="A205" s="5" t="s">
        <v>75</v>
      </c>
      <c r="B205" s="27"/>
      <c r="C205" s="153">
        <f>D205+E205</f>
        <v>0.4288841644389248</v>
      </c>
      <c r="D205" s="153">
        <f>+D201/D203*1000</f>
        <v>0.4288841644389248</v>
      </c>
      <c r="E205" s="48">
        <v>0</v>
      </c>
      <c r="F205" s="30">
        <f>G205+H205</f>
        <v>0.5995245389205786</v>
      </c>
      <c r="G205" s="153">
        <f>+G201/G203*1000</f>
        <v>0.5995245389205786</v>
      </c>
      <c r="H205" s="30">
        <v>0</v>
      </c>
      <c r="I205" s="30">
        <f>J205+K205</f>
        <v>0.6334860445935363</v>
      </c>
      <c r="J205" s="153">
        <f>+J201/J203*1000</f>
        <v>0.6334860445935363</v>
      </c>
      <c r="K205" s="30">
        <v>0</v>
      </c>
    </row>
    <row r="206" spans="1:11" ht="16.5">
      <c r="A206" s="2" t="s">
        <v>12</v>
      </c>
      <c r="B206" s="27"/>
      <c r="C206" s="65"/>
      <c r="D206" s="48"/>
      <c r="E206" s="48"/>
      <c r="F206" s="48"/>
      <c r="G206" s="48"/>
      <c r="H206" s="48"/>
      <c r="I206" s="48"/>
      <c r="J206" s="48"/>
      <c r="K206" s="48"/>
    </row>
    <row r="207" spans="1:11" ht="25.5" customHeight="1">
      <c r="A207" s="5" t="s">
        <v>76</v>
      </c>
      <c r="B207" s="27"/>
      <c r="C207" s="65">
        <f>D207+E207</f>
        <v>100</v>
      </c>
      <c r="D207" s="48">
        <v>100</v>
      </c>
      <c r="E207" s="48">
        <v>0</v>
      </c>
      <c r="F207" s="48">
        <f>G207+H207</f>
        <v>100</v>
      </c>
      <c r="G207" s="48">
        <v>100</v>
      </c>
      <c r="H207" s="48">
        <v>0</v>
      </c>
      <c r="I207" s="48">
        <f>J207+K207</f>
        <v>100</v>
      </c>
      <c r="J207" s="48">
        <v>100</v>
      </c>
      <c r="K207" s="48">
        <v>0</v>
      </c>
    </row>
    <row r="208" spans="1:11" ht="27" customHeight="1">
      <c r="A208" s="212" t="s">
        <v>134</v>
      </c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</row>
    <row r="209" spans="1:11" ht="33" customHeight="1">
      <c r="A209" s="182" t="s">
        <v>216</v>
      </c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</row>
    <row r="210" spans="1:11" ht="16.5">
      <c r="A210" s="147" t="s">
        <v>6</v>
      </c>
      <c r="B210" s="148" t="s">
        <v>99</v>
      </c>
      <c r="C210" s="4">
        <f>D210+E210</f>
        <v>65106533</v>
      </c>
      <c r="D210" s="4">
        <f>+D212+D233+D247++D257+D276</f>
        <v>65106533</v>
      </c>
      <c r="E210" s="4">
        <f>+E212+E233+E247++E257</f>
        <v>0</v>
      </c>
      <c r="F210" s="4">
        <f>G210+H210</f>
        <v>68315491</v>
      </c>
      <c r="G210" s="4">
        <f>+G212+G233+G247++G257+G276+G266</f>
        <v>68315491</v>
      </c>
      <c r="H210" s="4">
        <f>+H212+H233+H247++H257</f>
        <v>0</v>
      </c>
      <c r="I210" s="28">
        <f>J210+K210</f>
        <v>71520003</v>
      </c>
      <c r="J210" s="4">
        <f>+J212+J233+J247++J257+J276</f>
        <v>71520003</v>
      </c>
      <c r="K210" s="4">
        <f>+K212+K233+K247++K257</f>
        <v>0</v>
      </c>
    </row>
    <row r="211" spans="1:14" ht="21.75" customHeight="1">
      <c r="A211" s="110" t="s">
        <v>102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N211" s="19"/>
    </row>
    <row r="212" spans="1:14" ht="51.75" customHeight="1">
      <c r="A212" s="3" t="s">
        <v>135</v>
      </c>
      <c r="B212" s="27"/>
      <c r="C212" s="68">
        <f>D212+E212</f>
        <v>563976</v>
      </c>
      <c r="D212" s="68">
        <f>D214+D215++D219</f>
        <v>563976</v>
      </c>
      <c r="E212" s="68">
        <f>E214+E215</f>
        <v>0</v>
      </c>
      <c r="F212" s="69">
        <f>+G212+H212</f>
        <v>582400</v>
      </c>
      <c r="G212" s="68">
        <f>G214+G215++G219</f>
        <v>582400</v>
      </c>
      <c r="H212" s="68">
        <f>H214+H215</f>
        <v>0</v>
      </c>
      <c r="I212" s="68">
        <f>J212+K212</f>
        <v>615597</v>
      </c>
      <c r="J212" s="68">
        <f>J214+J215++J219</f>
        <v>615597</v>
      </c>
      <c r="K212" s="68">
        <f>K214+K215</f>
        <v>0</v>
      </c>
      <c r="N212" s="19"/>
    </row>
    <row r="213" spans="1:14" ht="16.5" customHeight="1">
      <c r="A213" s="24" t="s">
        <v>53</v>
      </c>
      <c r="B213" s="27"/>
      <c r="C213" s="111"/>
      <c r="D213" s="48"/>
      <c r="E213" s="48"/>
      <c r="F213" s="69"/>
      <c r="G213" s="8"/>
      <c r="H213" s="30"/>
      <c r="I213" s="69"/>
      <c r="J213" s="8"/>
      <c r="K213" s="30"/>
      <c r="N213" s="19"/>
    </row>
    <row r="214" spans="1:14" ht="20.25" customHeight="1">
      <c r="A214" s="112" t="s">
        <v>125</v>
      </c>
      <c r="B214" s="27"/>
      <c r="C214" s="48">
        <f>D214</f>
        <v>38400</v>
      </c>
      <c r="D214" s="30">
        <v>38400</v>
      </c>
      <c r="E214" s="30">
        <v>0</v>
      </c>
      <c r="F214" s="113">
        <f>G214+H214</f>
        <v>33120</v>
      </c>
      <c r="G214" s="8">
        <v>33120</v>
      </c>
      <c r="H214" s="30">
        <v>0</v>
      </c>
      <c r="I214" s="113">
        <f>J214+K214</f>
        <v>35008</v>
      </c>
      <c r="J214" s="8">
        <v>35008</v>
      </c>
      <c r="K214" s="30">
        <v>0</v>
      </c>
      <c r="N214" s="19"/>
    </row>
    <row r="215" spans="1:14" ht="35.25" customHeight="1">
      <c r="A215" s="114" t="s">
        <v>62</v>
      </c>
      <c r="B215" s="27"/>
      <c r="C215" s="48">
        <f>D215</f>
        <v>392300</v>
      </c>
      <c r="D215" s="30">
        <v>392300</v>
      </c>
      <c r="E215" s="30">
        <v>0</v>
      </c>
      <c r="F215" s="113">
        <f>G215+H215</f>
        <v>415800</v>
      </c>
      <c r="G215" s="8">
        <v>415800</v>
      </c>
      <c r="H215" s="30">
        <v>0</v>
      </c>
      <c r="I215" s="113">
        <f>J215+K215</f>
        <v>439501</v>
      </c>
      <c r="J215" s="8">
        <v>439501</v>
      </c>
      <c r="K215" s="30">
        <v>0</v>
      </c>
      <c r="N215" s="19"/>
    </row>
    <row r="216" spans="1:12" ht="14.25" customHeight="1">
      <c r="A216" s="21"/>
      <c r="B216" s="12"/>
      <c r="C216" s="22"/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1:12" ht="26.25" customHeight="1">
      <c r="A217" s="11"/>
      <c r="B217" s="12"/>
      <c r="C217" s="13"/>
      <c r="D217" s="13"/>
      <c r="E217" s="13"/>
      <c r="F217" s="13"/>
      <c r="G217" s="13"/>
      <c r="H217" s="13"/>
      <c r="I217" s="179" t="s">
        <v>234</v>
      </c>
      <c r="J217" s="179"/>
      <c r="K217" s="179"/>
      <c r="L217" s="13"/>
    </row>
    <row r="218" spans="1:12" ht="14.25">
      <c r="A218" s="14">
        <v>1</v>
      </c>
      <c r="B218" s="15">
        <v>2</v>
      </c>
      <c r="C218" s="16">
        <v>3</v>
      </c>
      <c r="D218" s="16">
        <v>4</v>
      </c>
      <c r="E218" s="16">
        <v>5</v>
      </c>
      <c r="F218" s="16">
        <v>6</v>
      </c>
      <c r="G218" s="16">
        <v>7</v>
      </c>
      <c r="H218" s="16">
        <v>8</v>
      </c>
      <c r="I218" s="16">
        <v>9</v>
      </c>
      <c r="J218" s="16">
        <v>10</v>
      </c>
      <c r="K218" s="16">
        <v>11</v>
      </c>
      <c r="L218" s="23"/>
    </row>
    <row r="219" spans="1:14" ht="43.5" customHeight="1">
      <c r="A219" s="58" t="s">
        <v>103</v>
      </c>
      <c r="B219" s="27"/>
      <c r="C219" s="48">
        <f>+D219</f>
        <v>133276</v>
      </c>
      <c r="D219" s="30">
        <v>133276</v>
      </c>
      <c r="E219" s="30">
        <v>0</v>
      </c>
      <c r="F219" s="113">
        <f>+G219</f>
        <v>133480</v>
      </c>
      <c r="G219" s="8">
        <v>133480</v>
      </c>
      <c r="H219" s="30">
        <v>0</v>
      </c>
      <c r="I219" s="113">
        <f>+J219</f>
        <v>141088</v>
      </c>
      <c r="J219" s="8">
        <v>141088</v>
      </c>
      <c r="K219" s="30">
        <v>0</v>
      </c>
      <c r="N219" s="19"/>
    </row>
    <row r="220" spans="1:14" ht="21.75" customHeight="1">
      <c r="A220" s="2" t="s">
        <v>54</v>
      </c>
      <c r="B220" s="27"/>
      <c r="C220" s="48"/>
      <c r="D220" s="48"/>
      <c r="E220" s="48"/>
      <c r="F220" s="48"/>
      <c r="G220" s="9"/>
      <c r="H220" s="48"/>
      <c r="I220" s="48"/>
      <c r="J220" s="9"/>
      <c r="K220" s="48"/>
      <c r="N220" s="19"/>
    </row>
    <row r="221" spans="1:14" ht="21.75" customHeight="1">
      <c r="A221" s="114" t="s">
        <v>55</v>
      </c>
      <c r="B221" s="27"/>
      <c r="C221" s="29">
        <f>D221</f>
        <v>2</v>
      </c>
      <c r="D221" s="29">
        <v>2</v>
      </c>
      <c r="E221" s="29">
        <v>0</v>
      </c>
      <c r="F221" s="29">
        <f>G221</f>
        <v>2</v>
      </c>
      <c r="G221" s="17">
        <v>2</v>
      </c>
      <c r="H221" s="29">
        <v>0</v>
      </c>
      <c r="I221" s="29">
        <f>J221</f>
        <v>2</v>
      </c>
      <c r="J221" s="17">
        <v>2</v>
      </c>
      <c r="K221" s="29">
        <v>0</v>
      </c>
      <c r="N221" s="19"/>
    </row>
    <row r="222" spans="1:14" ht="39" customHeight="1">
      <c r="A222" s="114" t="s">
        <v>56</v>
      </c>
      <c r="B222" s="27"/>
      <c r="C222" s="29">
        <f>D222</f>
        <v>3270</v>
      </c>
      <c r="D222" s="29">
        <v>3270</v>
      </c>
      <c r="E222" s="29">
        <v>0</v>
      </c>
      <c r="F222" s="29">
        <f>G222</f>
        <v>3396</v>
      </c>
      <c r="G222" s="17">
        <v>3396</v>
      </c>
      <c r="H222" s="29">
        <v>0</v>
      </c>
      <c r="I222" s="29">
        <f>J222</f>
        <v>3396</v>
      </c>
      <c r="J222" s="17">
        <v>3396</v>
      </c>
      <c r="K222" s="29">
        <v>0</v>
      </c>
      <c r="N222" s="19"/>
    </row>
    <row r="223" spans="1:14" ht="33" customHeight="1">
      <c r="A223" s="5" t="s">
        <v>104</v>
      </c>
      <c r="B223" s="27"/>
      <c r="C223" s="29">
        <f>+D223</f>
        <v>190</v>
      </c>
      <c r="D223" s="29">
        <v>190</v>
      </c>
      <c r="E223" s="29">
        <v>0</v>
      </c>
      <c r="F223" s="29">
        <f>+G223</f>
        <v>190</v>
      </c>
      <c r="G223" s="17">
        <v>190</v>
      </c>
      <c r="H223" s="29">
        <v>0</v>
      </c>
      <c r="I223" s="29">
        <f>+J223</f>
        <v>190</v>
      </c>
      <c r="J223" s="17">
        <v>190</v>
      </c>
      <c r="K223" s="29">
        <v>0</v>
      </c>
      <c r="N223" s="19"/>
    </row>
    <row r="224" spans="1:14" ht="21.75" customHeight="1">
      <c r="A224" s="2" t="s">
        <v>57</v>
      </c>
      <c r="B224" s="27"/>
      <c r="C224" s="48"/>
      <c r="D224" s="48"/>
      <c r="E224" s="48"/>
      <c r="F224" s="48"/>
      <c r="G224" s="9"/>
      <c r="H224" s="48"/>
      <c r="I224" s="48"/>
      <c r="J224" s="9"/>
      <c r="K224" s="48"/>
      <c r="N224" s="19"/>
    </row>
    <row r="225" spans="1:14" ht="21.75" customHeight="1">
      <c r="A225" s="108" t="s">
        <v>58</v>
      </c>
      <c r="B225" s="27"/>
      <c r="C225" s="30">
        <f>D225</f>
        <v>1600</v>
      </c>
      <c r="D225" s="30">
        <f>D214/D221/12</f>
        <v>1600</v>
      </c>
      <c r="E225" s="30">
        <v>0</v>
      </c>
      <c r="F225" s="30">
        <f>G225</f>
        <v>1380</v>
      </c>
      <c r="G225" s="8">
        <f>+G214/G221/12</f>
        <v>1380</v>
      </c>
      <c r="H225" s="30">
        <v>0</v>
      </c>
      <c r="I225" s="30">
        <f>J225</f>
        <v>1458.6666666666667</v>
      </c>
      <c r="J225" s="8">
        <f>J214/J221/12</f>
        <v>1458.6666666666667</v>
      </c>
      <c r="K225" s="30">
        <v>0</v>
      </c>
      <c r="N225" s="19"/>
    </row>
    <row r="226" spans="1:14" ht="50.25" customHeight="1">
      <c r="A226" s="114" t="s">
        <v>59</v>
      </c>
      <c r="B226" s="27"/>
      <c r="C226" s="30">
        <f>D226</f>
        <v>119.96941896024465</v>
      </c>
      <c r="D226" s="30">
        <f>D215/D222</f>
        <v>119.96941896024465</v>
      </c>
      <c r="E226" s="30">
        <v>0</v>
      </c>
      <c r="F226" s="30">
        <f>G226</f>
        <v>122.43816254416961</v>
      </c>
      <c r="G226" s="8">
        <f>+G215/G222</f>
        <v>122.43816254416961</v>
      </c>
      <c r="H226" s="30">
        <v>0</v>
      </c>
      <c r="I226" s="30">
        <f>J226</f>
        <v>129.41725559481742</v>
      </c>
      <c r="J226" s="8">
        <f>J215/J222</f>
        <v>129.41725559481742</v>
      </c>
      <c r="K226" s="30">
        <v>0</v>
      </c>
      <c r="N226" s="19"/>
    </row>
    <row r="227" spans="1:14" ht="31.5" customHeight="1">
      <c r="A227" s="5" t="s">
        <v>105</v>
      </c>
      <c r="B227" s="27"/>
      <c r="C227" s="30">
        <f>+D227</f>
        <v>701.4526315789474</v>
      </c>
      <c r="D227" s="30">
        <f>+D219/D223</f>
        <v>701.4526315789474</v>
      </c>
      <c r="E227" s="30">
        <v>0</v>
      </c>
      <c r="F227" s="30">
        <f>+G227</f>
        <v>702.5263157894736</v>
      </c>
      <c r="G227" s="8">
        <f>+G219/G223</f>
        <v>702.5263157894736</v>
      </c>
      <c r="H227" s="30">
        <v>0</v>
      </c>
      <c r="I227" s="30">
        <f>+J227</f>
        <v>742.5684210526316</v>
      </c>
      <c r="J227" s="8">
        <f>J219/J223</f>
        <v>742.5684210526316</v>
      </c>
      <c r="K227" s="30">
        <v>0</v>
      </c>
      <c r="N227" s="19"/>
    </row>
    <row r="228" spans="1:14" ht="18.75" customHeight="1">
      <c r="A228" s="2" t="s">
        <v>60</v>
      </c>
      <c r="B228" s="27"/>
      <c r="C228" s="48"/>
      <c r="D228" s="48"/>
      <c r="E228" s="48"/>
      <c r="F228" s="48"/>
      <c r="G228" s="9"/>
      <c r="H228" s="48"/>
      <c r="I228" s="48"/>
      <c r="J228" s="9"/>
      <c r="K228" s="48"/>
      <c r="N228" s="19"/>
    </row>
    <row r="229" spans="1:14" ht="34.5" customHeight="1">
      <c r="A229" s="5" t="s">
        <v>61</v>
      </c>
      <c r="B229" s="27"/>
      <c r="C229" s="48">
        <f>D229</f>
        <v>100</v>
      </c>
      <c r="D229" s="48">
        <v>100</v>
      </c>
      <c r="E229" s="48">
        <v>0</v>
      </c>
      <c r="F229" s="48">
        <f>G229</f>
        <v>100</v>
      </c>
      <c r="G229" s="9">
        <v>100</v>
      </c>
      <c r="H229" s="48">
        <v>0</v>
      </c>
      <c r="I229" s="48">
        <f>J229</f>
        <v>100</v>
      </c>
      <c r="J229" s="9">
        <v>100</v>
      </c>
      <c r="K229" s="48">
        <v>0</v>
      </c>
      <c r="N229" s="19"/>
    </row>
    <row r="230" spans="1:14" ht="42" customHeight="1">
      <c r="A230" s="5" t="s">
        <v>63</v>
      </c>
      <c r="B230" s="27"/>
      <c r="C230" s="48">
        <f>D230</f>
        <v>100</v>
      </c>
      <c r="D230" s="48">
        <v>100</v>
      </c>
      <c r="E230" s="48">
        <v>0</v>
      </c>
      <c r="F230" s="48">
        <f>G230</f>
        <v>100</v>
      </c>
      <c r="G230" s="9">
        <v>100</v>
      </c>
      <c r="H230" s="48">
        <v>0</v>
      </c>
      <c r="I230" s="48">
        <f>J230</f>
        <v>100</v>
      </c>
      <c r="J230" s="9">
        <v>100</v>
      </c>
      <c r="K230" s="48">
        <v>0</v>
      </c>
      <c r="N230" s="19"/>
    </row>
    <row r="231" spans="1:14" ht="36.75" customHeight="1">
      <c r="A231" s="115" t="s">
        <v>106</v>
      </c>
      <c r="B231" s="27"/>
      <c r="C231" s="48">
        <v>100</v>
      </c>
      <c r="D231" s="48">
        <v>100</v>
      </c>
      <c r="E231" s="48">
        <v>0</v>
      </c>
      <c r="F231" s="48">
        <v>100</v>
      </c>
      <c r="G231" s="9">
        <v>100</v>
      </c>
      <c r="H231" s="48">
        <v>0</v>
      </c>
      <c r="I231" s="48">
        <v>100</v>
      </c>
      <c r="J231" s="9">
        <v>100</v>
      </c>
      <c r="K231" s="48">
        <v>0</v>
      </c>
      <c r="N231" s="19"/>
    </row>
    <row r="232" spans="1:11" ht="29.25" customHeight="1">
      <c r="A232" s="110" t="s">
        <v>101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1:11" ht="30.75" customHeight="1">
      <c r="A233" s="3" t="s">
        <v>136</v>
      </c>
      <c r="B233" s="116"/>
      <c r="C233" s="28">
        <f>D233+E233</f>
        <v>1342557</v>
      </c>
      <c r="D233" s="28">
        <v>1342557</v>
      </c>
      <c r="E233" s="28">
        <v>0</v>
      </c>
      <c r="F233" s="4">
        <f>G233+H233</f>
        <v>1225635</v>
      </c>
      <c r="G233" s="4">
        <f>1380800-120906-34259</f>
        <v>1225635</v>
      </c>
      <c r="H233" s="4">
        <v>0</v>
      </c>
      <c r="I233" s="28">
        <f>J233+K233</f>
        <v>1459506</v>
      </c>
      <c r="J233" s="4">
        <v>1459506</v>
      </c>
      <c r="K233" s="28">
        <v>0</v>
      </c>
    </row>
    <row r="234" spans="1:14" ht="21.75" customHeight="1">
      <c r="A234" s="1" t="s">
        <v>4</v>
      </c>
      <c r="B234" s="27"/>
      <c r="C234" s="117"/>
      <c r="D234" s="41"/>
      <c r="E234" s="41"/>
      <c r="F234" s="41"/>
      <c r="G234" s="41"/>
      <c r="H234" s="41"/>
      <c r="I234" s="41"/>
      <c r="J234" s="41"/>
      <c r="K234" s="41"/>
      <c r="N234" s="19"/>
    </row>
    <row r="235" spans="1:14" ht="21.75" customHeight="1">
      <c r="A235" s="24" t="s">
        <v>5</v>
      </c>
      <c r="B235" s="27"/>
      <c r="C235" s="117"/>
      <c r="D235" s="41"/>
      <c r="E235" s="41"/>
      <c r="F235" s="41"/>
      <c r="G235" s="41"/>
      <c r="H235" s="41"/>
      <c r="I235" s="41"/>
      <c r="J235" s="41"/>
      <c r="K235" s="41"/>
      <c r="N235" s="19"/>
    </row>
    <row r="236" spans="1:14" ht="34.5" customHeight="1">
      <c r="A236" s="53" t="s">
        <v>49</v>
      </c>
      <c r="B236" s="27"/>
      <c r="C236" s="29">
        <f>+D236</f>
        <v>3504</v>
      </c>
      <c r="D236" s="29">
        <v>3504</v>
      </c>
      <c r="E236" s="29">
        <v>0</v>
      </c>
      <c r="F236" s="29">
        <f>+G236</f>
        <v>2901</v>
      </c>
      <c r="G236" s="29">
        <v>2901</v>
      </c>
      <c r="H236" s="50">
        <v>0</v>
      </c>
      <c r="I236" s="29">
        <f>+J236</f>
        <v>2901</v>
      </c>
      <c r="J236" s="29">
        <v>2901</v>
      </c>
      <c r="K236" s="50">
        <v>0</v>
      </c>
      <c r="N236" s="19"/>
    </row>
    <row r="237" spans="1:14" ht="37.5" customHeight="1">
      <c r="A237" s="53" t="s">
        <v>50</v>
      </c>
      <c r="B237" s="27"/>
      <c r="C237" s="29">
        <f>+D237</f>
        <v>24</v>
      </c>
      <c r="D237" s="50">
        <v>24</v>
      </c>
      <c r="E237" s="50">
        <v>0</v>
      </c>
      <c r="F237" s="50">
        <f>+G237</f>
        <v>6</v>
      </c>
      <c r="G237" s="50">
        <v>6</v>
      </c>
      <c r="H237" s="50">
        <v>0</v>
      </c>
      <c r="I237" s="50">
        <f>J237+K237</f>
        <v>6</v>
      </c>
      <c r="J237" s="50">
        <v>6</v>
      </c>
      <c r="K237" s="50">
        <v>0</v>
      </c>
      <c r="N237" s="19"/>
    </row>
    <row r="238" spans="1:14" ht="17.25" customHeight="1">
      <c r="A238" s="45" t="s">
        <v>13</v>
      </c>
      <c r="B238" s="27"/>
      <c r="C238" s="46"/>
      <c r="D238" s="46"/>
      <c r="E238" s="46"/>
      <c r="F238" s="46"/>
      <c r="G238" s="46"/>
      <c r="H238" s="46"/>
      <c r="I238" s="46"/>
      <c r="J238" s="46"/>
      <c r="K238" s="46"/>
      <c r="N238" s="19"/>
    </row>
    <row r="239" spans="1:14" ht="36" customHeight="1">
      <c r="A239" s="53" t="s">
        <v>51</v>
      </c>
      <c r="B239" s="27"/>
      <c r="C239" s="30">
        <f>D239</f>
        <v>111489.75</v>
      </c>
      <c r="D239" s="30">
        <f>1337877/12</f>
        <v>111489.75</v>
      </c>
      <c r="E239" s="30">
        <v>0</v>
      </c>
      <c r="F239" s="30">
        <f>+G239</f>
        <v>101859.58333333333</v>
      </c>
      <c r="G239" s="30">
        <f>(1377480-120906-34259)/12</f>
        <v>101859.58333333333</v>
      </c>
      <c r="H239" s="30">
        <v>0</v>
      </c>
      <c r="I239" s="30">
        <f>+J239</f>
        <v>121333</v>
      </c>
      <c r="J239" s="8">
        <f>1455996/12</f>
        <v>121333</v>
      </c>
      <c r="K239" s="30">
        <v>0</v>
      </c>
      <c r="N239" s="19"/>
    </row>
    <row r="240" spans="1:14" ht="35.25" customHeight="1">
      <c r="A240" s="5" t="s">
        <v>52</v>
      </c>
      <c r="B240" s="27"/>
      <c r="C240" s="30">
        <f>+D240</f>
        <v>195</v>
      </c>
      <c r="D240" s="30">
        <f>4680/D237</f>
        <v>195</v>
      </c>
      <c r="E240" s="30">
        <v>0</v>
      </c>
      <c r="F240" s="30">
        <f>+G240</f>
        <v>553.3333333333334</v>
      </c>
      <c r="G240" s="8">
        <f>3320/G237</f>
        <v>553.3333333333334</v>
      </c>
      <c r="H240" s="30">
        <v>0</v>
      </c>
      <c r="I240" s="30">
        <f>+J240</f>
        <v>585</v>
      </c>
      <c r="J240" s="8">
        <f>3510/J237</f>
        <v>585</v>
      </c>
      <c r="K240" s="30">
        <v>0</v>
      </c>
      <c r="N240" s="19"/>
    </row>
    <row r="241" spans="1:14" ht="16.5">
      <c r="A241" s="2" t="s">
        <v>204</v>
      </c>
      <c r="B241" s="27"/>
      <c r="C241" s="30"/>
      <c r="D241" s="30"/>
      <c r="E241" s="30"/>
      <c r="F241" s="30"/>
      <c r="G241" s="8"/>
      <c r="H241" s="30"/>
      <c r="I241" s="30"/>
      <c r="J241" s="8"/>
      <c r="K241" s="30"/>
      <c r="N241" s="19"/>
    </row>
    <row r="242" spans="1:14" ht="27.75" customHeight="1">
      <c r="A242" s="47" t="s">
        <v>48</v>
      </c>
      <c r="B242" s="27"/>
      <c r="C242" s="48">
        <f>+D242</f>
        <v>100</v>
      </c>
      <c r="D242" s="48">
        <v>100</v>
      </c>
      <c r="E242" s="48">
        <v>0</v>
      </c>
      <c r="F242" s="48">
        <f>G242+H242</f>
        <v>100</v>
      </c>
      <c r="G242" s="9">
        <v>100</v>
      </c>
      <c r="H242" s="48">
        <v>0</v>
      </c>
      <c r="I242" s="48">
        <f>J242+K242</f>
        <v>100</v>
      </c>
      <c r="J242" s="9">
        <v>100</v>
      </c>
      <c r="K242" s="48">
        <v>0</v>
      </c>
      <c r="N242" s="19"/>
    </row>
    <row r="243" spans="1:12" ht="8.25" customHeight="1">
      <c r="A243" s="21"/>
      <c r="B243" s="12"/>
      <c r="C243" s="22"/>
      <c r="D243" s="22"/>
      <c r="E243" s="22"/>
      <c r="F243" s="22"/>
      <c r="G243" s="22"/>
      <c r="H243" s="22"/>
      <c r="I243" s="22"/>
      <c r="J243" s="22"/>
      <c r="K243" s="22"/>
      <c r="L243" s="22"/>
    </row>
    <row r="244" spans="1:12" ht="26.25" customHeight="1">
      <c r="A244" s="11"/>
      <c r="B244" s="12"/>
      <c r="C244" s="13"/>
      <c r="D244" s="13"/>
      <c r="E244" s="13"/>
      <c r="F244" s="13"/>
      <c r="G244" s="13"/>
      <c r="H244" s="13"/>
      <c r="I244" s="179" t="s">
        <v>234</v>
      </c>
      <c r="J244" s="179"/>
      <c r="K244" s="179"/>
      <c r="L244" s="13"/>
    </row>
    <row r="245" spans="1:12" ht="14.25">
      <c r="A245" s="14">
        <v>1</v>
      </c>
      <c r="B245" s="15">
        <v>2</v>
      </c>
      <c r="C245" s="16">
        <v>3</v>
      </c>
      <c r="D245" s="16">
        <v>4</v>
      </c>
      <c r="E245" s="16">
        <v>5</v>
      </c>
      <c r="F245" s="16">
        <v>6</v>
      </c>
      <c r="G245" s="16">
        <v>7</v>
      </c>
      <c r="H245" s="16">
        <v>8</v>
      </c>
      <c r="I245" s="16">
        <v>9</v>
      </c>
      <c r="J245" s="16">
        <v>10</v>
      </c>
      <c r="K245" s="16">
        <v>11</v>
      </c>
      <c r="L245" s="23"/>
    </row>
    <row r="246" spans="1:11" ht="18.75" customHeight="1">
      <c r="A246" s="110" t="s">
        <v>100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1:11" ht="101.25" customHeight="1">
      <c r="A247" s="7" t="s">
        <v>227</v>
      </c>
      <c r="B247" s="114"/>
      <c r="C247" s="28">
        <f>D247+E247</f>
        <v>22566202</v>
      </c>
      <c r="D247" s="8">
        <v>22566202</v>
      </c>
      <c r="E247" s="4">
        <v>0</v>
      </c>
      <c r="F247" s="4">
        <f>+G247</f>
        <v>24500000</v>
      </c>
      <c r="G247" s="8">
        <v>24500000</v>
      </c>
      <c r="H247" s="4">
        <v>0</v>
      </c>
      <c r="I247" s="28">
        <f>J247+K247</f>
        <v>25896500</v>
      </c>
      <c r="J247" s="8">
        <v>25896500</v>
      </c>
      <c r="K247" s="30">
        <v>0</v>
      </c>
    </row>
    <row r="248" spans="1:14" ht="14.25" customHeight="1">
      <c r="A248" s="1" t="s">
        <v>4</v>
      </c>
      <c r="B248" s="27"/>
      <c r="C248" s="117"/>
      <c r="D248" s="41"/>
      <c r="E248" s="41"/>
      <c r="F248" s="41"/>
      <c r="G248" s="41"/>
      <c r="H248" s="41"/>
      <c r="I248" s="41"/>
      <c r="J248" s="41"/>
      <c r="K248" s="41"/>
      <c r="N248" s="19"/>
    </row>
    <row r="249" spans="1:14" ht="15">
      <c r="A249" s="24" t="s">
        <v>5</v>
      </c>
      <c r="B249" s="27"/>
      <c r="C249" s="117"/>
      <c r="D249" s="41"/>
      <c r="E249" s="41"/>
      <c r="F249" s="41"/>
      <c r="G249" s="41"/>
      <c r="H249" s="41"/>
      <c r="I249" s="41"/>
      <c r="J249" s="41"/>
      <c r="K249" s="41"/>
      <c r="N249" s="19"/>
    </row>
    <row r="250" spans="1:14" ht="27.75" customHeight="1">
      <c r="A250" s="43" t="s">
        <v>44</v>
      </c>
      <c r="B250" s="27"/>
      <c r="C250" s="29">
        <f>+D250</f>
        <v>59320</v>
      </c>
      <c r="D250" s="29">
        <v>59320</v>
      </c>
      <c r="E250" s="29">
        <v>0</v>
      </c>
      <c r="F250" s="29">
        <f>+G250</f>
        <v>58065</v>
      </c>
      <c r="G250" s="29">
        <v>58065</v>
      </c>
      <c r="H250" s="50">
        <v>0</v>
      </c>
      <c r="I250" s="29">
        <f>+J250</f>
        <v>58065</v>
      </c>
      <c r="J250" s="29">
        <v>58065</v>
      </c>
      <c r="K250" s="50">
        <v>0</v>
      </c>
      <c r="N250" s="19"/>
    </row>
    <row r="251" spans="1:14" ht="27.75" customHeight="1">
      <c r="A251" s="43" t="s">
        <v>45</v>
      </c>
      <c r="B251" s="27"/>
      <c r="C251" s="50">
        <v>1</v>
      </c>
      <c r="D251" s="50">
        <v>1</v>
      </c>
      <c r="E251" s="50">
        <v>0</v>
      </c>
      <c r="F251" s="50">
        <f>+G251</f>
        <v>1</v>
      </c>
      <c r="G251" s="50">
        <v>1</v>
      </c>
      <c r="H251" s="50">
        <v>0</v>
      </c>
      <c r="I251" s="50">
        <f>+J251</f>
        <v>1</v>
      </c>
      <c r="J251" s="50">
        <v>1</v>
      </c>
      <c r="K251" s="50">
        <v>0</v>
      </c>
      <c r="N251" s="19"/>
    </row>
    <row r="252" spans="1:14" ht="17.25" customHeight="1">
      <c r="A252" s="45" t="s">
        <v>13</v>
      </c>
      <c r="B252" s="27"/>
      <c r="C252" s="119"/>
      <c r="D252" s="46"/>
      <c r="E252" s="46"/>
      <c r="F252" s="46"/>
      <c r="G252" s="46"/>
      <c r="H252" s="46"/>
      <c r="I252" s="46"/>
      <c r="J252" s="46"/>
      <c r="K252" s="46"/>
      <c r="N252" s="19"/>
    </row>
    <row r="253" spans="1:14" ht="30">
      <c r="A253" s="47" t="s">
        <v>46</v>
      </c>
      <c r="B253" s="27"/>
      <c r="C253" s="30">
        <f>D253+E253</f>
        <v>1880516.8333333333</v>
      </c>
      <c r="D253" s="30">
        <f>+D247/12</f>
        <v>1880516.8333333333</v>
      </c>
      <c r="E253" s="30">
        <v>0</v>
      </c>
      <c r="F253" s="30">
        <f>G253+H253</f>
        <v>2041666.6666666667</v>
      </c>
      <c r="G253" s="30">
        <f>+G247/12</f>
        <v>2041666.6666666667</v>
      </c>
      <c r="H253" s="30">
        <v>0</v>
      </c>
      <c r="I253" s="30">
        <f>J253+K253</f>
        <v>2158041.6666666665</v>
      </c>
      <c r="J253" s="30">
        <f>+J247/12</f>
        <v>2158041.6666666665</v>
      </c>
      <c r="K253" s="30">
        <v>0</v>
      </c>
      <c r="N253" s="19"/>
    </row>
    <row r="254" spans="1:14" ht="16.5">
      <c r="A254" s="2" t="s">
        <v>12</v>
      </c>
      <c r="B254" s="27"/>
      <c r="C254" s="30"/>
      <c r="D254" s="30"/>
      <c r="E254" s="30"/>
      <c r="F254" s="30"/>
      <c r="G254" s="8"/>
      <c r="H254" s="30"/>
      <c r="I254" s="30"/>
      <c r="J254" s="8"/>
      <c r="K254" s="30"/>
      <c r="N254" s="19"/>
    </row>
    <row r="255" spans="1:14" ht="21.75" customHeight="1">
      <c r="A255" s="47" t="s">
        <v>11</v>
      </c>
      <c r="B255" s="27"/>
      <c r="C255" s="48">
        <f>+D255</f>
        <v>100</v>
      </c>
      <c r="D255" s="48">
        <v>100</v>
      </c>
      <c r="E255" s="48">
        <v>0</v>
      </c>
      <c r="F255" s="48">
        <f>G255+H255</f>
        <v>100</v>
      </c>
      <c r="G255" s="9">
        <v>100</v>
      </c>
      <c r="H255" s="48">
        <v>0</v>
      </c>
      <c r="I255" s="48">
        <f>J255+K255</f>
        <v>100</v>
      </c>
      <c r="J255" s="9">
        <v>100</v>
      </c>
      <c r="K255" s="48">
        <v>0</v>
      </c>
      <c r="N255" s="19"/>
    </row>
    <row r="256" spans="1:11" ht="21.75" customHeight="1">
      <c r="A256" s="110" t="s">
        <v>86</v>
      </c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1:11" ht="104.25" customHeight="1">
      <c r="A257" s="24" t="s">
        <v>226</v>
      </c>
      <c r="B257" s="116"/>
      <c r="C257" s="28">
        <f>D257+E257</f>
        <v>38633798</v>
      </c>
      <c r="D257" s="28">
        <v>38633798</v>
      </c>
      <c r="E257" s="28">
        <v>0</v>
      </c>
      <c r="F257" s="69">
        <f>G257+H257</f>
        <v>40200000</v>
      </c>
      <c r="G257" s="69">
        <v>40200000</v>
      </c>
      <c r="H257" s="4">
        <v>0</v>
      </c>
      <c r="I257" s="4">
        <f>J257+K257</f>
        <v>42491400</v>
      </c>
      <c r="J257" s="4">
        <v>42491400</v>
      </c>
      <c r="K257" s="4">
        <v>0</v>
      </c>
    </row>
    <row r="258" spans="1:14" ht="18" customHeight="1">
      <c r="A258" s="1" t="s">
        <v>4</v>
      </c>
      <c r="B258" s="27"/>
      <c r="C258" s="117"/>
      <c r="D258" s="41"/>
      <c r="E258" s="41"/>
      <c r="F258" s="41"/>
      <c r="G258" s="41"/>
      <c r="H258" s="41"/>
      <c r="I258" s="41"/>
      <c r="J258" s="41"/>
      <c r="K258" s="41"/>
      <c r="N258" s="19"/>
    </row>
    <row r="259" spans="1:14" ht="15">
      <c r="A259" s="24" t="s">
        <v>5</v>
      </c>
      <c r="B259" s="27"/>
      <c r="C259" s="117"/>
      <c r="D259" s="41"/>
      <c r="E259" s="41"/>
      <c r="F259" s="41"/>
      <c r="G259" s="41"/>
      <c r="H259" s="41"/>
      <c r="I259" s="41"/>
      <c r="J259" s="41"/>
      <c r="K259" s="41"/>
      <c r="N259" s="19"/>
    </row>
    <row r="260" spans="1:14" ht="27.75" customHeight="1">
      <c r="A260" s="43" t="s">
        <v>47</v>
      </c>
      <c r="B260" s="27"/>
      <c r="C260" s="29">
        <f>+D260</f>
        <v>59320</v>
      </c>
      <c r="D260" s="29">
        <v>59320</v>
      </c>
      <c r="E260" s="29">
        <v>0</v>
      </c>
      <c r="F260" s="29">
        <f>+G260</f>
        <v>58065</v>
      </c>
      <c r="G260" s="29">
        <v>58065</v>
      </c>
      <c r="H260" s="50">
        <v>0</v>
      </c>
      <c r="I260" s="29">
        <f>J260+K260</f>
        <v>58065</v>
      </c>
      <c r="J260" s="29">
        <v>58065</v>
      </c>
      <c r="K260" s="50">
        <v>0</v>
      </c>
      <c r="N260" s="19"/>
    </row>
    <row r="261" spans="1:14" ht="30.75" customHeight="1">
      <c r="A261" s="43" t="s">
        <v>45</v>
      </c>
      <c r="B261" s="27"/>
      <c r="C261" s="50">
        <v>1</v>
      </c>
      <c r="D261" s="50">
        <v>1</v>
      </c>
      <c r="E261" s="50">
        <v>0</v>
      </c>
      <c r="F261" s="50">
        <f>+G261</f>
        <v>1</v>
      </c>
      <c r="G261" s="50">
        <v>1</v>
      </c>
      <c r="H261" s="50">
        <v>0</v>
      </c>
      <c r="I261" s="50">
        <f>+J261</f>
        <v>1</v>
      </c>
      <c r="J261" s="50">
        <v>1</v>
      </c>
      <c r="K261" s="50">
        <v>0</v>
      </c>
      <c r="N261" s="19"/>
    </row>
    <row r="262" spans="1:14" ht="17.25" customHeight="1">
      <c r="A262" s="45" t="s">
        <v>13</v>
      </c>
      <c r="B262" s="27"/>
      <c r="C262" s="119"/>
      <c r="D262" s="46"/>
      <c r="E262" s="46"/>
      <c r="F262" s="119"/>
      <c r="G262" s="46"/>
      <c r="H262" s="46"/>
      <c r="I262" s="119"/>
      <c r="J262" s="46"/>
      <c r="K262" s="46"/>
      <c r="N262" s="19"/>
    </row>
    <row r="263" spans="1:14" ht="30">
      <c r="A263" s="47" t="s">
        <v>187</v>
      </c>
      <c r="B263" s="27"/>
      <c r="C263" s="30">
        <f>D263+E263</f>
        <v>3219483.1666666665</v>
      </c>
      <c r="D263" s="30">
        <f>D257/12</f>
        <v>3219483.1666666665</v>
      </c>
      <c r="E263" s="30">
        <v>0</v>
      </c>
      <c r="F263" s="30">
        <f>G263+H263</f>
        <v>3350000</v>
      </c>
      <c r="G263" s="30">
        <f>G257/12</f>
        <v>3350000</v>
      </c>
      <c r="H263" s="30">
        <v>0</v>
      </c>
      <c r="I263" s="30">
        <f>J263+K263</f>
        <v>3540950</v>
      </c>
      <c r="J263" s="8">
        <f>J257/12</f>
        <v>3540950</v>
      </c>
      <c r="K263" s="30">
        <v>0</v>
      </c>
      <c r="N263" s="19"/>
    </row>
    <row r="264" spans="1:14" ht="16.5">
      <c r="A264" s="169" t="s">
        <v>12</v>
      </c>
      <c r="B264" s="27"/>
      <c r="C264" s="30"/>
      <c r="D264" s="30"/>
      <c r="E264" s="30"/>
      <c r="F264" s="30"/>
      <c r="G264" s="8"/>
      <c r="H264" s="30"/>
      <c r="I264" s="30"/>
      <c r="J264" s="8"/>
      <c r="K264" s="30"/>
      <c r="N264" s="19"/>
    </row>
    <row r="265" spans="1:14" ht="21.75" customHeight="1">
      <c r="A265" s="47" t="s">
        <v>11</v>
      </c>
      <c r="B265" s="27"/>
      <c r="C265" s="48">
        <f>+D265</f>
        <v>100</v>
      </c>
      <c r="D265" s="48">
        <v>100</v>
      </c>
      <c r="E265" s="48">
        <v>0</v>
      </c>
      <c r="F265" s="48">
        <f>G265+H265</f>
        <v>100</v>
      </c>
      <c r="G265" s="9">
        <v>100</v>
      </c>
      <c r="H265" s="48">
        <v>0</v>
      </c>
      <c r="I265" s="48">
        <f>J265+K265</f>
        <v>100</v>
      </c>
      <c r="J265" s="9">
        <v>100</v>
      </c>
      <c r="K265" s="48">
        <v>0</v>
      </c>
      <c r="N265" s="19"/>
    </row>
    <row r="266" spans="1:14" s="88" customFormat="1" ht="75" customHeight="1">
      <c r="A266" s="155" t="s">
        <v>230</v>
      </c>
      <c r="B266" s="172"/>
      <c r="C266" s="156">
        <f>D266+E266</f>
        <v>0</v>
      </c>
      <c r="D266" s="156">
        <v>0</v>
      </c>
      <c r="E266" s="156">
        <v>0</v>
      </c>
      <c r="F266" s="157">
        <f>G266+H266</f>
        <v>807456</v>
      </c>
      <c r="G266" s="157">
        <v>807456</v>
      </c>
      <c r="H266" s="158">
        <v>0</v>
      </c>
      <c r="I266" s="158">
        <f>J266+K266</f>
        <v>0</v>
      </c>
      <c r="J266" s="158">
        <v>0</v>
      </c>
      <c r="K266" s="158">
        <v>0</v>
      </c>
      <c r="N266" s="173"/>
    </row>
    <row r="267" spans="1:11" s="88" customFormat="1" ht="18" customHeight="1">
      <c r="A267" s="160" t="s">
        <v>4</v>
      </c>
      <c r="B267" s="87"/>
      <c r="C267" s="174"/>
      <c r="D267" s="175"/>
      <c r="E267" s="175"/>
      <c r="F267" s="175"/>
      <c r="G267" s="175"/>
      <c r="H267" s="175"/>
      <c r="I267" s="175"/>
      <c r="J267" s="175"/>
      <c r="K267" s="175"/>
    </row>
    <row r="268" spans="1:11" s="159" customFormat="1" ht="15">
      <c r="A268" s="155" t="s">
        <v>5</v>
      </c>
      <c r="B268" s="161"/>
      <c r="C268" s="162"/>
      <c r="D268" s="163"/>
      <c r="E268" s="163"/>
      <c r="F268" s="163"/>
      <c r="G268" s="163"/>
      <c r="H268" s="163"/>
      <c r="I268" s="163"/>
      <c r="J268" s="163"/>
      <c r="K268" s="163"/>
    </row>
    <row r="269" spans="1:11" s="159" customFormat="1" ht="47.25" customHeight="1">
      <c r="A269" s="164" t="s">
        <v>231</v>
      </c>
      <c r="B269" s="161"/>
      <c r="C269" s="165">
        <v>0</v>
      </c>
      <c r="D269" s="165">
        <v>0</v>
      </c>
      <c r="E269" s="165">
        <v>0</v>
      </c>
      <c r="F269" s="167">
        <f>+G269</f>
        <v>807456</v>
      </c>
      <c r="G269" s="167">
        <v>807456</v>
      </c>
      <c r="H269" s="165">
        <v>0</v>
      </c>
      <c r="I269" s="165">
        <v>0</v>
      </c>
      <c r="J269" s="165">
        <v>0</v>
      </c>
      <c r="K269" s="165">
        <v>0</v>
      </c>
    </row>
    <row r="270" spans="1:11" s="159" customFormat="1" ht="16.5">
      <c r="A270" s="169" t="s">
        <v>12</v>
      </c>
      <c r="B270" s="161"/>
      <c r="C270" s="167"/>
      <c r="D270" s="167"/>
      <c r="E270" s="167"/>
      <c r="F270" s="167"/>
      <c r="G270" s="168"/>
      <c r="H270" s="167"/>
      <c r="I270" s="167"/>
      <c r="J270" s="168"/>
      <c r="K270" s="167"/>
    </row>
    <row r="271" spans="1:11" s="159" customFormat="1" ht="46.5" customHeight="1">
      <c r="A271" s="166" t="s">
        <v>232</v>
      </c>
      <c r="B271" s="161"/>
      <c r="C271" s="170">
        <f>+D271</f>
        <v>0</v>
      </c>
      <c r="D271" s="170">
        <v>0</v>
      </c>
      <c r="E271" s="170">
        <v>0</v>
      </c>
      <c r="F271" s="170">
        <f>G271+H271</f>
        <v>100</v>
      </c>
      <c r="G271" s="171">
        <v>100</v>
      </c>
      <c r="H271" s="170">
        <v>0</v>
      </c>
      <c r="I271" s="170">
        <f>J271+K271</f>
        <v>0</v>
      </c>
      <c r="J271" s="171">
        <v>0</v>
      </c>
      <c r="K271" s="170">
        <v>0</v>
      </c>
    </row>
    <row r="272" spans="1:12" ht="8.25" customHeight="1">
      <c r="A272" s="21"/>
      <c r="B272" s="12"/>
      <c r="C272" s="22"/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1:12" ht="26.25" customHeight="1">
      <c r="A273" s="11"/>
      <c r="B273" s="12"/>
      <c r="C273" s="13"/>
      <c r="D273" s="13"/>
      <c r="E273" s="13"/>
      <c r="F273" s="13"/>
      <c r="G273" s="13"/>
      <c r="H273" s="13"/>
      <c r="I273" s="179" t="s">
        <v>234</v>
      </c>
      <c r="J273" s="179"/>
      <c r="K273" s="179"/>
      <c r="L273" s="13"/>
    </row>
    <row r="274" spans="1:12" ht="14.25">
      <c r="A274" s="14">
        <v>1</v>
      </c>
      <c r="B274" s="15">
        <v>2</v>
      </c>
      <c r="C274" s="16">
        <v>3</v>
      </c>
      <c r="D274" s="16">
        <v>4</v>
      </c>
      <c r="E274" s="16">
        <v>5</v>
      </c>
      <c r="F274" s="16">
        <v>6</v>
      </c>
      <c r="G274" s="16">
        <v>7</v>
      </c>
      <c r="H274" s="16">
        <v>8</v>
      </c>
      <c r="I274" s="16">
        <v>9</v>
      </c>
      <c r="J274" s="16">
        <v>10</v>
      </c>
      <c r="K274" s="16">
        <v>11</v>
      </c>
      <c r="L274" s="23"/>
    </row>
    <row r="275" spans="1:11" ht="21.75" customHeight="1">
      <c r="A275" s="110" t="s">
        <v>186</v>
      </c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1:11" ht="45" customHeight="1">
      <c r="A276" s="24" t="s">
        <v>229</v>
      </c>
      <c r="B276" s="116"/>
      <c r="C276" s="28">
        <f>D276+E276</f>
        <v>2000000</v>
      </c>
      <c r="D276" s="28">
        <v>2000000</v>
      </c>
      <c r="E276" s="28">
        <v>0</v>
      </c>
      <c r="F276" s="69">
        <f>G276+H276</f>
        <v>1000000</v>
      </c>
      <c r="G276" s="69">
        <v>1000000</v>
      </c>
      <c r="H276" s="4">
        <v>0</v>
      </c>
      <c r="I276" s="4">
        <f>J276+K276</f>
        <v>1057000</v>
      </c>
      <c r="J276" s="4">
        <v>1057000</v>
      </c>
      <c r="K276" s="4">
        <v>0</v>
      </c>
    </row>
    <row r="277" spans="1:14" ht="21" customHeight="1">
      <c r="A277" s="1" t="s">
        <v>4</v>
      </c>
      <c r="B277" s="27"/>
      <c r="C277" s="117"/>
      <c r="D277" s="41"/>
      <c r="E277" s="41"/>
      <c r="F277" s="41"/>
      <c r="G277" s="41"/>
      <c r="H277" s="41"/>
      <c r="I277" s="41"/>
      <c r="J277" s="41"/>
      <c r="K277" s="41"/>
      <c r="N277" s="19"/>
    </row>
    <row r="278" spans="1:14" ht="21" customHeight="1">
      <c r="A278" s="24" t="s">
        <v>5</v>
      </c>
      <c r="B278" s="27"/>
      <c r="C278" s="117"/>
      <c r="D278" s="41"/>
      <c r="E278" s="41"/>
      <c r="F278" s="41"/>
      <c r="G278" s="41"/>
      <c r="H278" s="41"/>
      <c r="I278" s="41"/>
      <c r="J278" s="41"/>
      <c r="K278" s="41"/>
      <c r="N278" s="19"/>
    </row>
    <row r="279" spans="1:14" ht="33.75" customHeight="1">
      <c r="A279" s="53" t="s">
        <v>188</v>
      </c>
      <c r="B279" s="27"/>
      <c r="C279" s="29">
        <f>+D279</f>
        <v>59320</v>
      </c>
      <c r="D279" s="29">
        <v>59320</v>
      </c>
      <c r="E279" s="29">
        <v>0</v>
      </c>
      <c r="F279" s="29">
        <f>+G279</f>
        <v>58065</v>
      </c>
      <c r="G279" s="29">
        <v>58065</v>
      </c>
      <c r="H279" s="50">
        <v>0</v>
      </c>
      <c r="I279" s="29">
        <f>J279+K279</f>
        <v>58065</v>
      </c>
      <c r="J279" s="29">
        <v>58065</v>
      </c>
      <c r="K279" s="50">
        <v>0</v>
      </c>
      <c r="N279" s="19"/>
    </row>
    <row r="280" spans="1:14" ht="30.75" customHeight="1">
      <c r="A280" s="53" t="s">
        <v>45</v>
      </c>
      <c r="B280" s="27"/>
      <c r="C280" s="50">
        <v>1</v>
      </c>
      <c r="D280" s="50">
        <v>1</v>
      </c>
      <c r="E280" s="50">
        <v>0</v>
      </c>
      <c r="F280" s="50">
        <f>+G280</f>
        <v>1</v>
      </c>
      <c r="G280" s="50">
        <v>1</v>
      </c>
      <c r="H280" s="50">
        <v>0</v>
      </c>
      <c r="I280" s="50">
        <f>J280+K280</f>
        <v>1</v>
      </c>
      <c r="J280" s="50">
        <v>1</v>
      </c>
      <c r="K280" s="50">
        <v>0</v>
      </c>
      <c r="N280" s="19"/>
    </row>
    <row r="281" spans="1:14" ht="21" customHeight="1">
      <c r="A281" s="45" t="s">
        <v>13</v>
      </c>
      <c r="B281" s="27"/>
      <c r="C281" s="119"/>
      <c r="D281" s="46"/>
      <c r="E281" s="46"/>
      <c r="F281" s="119"/>
      <c r="G281" s="46"/>
      <c r="H281" s="46"/>
      <c r="I281" s="119"/>
      <c r="J281" s="46"/>
      <c r="K281" s="46"/>
      <c r="N281" s="19"/>
    </row>
    <row r="282" spans="1:14" ht="30">
      <c r="A282" s="47" t="s">
        <v>189</v>
      </c>
      <c r="B282" s="27"/>
      <c r="C282" s="30">
        <f>D282+E282</f>
        <v>166666.66666666666</v>
      </c>
      <c r="D282" s="30">
        <f>D276/12</f>
        <v>166666.66666666666</v>
      </c>
      <c r="E282" s="30">
        <v>0</v>
      </c>
      <c r="F282" s="30">
        <f>G282+H282</f>
        <v>83333.33333333333</v>
      </c>
      <c r="G282" s="30">
        <f>G276/12</f>
        <v>83333.33333333333</v>
      </c>
      <c r="H282" s="30">
        <v>0</v>
      </c>
      <c r="I282" s="30">
        <f>J282+K282</f>
        <v>88083.33333333333</v>
      </c>
      <c r="J282" s="8">
        <f>J276/12</f>
        <v>88083.33333333333</v>
      </c>
      <c r="K282" s="30">
        <v>0</v>
      </c>
      <c r="N282" s="19"/>
    </row>
    <row r="283" spans="1:14" ht="20.25" customHeight="1">
      <c r="A283" s="2" t="s">
        <v>12</v>
      </c>
      <c r="B283" s="27"/>
      <c r="C283" s="30"/>
      <c r="D283" s="30"/>
      <c r="E283" s="30"/>
      <c r="F283" s="30"/>
      <c r="G283" s="8"/>
      <c r="H283" s="30"/>
      <c r="I283" s="30"/>
      <c r="J283" s="8"/>
      <c r="K283" s="30"/>
      <c r="N283" s="19"/>
    </row>
    <row r="284" spans="1:14" ht="21" customHeight="1">
      <c r="A284" s="47" t="s">
        <v>11</v>
      </c>
      <c r="B284" s="27"/>
      <c r="C284" s="48">
        <f>+D284</f>
        <v>100</v>
      </c>
      <c r="D284" s="48">
        <v>100</v>
      </c>
      <c r="E284" s="48">
        <v>0</v>
      </c>
      <c r="F284" s="48">
        <f>G284+H284</f>
        <v>100</v>
      </c>
      <c r="G284" s="9">
        <v>100</v>
      </c>
      <c r="H284" s="48">
        <v>0</v>
      </c>
      <c r="I284" s="48">
        <f>J284+K284</f>
        <v>100</v>
      </c>
      <c r="J284" s="9">
        <v>100</v>
      </c>
      <c r="K284" s="48">
        <v>0</v>
      </c>
      <c r="N284" s="19"/>
    </row>
    <row r="285" spans="1:14" ht="24" customHeight="1">
      <c r="A285" s="110" t="s">
        <v>158</v>
      </c>
      <c r="B285" s="120" t="s">
        <v>159</v>
      </c>
      <c r="C285" s="48"/>
      <c r="D285" s="48"/>
      <c r="E285" s="48"/>
      <c r="F285" s="48"/>
      <c r="G285" s="9"/>
      <c r="H285" s="48"/>
      <c r="I285" s="48"/>
      <c r="J285" s="9"/>
      <c r="K285" s="48"/>
      <c r="N285" s="19"/>
    </row>
    <row r="286" spans="1:14" ht="24" customHeight="1">
      <c r="A286" s="2" t="s">
        <v>42</v>
      </c>
      <c r="B286" s="27"/>
      <c r="C286" s="48"/>
      <c r="D286" s="48"/>
      <c r="E286" s="48"/>
      <c r="F286" s="48"/>
      <c r="G286" s="9"/>
      <c r="H286" s="48"/>
      <c r="I286" s="48"/>
      <c r="J286" s="9"/>
      <c r="K286" s="48"/>
      <c r="N286" s="19"/>
    </row>
    <row r="287" spans="1:14" ht="39" customHeight="1">
      <c r="A287" s="190" t="s">
        <v>160</v>
      </c>
      <c r="B287" s="190"/>
      <c r="C287" s="190"/>
      <c r="D287" s="190"/>
      <c r="E287" s="190"/>
      <c r="F287" s="190"/>
      <c r="G287" s="190"/>
      <c r="H287" s="190"/>
      <c r="I287" s="190"/>
      <c r="J287" s="190"/>
      <c r="K287" s="190"/>
      <c r="L287" s="107"/>
      <c r="N287" s="19"/>
    </row>
    <row r="288" spans="1:14" ht="26.25" customHeight="1">
      <c r="A288" s="214" t="s">
        <v>161</v>
      </c>
      <c r="B288" s="214"/>
      <c r="C288" s="214"/>
      <c r="D288" s="214"/>
      <c r="E288" s="214"/>
      <c r="F288" s="214"/>
      <c r="G288" s="214"/>
      <c r="H288" s="214"/>
      <c r="I288" s="214"/>
      <c r="J288" s="214"/>
      <c r="K288" s="214"/>
      <c r="L288" s="109"/>
      <c r="N288" s="19"/>
    </row>
    <row r="289" spans="1:14" ht="18" customHeight="1">
      <c r="A289" s="127" t="s">
        <v>6</v>
      </c>
      <c r="B289" s="27"/>
      <c r="C289" s="48"/>
      <c r="D289" s="48"/>
      <c r="E289" s="48"/>
      <c r="F289" s="48"/>
      <c r="G289" s="9"/>
      <c r="H289" s="48"/>
      <c r="I289" s="48"/>
      <c r="J289" s="9"/>
      <c r="K289" s="48"/>
      <c r="N289" s="19"/>
    </row>
    <row r="290" spans="1:14" ht="66" customHeight="1">
      <c r="A290" s="128" t="s">
        <v>162</v>
      </c>
      <c r="B290" s="27"/>
      <c r="C290" s="28">
        <f>+D290+E290</f>
        <v>1743118</v>
      </c>
      <c r="D290" s="30">
        <v>1743118</v>
      </c>
      <c r="E290" s="30">
        <v>0</v>
      </c>
      <c r="F290" s="28">
        <f>G290+H290</f>
        <v>1911000</v>
      </c>
      <c r="G290" s="8">
        <v>1911000</v>
      </c>
      <c r="H290" s="8">
        <v>0</v>
      </c>
      <c r="I290" s="28">
        <f>J290+K290</f>
        <v>2061525</v>
      </c>
      <c r="J290" s="8">
        <v>2061525</v>
      </c>
      <c r="K290" s="8">
        <v>0</v>
      </c>
      <c r="N290" s="19"/>
    </row>
    <row r="291" spans="1:14" ht="18" customHeight="1">
      <c r="A291" s="1" t="s">
        <v>4</v>
      </c>
      <c r="B291" s="27"/>
      <c r="C291" s="129"/>
      <c r="D291" s="48"/>
      <c r="E291" s="48"/>
      <c r="F291" s="129"/>
      <c r="G291" s="9"/>
      <c r="H291" s="48"/>
      <c r="I291" s="129"/>
      <c r="J291" s="9"/>
      <c r="K291" s="48"/>
      <c r="N291" s="19"/>
    </row>
    <row r="292" spans="1:14" ht="18" customHeight="1">
      <c r="A292" s="24" t="s">
        <v>5</v>
      </c>
      <c r="B292" s="27"/>
      <c r="C292" s="129"/>
      <c r="D292" s="48"/>
      <c r="E292" s="48"/>
      <c r="F292" s="129"/>
      <c r="G292" s="9"/>
      <c r="H292" s="48"/>
      <c r="I292" s="129"/>
      <c r="J292" s="9"/>
      <c r="K292" s="48"/>
      <c r="N292" s="19"/>
    </row>
    <row r="293" spans="1:14" ht="27" customHeight="1">
      <c r="A293" s="178" t="s">
        <v>168</v>
      </c>
      <c r="B293" s="27"/>
      <c r="C293" s="122">
        <f aca="true" t="shared" si="9" ref="C293:C311">+D293+E293</f>
        <v>250</v>
      </c>
      <c r="D293" s="122">
        <v>250</v>
      </c>
      <c r="E293" s="122">
        <v>0</v>
      </c>
      <c r="F293" s="122">
        <f aca="true" t="shared" si="10" ref="F293:F311">G293+H293</f>
        <v>200</v>
      </c>
      <c r="G293" s="123">
        <v>200</v>
      </c>
      <c r="H293" s="122">
        <v>0</v>
      </c>
      <c r="I293" s="122">
        <f aca="true" t="shared" si="11" ref="I293:I311">J293+K293</f>
        <v>200</v>
      </c>
      <c r="J293" s="123">
        <v>200</v>
      </c>
      <c r="K293" s="122">
        <v>0</v>
      </c>
      <c r="N293" s="19"/>
    </row>
    <row r="294" spans="1:14" ht="31.5" customHeight="1">
      <c r="A294" s="124" t="s">
        <v>163</v>
      </c>
      <c r="B294" s="27"/>
      <c r="C294" s="122">
        <f t="shared" si="9"/>
        <v>679</v>
      </c>
      <c r="D294" s="122">
        <v>679</v>
      </c>
      <c r="E294" s="122">
        <v>0</v>
      </c>
      <c r="F294" s="122">
        <f t="shared" si="10"/>
        <v>680</v>
      </c>
      <c r="G294" s="122">
        <f>+G295+G296+G297+G298+G299</f>
        <v>680</v>
      </c>
      <c r="H294" s="122">
        <v>0</v>
      </c>
      <c r="I294" s="122">
        <f t="shared" si="11"/>
        <v>680</v>
      </c>
      <c r="J294" s="122">
        <f>+J295+J296+J297+J298+J299</f>
        <v>680</v>
      </c>
      <c r="K294" s="122">
        <v>0</v>
      </c>
      <c r="N294" s="19"/>
    </row>
    <row r="295" spans="1:14" ht="17.25" customHeight="1">
      <c r="A295" s="121" t="s">
        <v>164</v>
      </c>
      <c r="B295" s="27"/>
      <c r="C295" s="122">
        <f t="shared" si="9"/>
        <v>309</v>
      </c>
      <c r="D295" s="122">
        <v>309</v>
      </c>
      <c r="E295" s="122">
        <v>0</v>
      </c>
      <c r="F295" s="122">
        <f t="shared" si="10"/>
        <v>280</v>
      </c>
      <c r="G295" s="123">
        <v>280</v>
      </c>
      <c r="H295" s="122">
        <v>0</v>
      </c>
      <c r="I295" s="122">
        <f t="shared" si="11"/>
        <v>280</v>
      </c>
      <c r="J295" s="123">
        <v>280</v>
      </c>
      <c r="K295" s="122">
        <v>0</v>
      </c>
      <c r="N295" s="19"/>
    </row>
    <row r="296" spans="1:14" ht="17.25" customHeight="1">
      <c r="A296" s="121" t="s">
        <v>165</v>
      </c>
      <c r="B296" s="27"/>
      <c r="C296" s="122">
        <f t="shared" si="9"/>
        <v>332</v>
      </c>
      <c r="D296" s="122">
        <f>186+146</f>
        <v>332</v>
      </c>
      <c r="E296" s="122">
        <v>0</v>
      </c>
      <c r="F296" s="122">
        <f t="shared" si="10"/>
        <v>245</v>
      </c>
      <c r="G296" s="123">
        <v>245</v>
      </c>
      <c r="H296" s="122">
        <v>0</v>
      </c>
      <c r="I296" s="122">
        <f t="shared" si="11"/>
        <v>245</v>
      </c>
      <c r="J296" s="123">
        <v>245</v>
      </c>
      <c r="K296" s="122">
        <v>0</v>
      </c>
      <c r="N296" s="19"/>
    </row>
    <row r="297" spans="1:14" ht="17.25" customHeight="1">
      <c r="A297" s="121" t="s">
        <v>166</v>
      </c>
      <c r="B297" s="27"/>
      <c r="C297" s="122">
        <f t="shared" si="9"/>
        <v>2</v>
      </c>
      <c r="D297" s="122">
        <v>2</v>
      </c>
      <c r="E297" s="122">
        <v>0</v>
      </c>
      <c r="F297" s="122">
        <f t="shared" si="10"/>
        <v>2</v>
      </c>
      <c r="G297" s="123">
        <v>2</v>
      </c>
      <c r="H297" s="122">
        <v>0</v>
      </c>
      <c r="I297" s="122">
        <f t="shared" si="11"/>
        <v>2</v>
      </c>
      <c r="J297" s="123">
        <v>2</v>
      </c>
      <c r="K297" s="122">
        <v>0</v>
      </c>
      <c r="N297" s="19"/>
    </row>
    <row r="298" spans="1:14" ht="17.25" customHeight="1">
      <c r="A298" s="121" t="s">
        <v>167</v>
      </c>
      <c r="B298" s="27"/>
      <c r="C298" s="122">
        <f t="shared" si="9"/>
        <v>35</v>
      </c>
      <c r="D298" s="122">
        <f>15+20</f>
        <v>35</v>
      </c>
      <c r="E298" s="122">
        <v>0</v>
      </c>
      <c r="F298" s="122">
        <f t="shared" si="10"/>
        <v>151</v>
      </c>
      <c r="G298" s="123">
        <v>151</v>
      </c>
      <c r="H298" s="122">
        <v>0</v>
      </c>
      <c r="I298" s="122">
        <f t="shared" si="11"/>
        <v>151</v>
      </c>
      <c r="J298" s="123">
        <v>151</v>
      </c>
      <c r="K298" s="122">
        <v>0</v>
      </c>
      <c r="N298" s="19"/>
    </row>
    <row r="299" spans="1:14" ht="48.75" customHeight="1">
      <c r="A299" s="124" t="s">
        <v>175</v>
      </c>
      <c r="B299" s="27"/>
      <c r="C299" s="122">
        <f t="shared" si="9"/>
        <v>1</v>
      </c>
      <c r="D299" s="122">
        <v>1</v>
      </c>
      <c r="E299" s="122">
        <v>0</v>
      </c>
      <c r="F299" s="122">
        <f t="shared" si="10"/>
        <v>2</v>
      </c>
      <c r="G299" s="123">
        <v>2</v>
      </c>
      <c r="H299" s="122">
        <v>0</v>
      </c>
      <c r="I299" s="122">
        <f t="shared" si="11"/>
        <v>2</v>
      </c>
      <c r="J299" s="123">
        <v>2</v>
      </c>
      <c r="K299" s="122">
        <v>0</v>
      </c>
      <c r="N299" s="19"/>
    </row>
    <row r="300" spans="1:14" ht="18" customHeight="1">
      <c r="A300" s="24" t="s">
        <v>13</v>
      </c>
      <c r="B300" s="27"/>
      <c r="C300" s="125"/>
      <c r="D300" s="48"/>
      <c r="E300" s="48"/>
      <c r="F300" s="125"/>
      <c r="G300" s="9"/>
      <c r="H300" s="48"/>
      <c r="I300" s="125"/>
      <c r="J300" s="9"/>
      <c r="K300" s="48"/>
      <c r="N300" s="19"/>
    </row>
    <row r="301" spans="1:14" ht="30.75" customHeight="1">
      <c r="A301" s="124" t="s">
        <v>181</v>
      </c>
      <c r="B301" s="27"/>
      <c r="C301" s="37">
        <f t="shared" si="9"/>
        <v>213.9320078546883</v>
      </c>
      <c r="D301" s="37">
        <f>+D290/D294/12</f>
        <v>213.9320078546883</v>
      </c>
      <c r="E301" s="37">
        <v>0</v>
      </c>
      <c r="F301" s="37">
        <f t="shared" si="10"/>
        <v>234.19117647058826</v>
      </c>
      <c r="G301" s="37">
        <f>+G290/G294/12</f>
        <v>234.19117647058826</v>
      </c>
      <c r="H301" s="37">
        <v>0</v>
      </c>
      <c r="I301" s="37">
        <f t="shared" si="11"/>
        <v>252.6378676470588</v>
      </c>
      <c r="J301" s="37">
        <f>+J290/J294/12</f>
        <v>252.6378676470588</v>
      </c>
      <c r="K301" s="37">
        <v>0</v>
      </c>
      <c r="N301" s="19"/>
    </row>
    <row r="302" spans="1:14" ht="19.5" customHeight="1">
      <c r="A302" s="121" t="s">
        <v>164</v>
      </c>
      <c r="B302" s="27"/>
      <c r="C302" s="37">
        <f t="shared" si="9"/>
        <v>256.9118122977346</v>
      </c>
      <c r="D302" s="37">
        <f>+(443685+508944)/12/D295</f>
        <v>256.9118122977346</v>
      </c>
      <c r="E302" s="37">
        <v>0</v>
      </c>
      <c r="F302" s="37">
        <f t="shared" si="10"/>
        <v>283.82619047619045</v>
      </c>
      <c r="G302" s="37">
        <f>+(485010+468646)/12/G295</f>
        <v>283.82619047619045</v>
      </c>
      <c r="H302" s="37">
        <v>0</v>
      </c>
      <c r="I302" s="37">
        <f t="shared" si="11"/>
        <v>306.4294642857143</v>
      </c>
      <c r="J302" s="37">
        <f>+(523590+506013)/12/J295</f>
        <v>306.4294642857143</v>
      </c>
      <c r="K302" s="37">
        <v>0</v>
      </c>
      <c r="N302" s="19"/>
    </row>
    <row r="303" spans="1:14" ht="19.5" customHeight="1">
      <c r="A303" s="121" t="s">
        <v>165</v>
      </c>
      <c r="B303" s="27"/>
      <c r="C303" s="37">
        <f t="shared" si="9"/>
        <v>178.05170682730923</v>
      </c>
      <c r="D303" s="37">
        <f>+(440128+269230)/12/D296</f>
        <v>178.05170682730923</v>
      </c>
      <c r="E303" s="37">
        <v>0</v>
      </c>
      <c r="F303" s="37">
        <f t="shared" si="10"/>
        <v>191.79455782312925</v>
      </c>
      <c r="G303" s="37">
        <f>+(310406+253470)/12/G296</f>
        <v>191.79455782312925</v>
      </c>
      <c r="H303" s="37">
        <v>0</v>
      </c>
      <c r="I303" s="37">
        <f t="shared" si="11"/>
        <v>206.5159863945578</v>
      </c>
      <c r="J303" s="37">
        <f>+(335102+272055)/12/J296</f>
        <v>206.5159863945578</v>
      </c>
      <c r="K303" s="37">
        <v>0</v>
      </c>
      <c r="N303" s="19"/>
    </row>
    <row r="304" spans="1:14" ht="19.5" customHeight="1">
      <c r="A304" s="121" t="s">
        <v>166</v>
      </c>
      <c r="B304" s="27"/>
      <c r="C304" s="37">
        <f t="shared" si="9"/>
        <v>197.19</v>
      </c>
      <c r="D304" s="154">
        <v>197.19</v>
      </c>
      <c r="E304" s="37">
        <v>0</v>
      </c>
      <c r="F304" s="37">
        <f t="shared" si="10"/>
        <v>215.56</v>
      </c>
      <c r="G304" s="37">
        <v>215.56</v>
      </c>
      <c r="H304" s="37">
        <v>0</v>
      </c>
      <c r="I304" s="37">
        <f t="shared" si="11"/>
        <v>232.70833333333334</v>
      </c>
      <c r="J304" s="37">
        <f>5585/12/J297</f>
        <v>232.70833333333334</v>
      </c>
      <c r="K304" s="37">
        <v>0</v>
      </c>
      <c r="N304" s="19"/>
    </row>
    <row r="305" spans="1:14" ht="19.5" customHeight="1">
      <c r="A305" s="121" t="s">
        <v>167</v>
      </c>
      <c r="B305" s="27"/>
      <c r="C305" s="37">
        <f t="shared" si="9"/>
        <v>178.5404761904762</v>
      </c>
      <c r="D305" s="154">
        <f>+(47326+27661)/12/D298</f>
        <v>178.5404761904762</v>
      </c>
      <c r="E305" s="37">
        <v>0</v>
      </c>
      <c r="F305" s="37">
        <f t="shared" si="10"/>
        <v>212.40949227373068</v>
      </c>
      <c r="G305" s="37">
        <f>+(364728+20158)/12/G298</f>
        <v>212.40949227373068</v>
      </c>
      <c r="H305" s="37">
        <v>0</v>
      </c>
      <c r="I305" s="37">
        <f t="shared" si="11"/>
        <v>229.30960264900662</v>
      </c>
      <c r="J305" s="37">
        <f>+(393745+21764)/12/J298</f>
        <v>229.30960264900662</v>
      </c>
      <c r="K305" s="37">
        <v>0</v>
      </c>
      <c r="N305" s="19"/>
    </row>
    <row r="306" spans="1:14" ht="48.75" customHeight="1">
      <c r="A306" s="124" t="s">
        <v>175</v>
      </c>
      <c r="B306" s="27"/>
      <c r="C306" s="37">
        <f t="shared" si="9"/>
        <v>107.57</v>
      </c>
      <c r="D306" s="37">
        <v>107.57</v>
      </c>
      <c r="E306" s="37">
        <v>0</v>
      </c>
      <c r="F306" s="37">
        <f t="shared" si="10"/>
        <v>134.25</v>
      </c>
      <c r="G306" s="37">
        <f>+(1411+1811)/12/G299</f>
        <v>134.25</v>
      </c>
      <c r="H306" s="37">
        <v>0</v>
      </c>
      <c r="I306" s="37">
        <f t="shared" si="11"/>
        <v>144.95833333333334</v>
      </c>
      <c r="J306" s="37">
        <f>+(1955+1524)/12/J299</f>
        <v>144.95833333333334</v>
      </c>
      <c r="K306" s="37">
        <v>0</v>
      </c>
      <c r="N306" s="19"/>
    </row>
    <row r="307" spans="1:12" ht="8.25" customHeight="1">
      <c r="A307" s="21"/>
      <c r="B307" s="12"/>
      <c r="C307" s="22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1:12" ht="26.25" customHeight="1">
      <c r="A308" s="11"/>
      <c r="B308" s="12"/>
      <c r="C308" s="13"/>
      <c r="D308" s="13"/>
      <c r="E308" s="13"/>
      <c r="F308" s="13"/>
      <c r="G308" s="13"/>
      <c r="H308" s="13"/>
      <c r="I308" s="179" t="s">
        <v>234</v>
      </c>
      <c r="J308" s="179"/>
      <c r="K308" s="179"/>
      <c r="L308" s="13"/>
    </row>
    <row r="309" spans="1:12" ht="14.25">
      <c r="A309" s="14">
        <v>1</v>
      </c>
      <c r="B309" s="15">
        <v>2</v>
      </c>
      <c r="C309" s="16">
        <v>3</v>
      </c>
      <c r="D309" s="16">
        <v>4</v>
      </c>
      <c r="E309" s="16">
        <v>5</v>
      </c>
      <c r="F309" s="16">
        <v>6</v>
      </c>
      <c r="G309" s="16">
        <v>7</v>
      </c>
      <c r="H309" s="16">
        <v>8</v>
      </c>
      <c r="I309" s="16">
        <v>9</v>
      </c>
      <c r="J309" s="16">
        <v>10</v>
      </c>
      <c r="K309" s="16">
        <v>11</v>
      </c>
      <c r="L309" s="23"/>
    </row>
    <row r="310" spans="1:14" ht="20.25" customHeight="1">
      <c r="A310" s="126" t="s">
        <v>12</v>
      </c>
      <c r="B310" s="27"/>
      <c r="C310" s="37"/>
      <c r="D310" s="37"/>
      <c r="E310" s="37"/>
      <c r="F310" s="37"/>
      <c r="G310" s="113"/>
      <c r="H310" s="37"/>
      <c r="I310" s="37"/>
      <c r="J310" s="113"/>
      <c r="K310" s="37"/>
      <c r="N310" s="19"/>
    </row>
    <row r="311" spans="1:14" ht="35.25" customHeight="1">
      <c r="A311" s="176" t="s">
        <v>169</v>
      </c>
      <c r="B311" s="27"/>
      <c r="C311" s="37">
        <f t="shared" si="9"/>
        <v>100</v>
      </c>
      <c r="D311" s="37">
        <v>100</v>
      </c>
      <c r="E311" s="37">
        <v>0</v>
      </c>
      <c r="F311" s="37">
        <f t="shared" si="10"/>
        <v>100</v>
      </c>
      <c r="G311" s="113">
        <v>100</v>
      </c>
      <c r="H311" s="37">
        <v>0</v>
      </c>
      <c r="I311" s="37">
        <f t="shared" si="11"/>
        <v>100</v>
      </c>
      <c r="J311" s="113">
        <v>100</v>
      </c>
      <c r="K311" s="37">
        <v>0</v>
      </c>
      <c r="N311" s="19"/>
    </row>
    <row r="312" spans="1:12" ht="21.75" customHeight="1">
      <c r="A312" s="110" t="s">
        <v>107</v>
      </c>
      <c r="B312" s="120" t="s">
        <v>108</v>
      </c>
      <c r="C312" s="118"/>
      <c r="D312" s="118"/>
      <c r="E312" s="118"/>
      <c r="F312" s="118"/>
      <c r="G312" s="118"/>
      <c r="H312" s="118"/>
      <c r="I312" s="118"/>
      <c r="J312" s="118"/>
      <c r="K312" s="118"/>
      <c r="L312" s="105"/>
    </row>
    <row r="313" spans="1:14" ht="21.75" customHeight="1">
      <c r="A313" s="2" t="s">
        <v>42</v>
      </c>
      <c r="B313" s="27"/>
      <c r="C313" s="36"/>
      <c r="D313" s="36"/>
      <c r="E313" s="36"/>
      <c r="F313" s="36"/>
      <c r="G313" s="36"/>
      <c r="H313" s="36"/>
      <c r="I313" s="36"/>
      <c r="J313" s="36"/>
      <c r="K313" s="36"/>
      <c r="N313" s="19"/>
    </row>
    <row r="314" spans="1:12" ht="35.25" customHeight="1">
      <c r="A314" s="190" t="s">
        <v>155</v>
      </c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07"/>
    </row>
    <row r="315" spans="1:12" ht="21.75" customHeight="1">
      <c r="A315" s="182" t="s">
        <v>43</v>
      </c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09"/>
    </row>
    <row r="316" spans="1:12" ht="21.75" customHeight="1">
      <c r="A316" s="127" t="s">
        <v>6</v>
      </c>
      <c r="B316" s="115"/>
      <c r="C316" s="28">
        <f>+D316+E316</f>
        <v>73900</v>
      </c>
      <c r="D316" s="28">
        <f>+D317</f>
        <v>73900</v>
      </c>
      <c r="E316" s="28">
        <v>0</v>
      </c>
      <c r="F316" s="28">
        <f>+H316+G316</f>
        <v>70000</v>
      </c>
      <c r="G316" s="28">
        <f>+G317</f>
        <v>70000</v>
      </c>
      <c r="H316" s="28">
        <v>0</v>
      </c>
      <c r="I316" s="28">
        <f>+K316+J316</f>
        <v>0</v>
      </c>
      <c r="J316" s="28">
        <f>+J317</f>
        <v>0</v>
      </c>
      <c r="K316" s="28">
        <v>0</v>
      </c>
      <c r="L316" s="130"/>
    </row>
    <row r="317" spans="1:12" ht="55.5" customHeight="1">
      <c r="A317" s="128" t="s">
        <v>170</v>
      </c>
      <c r="B317" s="116"/>
      <c r="C317" s="30">
        <f>D317+E317</f>
        <v>73900</v>
      </c>
      <c r="D317" s="30">
        <v>73900</v>
      </c>
      <c r="E317" s="30">
        <v>0</v>
      </c>
      <c r="F317" s="30">
        <f>G317+H317</f>
        <v>70000</v>
      </c>
      <c r="G317" s="30">
        <v>70000</v>
      </c>
      <c r="H317" s="30">
        <v>0</v>
      </c>
      <c r="I317" s="30">
        <f>J317+K317</f>
        <v>0</v>
      </c>
      <c r="J317" s="30">
        <v>0</v>
      </c>
      <c r="K317" s="30">
        <v>0</v>
      </c>
      <c r="L317" s="105"/>
    </row>
    <row r="318" spans="1:12" ht="21.75" customHeight="1">
      <c r="A318" s="103" t="s">
        <v>87</v>
      </c>
      <c r="B318" s="104" t="s">
        <v>88</v>
      </c>
      <c r="C318" s="1"/>
      <c r="D318" s="1"/>
      <c r="E318" s="1"/>
      <c r="F318" s="1"/>
      <c r="G318" s="1"/>
      <c r="H318" s="1"/>
      <c r="I318" s="1"/>
      <c r="J318" s="1"/>
      <c r="K318" s="1"/>
      <c r="L318" s="21"/>
    </row>
    <row r="319" spans="1:13" ht="27.75" customHeight="1">
      <c r="A319" s="2" t="s">
        <v>27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1"/>
      <c r="M319" s="66"/>
    </row>
    <row r="320" spans="1:12" ht="35.25" customHeight="1">
      <c r="A320" s="183" t="s">
        <v>156</v>
      </c>
      <c r="B320" s="184"/>
      <c r="C320" s="184"/>
      <c r="D320" s="184"/>
      <c r="E320" s="184"/>
      <c r="F320" s="184"/>
      <c r="G320" s="184"/>
      <c r="H320" s="184"/>
      <c r="I320" s="184"/>
      <c r="J320" s="184"/>
      <c r="K320" s="185"/>
      <c r="L320" s="82"/>
    </row>
    <row r="321" spans="1:12" ht="21.75" customHeight="1">
      <c r="A321" s="187" t="s">
        <v>128</v>
      </c>
      <c r="B321" s="188"/>
      <c r="C321" s="188"/>
      <c r="D321" s="188"/>
      <c r="E321" s="188"/>
      <c r="F321" s="188"/>
      <c r="G321" s="188"/>
      <c r="H321" s="188"/>
      <c r="I321" s="188"/>
      <c r="J321" s="188"/>
      <c r="K321" s="189"/>
      <c r="L321" s="131"/>
    </row>
    <row r="322" spans="1:12" ht="21.75" customHeight="1">
      <c r="A322" s="136" t="s">
        <v>6</v>
      </c>
      <c r="B322" s="137"/>
      <c r="C322" s="10">
        <f>+D322</f>
        <v>25146</v>
      </c>
      <c r="D322" s="10">
        <f>+D323+D333+D346</f>
        <v>25146</v>
      </c>
      <c r="E322" s="10">
        <v>0</v>
      </c>
      <c r="F322" s="10">
        <f>+G322</f>
        <v>20649</v>
      </c>
      <c r="G322" s="10">
        <f>+G323+G333+G346</f>
        <v>20649</v>
      </c>
      <c r="H322" s="10">
        <v>0</v>
      </c>
      <c r="I322" s="10">
        <f>+J322</f>
        <v>21890</v>
      </c>
      <c r="J322" s="10">
        <f>+J323+J333+J346</f>
        <v>21890</v>
      </c>
      <c r="K322" s="10">
        <v>0</v>
      </c>
      <c r="L322" s="138"/>
    </row>
    <row r="323" spans="1:12" ht="43.5" customHeight="1">
      <c r="A323" s="3" t="s">
        <v>137</v>
      </c>
      <c r="B323" s="1"/>
      <c r="C323" s="4">
        <f>D323+E323</f>
        <v>5184</v>
      </c>
      <c r="D323" s="4">
        <v>5184</v>
      </c>
      <c r="E323" s="4">
        <v>0</v>
      </c>
      <c r="F323" s="4">
        <f>G323+H323</f>
        <v>0</v>
      </c>
      <c r="G323" s="4">
        <v>0</v>
      </c>
      <c r="H323" s="4">
        <v>0</v>
      </c>
      <c r="I323" s="4">
        <f>J323+K323</f>
        <v>0</v>
      </c>
      <c r="J323" s="4">
        <v>0</v>
      </c>
      <c r="K323" s="4">
        <v>0</v>
      </c>
      <c r="L323" s="132"/>
    </row>
    <row r="324" spans="1:12" ht="17.25" customHeight="1">
      <c r="A324" s="5" t="s">
        <v>4</v>
      </c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132"/>
    </row>
    <row r="325" spans="1:12" ht="17.25" customHeight="1">
      <c r="A325" s="7" t="s">
        <v>5</v>
      </c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132"/>
    </row>
    <row r="326" spans="1:12" ht="30" customHeight="1">
      <c r="A326" s="5" t="s">
        <v>126</v>
      </c>
      <c r="B326" s="1"/>
      <c r="C326" s="133">
        <f>D326+E326</f>
        <v>2</v>
      </c>
      <c r="D326" s="133">
        <v>2</v>
      </c>
      <c r="E326" s="133">
        <v>0</v>
      </c>
      <c r="F326" s="133">
        <f>G326+H326</f>
        <v>0</v>
      </c>
      <c r="G326" s="133">
        <v>0</v>
      </c>
      <c r="H326" s="133">
        <v>0</v>
      </c>
      <c r="I326" s="133">
        <f>J326+K326</f>
        <v>0</v>
      </c>
      <c r="J326" s="133">
        <v>0</v>
      </c>
      <c r="K326" s="133">
        <v>0</v>
      </c>
      <c r="L326" s="132"/>
    </row>
    <row r="327" spans="1:12" ht="47.25" customHeight="1">
      <c r="A327" s="5" t="s">
        <v>89</v>
      </c>
      <c r="B327" s="1"/>
      <c r="C327" s="133">
        <f>+D327</f>
        <v>1</v>
      </c>
      <c r="D327" s="133">
        <v>1</v>
      </c>
      <c r="E327" s="133">
        <v>0</v>
      </c>
      <c r="F327" s="133">
        <f>+G327</f>
        <v>0</v>
      </c>
      <c r="G327" s="133">
        <v>0</v>
      </c>
      <c r="H327" s="133">
        <v>0</v>
      </c>
      <c r="I327" s="133">
        <f>J327+K327</f>
        <v>0</v>
      </c>
      <c r="J327" s="133">
        <v>0</v>
      </c>
      <c r="K327" s="133">
        <v>0</v>
      </c>
      <c r="L327" s="132"/>
    </row>
    <row r="328" spans="1:12" ht="26.25" customHeight="1">
      <c r="A328" s="5" t="s">
        <v>225</v>
      </c>
      <c r="B328" s="1"/>
      <c r="C328" s="133">
        <f>D328+E328</f>
        <v>160</v>
      </c>
      <c r="D328" s="133">
        <v>160</v>
      </c>
      <c r="E328" s="133">
        <v>0</v>
      </c>
      <c r="F328" s="133">
        <f>G328+H328</f>
        <v>0</v>
      </c>
      <c r="G328" s="133">
        <v>0</v>
      </c>
      <c r="H328" s="133">
        <v>0</v>
      </c>
      <c r="I328" s="133">
        <f>J328+K328</f>
        <v>0</v>
      </c>
      <c r="J328" s="133">
        <v>0</v>
      </c>
      <c r="K328" s="133">
        <v>0</v>
      </c>
      <c r="L328" s="132"/>
    </row>
    <row r="329" spans="1:12" ht="17.25" customHeight="1">
      <c r="A329" s="7" t="s">
        <v>13</v>
      </c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132"/>
    </row>
    <row r="330" spans="1:12" ht="17.25" customHeight="1">
      <c r="A330" s="5" t="s">
        <v>33</v>
      </c>
      <c r="B330" s="1"/>
      <c r="C330" s="8">
        <f>D330+E330</f>
        <v>10.8</v>
      </c>
      <c r="D330" s="8">
        <f>+D323/3/D328</f>
        <v>10.8</v>
      </c>
      <c r="E330" s="8">
        <v>0</v>
      </c>
      <c r="F330" s="8">
        <f>G330+H330</f>
        <v>0</v>
      </c>
      <c r="G330" s="8">
        <v>0</v>
      </c>
      <c r="H330" s="8">
        <v>0</v>
      </c>
      <c r="I330" s="8">
        <f>J330+K330</f>
        <v>0</v>
      </c>
      <c r="J330" s="8">
        <v>0</v>
      </c>
      <c r="K330" s="8">
        <v>0</v>
      </c>
      <c r="L330" s="132"/>
    </row>
    <row r="331" spans="1:12" ht="17.25" customHeight="1">
      <c r="A331" s="3" t="s">
        <v>12</v>
      </c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132"/>
    </row>
    <row r="332" spans="1:12" ht="21" customHeight="1">
      <c r="A332" s="5" t="s">
        <v>35</v>
      </c>
      <c r="B332" s="1"/>
      <c r="C332" s="6">
        <f>D332+E332</f>
        <v>63.49050826699326</v>
      </c>
      <c r="D332" s="6">
        <f>+D323/8165*100</f>
        <v>63.49050826699326</v>
      </c>
      <c r="E332" s="6">
        <v>0</v>
      </c>
      <c r="F332" s="6">
        <f>G332+H332</f>
        <v>0</v>
      </c>
      <c r="G332" s="6">
        <f>+G323/D323*100</f>
        <v>0</v>
      </c>
      <c r="H332" s="6">
        <v>0</v>
      </c>
      <c r="I332" s="6">
        <f>J332+K332</f>
        <v>0</v>
      </c>
      <c r="J332" s="6">
        <v>0</v>
      </c>
      <c r="K332" s="6">
        <v>0</v>
      </c>
      <c r="L332" s="132"/>
    </row>
    <row r="333" spans="1:12" ht="35.25" customHeight="1">
      <c r="A333" s="3" t="s">
        <v>138</v>
      </c>
      <c r="B333" s="1"/>
      <c r="C333" s="4">
        <f>D333+E333</f>
        <v>11642</v>
      </c>
      <c r="D333" s="4">
        <v>11642</v>
      </c>
      <c r="E333" s="4">
        <v>0</v>
      </c>
      <c r="F333" s="4">
        <f>G333+H333</f>
        <v>14784</v>
      </c>
      <c r="G333" s="4">
        <v>14784</v>
      </c>
      <c r="H333" s="4">
        <v>0</v>
      </c>
      <c r="I333" s="4">
        <f>J333+K333</f>
        <v>15680</v>
      </c>
      <c r="J333" s="4">
        <v>15680</v>
      </c>
      <c r="K333" s="4">
        <v>0</v>
      </c>
      <c r="L333" s="132"/>
    </row>
    <row r="334" spans="1:12" ht="20.25" customHeight="1">
      <c r="A334" s="5" t="s">
        <v>4</v>
      </c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132"/>
    </row>
    <row r="335" spans="1:12" ht="20.25" customHeight="1">
      <c r="A335" s="7" t="s">
        <v>5</v>
      </c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132"/>
    </row>
    <row r="336" spans="1:12" ht="30.75" customHeight="1">
      <c r="A336" s="5" t="s">
        <v>126</v>
      </c>
      <c r="B336" s="1"/>
      <c r="C336" s="133">
        <f>D336+E336</f>
        <v>4</v>
      </c>
      <c r="D336" s="133">
        <v>4</v>
      </c>
      <c r="E336" s="133">
        <v>0</v>
      </c>
      <c r="F336" s="133">
        <f>G336+H336</f>
        <v>7</v>
      </c>
      <c r="G336" s="133">
        <v>7</v>
      </c>
      <c r="H336" s="133">
        <v>0</v>
      </c>
      <c r="I336" s="133">
        <f>J336+K336</f>
        <v>7</v>
      </c>
      <c r="J336" s="133">
        <v>7</v>
      </c>
      <c r="K336" s="133">
        <v>0</v>
      </c>
      <c r="L336" s="132"/>
    </row>
    <row r="337" spans="1:12" ht="46.5" customHeight="1">
      <c r="A337" s="5" t="s">
        <v>89</v>
      </c>
      <c r="B337" s="1"/>
      <c r="C337" s="133">
        <f>+D337</f>
        <v>1</v>
      </c>
      <c r="D337" s="133">
        <v>1</v>
      </c>
      <c r="E337" s="133">
        <v>0</v>
      </c>
      <c r="F337" s="133">
        <v>0</v>
      </c>
      <c r="G337" s="133">
        <v>0</v>
      </c>
      <c r="H337" s="133">
        <v>0</v>
      </c>
      <c r="I337" s="133">
        <f>+J337</f>
        <v>0</v>
      </c>
      <c r="J337" s="133">
        <v>0</v>
      </c>
      <c r="K337" s="133">
        <v>0</v>
      </c>
      <c r="L337" s="132"/>
    </row>
    <row r="338" spans="1:12" ht="28.5" customHeight="1">
      <c r="A338" s="5" t="s">
        <v>225</v>
      </c>
      <c r="B338" s="1"/>
      <c r="C338" s="133">
        <f>D338+E338</f>
        <v>176</v>
      </c>
      <c r="D338" s="133">
        <v>176</v>
      </c>
      <c r="E338" s="133">
        <v>0</v>
      </c>
      <c r="F338" s="6">
        <f>G338+H338</f>
        <v>140.8</v>
      </c>
      <c r="G338" s="6">
        <v>140.8</v>
      </c>
      <c r="H338" s="133">
        <v>0</v>
      </c>
      <c r="I338" s="133">
        <f>J338+K338</f>
        <v>160</v>
      </c>
      <c r="J338" s="133">
        <v>160</v>
      </c>
      <c r="K338" s="133">
        <v>0</v>
      </c>
      <c r="L338" s="132"/>
    </row>
    <row r="339" spans="1:12" ht="20.25" customHeight="1">
      <c r="A339" s="7" t="s">
        <v>13</v>
      </c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132"/>
    </row>
    <row r="340" spans="1:12" ht="20.25" customHeight="1">
      <c r="A340" s="5" t="s">
        <v>33</v>
      </c>
      <c r="B340" s="1"/>
      <c r="C340" s="8">
        <f>D340+E340</f>
        <v>13.2</v>
      </c>
      <c r="D340" s="8">
        <v>13.2</v>
      </c>
      <c r="E340" s="8">
        <v>0</v>
      </c>
      <c r="F340" s="8">
        <f>G340+H340</f>
        <v>14.999999999999998</v>
      </c>
      <c r="G340" s="8">
        <f>+G333/(G336+G337)/G338</f>
        <v>14.999999999999998</v>
      </c>
      <c r="H340" s="8">
        <v>0</v>
      </c>
      <c r="I340" s="8">
        <f>J340+K340</f>
        <v>14</v>
      </c>
      <c r="J340" s="8">
        <f>+J333/(J336+J337)/J338</f>
        <v>14</v>
      </c>
      <c r="K340" s="8">
        <v>0</v>
      </c>
      <c r="L340" s="132"/>
    </row>
    <row r="341" spans="1:12" ht="8.25" customHeight="1">
      <c r="A341" s="21"/>
      <c r="B341" s="12"/>
      <c r="C341" s="22"/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1:12" ht="26.25" customHeight="1">
      <c r="A342" s="11"/>
      <c r="B342" s="12"/>
      <c r="C342" s="13"/>
      <c r="D342" s="13"/>
      <c r="E342" s="13"/>
      <c r="F342" s="13"/>
      <c r="G342" s="13"/>
      <c r="H342" s="13"/>
      <c r="I342" s="179" t="s">
        <v>234</v>
      </c>
      <c r="J342" s="179"/>
      <c r="K342" s="179"/>
      <c r="L342" s="13"/>
    </row>
    <row r="343" spans="1:12" ht="14.25">
      <c r="A343" s="14">
        <v>1</v>
      </c>
      <c r="B343" s="15">
        <v>2</v>
      </c>
      <c r="C343" s="16">
        <v>3</v>
      </c>
      <c r="D343" s="16">
        <v>4</v>
      </c>
      <c r="E343" s="16">
        <v>5</v>
      </c>
      <c r="F343" s="16">
        <v>6</v>
      </c>
      <c r="G343" s="16">
        <v>7</v>
      </c>
      <c r="H343" s="16">
        <v>8</v>
      </c>
      <c r="I343" s="16">
        <v>9</v>
      </c>
      <c r="J343" s="16">
        <v>10</v>
      </c>
      <c r="K343" s="16">
        <v>11</v>
      </c>
      <c r="L343" s="23"/>
    </row>
    <row r="344" spans="1:12" ht="21" customHeight="1">
      <c r="A344" s="3" t="s">
        <v>12</v>
      </c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132"/>
    </row>
    <row r="345" spans="1:12" ht="17.25" customHeight="1">
      <c r="A345" s="5" t="s">
        <v>35</v>
      </c>
      <c r="B345" s="1"/>
      <c r="C345" s="6">
        <f>D345+E345</f>
        <v>22.79571576824421</v>
      </c>
      <c r="D345" s="9">
        <f>+D333/51071*100</f>
        <v>22.79571576824421</v>
      </c>
      <c r="E345" s="6">
        <v>0</v>
      </c>
      <c r="F345" s="8">
        <f>G345+H345</f>
        <v>126.98848995018037</v>
      </c>
      <c r="G345" s="8">
        <f>+G333/D333*100</f>
        <v>126.98848995018037</v>
      </c>
      <c r="H345" s="6">
        <v>0</v>
      </c>
      <c r="I345" s="6">
        <f>J345+K345</f>
        <v>106.06060606060606</v>
      </c>
      <c r="J345" s="6">
        <f>J333/G333*100</f>
        <v>106.06060606060606</v>
      </c>
      <c r="K345" s="6">
        <v>0</v>
      </c>
      <c r="L345" s="132"/>
    </row>
    <row r="346" spans="1:12" ht="32.25" customHeight="1">
      <c r="A346" s="134" t="s">
        <v>140</v>
      </c>
      <c r="B346" s="1"/>
      <c r="C346" s="4">
        <f>D346+E346</f>
        <v>8320</v>
      </c>
      <c r="D346" s="4">
        <v>8320</v>
      </c>
      <c r="E346" s="4">
        <v>0</v>
      </c>
      <c r="F346" s="4">
        <f>G346+H346</f>
        <v>5865</v>
      </c>
      <c r="G346" s="4">
        <v>5865</v>
      </c>
      <c r="H346" s="4">
        <v>0</v>
      </c>
      <c r="I346" s="4">
        <f>J346+K346</f>
        <v>6210</v>
      </c>
      <c r="J346" s="4">
        <v>6210</v>
      </c>
      <c r="K346" s="4">
        <v>0</v>
      </c>
      <c r="L346" s="132"/>
    </row>
    <row r="347" spans="1:12" ht="23.25" customHeight="1">
      <c r="A347" s="5" t="s">
        <v>4</v>
      </c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132"/>
    </row>
    <row r="348" spans="1:12" ht="24" customHeight="1">
      <c r="A348" s="7" t="s">
        <v>5</v>
      </c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132"/>
    </row>
    <row r="349" spans="1:12" ht="32.25" customHeight="1">
      <c r="A349" s="92" t="s">
        <v>139</v>
      </c>
      <c r="B349" s="1"/>
      <c r="C349" s="133">
        <f>D349</f>
        <v>5</v>
      </c>
      <c r="D349" s="133">
        <v>5</v>
      </c>
      <c r="E349" s="133">
        <v>0</v>
      </c>
      <c r="F349" s="133">
        <f>+G349</f>
        <v>20</v>
      </c>
      <c r="G349" s="133">
        <v>20</v>
      </c>
      <c r="H349" s="133">
        <v>0</v>
      </c>
      <c r="I349" s="133">
        <f>+J349</f>
        <v>20</v>
      </c>
      <c r="J349" s="133">
        <v>20</v>
      </c>
      <c r="K349" s="133">
        <v>0</v>
      </c>
      <c r="L349" s="132"/>
    </row>
    <row r="350" spans="1:12" ht="45" customHeight="1">
      <c r="A350" s="92" t="s">
        <v>90</v>
      </c>
      <c r="B350" s="1"/>
      <c r="C350" s="133">
        <f>+D350</f>
        <v>2</v>
      </c>
      <c r="D350" s="133">
        <v>2</v>
      </c>
      <c r="E350" s="133">
        <v>0</v>
      </c>
      <c r="F350" s="133">
        <f>+G350</f>
        <v>0</v>
      </c>
      <c r="G350" s="133">
        <v>0</v>
      </c>
      <c r="H350" s="133">
        <v>0</v>
      </c>
      <c r="I350" s="133">
        <f>+J350</f>
        <v>0</v>
      </c>
      <c r="J350" s="133">
        <v>0</v>
      </c>
      <c r="K350" s="133">
        <v>0</v>
      </c>
      <c r="L350" s="132"/>
    </row>
    <row r="351" spans="1:12" ht="28.5" customHeight="1">
      <c r="A351" s="92" t="s">
        <v>91</v>
      </c>
      <c r="B351" s="1"/>
      <c r="C351" s="133">
        <f>+D351</f>
        <v>97</v>
      </c>
      <c r="D351" s="133">
        <v>97</v>
      </c>
      <c r="E351" s="133">
        <v>0</v>
      </c>
      <c r="F351" s="133">
        <f>+G351</f>
        <v>49</v>
      </c>
      <c r="G351" s="133">
        <v>49</v>
      </c>
      <c r="H351" s="133">
        <v>0</v>
      </c>
      <c r="I351" s="133">
        <f>+J351</f>
        <v>49</v>
      </c>
      <c r="J351" s="133">
        <v>49</v>
      </c>
      <c r="K351" s="133">
        <v>0</v>
      </c>
      <c r="L351" s="132"/>
    </row>
    <row r="352" spans="1:12" ht="17.25" customHeight="1">
      <c r="A352" s="7" t="s">
        <v>13</v>
      </c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132"/>
    </row>
    <row r="353" spans="1:12" ht="17.25" customHeight="1">
      <c r="A353" s="5" t="s">
        <v>67</v>
      </c>
      <c r="B353" s="1"/>
      <c r="C353" s="6">
        <f>D353+E353</f>
        <v>80</v>
      </c>
      <c r="D353" s="6">
        <f>+D346/(D349+D350+D351)</f>
        <v>80</v>
      </c>
      <c r="E353" s="6">
        <v>0</v>
      </c>
      <c r="F353" s="6">
        <f>G353+H353</f>
        <v>85</v>
      </c>
      <c r="G353" s="6">
        <f>+G346/(G349+G350+G351)</f>
        <v>85</v>
      </c>
      <c r="H353" s="6">
        <v>0</v>
      </c>
      <c r="I353" s="6">
        <f>J353+K353</f>
        <v>90</v>
      </c>
      <c r="J353" s="6">
        <f>+J346/(J349+J350+J351)</f>
        <v>90</v>
      </c>
      <c r="K353" s="6">
        <v>0</v>
      </c>
      <c r="L353" s="132"/>
    </row>
    <row r="354" spans="1:12" ht="17.25" customHeight="1">
      <c r="A354" s="3" t="s">
        <v>12</v>
      </c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132"/>
    </row>
    <row r="355" spans="1:12" ht="21" customHeight="1">
      <c r="A355" s="5" t="s">
        <v>35</v>
      </c>
      <c r="B355" s="1"/>
      <c r="C355" s="6">
        <f>+D355</f>
        <v>188.66213151927437</v>
      </c>
      <c r="D355" s="6">
        <f>+D346/4410*100</f>
        <v>188.66213151927437</v>
      </c>
      <c r="E355" s="6">
        <v>0</v>
      </c>
      <c r="F355" s="6">
        <f>+G355</f>
        <v>70.49278846153845</v>
      </c>
      <c r="G355" s="6">
        <f>+G346/D346*100</f>
        <v>70.49278846153845</v>
      </c>
      <c r="H355" s="6">
        <v>0</v>
      </c>
      <c r="I355" s="6">
        <f>+J355</f>
        <v>105.88235294117648</v>
      </c>
      <c r="J355" s="6">
        <f>+J346/G346*100</f>
        <v>105.88235294117648</v>
      </c>
      <c r="K355" s="6">
        <v>0</v>
      </c>
      <c r="L355" s="132"/>
    </row>
    <row r="356" spans="1:12" ht="30.75" customHeight="1">
      <c r="A356" s="3" t="s">
        <v>28</v>
      </c>
      <c r="B356" s="27"/>
      <c r="C356" s="36"/>
      <c r="D356" s="36"/>
      <c r="E356" s="36"/>
      <c r="F356" s="36"/>
      <c r="G356" s="36"/>
      <c r="H356" s="36"/>
      <c r="I356" s="36"/>
      <c r="J356" s="36"/>
      <c r="K356" s="36"/>
      <c r="L356" s="61"/>
    </row>
    <row r="357" spans="1:12" ht="30" customHeight="1">
      <c r="A357" s="181" t="s">
        <v>157</v>
      </c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35"/>
    </row>
    <row r="358" spans="1:12" ht="24.75" customHeight="1">
      <c r="A358" s="180" t="s">
        <v>129</v>
      </c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35"/>
    </row>
    <row r="359" spans="1:12" ht="18.75" customHeight="1">
      <c r="A359" s="136" t="s">
        <v>6</v>
      </c>
      <c r="B359" s="137"/>
      <c r="C359" s="10">
        <f>D359+E359</f>
        <v>195830</v>
      </c>
      <c r="D359" s="10">
        <f>+D361+D371+D385</f>
        <v>195830</v>
      </c>
      <c r="E359" s="10">
        <f>+E361+E371+E385</f>
        <v>0</v>
      </c>
      <c r="F359" s="10">
        <f>G359+H359</f>
        <v>172275</v>
      </c>
      <c r="G359" s="10">
        <f>+G361+G371+G385</f>
        <v>172275</v>
      </c>
      <c r="H359" s="10">
        <f>+H361+H371+H385</f>
        <v>0</v>
      </c>
      <c r="I359" s="10">
        <f>J359+K359</f>
        <v>183350</v>
      </c>
      <c r="J359" s="10">
        <f>+J361+J371+J385</f>
        <v>183350</v>
      </c>
      <c r="K359" s="10">
        <f>+K361+K371+K385</f>
        <v>0</v>
      </c>
      <c r="L359" s="138"/>
    </row>
    <row r="360" spans="1:12" ht="18.75" customHeight="1">
      <c r="A360" s="103" t="s">
        <v>92</v>
      </c>
      <c r="B360" s="104" t="s">
        <v>93</v>
      </c>
      <c r="C360" s="137"/>
      <c r="D360" s="137"/>
      <c r="E360" s="137"/>
      <c r="F360" s="137"/>
      <c r="G360" s="137"/>
      <c r="H360" s="137"/>
      <c r="I360" s="137"/>
      <c r="J360" s="137"/>
      <c r="K360" s="137"/>
      <c r="L360" s="138"/>
    </row>
    <row r="361" spans="1:12" ht="36" customHeight="1">
      <c r="A361" s="3" t="s">
        <v>141</v>
      </c>
      <c r="B361" s="1"/>
      <c r="C361" s="4">
        <f>D361+E361</f>
        <v>70910</v>
      </c>
      <c r="D361" s="4">
        <v>70910</v>
      </c>
      <c r="E361" s="4">
        <v>0</v>
      </c>
      <c r="F361" s="4">
        <f>G361+H361</f>
        <v>84000</v>
      </c>
      <c r="G361" s="4">
        <v>84000</v>
      </c>
      <c r="H361" s="4">
        <v>0</v>
      </c>
      <c r="I361" s="4">
        <f>J361+K361</f>
        <v>90000</v>
      </c>
      <c r="J361" s="4">
        <v>90000</v>
      </c>
      <c r="K361" s="4">
        <v>0</v>
      </c>
      <c r="L361" s="18"/>
    </row>
    <row r="362" spans="1:12" ht="21.75" customHeight="1">
      <c r="A362" s="1" t="s">
        <v>4</v>
      </c>
      <c r="B362" s="1"/>
      <c r="C362" s="9"/>
      <c r="D362" s="9"/>
      <c r="E362" s="9"/>
      <c r="F362" s="9"/>
      <c r="G362" s="9"/>
      <c r="H362" s="9"/>
      <c r="I362" s="9"/>
      <c r="J362" s="9"/>
      <c r="K362" s="9"/>
      <c r="L362" s="18"/>
    </row>
    <row r="363" spans="1:12" ht="19.5" customHeight="1">
      <c r="A363" s="24" t="s">
        <v>5</v>
      </c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18"/>
    </row>
    <row r="364" spans="1:12" ht="48" customHeight="1">
      <c r="A364" s="5" t="s">
        <v>127</v>
      </c>
      <c r="B364" s="1"/>
      <c r="C364" s="17">
        <f>D364+E364</f>
        <v>35</v>
      </c>
      <c r="D364" s="17">
        <v>35</v>
      </c>
      <c r="E364" s="17">
        <v>0</v>
      </c>
      <c r="F364" s="17">
        <f>G364+H364</f>
        <v>40</v>
      </c>
      <c r="G364" s="17">
        <v>40</v>
      </c>
      <c r="H364" s="17">
        <v>0</v>
      </c>
      <c r="I364" s="17">
        <f>J364+K364</f>
        <v>40</v>
      </c>
      <c r="J364" s="17">
        <v>40</v>
      </c>
      <c r="K364" s="17">
        <v>0</v>
      </c>
      <c r="L364" s="18"/>
    </row>
    <row r="365" spans="1:12" ht="45.75" customHeight="1">
      <c r="A365" s="5" t="s">
        <v>142</v>
      </c>
      <c r="B365" s="1"/>
      <c r="C365" s="17">
        <f>+D365</f>
        <v>1</v>
      </c>
      <c r="D365" s="17">
        <v>1</v>
      </c>
      <c r="E365" s="17">
        <v>0</v>
      </c>
      <c r="F365" s="17">
        <f>+G365</f>
        <v>0</v>
      </c>
      <c r="G365" s="17">
        <v>0</v>
      </c>
      <c r="H365" s="17">
        <v>0</v>
      </c>
      <c r="I365" s="17">
        <f>+J365</f>
        <v>0</v>
      </c>
      <c r="J365" s="17">
        <v>0</v>
      </c>
      <c r="K365" s="17">
        <v>0</v>
      </c>
      <c r="L365" s="18"/>
    </row>
    <row r="366" spans="1:12" ht="29.25" customHeight="1">
      <c r="A366" s="114" t="s">
        <v>224</v>
      </c>
      <c r="B366" s="1"/>
      <c r="C366" s="133">
        <f>D366+E366</f>
        <v>141</v>
      </c>
      <c r="D366" s="133">
        <v>141</v>
      </c>
      <c r="E366" s="133">
        <v>0</v>
      </c>
      <c r="F366" s="133">
        <f>G366+H366</f>
        <v>150</v>
      </c>
      <c r="G366" s="133">
        <v>150</v>
      </c>
      <c r="H366" s="133">
        <v>0</v>
      </c>
      <c r="I366" s="133">
        <f>J366+K366</f>
        <v>150</v>
      </c>
      <c r="J366" s="133">
        <v>150</v>
      </c>
      <c r="K366" s="133">
        <v>0</v>
      </c>
      <c r="L366" s="18"/>
    </row>
    <row r="367" spans="1:12" ht="21.75" customHeight="1">
      <c r="A367" s="127" t="s">
        <v>13</v>
      </c>
      <c r="B367" s="1"/>
      <c r="C367" s="9"/>
      <c r="D367" s="9"/>
      <c r="E367" s="9"/>
      <c r="F367" s="9"/>
      <c r="G367" s="9"/>
      <c r="H367" s="9"/>
      <c r="I367" s="9"/>
      <c r="J367" s="9"/>
      <c r="K367" s="9"/>
      <c r="L367" s="18"/>
    </row>
    <row r="368" spans="1:12" ht="18.75" customHeight="1">
      <c r="A368" s="112" t="s">
        <v>34</v>
      </c>
      <c r="B368" s="1"/>
      <c r="C368" s="8">
        <f>D368+E368</f>
        <v>14</v>
      </c>
      <c r="D368" s="8">
        <v>14</v>
      </c>
      <c r="E368" s="8">
        <v>0</v>
      </c>
      <c r="F368" s="8">
        <f>G368+H368</f>
        <v>14</v>
      </c>
      <c r="G368" s="8">
        <f>+G361/(G364+G365)/G366</f>
        <v>14</v>
      </c>
      <c r="H368" s="8">
        <v>0</v>
      </c>
      <c r="I368" s="8">
        <f>J368+K368</f>
        <v>15</v>
      </c>
      <c r="J368" s="8">
        <f>+J361/(J364+J365)/J366</f>
        <v>15</v>
      </c>
      <c r="K368" s="8">
        <v>0</v>
      </c>
      <c r="L368" s="18"/>
    </row>
    <row r="369" spans="1:12" ht="18.75" customHeight="1">
      <c r="A369" s="2" t="s">
        <v>12</v>
      </c>
      <c r="B369" s="1"/>
      <c r="C369" s="9"/>
      <c r="D369" s="9"/>
      <c r="E369" s="9"/>
      <c r="F369" s="9"/>
      <c r="G369" s="9"/>
      <c r="H369" s="9"/>
      <c r="I369" s="9"/>
      <c r="J369" s="9"/>
      <c r="K369" s="9"/>
      <c r="L369" s="18"/>
    </row>
    <row r="370" spans="1:12" ht="18.75" customHeight="1">
      <c r="A370" s="5" t="s">
        <v>35</v>
      </c>
      <c r="B370" s="1"/>
      <c r="C370" s="9">
        <f>D370+E370</f>
        <v>71.84397163120568</v>
      </c>
      <c r="D370" s="9">
        <f>D361/98700*100</f>
        <v>71.84397163120568</v>
      </c>
      <c r="E370" s="9">
        <v>0</v>
      </c>
      <c r="F370" s="9">
        <f>G370+H370</f>
        <v>118.46001974333662</v>
      </c>
      <c r="G370" s="9">
        <f>G361/D361*100</f>
        <v>118.46001974333662</v>
      </c>
      <c r="H370" s="9">
        <v>0</v>
      </c>
      <c r="I370" s="9">
        <f>J370+K370</f>
        <v>107.14285714285714</v>
      </c>
      <c r="J370" s="9">
        <f>J361/G361*100</f>
        <v>107.14285714285714</v>
      </c>
      <c r="K370" s="9">
        <v>0</v>
      </c>
      <c r="L370" s="18"/>
    </row>
    <row r="371" spans="1:12" ht="50.25" customHeight="1">
      <c r="A371" s="3" t="s">
        <v>145</v>
      </c>
      <c r="B371" s="1"/>
      <c r="C371" s="4">
        <f>D371+E371</f>
        <v>19920</v>
      </c>
      <c r="D371" s="4">
        <v>19920</v>
      </c>
      <c r="E371" s="4">
        <v>0</v>
      </c>
      <c r="F371" s="4">
        <f>G371+H371</f>
        <v>18275</v>
      </c>
      <c r="G371" s="4">
        <v>18275</v>
      </c>
      <c r="H371" s="4">
        <v>0</v>
      </c>
      <c r="I371" s="4">
        <f>J371+K371</f>
        <v>19350</v>
      </c>
      <c r="J371" s="4">
        <v>19350</v>
      </c>
      <c r="K371" s="4">
        <v>0</v>
      </c>
      <c r="L371" s="18"/>
    </row>
    <row r="372" spans="1:12" ht="20.25" customHeight="1">
      <c r="A372" s="1" t="s">
        <v>4</v>
      </c>
      <c r="B372" s="1"/>
      <c r="C372" s="9"/>
      <c r="D372" s="9"/>
      <c r="E372" s="9"/>
      <c r="F372" s="9"/>
      <c r="G372" s="9"/>
      <c r="H372" s="9"/>
      <c r="I372" s="9"/>
      <c r="J372" s="9"/>
      <c r="K372" s="9"/>
      <c r="L372" s="18"/>
    </row>
    <row r="373" spans="1:12" ht="18.75" customHeight="1">
      <c r="A373" s="24" t="s">
        <v>5</v>
      </c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18"/>
    </row>
    <row r="374" spans="1:12" ht="48" customHeight="1">
      <c r="A374" s="25" t="s">
        <v>143</v>
      </c>
      <c r="B374" s="1"/>
      <c r="C374" s="17">
        <f>+D374</f>
        <v>38</v>
      </c>
      <c r="D374" s="17">
        <v>38</v>
      </c>
      <c r="E374" s="17">
        <v>0</v>
      </c>
      <c r="F374" s="17">
        <f>G374+H374</f>
        <v>45</v>
      </c>
      <c r="G374" s="17">
        <v>45</v>
      </c>
      <c r="H374" s="17">
        <v>0</v>
      </c>
      <c r="I374" s="17">
        <f>J374+K374</f>
        <v>45</v>
      </c>
      <c r="J374" s="17">
        <v>45</v>
      </c>
      <c r="K374" s="17">
        <v>0</v>
      </c>
      <c r="L374" s="18"/>
    </row>
    <row r="375" spans="1:12" ht="8.25" customHeight="1">
      <c r="A375" s="21"/>
      <c r="B375" s="12"/>
      <c r="C375" s="22"/>
      <c r="D375" s="22"/>
      <c r="E375" s="22"/>
      <c r="F375" s="22"/>
      <c r="G375" s="22"/>
      <c r="H375" s="22"/>
      <c r="I375" s="22"/>
      <c r="J375" s="22"/>
      <c r="K375" s="22"/>
      <c r="L375" s="22"/>
    </row>
    <row r="376" spans="1:12" ht="26.25" customHeight="1">
      <c r="A376" s="11"/>
      <c r="B376" s="12"/>
      <c r="C376" s="13"/>
      <c r="D376" s="13"/>
      <c r="E376" s="13"/>
      <c r="F376" s="13"/>
      <c r="G376" s="13"/>
      <c r="H376" s="13"/>
      <c r="I376" s="179" t="s">
        <v>234</v>
      </c>
      <c r="J376" s="179"/>
      <c r="K376" s="179"/>
      <c r="L376" s="13"/>
    </row>
    <row r="377" spans="1:12" ht="14.25">
      <c r="A377" s="14">
        <v>1</v>
      </c>
      <c r="B377" s="15">
        <v>2</v>
      </c>
      <c r="C377" s="16">
        <v>3</v>
      </c>
      <c r="D377" s="16">
        <v>4</v>
      </c>
      <c r="E377" s="16">
        <v>5</v>
      </c>
      <c r="F377" s="16">
        <v>6</v>
      </c>
      <c r="G377" s="16">
        <v>7</v>
      </c>
      <c r="H377" s="16">
        <v>8</v>
      </c>
      <c r="I377" s="16">
        <v>9</v>
      </c>
      <c r="J377" s="16">
        <v>10</v>
      </c>
      <c r="K377" s="16">
        <v>11</v>
      </c>
      <c r="L377" s="23"/>
    </row>
    <row r="378" spans="1:12" ht="48.75" customHeight="1">
      <c r="A378" s="25" t="s">
        <v>144</v>
      </c>
      <c r="B378" s="1"/>
      <c r="C378" s="17">
        <f>+D378</f>
        <v>1</v>
      </c>
      <c r="D378" s="17">
        <v>1</v>
      </c>
      <c r="E378" s="17">
        <v>0</v>
      </c>
      <c r="F378" s="17">
        <f>G378+H378</f>
        <v>0</v>
      </c>
      <c r="G378" s="17">
        <v>0</v>
      </c>
      <c r="H378" s="17">
        <v>0</v>
      </c>
      <c r="I378" s="17">
        <f>J378+K378</f>
        <v>0</v>
      </c>
      <c r="J378" s="17">
        <v>0</v>
      </c>
      <c r="K378" s="17">
        <v>0</v>
      </c>
      <c r="L378" s="18"/>
    </row>
    <row r="379" spans="1:12" ht="53.25" customHeight="1">
      <c r="A379" s="25" t="s">
        <v>94</v>
      </c>
      <c r="B379" s="1"/>
      <c r="C379" s="17">
        <f>+D379</f>
        <v>210</v>
      </c>
      <c r="D379" s="17">
        <v>210</v>
      </c>
      <c r="E379" s="17">
        <v>0</v>
      </c>
      <c r="F379" s="17">
        <f>+G379</f>
        <v>170</v>
      </c>
      <c r="G379" s="17">
        <v>170</v>
      </c>
      <c r="H379" s="17">
        <v>0</v>
      </c>
      <c r="I379" s="17">
        <f>+J379</f>
        <v>170</v>
      </c>
      <c r="J379" s="17">
        <v>170</v>
      </c>
      <c r="K379" s="17">
        <v>0</v>
      </c>
      <c r="L379" s="18"/>
    </row>
    <row r="380" spans="1:12" ht="22.5" customHeight="1">
      <c r="A380" s="7" t="s">
        <v>13</v>
      </c>
      <c r="B380" s="1"/>
      <c r="C380" s="9"/>
      <c r="D380" s="9"/>
      <c r="E380" s="9"/>
      <c r="F380" s="9"/>
      <c r="G380" s="9"/>
      <c r="H380" s="9"/>
      <c r="I380" s="9"/>
      <c r="J380" s="9"/>
      <c r="K380" s="9"/>
      <c r="L380" s="18"/>
    </row>
    <row r="381" spans="1:12" ht="20.25" customHeight="1">
      <c r="A381" s="5" t="s">
        <v>67</v>
      </c>
      <c r="B381" s="1"/>
      <c r="C381" s="9">
        <f>D381+E381</f>
        <v>80</v>
      </c>
      <c r="D381" s="9">
        <f>+D371/(D374+D378+D379)</f>
        <v>80</v>
      </c>
      <c r="E381" s="9">
        <v>0</v>
      </c>
      <c r="F381" s="9">
        <f>G381+H381</f>
        <v>85</v>
      </c>
      <c r="G381" s="9">
        <f>+G371/(G374+G378+G379)</f>
        <v>85</v>
      </c>
      <c r="H381" s="9">
        <v>0</v>
      </c>
      <c r="I381" s="9">
        <f>J381+K381</f>
        <v>90</v>
      </c>
      <c r="J381" s="9">
        <f>+J371/(J374+J378+J379)</f>
        <v>90</v>
      </c>
      <c r="K381" s="9">
        <v>0</v>
      </c>
      <c r="L381" s="18"/>
    </row>
    <row r="382" spans="1:12" ht="19.5" customHeight="1">
      <c r="A382" s="3" t="s">
        <v>12</v>
      </c>
      <c r="B382" s="1"/>
      <c r="C382" s="9"/>
      <c r="D382" s="9"/>
      <c r="E382" s="9"/>
      <c r="F382" s="9"/>
      <c r="G382" s="9"/>
      <c r="H382" s="9"/>
      <c r="I382" s="9"/>
      <c r="J382" s="9"/>
      <c r="K382" s="9"/>
      <c r="L382" s="18"/>
    </row>
    <row r="383" spans="1:12" ht="18.75" customHeight="1">
      <c r="A383" s="5" t="s">
        <v>35</v>
      </c>
      <c r="B383" s="1"/>
      <c r="C383" s="9">
        <f>+D383</f>
        <v>112.4788255223038</v>
      </c>
      <c r="D383" s="9">
        <f>+D371/17710*100</f>
        <v>112.4788255223038</v>
      </c>
      <c r="E383" s="9">
        <v>0</v>
      </c>
      <c r="F383" s="9">
        <f>+G383</f>
        <v>91.74196787148594</v>
      </c>
      <c r="G383" s="9">
        <f>+G371/D371*100</f>
        <v>91.74196787148594</v>
      </c>
      <c r="H383" s="9">
        <v>0</v>
      </c>
      <c r="I383" s="9">
        <f>+J383</f>
        <v>105.88235294117648</v>
      </c>
      <c r="J383" s="9">
        <f>+J371/G371*100</f>
        <v>105.88235294117648</v>
      </c>
      <c r="K383" s="9">
        <v>0</v>
      </c>
      <c r="L383" s="18"/>
    </row>
    <row r="384" spans="1:12" ht="22.5" customHeight="1">
      <c r="A384" s="26" t="s">
        <v>95</v>
      </c>
      <c r="B384" s="104" t="s">
        <v>96</v>
      </c>
      <c r="C384" s="8"/>
      <c r="D384" s="8"/>
      <c r="E384" s="8"/>
      <c r="F384" s="8"/>
      <c r="G384" s="8"/>
      <c r="H384" s="8"/>
      <c r="I384" s="8"/>
      <c r="J384" s="8"/>
      <c r="K384" s="8"/>
      <c r="L384" s="132"/>
    </row>
    <row r="385" spans="1:11" ht="45.75" customHeight="1">
      <c r="A385" s="3" t="s">
        <v>146</v>
      </c>
      <c r="B385" s="27"/>
      <c r="C385" s="28">
        <f>D385+E385</f>
        <v>105000</v>
      </c>
      <c r="D385" s="28">
        <v>105000</v>
      </c>
      <c r="E385" s="28">
        <v>0</v>
      </c>
      <c r="F385" s="28">
        <f>+G385</f>
        <v>70000</v>
      </c>
      <c r="G385" s="28">
        <v>70000</v>
      </c>
      <c r="H385" s="28">
        <v>0</v>
      </c>
      <c r="I385" s="28">
        <f>J385+K385</f>
        <v>74000</v>
      </c>
      <c r="J385" s="28">
        <v>74000</v>
      </c>
      <c r="K385" s="28">
        <v>0</v>
      </c>
    </row>
    <row r="386" spans="1:11" ht="21.75" customHeight="1">
      <c r="A386" s="5" t="s">
        <v>4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ht="18" customHeight="1">
      <c r="A387" s="7" t="s">
        <v>5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ht="45" customHeight="1">
      <c r="A388" s="5" t="s">
        <v>147</v>
      </c>
      <c r="B388" s="27"/>
      <c r="C388" s="29">
        <f>D388+E388</f>
        <v>14</v>
      </c>
      <c r="D388" s="29">
        <v>14</v>
      </c>
      <c r="E388" s="29">
        <v>0</v>
      </c>
      <c r="F388" s="29">
        <f>G388+H388</f>
        <v>10</v>
      </c>
      <c r="G388" s="29">
        <v>10</v>
      </c>
      <c r="H388" s="29">
        <v>0</v>
      </c>
      <c r="I388" s="29">
        <f>J388+K388</f>
        <v>10</v>
      </c>
      <c r="J388" s="29">
        <v>10</v>
      </c>
      <c r="K388" s="29">
        <v>0</v>
      </c>
    </row>
    <row r="389" spans="1:11" ht="46.5" customHeight="1">
      <c r="A389" s="5" t="s">
        <v>148</v>
      </c>
      <c r="B389" s="27"/>
      <c r="C389" s="29">
        <f>D389+E389</f>
        <v>1</v>
      </c>
      <c r="D389" s="29">
        <v>1</v>
      </c>
      <c r="E389" s="29">
        <v>0</v>
      </c>
      <c r="F389" s="29">
        <f>G389+H389</f>
        <v>0</v>
      </c>
      <c r="G389" s="29">
        <v>0</v>
      </c>
      <c r="H389" s="29">
        <v>0</v>
      </c>
      <c r="I389" s="29">
        <f>J389+K389</f>
        <v>0</v>
      </c>
      <c r="J389" s="29">
        <v>0</v>
      </c>
      <c r="K389" s="29">
        <v>0</v>
      </c>
    </row>
    <row r="390" spans="1:11" ht="20.25" customHeight="1">
      <c r="A390" s="3" t="s">
        <v>13</v>
      </c>
      <c r="B390" s="27"/>
      <c r="C390" s="139"/>
      <c r="D390" s="139"/>
      <c r="E390" s="139"/>
      <c r="F390" s="139"/>
      <c r="G390" s="139" t="s">
        <v>77</v>
      </c>
      <c r="H390" s="139"/>
      <c r="I390" s="139"/>
      <c r="J390" s="139"/>
      <c r="K390" s="139"/>
    </row>
    <row r="391" spans="1:11" ht="20.25" customHeight="1">
      <c r="A391" s="115" t="s">
        <v>30</v>
      </c>
      <c r="B391" s="27"/>
      <c r="C391" s="30">
        <f>D391+E391</f>
        <v>7000</v>
      </c>
      <c r="D391" s="30">
        <f>+D385/(D388+D389)</f>
        <v>7000</v>
      </c>
      <c r="E391" s="30">
        <v>0</v>
      </c>
      <c r="F391" s="30">
        <f>+G391</f>
        <v>7000</v>
      </c>
      <c r="G391" s="30">
        <f>+G385/(G388+G389)</f>
        <v>7000</v>
      </c>
      <c r="H391" s="30">
        <v>0</v>
      </c>
      <c r="I391" s="30">
        <f>J391+K391</f>
        <v>7400</v>
      </c>
      <c r="J391" s="30">
        <f>+J385/(J388+J389)</f>
        <v>7400</v>
      </c>
      <c r="K391" s="30">
        <v>0</v>
      </c>
    </row>
    <row r="392" spans="1:11" ht="19.5" customHeight="1">
      <c r="A392" s="3" t="s">
        <v>12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ht="16.5">
      <c r="A393" s="5" t="s">
        <v>35</v>
      </c>
      <c r="B393" s="27"/>
      <c r="C393" s="140">
        <f>D393+E393</f>
        <v>119.31818181818181</v>
      </c>
      <c r="D393" s="140">
        <f>D385/88000*100</f>
        <v>119.31818181818181</v>
      </c>
      <c r="E393" s="140">
        <v>0</v>
      </c>
      <c r="F393" s="140">
        <f>G393+H393</f>
        <v>66.66666666666666</v>
      </c>
      <c r="G393" s="140">
        <f>G385/D385*100</f>
        <v>66.66666666666666</v>
      </c>
      <c r="H393" s="140">
        <v>0</v>
      </c>
      <c r="I393" s="140">
        <f>J393+K393</f>
        <v>105.71428571428572</v>
      </c>
      <c r="J393" s="140">
        <f>J385/G385*100</f>
        <v>105.71428571428572</v>
      </c>
      <c r="K393" s="140">
        <v>0</v>
      </c>
    </row>
    <row r="394" spans="1:12" ht="19.5" customHeight="1">
      <c r="A394" s="21"/>
      <c r="B394" s="12"/>
      <c r="C394" s="22"/>
      <c r="D394" s="22"/>
      <c r="E394" s="22"/>
      <c r="F394" s="22"/>
      <c r="G394" s="22"/>
      <c r="H394" s="22"/>
      <c r="I394" s="22"/>
      <c r="J394" s="22"/>
      <c r="K394" s="22"/>
      <c r="L394" s="22"/>
    </row>
    <row r="395" ht="35.25" customHeight="1"/>
    <row r="396" spans="1:14" ht="39.75" customHeight="1">
      <c r="A396" s="31" t="s">
        <v>219</v>
      </c>
      <c r="B396" s="31"/>
      <c r="C396" s="32"/>
      <c r="D396" s="33"/>
      <c r="E396" s="32"/>
      <c r="F396" s="32"/>
      <c r="G396" s="32" t="s">
        <v>220</v>
      </c>
      <c r="H396" s="32"/>
      <c r="I396" s="32"/>
      <c r="N396" s="19"/>
    </row>
    <row r="397" spans="1:14" ht="17.25" customHeight="1">
      <c r="A397" s="31"/>
      <c r="B397" s="31"/>
      <c r="C397" s="32"/>
      <c r="D397" s="32"/>
      <c r="E397" s="32"/>
      <c r="F397" s="32"/>
      <c r="G397" s="32"/>
      <c r="H397" s="32"/>
      <c r="I397" s="34"/>
      <c r="N397" s="19"/>
    </row>
    <row r="398" spans="1:14" ht="19.5" customHeight="1">
      <c r="A398" s="85" t="s">
        <v>221</v>
      </c>
      <c r="B398" s="31"/>
      <c r="C398" s="32"/>
      <c r="D398" s="32"/>
      <c r="E398" s="32"/>
      <c r="F398" s="32"/>
      <c r="G398" s="32"/>
      <c r="H398" s="32"/>
      <c r="I398" s="34"/>
      <c r="N398" s="19"/>
    </row>
    <row r="399" spans="1:14" ht="24" customHeight="1">
      <c r="A399" s="85" t="s">
        <v>222</v>
      </c>
      <c r="B399" s="31"/>
      <c r="C399" s="32"/>
      <c r="D399" s="32"/>
      <c r="E399" s="32"/>
      <c r="F399" s="32"/>
      <c r="G399" s="32"/>
      <c r="H399" s="32"/>
      <c r="N399" s="19"/>
    </row>
    <row r="400" ht="12.75">
      <c r="N400" s="19"/>
    </row>
    <row r="401" spans="1:14" ht="19.5" customHeight="1">
      <c r="A401" s="31"/>
      <c r="B401" s="31"/>
      <c r="C401" s="32"/>
      <c r="D401" s="32"/>
      <c r="E401" s="32"/>
      <c r="F401" s="32"/>
      <c r="G401" s="32"/>
      <c r="H401" s="32"/>
      <c r="N401" s="19"/>
    </row>
    <row r="402" spans="1:8" ht="18.75">
      <c r="A402" s="85"/>
      <c r="B402" s="31"/>
      <c r="C402" s="32"/>
      <c r="D402" s="32"/>
      <c r="E402" s="32"/>
      <c r="F402" s="32"/>
      <c r="G402" s="32"/>
      <c r="H402" s="32"/>
    </row>
    <row r="403" spans="1:8" ht="18.75">
      <c r="A403" s="85"/>
      <c r="B403" s="31"/>
      <c r="C403" s="32"/>
      <c r="D403" s="32"/>
      <c r="E403" s="32"/>
      <c r="F403" s="32"/>
      <c r="G403" s="32"/>
      <c r="H403" s="32"/>
    </row>
  </sheetData>
  <sheetProtection/>
  <mergeCells count="55">
    <mergeCell ref="I273:K273"/>
    <mergeCell ref="I308:K308"/>
    <mergeCell ref="A288:K288"/>
    <mergeCell ref="A314:K314"/>
    <mergeCell ref="A315:K315"/>
    <mergeCell ref="I244:K244"/>
    <mergeCell ref="C7:E8"/>
    <mergeCell ref="F9:F10"/>
    <mergeCell ref="D9:E9"/>
    <mergeCell ref="I9:I10"/>
    <mergeCell ref="I122:K122"/>
    <mergeCell ref="I342:K342"/>
    <mergeCell ref="A208:K208"/>
    <mergeCell ref="A15:K15"/>
    <mergeCell ref="A17:A19"/>
    <mergeCell ref="C9:C10"/>
    <mergeCell ref="M23:M24"/>
    <mergeCell ref="M29:M30"/>
    <mergeCell ref="A137:K137"/>
    <mergeCell ref="A167:K167"/>
    <mergeCell ref="A95:K95"/>
    <mergeCell ref="A96:K96"/>
    <mergeCell ref="A28:A30"/>
    <mergeCell ref="A138:K138"/>
    <mergeCell ref="I36:K36"/>
    <mergeCell ref="H1:J1"/>
    <mergeCell ref="A5:K5"/>
    <mergeCell ref="G9:H9"/>
    <mergeCell ref="I7:K8"/>
    <mergeCell ref="H2:K2"/>
    <mergeCell ref="B7:B10"/>
    <mergeCell ref="A7:A10"/>
    <mergeCell ref="H3:K3"/>
    <mergeCell ref="F7:H8"/>
    <mergeCell ref="J9:K9"/>
    <mergeCell ref="A16:K16"/>
    <mergeCell ref="A181:K181"/>
    <mergeCell ref="I217:K217"/>
    <mergeCell ref="A195:K195"/>
    <mergeCell ref="A196:K196"/>
    <mergeCell ref="I64:K64"/>
    <mergeCell ref="A112:K112"/>
    <mergeCell ref="A113:K113"/>
    <mergeCell ref="I91:K91"/>
    <mergeCell ref="A168:K168"/>
    <mergeCell ref="I376:K376"/>
    <mergeCell ref="A358:K358"/>
    <mergeCell ref="A357:K357"/>
    <mergeCell ref="A209:K209"/>
    <mergeCell ref="I152:K152"/>
    <mergeCell ref="I184:K184"/>
    <mergeCell ref="A320:K320"/>
    <mergeCell ref="A180:K180"/>
    <mergeCell ref="A321:K321"/>
    <mergeCell ref="A287:K287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3" r:id="rId1"/>
  <rowBreaks count="12" manualBreakCount="12">
    <brk id="35" max="10" man="1"/>
    <brk id="63" max="10" man="1"/>
    <brk id="90" max="10" man="1"/>
    <brk id="121" max="10" man="1"/>
    <brk id="151" max="10" man="1"/>
    <brk id="182" max="10" man="1"/>
    <brk id="215" max="10" man="1"/>
    <brk id="243" max="10" man="1"/>
    <brk id="272" max="10" man="1"/>
    <brk id="307" max="10" man="1"/>
    <brk id="341" max="10" man="1"/>
    <brk id="3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2020-06-05T09:46:24Z</cp:lastPrinted>
  <dcterms:created xsi:type="dcterms:W3CDTF">1996-10-08T23:32:33Z</dcterms:created>
  <dcterms:modified xsi:type="dcterms:W3CDTF">2020-06-05T09:47:18Z</dcterms:modified>
  <cp:category/>
  <cp:version/>
  <cp:contentType/>
  <cp:contentStatus/>
</cp:coreProperties>
</file>