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3" sheetId="1" r:id="rId1"/>
  </sheets>
  <definedNames>
    <definedName name="_xlfn.AGGREGATE" hidden="1">#NAME?</definedName>
    <definedName name="_xlnm.Print_Titles" localSheetId="0">'дод 3'!$17:$18</definedName>
    <definedName name="_xlnm.Print_Area" localSheetId="0">'дод 3'!$A$1:$J$268</definedName>
  </definedNames>
  <calcPr fullCalcOnLoad="1"/>
</workbook>
</file>

<file path=xl/sharedStrings.xml><?xml version="1.0" encoding="utf-8"?>
<sst xmlns="http://schemas.openxmlformats.org/spreadsheetml/2006/main" count="1093" uniqueCount="508">
  <si>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</si>
  <si>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</si>
  <si>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</si>
  <si>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</si>
  <si>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</si>
  <si>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</si>
  <si>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</si>
  <si>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</si>
  <si>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</si>
  <si>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</si>
  <si>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</si>
  <si>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</si>
  <si>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</si>
  <si>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</si>
  <si>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</si>
  <si>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</si>
  <si>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</si>
  <si>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</si>
  <si>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</si>
  <si>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</si>
  <si>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</si>
  <si>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</si>
  <si>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</si>
  <si>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</si>
  <si>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</si>
  <si>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</si>
  <si>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</si>
  <si>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</si>
  <si>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</si>
  <si>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</si>
  <si>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</si>
  <si>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</si>
  <si>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</si>
  <si>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</si>
  <si>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</si>
  <si>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</si>
  <si>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</si>
  <si>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</si>
  <si>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</si>
  <si>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</si>
  <si>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</si>
  <si>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</si>
  <si>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</si>
  <si>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</si>
  <si>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</si>
  <si>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</si>
  <si>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</si>
  <si>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</si>
  <si>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</si>
  <si>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</si>
  <si>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</si>
  <si>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</si>
  <si>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</si>
  <si>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</si>
  <si>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</si>
  <si>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</si>
  <si>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</si>
  <si>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</si>
  <si>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</si>
  <si>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</si>
  <si>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</si>
  <si>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</si>
  <si>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</si>
  <si>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</si>
  <si>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</si>
  <si>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</si>
  <si>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</si>
  <si>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</si>
  <si>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</si>
  <si>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</si>
  <si>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</si>
  <si>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</si>
  <si>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</si>
  <si>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</si>
  <si>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</si>
  <si>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</si>
  <si>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</si>
  <si>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</si>
  <si>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</si>
  <si>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</si>
  <si>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</si>
  <si>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</si>
  <si>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</si>
  <si>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</si>
  <si>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</si>
  <si>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</si>
  <si>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1100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</si>
  <si>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</si>
  <si>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</si>
  <si>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</si>
  <si>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</si>
  <si>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</si>
  <si>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</si>
  <si>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</si>
  <si>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</si>
  <si>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</si>
  <si>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</si>
  <si>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</si>
  <si>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</si>
  <si>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</si>
  <si>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</si>
  <si>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</si>
  <si>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</si>
  <si>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</si>
  <si>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</si>
  <si>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</si>
  <si>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</si>
  <si>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</si>
  <si>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</si>
  <si>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</si>
  <si>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</si>
  <si>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</si>
  <si>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</si>
  <si>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</si>
  <si>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</si>
  <si>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Повернення  позичок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</si>
  <si>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</si>
  <si>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</si>
  <si>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</si>
  <si>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</si>
  <si>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</si>
  <si>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</si>
  <si>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</si>
  <si>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</si>
  <si>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</si>
  <si>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</si>
  <si>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</si>
  <si>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</si>
  <si>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</si>
  <si>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</si>
  <si>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</si>
  <si>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</si>
  <si>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</si>
  <si>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</si>
  <si>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</si>
  <si>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</si>
  <si>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</si>
  <si>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</si>
  <si>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0611090</t>
  </si>
  <si>
    <t>0613140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</si>
  <si>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</si>
  <si>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</si>
  <si>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</si>
  <si>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</si>
  <si>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</si>
  <si>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</si>
  <si>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</si>
  <si>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</si>
  <si>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</si>
  <si>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</si>
  <si>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</si>
  <si>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</si>
  <si>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</si>
  <si>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</si>
  <si>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</si>
  <si>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</si>
  <si>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</si>
  <si>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</si>
  <si>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</si>
  <si>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</si>
  <si>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</si>
  <si>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</si>
  <si>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</si>
  <si>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</si>
  <si>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</si>
  <si>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</si>
  <si>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</si>
  <si>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</si>
  <si>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</si>
  <si>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</si>
  <si>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</si>
  <si>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</si>
  <si>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</si>
  <si>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</si>
  <si>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</si>
  <si>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</si>
  <si>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</si>
  <si>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</si>
  <si>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</si>
  <si>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</si>
  <si>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</si>
  <si>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</si>
  <si>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</si>
  <si>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</si>
  <si>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</si>
  <si>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</si>
  <si>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</si>
  <si>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</si>
  <si>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</si>
  <si>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</si>
  <si>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</si>
  <si>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</si>
  <si>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</si>
  <si>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</si>
  <si>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</si>
  <si>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</si>
  <si>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</si>
  <si>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</si>
  <si>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</si>
  <si>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</si>
  <si>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</si>
  <si>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</si>
  <si>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</si>
  <si>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</si>
  <si>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</si>
  <si>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</si>
  <si>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</si>
  <si>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</si>
  <si>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</si>
  <si>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</si>
  <si>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</si>
  <si>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</si>
  <si>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</si>
  <si>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</si>
  <si>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</si>
  <si>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</si>
  <si>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</si>
  <si>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 xml:space="preserve">Програма молодіжного житлового кредитування м.Суми на 2018 - 2020 роки 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</si>
  <si>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</si>
  <si>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</si>
  <si>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</si>
  <si>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</si>
  <si>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</si>
  <si>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</si>
  <si>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</si>
  <si>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</si>
  <si>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</si>
  <si>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</si>
  <si>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</si>
  <si>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</si>
  <si>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</si>
  <si>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</si>
  <si>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</si>
  <si>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</si>
  <si>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</si>
  <si>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</si>
  <si>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</si>
  <si>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</si>
  <si>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</si>
  <si>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</si>
  <si>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</si>
  <si>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</si>
  <si>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</si>
  <si>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</si>
  <si>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</si>
  <si>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</si>
  <si>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</si>
  <si>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</si>
  <si>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</si>
  <si>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</si>
  <si>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</si>
  <si>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</si>
  <si>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</si>
  <si>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</si>
  <si>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</si>
  <si>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</si>
  <si>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</si>
  <si>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</si>
  <si>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</si>
  <si>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</si>
  <si>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</si>
  <si>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</si>
  <si>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</si>
  <si>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</si>
  <si>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</si>
  <si>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</si>
  <si>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</si>
  <si>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</si>
  <si>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</si>
  <si>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</si>
  <si>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</si>
  <si>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</si>
  <si>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</si>
  <si>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</si>
  <si>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</si>
  <si>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</si>
  <si>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</si>
  <si>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</si>
  <si>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</si>
  <si>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</si>
  <si>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</si>
  <si>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</si>
  <si>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</si>
  <si>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</si>
  <si>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</si>
  <si>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</si>
  <si>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</si>
  <si>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</si>
  <si>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</si>
  <si>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</si>
  <si>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</si>
  <si>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</si>
  <si>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</si>
  <si>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</si>
  <si>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</si>
  <si>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</si>
  <si>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</si>
  <si>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</si>
  <si>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</si>
  <si>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</si>
  <si>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</si>
  <si>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</si>
  <si>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</si>
  <si>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</si>
  <si>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</si>
  <si>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</si>
  <si>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</si>
  <si>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</si>
  <si>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</si>
  <si>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</si>
  <si>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</si>
  <si>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</si>
  <si>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</si>
  <si>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</si>
  <si>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</si>
  <si>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</si>
  <si>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</si>
  <si>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</si>
  <si>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</si>
  <si>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</si>
  <si>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</si>
  <si>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</si>
  <si>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1017363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</si>
  <si>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</si>
  <si>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</si>
  <si>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</si>
  <si>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</si>
  <si>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</si>
  <si>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1617370</t>
  </si>
  <si>
    <t>7370</t>
  </si>
  <si>
    <t>Реалізація інших заходів щодо соціально-економічного розвитку територій</t>
  </si>
  <si>
    <t>1517693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</si>
  <si>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</si>
  <si>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</si>
  <si>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</si>
  <si>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</si>
  <si>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</si>
  <si>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</si>
  <si>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</si>
  <si>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 xml:space="preserve">Компенсаційні виплати на пільговий проїзд електротранспортом окремим категоріям громадян
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</si>
  <si>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</si>
  <si>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</si>
  <si>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Програма зайнятості населення м. Суми на 2019-2020 роки</t>
  </si>
  <si>
    <t xml:space="preserve">Міська цільова програма «Соціальні служби готові прийти на допомогу на 2019-2021 роки»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</si>
  <si>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</si>
  <si>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</si>
  <si>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від 29.11.2017 року № 2875-МР (зі змінами)</t>
  </si>
  <si>
    <t>від 21.12.2017 року № 2913-МР (зі змінами)</t>
  </si>
  <si>
    <t>3717693</t>
  </si>
  <si>
    <t>0611110</t>
  </si>
  <si>
    <t>1110</t>
  </si>
  <si>
    <t>0930</t>
  </si>
  <si>
    <t>0611150</t>
  </si>
  <si>
    <t>1150</t>
  </si>
  <si>
    <t>Програма регулювання містобудівної діяльності та розвитку інформаційної системи містобудівного кадастру на 2018 – 2020 роки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</si>
  <si>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</si>
  <si>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</si>
  <si>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</si>
  <si>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</si>
  <si>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</si>
  <si>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</si>
  <si>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</si>
  <si>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</si>
  <si>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</si>
  <si>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</si>
  <si>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Програма організації діяльності голів квартальних комітетів кварталів приватного сектора міста Суми та фінансове забезпечення їх роботи на 2019-2021 роки і положення про матеріальне забезпечення та преміювання голів квартальних комітетів приватного сектора міста Суми</t>
  </si>
  <si>
    <t xml:space="preserve">від 19.12.2018 року № 4334-МР </t>
  </si>
  <si>
    <t>від 19.12.2018 року № 4335-МР</t>
  </si>
  <si>
    <t>від 19.12.2018 року № 4328-МР</t>
  </si>
  <si>
    <t>від 19.12.2018 року № 4327-МР</t>
  </si>
  <si>
    <t>Будівництво інших об'єктів комунальної власності</t>
  </si>
  <si>
    <t>0611170</t>
  </si>
  <si>
    <t>1170</t>
  </si>
  <si>
    <t>Забезпечення діяльності інклюзивно-ресурсних центрів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</si>
  <si>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</si>
  <si>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</si>
  <si>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</si>
  <si>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</si>
  <si>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</si>
  <si>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</si>
  <si>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0817363</t>
  </si>
  <si>
    <t xml:space="preserve">від 28.11.2018 року № 4154-МР (зі змінами) </t>
  </si>
  <si>
    <t>від 19.12.2018 року № 4330-МР (зі змінами)</t>
  </si>
  <si>
    <t>від 28.11.2018 року № 4148-МР (зі змінами)</t>
  </si>
  <si>
    <t xml:space="preserve">від 19.12.2018 року № 4280-МР (зі змінами) </t>
  </si>
  <si>
    <t>1516090</t>
  </si>
  <si>
    <t>1217670</t>
  </si>
  <si>
    <t>від 25.07.2018 №3683 -МР     (зі змінами)</t>
  </si>
  <si>
    <t>Інші діяльність у сфері житлово-комунального господарства</t>
  </si>
  <si>
    <t>від 28.11.2018 року № 4154-МР  (зі змінами)</t>
  </si>
  <si>
    <t>3717370</t>
  </si>
  <si>
    <t xml:space="preserve">Міська комплексна Програма розвитку міського пасажирського транспорту м. Суми на 2019-2021 роки </t>
  </si>
  <si>
    <t>від 19.12.2018 року № 4333-МР (зі змінами)</t>
  </si>
  <si>
    <t>від 19.12.2018 року № 4326-МР (зі змінами)</t>
  </si>
  <si>
    <t>від 28.11.2018 року № 4149-МР (зі змінами)</t>
  </si>
  <si>
    <t>від 28.11.2018 року № 4149-МР  (зі змінами)</t>
  </si>
  <si>
    <t>від 19.12.2018 року № 4329-МР (зі змінами)</t>
  </si>
  <si>
    <t>від 28.11.2018 року № 4150-МР (зі змінами)</t>
  </si>
  <si>
    <t>від 19.12.2018 року № 4331-МР (зі змінами)</t>
  </si>
  <si>
    <t>1517370</t>
  </si>
  <si>
    <t>Програма економічного і соціального розвитку              м. Суми на 2019 рік та основні напрями розвитку на 2020-2021 роки</t>
  </si>
  <si>
    <t>10 Відділ культури Сумської міської ради</t>
  </si>
  <si>
    <t>1217462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</si>
  <si>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</si>
  <si>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</si>
  <si>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</si>
  <si>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Програма економічного і соціального розвитку                        м. Суми на 2019 рік та основні напрями розвитку на 2020-2021 роки</t>
  </si>
  <si>
    <t>Міська програма сприяння розвитку громадянського суспільства у м. Суми на 2019-2021 роки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</si>
  <si>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</si>
  <si>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</si>
  <si>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від 28.11.2018 року № 4152-МР (зі змінами)</t>
  </si>
  <si>
    <t>проєкт рішення</t>
  </si>
  <si>
    <t>Програма «Фінансове забезпечення відзначення на території Сумської міської об'єднаної територіальної громади державних, професійних свят, ювілейних дат та інших подій на 2020-2022 роки»</t>
  </si>
  <si>
    <t>від 28.11.2018 № 4153-МР (зі змінами)</t>
  </si>
  <si>
    <t>Цільова Програма підтримки малого і середнього підприємництва Сумської міської об'єднаної територіальної громади на 2020-2022 роки</t>
  </si>
  <si>
    <t>Цільова 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об'єднаної територіальної громади, у проведенні заходів з оборони та мобілізації на 2020 рік</t>
  </si>
  <si>
    <t>Програма Сумської міської об'єднаної територіальної громади «Соціальна підтримка захисників України та членів їх сімей» на 2020-2022 роки»</t>
  </si>
  <si>
    <t xml:space="preserve">Міська програма «Автоматизація муніципальних телекомунікаційних систем на 2020- 2022 роки Сумської міської об'єднаної територіальної громади»  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</si>
  <si>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</si>
  <si>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</si>
  <si>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</si>
  <si>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</si>
  <si>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</si>
  <si>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</si>
  <si>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</si>
  <si>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</si>
  <si>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 xml:space="preserve">Програма підвищення енергоефективності в бюджетній сфері міста Суми на 2020-2022 роки </t>
  </si>
  <si>
    <t>Міська цільова Програма з реалізації Конвенції ООН про права дитини Сумської міської об'єднаної територіальної громади на 2020-2022 роки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</si>
  <si>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</si>
  <si>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</si>
  <si>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</si>
  <si>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</si>
  <si>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</si>
  <si>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</si>
  <si>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</si>
  <si>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Програма підвищення енергоефективності в бюджетній сфері Сумської міської об'єднаної територіальної громади на 2020-2022 роки</t>
  </si>
  <si>
    <t>Програма економічного і соціального розвитку              Сумської міської об'єднаної територіальної громади на 2020 рік та основні напрями розвитку на 2021-2022 роки</t>
  </si>
  <si>
    <t>3718600</t>
  </si>
  <si>
    <t>0170</t>
  </si>
  <si>
    <t>Обслуговування місцевого боргу</t>
  </si>
  <si>
    <t>від 19.12.2018 року № 4332-МР (зі змінами)</t>
  </si>
  <si>
    <t>Цільова програма капітального ремонту, модернізації та диспетчеризації ліфтів у Сумської міської об'єднаної територіальної громади на 2020-2022 роки</t>
  </si>
  <si>
    <t>Розподіл витрат бюджету Сумської міської об'єднаної територіальної громади на реалізацію цільових (комплексних) програм у 2020 році</t>
  </si>
  <si>
    <t>(18531000000)</t>
  </si>
  <si>
    <t>09 Управління  «Служба у справах дітей» Сумської міської ради</t>
  </si>
  <si>
    <t xml:space="preserve">Програма «Відкритий інформаційний простір Сумської міської об'єднаної територіальної громади» на 2019-2021 роки </t>
  </si>
  <si>
    <t>Програма Сумської міської об’єднаної територіальної громади «Милосердя» на 2019-2021 роки</t>
  </si>
  <si>
    <t>від 27.11.2019 року № 5996-МР</t>
  </si>
  <si>
    <t xml:space="preserve">від 18.12.2019 року № 6113-МР </t>
  </si>
  <si>
    <t>від 13.11.2019 № 5845-МР (зі змінами)</t>
  </si>
  <si>
    <t xml:space="preserve">Програма «Молодь територіальної громади                                            м. Суми на 2019-2021 роки» </t>
  </si>
  <si>
    <t xml:space="preserve">Програма «Молодь територіальної громади                                       м. Суми на 2019-2021 роки» </t>
  </si>
  <si>
    <t xml:space="preserve">Програма «Молодь територіальної громади                                м. Суми на 2019-2021 роки» </t>
  </si>
  <si>
    <t xml:space="preserve">Всього, у тому числі: </t>
  </si>
  <si>
    <t>Програма розвитку фізичної культури і спорту Сумської міської об'єднаної територіальної громади на 2019-2021 роки</t>
  </si>
  <si>
    <t>Комплексна Програма Сумської міської об'єднаної територіальної громади «Охорона здоров’я на 2019-2021 роки»</t>
  </si>
  <si>
    <t xml:space="preserve">Комплексна програма Сумської міської об'єднаної територіальної громади «Освіта на 2019-2021 роки» </t>
  </si>
  <si>
    <t xml:space="preserve">від 24.12.2019 року № 6249-МР  </t>
  </si>
  <si>
    <t>Цільова програма капітального ремонту, модернізації, заміни та диспетчеризації ліфтів на 2020-2022 роки</t>
  </si>
  <si>
    <t xml:space="preserve">від 24.12.2019 року № 6233-МР </t>
  </si>
  <si>
    <t>від 18.12.2019 року № 6106-МР</t>
  </si>
  <si>
    <t xml:space="preserve">Комплексна програма «Правопорядок» на період 2019-2021 роки </t>
  </si>
  <si>
    <t xml:space="preserve">від 18.12.2019 року № 6105-МР </t>
  </si>
  <si>
    <t>Цільова комплексна Програма розвитку культури  Сумської міської об'єднаної територіальної громади на 2019 - 2021 роки</t>
  </si>
  <si>
    <t>Програма охорони навколишнього природного середовища Сумської міської об'єднаної територіальної громади на 2019-2021 роки</t>
  </si>
  <si>
    <t>від 18.12.2019 № 6107-МР</t>
  </si>
  <si>
    <t>від 18.12.2019 № 6108-МР</t>
  </si>
  <si>
    <t xml:space="preserve">Комплексна цільова Програма управління та ефективного використання майна комунальної власності та земельних ресурсів на території Сумської міської об'єднаної територіальної громади на 2019-2021 роки </t>
  </si>
  <si>
    <t xml:space="preserve">Програма «Молодь територіальної громади                                     м. Суми на 2019-2021 роки» 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</si>
  <si>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</si>
  <si>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</si>
  <si>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</si>
  <si>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</si>
  <si>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</si>
  <si>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</si>
  <si>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Виконання інвестиційних проектів в рамках підтримки розвитку об'єднаних територіальних громад</t>
  </si>
  <si>
    <t>Надання спеціальної освіти мистецькими школами</t>
  </si>
  <si>
    <t>від 27.11.2019 року № 5996-МР (зі змінами)</t>
  </si>
  <si>
    <t xml:space="preserve">від 24.12.2019 року № 6249-МР (зі змінами) </t>
  </si>
  <si>
    <t xml:space="preserve">від 24.12.2019 року № 6249-МР (зі змінами)  </t>
  </si>
  <si>
    <t>від 28.11.2018 № 4153-МР                  (зі змінами)</t>
  </si>
  <si>
    <t>від 28.11.2018 № 4153-МР                 (зі змінами)</t>
  </si>
  <si>
    <t>від 28.11.2018 № 4153-МР                      (зі змінами)</t>
  </si>
  <si>
    <t>від 13.11.2019 № 5845-МР                     (зі змінами)</t>
  </si>
  <si>
    <t xml:space="preserve">           код бюджету</t>
  </si>
  <si>
    <t>Комплексна цільова програма реформування і розвитку житлово-комунального господарства Сумської міської об'єднаної територіальної громади на 2018-2020 роки</t>
  </si>
  <si>
    <t>0717361</t>
  </si>
  <si>
    <t xml:space="preserve">Програма «Молодь територіальної громади             м. Суми на 2019-2021 роки» </t>
  </si>
  <si>
    <t>Цільова Програма захисту населення і території Сумської міської об’єднаної територіальної громади від надзвичайних ситуацій техногенного та природного характеру на 2019-2021 роки</t>
  </si>
  <si>
    <t>до    рішення    Сумської    міської     ради</t>
  </si>
  <si>
    <t xml:space="preserve">«Про    внесення     змін      до      рішення </t>
  </si>
  <si>
    <t>Сумської                міської                  ради</t>
  </si>
  <si>
    <t xml:space="preserve">від  24   грудня  2019   року   № 6248 - МР    </t>
  </si>
  <si>
    <t>територіальної    громади   на   2020   рік»</t>
  </si>
  <si>
    <t>Сумський міський голова</t>
  </si>
  <si>
    <t>О. М. Лисенко</t>
  </si>
  <si>
    <t>Виконавець: Липова С.А.</t>
  </si>
  <si>
    <t>1014060</t>
  </si>
  <si>
    <t>(зі змінами)»</t>
  </si>
  <si>
    <t xml:space="preserve">«Про бюджет Сумської міської об'єднаної      </t>
  </si>
  <si>
    <t>0217413</t>
  </si>
  <si>
    <t>Інші заходи у сфері автотранспорту</t>
  </si>
  <si>
    <t>1218230</t>
  </si>
  <si>
    <r>
      <t xml:space="preserve">від  </t>
    </r>
    <r>
      <rPr>
        <sz val="52"/>
        <color indexed="9"/>
        <rFont val="Times New Roman"/>
        <family val="1"/>
      </rPr>
      <t>03 квітня</t>
    </r>
    <r>
      <rPr>
        <sz val="52"/>
        <rFont val="Times New Roman"/>
        <family val="1"/>
      </rPr>
      <t xml:space="preserve">  2020   року  № </t>
    </r>
    <r>
      <rPr>
        <sz val="52"/>
        <color indexed="9"/>
        <rFont val="Times New Roman"/>
        <family val="1"/>
      </rPr>
      <t>0000</t>
    </r>
    <r>
      <rPr>
        <sz val="52"/>
        <rFont val="Times New Roman"/>
        <family val="1"/>
      </rPr>
      <t xml:space="preserve"> -  МР</t>
    </r>
  </si>
  <si>
    <t xml:space="preserve">                        Додаток № 5</t>
  </si>
  <si>
    <t>1218110</t>
  </si>
  <si>
    <t>Заходи із запобігання та ліквідації надзвичайних ситуацій та наслідків стихійного лиха</t>
  </si>
  <si>
    <t xml:space="preserve">Комплексна Програма розвитку міського пасажирського транспорту Сумської міської об'єднаної територіальної громади на 2019-2021 роки 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</si>
</sst>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</numFmts>
  <fonts count="7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sz val="53"/>
      <name val="Times New Roman"/>
      <family val="1"/>
    </font>
    <font>
      <b/>
      <u val="single"/>
      <sz val="53"/>
      <name val="Times New Roman"/>
      <family val="1"/>
    </font>
    <font>
      <sz val="45"/>
      <name val="Times New Roman"/>
      <family val="1"/>
    </font>
    <font>
      <sz val="40"/>
      <name val="Times New Roman"/>
      <family val="1"/>
    </font>
    <font>
      <b/>
      <sz val="60"/>
      <name val="Times New Roman"/>
      <family val="1"/>
    </font>
    <font>
      <sz val="42"/>
      <name val="Times New Roman"/>
      <family val="1"/>
    </font>
    <font>
      <sz val="52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3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0"/>
      <color rgb="FFFF0000"/>
      <name val="Times New Roman"/>
      <family val="1"/>
    </font>
    <font>
      <sz val="10"/>
      <color rgb="FFFF0000"/>
      <name val="Times New Roman"/>
      <family val="1"/>
    </font>
    <font>
      <sz val="35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8" fillId="46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2" fillId="0" borderId="7" applyNumberFormat="0" applyFill="0" applyAlignment="0" applyProtection="0"/>
    <xf numFmtId="0" fontId="11" fillId="0" borderId="8" applyNumberFormat="0" applyFill="0" applyAlignment="0" applyProtection="0"/>
    <xf numFmtId="0" fontId="63" fillId="47" borderId="9" applyNumberFormat="0" applyAlignment="0" applyProtection="0"/>
    <xf numFmtId="0" fontId="9" fillId="48" borderId="10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5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5" fillId="3" borderId="0" applyNumberFormat="0" applyBorder="0" applyAlignment="0" applyProtection="0"/>
    <xf numFmtId="0" fontId="67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8" fillId="50" borderId="14" applyNumberFormat="0" applyAlignment="0" applyProtection="0"/>
    <xf numFmtId="0" fontId="17" fillId="0" borderId="15" applyNumberFormat="0" applyFill="0" applyAlignment="0" applyProtection="0"/>
    <xf numFmtId="0" fontId="69" fillId="54" borderId="0" applyNumberFormat="0" applyBorder="0" applyAlignment="0" applyProtection="0"/>
    <xf numFmtId="0" fontId="19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/>
      <protection/>
    </xf>
    <xf numFmtId="49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vertical="center"/>
      <protection/>
    </xf>
    <xf numFmtId="49" fontId="25" fillId="0" borderId="17" xfId="0" applyNumberFormat="1" applyFont="1" applyFill="1" applyBorder="1" applyAlignment="1">
      <alignment horizontal="left" vertical="center" wrapText="1"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27" fillId="0" borderId="18" xfId="0" applyFont="1" applyFill="1" applyBorder="1" applyAlignment="1">
      <alignment horizontal="center" vertical="center" wrapText="1"/>
    </xf>
    <xf numFmtId="202" fontId="28" fillId="0" borderId="17" xfId="95" applyNumberFormat="1" applyFont="1" applyFill="1" applyBorder="1" applyAlignment="1">
      <alignment horizontal="left" vertical="center"/>
      <protection/>
    </xf>
    <xf numFmtId="202" fontId="28" fillId="0" borderId="17" xfId="95" applyNumberFormat="1" applyFont="1" applyFill="1" applyBorder="1" applyAlignment="1">
      <alignment vertical="center"/>
      <protection/>
    </xf>
    <xf numFmtId="0" fontId="25" fillId="0" borderId="17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vertical="center" wrapText="1"/>
    </xf>
    <xf numFmtId="0" fontId="28" fillId="0" borderId="17" xfId="0" applyFont="1" applyFill="1" applyBorder="1" applyAlignment="1">
      <alignment vertical="center" wrapText="1"/>
    </xf>
    <xf numFmtId="4" fontId="28" fillId="0" borderId="17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/>
    </xf>
    <xf numFmtId="4" fontId="28" fillId="0" borderId="17" xfId="95" applyNumberFormat="1" applyFont="1" applyFill="1" applyBorder="1" applyAlignment="1">
      <alignment horizontal="center" vertical="center"/>
      <protection/>
    </xf>
    <xf numFmtId="4" fontId="25" fillId="0" borderId="17" xfId="95" applyNumberFormat="1" applyFont="1" applyFill="1" applyBorder="1" applyAlignment="1">
      <alignment horizontal="center" vertical="center"/>
      <protection/>
    </xf>
    <xf numFmtId="4" fontId="34" fillId="0" borderId="17" xfId="95" applyNumberFormat="1" applyFont="1" applyFill="1" applyBorder="1" applyAlignment="1">
      <alignment horizontal="center" vertical="center"/>
      <protection/>
    </xf>
    <xf numFmtId="4" fontId="27" fillId="0" borderId="17" xfId="95" applyNumberFormat="1" applyFont="1" applyFill="1" applyBorder="1" applyAlignment="1">
      <alignment horizontal="center" vertical="center"/>
      <protection/>
    </xf>
    <xf numFmtId="1" fontId="25" fillId="0" borderId="17" xfId="0" applyNumberFormat="1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Font="1" applyFill="1" applyBorder="1" applyAlignment="1">
      <alignment horizontal="left" vertical="center" wrapText="1"/>
    </xf>
    <xf numFmtId="202" fontId="36" fillId="0" borderId="0" xfId="0" applyNumberFormat="1" applyFont="1" applyFill="1" applyBorder="1" applyAlignment="1">
      <alignment vertical="justify"/>
    </xf>
    <xf numFmtId="4" fontId="37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/>
    </xf>
    <xf numFmtId="0" fontId="29" fillId="0" borderId="0" xfId="0" applyFont="1" applyFill="1" applyAlignment="1">
      <alignment vertical="center" wrapText="1"/>
    </xf>
    <xf numFmtId="1" fontId="25" fillId="0" borderId="17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 vertical="center"/>
    </xf>
    <xf numFmtId="4" fontId="35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17" xfId="0" applyNumberFormat="1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 horizontal="left" vertical="center"/>
    </xf>
    <xf numFmtId="3" fontId="25" fillId="0" borderId="17" xfId="0" applyNumberFormat="1" applyFont="1" applyFill="1" applyBorder="1" applyAlignment="1">
      <alignment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49" fontId="38" fillId="0" borderId="0" xfId="0" applyNumberFormat="1" applyFont="1" applyFill="1" applyBorder="1" applyAlignment="1" applyProtection="1">
      <alignment vertical="top"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4" fontId="25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7" xfId="0" applyNumberFormat="1" applyFont="1" applyFill="1" applyBorder="1" applyAlignment="1" applyProtection="1">
      <alignment horizontal="left"/>
      <protection/>
    </xf>
    <xf numFmtId="0" fontId="26" fillId="0" borderId="17" xfId="0" applyNumberFormat="1" applyFont="1" applyFill="1" applyBorder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Alignment="1">
      <alignment/>
    </xf>
    <xf numFmtId="4" fontId="28" fillId="0" borderId="0" xfId="0" applyNumberFormat="1" applyFont="1" applyFill="1" applyAlignment="1" applyProtection="1">
      <alignment horizontal="center"/>
      <protection/>
    </xf>
    <xf numFmtId="0" fontId="28" fillId="0" borderId="17" xfId="0" applyNumberFormat="1" applyFont="1" applyFill="1" applyBorder="1" applyAlignment="1" applyProtection="1">
      <alignment horizontal="center"/>
      <protection/>
    </xf>
    <xf numFmtId="0" fontId="72" fillId="0" borderId="17" xfId="0" applyNumberFormat="1" applyFont="1" applyFill="1" applyBorder="1" applyAlignment="1" applyProtection="1">
      <alignment/>
      <protection/>
    </xf>
    <xf numFmtId="0" fontId="72" fillId="0" borderId="17" xfId="0" applyNumberFormat="1" applyFont="1" applyFill="1" applyBorder="1" applyAlignment="1" applyProtection="1">
      <alignment horizontal="left"/>
      <protection/>
    </xf>
    <xf numFmtId="0" fontId="73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4" fontId="26" fillId="0" borderId="0" xfId="0" applyNumberFormat="1" applyFont="1" applyFill="1" applyAlignment="1" applyProtection="1">
      <alignment/>
      <protection/>
    </xf>
    <xf numFmtId="4" fontId="26" fillId="0" borderId="0" xfId="0" applyNumberFormat="1" applyFont="1" applyFill="1" applyBorder="1" applyAlignment="1">
      <alignment vertical="center"/>
    </xf>
    <xf numFmtId="4" fontId="74" fillId="0" borderId="17" xfId="95" applyNumberFormat="1" applyFont="1" applyFill="1" applyBorder="1" applyAlignment="1">
      <alignment horizontal="center" vertical="center"/>
      <protection/>
    </xf>
    <xf numFmtId="4" fontId="36" fillId="0" borderId="0" xfId="0" applyNumberFormat="1" applyFont="1" applyFill="1" applyBorder="1" applyAlignment="1">
      <alignment vertical="center"/>
    </xf>
    <xf numFmtId="4" fontId="41" fillId="0" borderId="0" xfId="0" applyNumberFormat="1" applyFont="1" applyFill="1" applyBorder="1" applyAlignment="1">
      <alignment vertical="justify"/>
    </xf>
    <xf numFmtId="1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40" fillId="0" borderId="20" xfId="0" applyFont="1" applyFill="1" applyBorder="1" applyAlignment="1">
      <alignment vertical="center" textRotation="180"/>
    </xf>
    <xf numFmtId="0" fontId="40" fillId="0" borderId="0" xfId="0" applyFont="1" applyFill="1" applyAlignment="1">
      <alignment vertical="center" textRotation="180"/>
    </xf>
    <xf numFmtId="0" fontId="29" fillId="0" borderId="0" xfId="0" applyNumberFormat="1" applyFont="1" applyFill="1" applyAlignment="1" applyProtection="1">
      <alignment/>
      <protection/>
    </xf>
    <xf numFmtId="4" fontId="34" fillId="0" borderId="0" xfId="0" applyNumberFormat="1" applyFont="1" applyFill="1" applyAlignment="1">
      <alignment/>
    </xf>
    <xf numFmtId="49" fontId="36" fillId="0" borderId="0" xfId="0" applyNumberFormat="1" applyFont="1" applyFill="1" applyBorder="1" applyAlignment="1">
      <alignment vertical="center" wrapText="1"/>
    </xf>
    <xf numFmtId="0" fontId="43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40" fillId="0" borderId="0" xfId="0" applyFont="1" applyFill="1" applyBorder="1" applyAlignment="1">
      <alignment horizontal="center" vertical="center" textRotation="180"/>
    </xf>
    <xf numFmtId="0" fontId="40" fillId="0" borderId="20" xfId="0" applyFont="1" applyFill="1" applyBorder="1" applyAlignment="1">
      <alignment horizontal="center" vertical="center" textRotation="180"/>
    </xf>
    <xf numFmtId="1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1" fontId="25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left" vertical="center" wrapText="1"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49" fontId="39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23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vertical="top" wrapText="1"/>
      <protection/>
    </xf>
    <xf numFmtId="0" fontId="25" fillId="0" borderId="17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textRotation="180"/>
    </xf>
    <xf numFmtId="1" fontId="25" fillId="0" borderId="23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 wrapText="1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 wrapText="1"/>
    </xf>
    <xf numFmtId="49" fontId="36" fillId="0" borderId="0" xfId="0" applyNumberFormat="1" applyFont="1" applyFill="1" applyBorder="1" applyAlignment="1">
      <alignment vertical="center" wrapText="1"/>
    </xf>
    <xf numFmtId="49" fontId="25" fillId="0" borderId="23" xfId="0" applyNumberFormat="1" applyFont="1" applyFill="1" applyBorder="1" applyAlignment="1">
      <alignment vertical="center" wrapText="1"/>
    </xf>
    <xf numFmtId="49" fontId="25" fillId="0" borderId="19" xfId="0" applyNumberFormat="1" applyFont="1" applyFill="1" applyBorder="1" applyAlignment="1">
      <alignment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9"/>
  <sheetViews>
    <sheetView showZeros="0" tabSelected="1" view="pageBreakPreview" zoomScale="21" zoomScaleNormal="25" zoomScaleSheetLayoutView="21" workbookViewId="0" topLeftCell="A194">
      <selection activeCell="G170" sqref="G170"/>
    </sheetView>
  </sheetViews>
  <sheetFormatPr defaultColWidth="9.16015625" defaultRowHeight="12.75"/>
  <cols>
    <col min="1" max="1" width="56.5" style="8" customWidth="1"/>
    <col min="2" max="2" width="52.66015625" style="8" customWidth="1"/>
    <col min="3" max="3" width="43.16015625" style="8" customWidth="1"/>
    <col min="4" max="4" width="157" style="7" customWidth="1"/>
    <col min="5" max="5" width="164.33203125" style="8" customWidth="1"/>
    <col min="6" max="6" width="101.83203125" style="8" customWidth="1"/>
    <col min="7" max="7" width="71" style="8" customWidth="1"/>
    <col min="8" max="8" width="73" style="18" customWidth="1"/>
    <col min="9" max="9" width="67.5" style="18" customWidth="1"/>
    <col min="10" max="10" width="66.83203125" style="18" customWidth="1"/>
    <col min="11" max="11" width="19.83203125" style="81" customWidth="1"/>
    <col min="12" max="12" width="47" style="1" customWidth="1"/>
    <col min="13" max="13" width="61.83203125" style="1" customWidth="1"/>
    <col min="14" max="14" width="57.83203125" style="1" customWidth="1"/>
    <col min="15" max="16384" width="9.16015625" style="1" customWidth="1"/>
  </cols>
  <sheetData>
    <row r="1" spans="1:11" ht="69" customHeight="1">
      <c r="A1" s="13"/>
      <c r="B1" s="13"/>
      <c r="C1" s="13"/>
      <c r="F1" s="50"/>
      <c r="G1" s="50" t="s">
        <v>504</v>
      </c>
      <c r="I1" s="50"/>
      <c r="J1" s="50"/>
      <c r="K1" s="108"/>
    </row>
    <row r="2" spans="1:11" ht="66.75" customHeight="1">
      <c r="A2" s="13"/>
      <c r="B2" s="13"/>
      <c r="C2" s="13"/>
      <c r="F2" s="79"/>
      <c r="G2" s="118" t="s">
        <v>489</v>
      </c>
      <c r="H2" s="118"/>
      <c r="I2" s="118"/>
      <c r="J2" s="118"/>
      <c r="K2" s="108"/>
    </row>
    <row r="3" spans="1:11" ht="66.75" customHeight="1">
      <c r="A3" s="13"/>
      <c r="B3" s="13"/>
      <c r="C3" s="13"/>
      <c r="F3" s="79"/>
      <c r="G3" s="118" t="s">
        <v>490</v>
      </c>
      <c r="H3" s="118"/>
      <c r="I3" s="118"/>
      <c r="J3" s="118"/>
      <c r="K3" s="108"/>
    </row>
    <row r="4" spans="1:11" ht="66.75" customHeight="1">
      <c r="A4" s="13"/>
      <c r="B4" s="13"/>
      <c r="C4" s="13"/>
      <c r="F4" s="79"/>
      <c r="G4" s="118" t="s">
        <v>491</v>
      </c>
      <c r="H4" s="118"/>
      <c r="I4" s="118"/>
      <c r="J4" s="118"/>
      <c r="K4" s="108"/>
    </row>
    <row r="5" spans="1:11" ht="66.75" customHeight="1">
      <c r="A5" s="13"/>
      <c r="B5" s="13"/>
      <c r="C5" s="13"/>
      <c r="F5" s="79"/>
      <c r="G5" s="118" t="s">
        <v>492</v>
      </c>
      <c r="H5" s="118"/>
      <c r="I5" s="118"/>
      <c r="J5" s="118"/>
      <c r="K5" s="108"/>
    </row>
    <row r="6" spans="1:11" ht="66.75" customHeight="1">
      <c r="A6" s="13"/>
      <c r="B6" s="13"/>
      <c r="C6" s="13"/>
      <c r="F6" s="79"/>
      <c r="G6" s="118" t="s">
        <v>499</v>
      </c>
      <c r="H6" s="118"/>
      <c r="I6" s="118"/>
      <c r="J6" s="118"/>
      <c r="K6" s="108"/>
    </row>
    <row r="7" spans="1:11" ht="66.75" customHeight="1">
      <c r="A7" s="13"/>
      <c r="B7" s="13"/>
      <c r="C7" s="13"/>
      <c r="F7" s="79"/>
      <c r="G7" s="118" t="s">
        <v>493</v>
      </c>
      <c r="H7" s="118"/>
      <c r="I7" s="118"/>
      <c r="J7" s="118"/>
      <c r="K7" s="108"/>
    </row>
    <row r="8" spans="1:11" ht="66.75" customHeight="1">
      <c r="A8" s="13"/>
      <c r="B8" s="13"/>
      <c r="C8" s="13"/>
      <c r="F8" s="79"/>
      <c r="G8" s="79" t="s">
        <v>498</v>
      </c>
      <c r="H8" s="79"/>
      <c r="I8" s="79"/>
      <c r="J8" s="79"/>
      <c r="K8" s="108"/>
    </row>
    <row r="9" spans="1:11" ht="66.75" customHeight="1">
      <c r="A9" s="13"/>
      <c r="B9" s="13"/>
      <c r="C9" s="13"/>
      <c r="F9" s="79"/>
      <c r="G9" s="118" t="s">
        <v>503</v>
      </c>
      <c r="H9" s="118"/>
      <c r="I9" s="118"/>
      <c r="J9" s="118"/>
      <c r="K9" s="108"/>
    </row>
    <row r="10" spans="1:11" ht="64.5">
      <c r="A10" s="13"/>
      <c r="B10" s="13"/>
      <c r="C10" s="13"/>
      <c r="H10" s="48"/>
      <c r="I10" s="48"/>
      <c r="J10" s="48"/>
      <c r="K10" s="108"/>
    </row>
    <row r="11" spans="1:11" ht="64.5">
      <c r="A11" s="13"/>
      <c r="B11" s="13"/>
      <c r="C11" s="13"/>
      <c r="H11" s="48"/>
      <c r="I11" s="48"/>
      <c r="J11" s="48"/>
      <c r="K11" s="108"/>
    </row>
    <row r="12" spans="1:11" ht="170.25" customHeight="1">
      <c r="A12" s="100" t="s">
        <v>442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8"/>
    </row>
    <row r="13" spans="1:11" ht="52.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108"/>
    </row>
    <row r="14" spans="1:11" ht="67.5" customHeight="1">
      <c r="A14" s="103" t="s">
        <v>443</v>
      </c>
      <c r="B14" s="103"/>
      <c r="C14" s="56"/>
      <c r="D14" s="55"/>
      <c r="E14" s="55"/>
      <c r="F14" s="55"/>
      <c r="G14" s="55"/>
      <c r="H14" s="55"/>
      <c r="I14" s="55"/>
      <c r="J14" s="55"/>
      <c r="K14" s="108"/>
    </row>
    <row r="15" spans="1:11" ht="64.5" customHeight="1">
      <c r="A15" s="106" t="s">
        <v>484</v>
      </c>
      <c r="B15" s="106"/>
      <c r="C15" s="57"/>
      <c r="D15" s="55"/>
      <c r="E15" s="55"/>
      <c r="F15" s="55"/>
      <c r="G15" s="55"/>
      <c r="H15" s="55"/>
      <c r="I15" s="55"/>
      <c r="J15" s="55"/>
      <c r="K15" s="108"/>
    </row>
    <row r="16" spans="1:11" ht="61.5" customHeight="1">
      <c r="A16" s="4"/>
      <c r="B16" s="4"/>
      <c r="C16" s="4"/>
      <c r="D16" s="5"/>
      <c r="E16" s="6"/>
      <c r="F16" s="6"/>
      <c r="G16" s="6"/>
      <c r="H16" s="72"/>
      <c r="I16" s="72"/>
      <c r="J16" s="51" t="s">
        <v>431</v>
      </c>
      <c r="K16" s="108"/>
    </row>
    <row r="17" spans="1:11" ht="103.5" customHeight="1">
      <c r="A17" s="104" t="s">
        <v>333</v>
      </c>
      <c r="B17" s="104" t="s">
        <v>334</v>
      </c>
      <c r="C17" s="104" t="s">
        <v>335</v>
      </c>
      <c r="D17" s="104" t="s">
        <v>340</v>
      </c>
      <c r="E17" s="104" t="s">
        <v>61</v>
      </c>
      <c r="F17" s="102" t="s">
        <v>336</v>
      </c>
      <c r="G17" s="102" t="s">
        <v>337</v>
      </c>
      <c r="H17" s="101" t="s">
        <v>0</v>
      </c>
      <c r="I17" s="101" t="s">
        <v>1</v>
      </c>
      <c r="J17" s="101"/>
      <c r="K17" s="108"/>
    </row>
    <row r="18" spans="1:11" ht="336" customHeight="1">
      <c r="A18" s="105"/>
      <c r="B18" s="105"/>
      <c r="C18" s="105"/>
      <c r="D18" s="105"/>
      <c r="E18" s="105"/>
      <c r="F18" s="102"/>
      <c r="G18" s="102"/>
      <c r="H18" s="101"/>
      <c r="I18" s="20" t="s">
        <v>337</v>
      </c>
      <c r="J18" s="20" t="s">
        <v>338</v>
      </c>
      <c r="K18" s="108"/>
    </row>
    <row r="19" spans="1:11" s="23" customFormat="1" ht="102" customHeight="1">
      <c r="A19" s="16"/>
      <c r="B19" s="16"/>
      <c r="C19" s="16"/>
      <c r="D19" s="17" t="s">
        <v>116</v>
      </c>
      <c r="E19" s="29"/>
      <c r="F19" s="30"/>
      <c r="G19" s="36">
        <f>G20+G21+G22+G23+G24+G25+G26+G27+G28+G29+G30+G31+G32+G33+G34+G35+G36+G37+G38+G39+G40+G41+G45+G46+G48+G49+G50+G51+G52+G53+G54+G55+G42+G43</f>
        <v>126029586</v>
      </c>
      <c r="H19" s="36">
        <f>H20+H21+H22+H23+H24+H25+H26+H27+H28+H29+H30+H31+H32+H33+H34+H35+H36+H37+H38+H39+H40+H41+H45+H46+H48+H49+H50+H51+H52+H53+H54+H55+H42+H43</f>
        <v>92893416</v>
      </c>
      <c r="I19" s="36">
        <f>I20+I21+I22+I23+I24+I25+I26+I27+I28+I29+I30+I31+I32+I33+I34+I35+I36+I37+I38+I39+I40+I41+I45+I46+I48+I49+I50+I51+I52+I53+I54+I55+I42+I43</f>
        <v>33136170</v>
      </c>
      <c r="J19" s="36">
        <f>J20+J21+J22+J23+J24+J25+J26+J27+J28+J29+J30+J31+J32+J33+J34+J35+J36+J37+J38+J39+J40+J41+J45+J46+J48+J49+J50+J51+J52+J53+J54+J55+J42+J43</f>
        <v>32693050</v>
      </c>
      <c r="K19" s="108"/>
    </row>
    <row r="20" spans="1:11" ht="156.75" customHeight="1">
      <c r="A20" s="9" t="s">
        <v>117</v>
      </c>
      <c r="B20" s="40" t="s">
        <v>70</v>
      </c>
      <c r="C20" s="40" t="s">
        <v>2</v>
      </c>
      <c r="D20" s="10" t="s">
        <v>71</v>
      </c>
      <c r="E20" s="10" t="s">
        <v>445</v>
      </c>
      <c r="F20" s="31" t="s">
        <v>381</v>
      </c>
      <c r="G20" s="37">
        <f aca="true" t="shared" si="0" ref="G20:G83">H20+I20</f>
        <v>1496700</v>
      </c>
      <c r="H20" s="37">
        <f>2600000-1103300</f>
        <v>1496700</v>
      </c>
      <c r="I20" s="37"/>
      <c r="J20" s="37"/>
      <c r="K20" s="108"/>
    </row>
    <row r="21" spans="1:14" ht="242.25" customHeight="1">
      <c r="A21" s="91" t="s">
        <v>189</v>
      </c>
      <c r="B21" s="89" t="s">
        <v>26</v>
      </c>
      <c r="C21" s="98" t="s">
        <v>13</v>
      </c>
      <c r="D21" s="113" t="s">
        <v>188</v>
      </c>
      <c r="E21" s="10" t="s">
        <v>412</v>
      </c>
      <c r="F21" s="31" t="s">
        <v>460</v>
      </c>
      <c r="G21" s="37">
        <f t="shared" si="0"/>
        <v>210000</v>
      </c>
      <c r="H21" s="37">
        <v>210000</v>
      </c>
      <c r="I21" s="37"/>
      <c r="J21" s="37"/>
      <c r="K21" s="108"/>
      <c r="L21" s="70"/>
      <c r="M21" s="70"/>
      <c r="N21" s="70"/>
    </row>
    <row r="22" spans="1:11" ht="141.75" customHeight="1">
      <c r="A22" s="91"/>
      <c r="B22" s="89"/>
      <c r="C22" s="98"/>
      <c r="D22" s="113"/>
      <c r="E22" s="10" t="s">
        <v>407</v>
      </c>
      <c r="F22" s="31" t="s">
        <v>410</v>
      </c>
      <c r="G22" s="37">
        <f t="shared" si="0"/>
        <v>100000</v>
      </c>
      <c r="H22" s="37">
        <v>100000</v>
      </c>
      <c r="I22" s="37"/>
      <c r="J22" s="37"/>
      <c r="K22" s="108"/>
    </row>
    <row r="23" spans="1:11" s="3" customFormat="1" ht="151.5" customHeight="1">
      <c r="A23" s="11" t="s">
        <v>237</v>
      </c>
      <c r="B23" s="40" t="s">
        <v>40</v>
      </c>
      <c r="C23" s="42">
        <v>1070</v>
      </c>
      <c r="D23" s="10" t="s">
        <v>35</v>
      </c>
      <c r="E23" s="10" t="s">
        <v>456</v>
      </c>
      <c r="F23" s="10" t="s">
        <v>393</v>
      </c>
      <c r="G23" s="37">
        <f t="shared" si="0"/>
        <v>124200</v>
      </c>
      <c r="H23" s="37">
        <v>124200</v>
      </c>
      <c r="I23" s="37"/>
      <c r="J23" s="37"/>
      <c r="K23" s="108"/>
    </row>
    <row r="24" spans="1:11" s="3" customFormat="1" ht="113.25" customHeight="1">
      <c r="A24" s="91" t="s">
        <v>118</v>
      </c>
      <c r="B24" s="89" t="s">
        <v>72</v>
      </c>
      <c r="C24" s="89">
        <v>1070</v>
      </c>
      <c r="D24" s="90" t="s">
        <v>339</v>
      </c>
      <c r="E24" s="10" t="s">
        <v>487</v>
      </c>
      <c r="F24" s="31" t="s">
        <v>394</v>
      </c>
      <c r="G24" s="37">
        <f t="shared" si="0"/>
        <v>86625</v>
      </c>
      <c r="H24" s="37">
        <v>86625</v>
      </c>
      <c r="I24" s="37"/>
      <c r="J24" s="37"/>
      <c r="K24" s="108"/>
    </row>
    <row r="25" spans="1:11" s="3" customFormat="1" ht="161.25" customHeight="1">
      <c r="A25" s="91"/>
      <c r="B25" s="89"/>
      <c r="C25" s="89"/>
      <c r="D25" s="90"/>
      <c r="E25" s="10" t="s">
        <v>456</v>
      </c>
      <c r="F25" s="10" t="s">
        <v>393</v>
      </c>
      <c r="G25" s="37">
        <f t="shared" si="0"/>
        <v>183700</v>
      </c>
      <c r="H25" s="37">
        <v>183700</v>
      </c>
      <c r="I25" s="37"/>
      <c r="J25" s="37"/>
      <c r="K25" s="108"/>
    </row>
    <row r="26" spans="1:11" s="3" customFormat="1" ht="158.25" customHeight="1">
      <c r="A26" s="9" t="s">
        <v>119</v>
      </c>
      <c r="B26" s="40" t="s">
        <v>73</v>
      </c>
      <c r="C26" s="40" t="s">
        <v>7</v>
      </c>
      <c r="D26" s="10" t="s">
        <v>74</v>
      </c>
      <c r="E26" s="10" t="s">
        <v>343</v>
      </c>
      <c r="F26" s="31" t="s">
        <v>368</v>
      </c>
      <c r="G26" s="37">
        <f>H26+I26</f>
        <v>129000</v>
      </c>
      <c r="H26" s="37">
        <f>87000+42000</f>
        <v>129000</v>
      </c>
      <c r="I26" s="37"/>
      <c r="J26" s="37"/>
      <c r="K26" s="108"/>
    </row>
    <row r="27" spans="1:11" s="3" customFormat="1" ht="155.25" customHeight="1">
      <c r="A27" s="9" t="s">
        <v>120</v>
      </c>
      <c r="B27" s="40" t="s">
        <v>75</v>
      </c>
      <c r="C27" s="40" t="s">
        <v>7</v>
      </c>
      <c r="D27" s="10" t="s">
        <v>76</v>
      </c>
      <c r="E27" s="10" t="s">
        <v>450</v>
      </c>
      <c r="F27" s="31" t="s">
        <v>394</v>
      </c>
      <c r="G27" s="37">
        <f t="shared" si="0"/>
        <v>850000</v>
      </c>
      <c r="H27" s="37">
        <v>850000</v>
      </c>
      <c r="I27" s="37"/>
      <c r="J27" s="37"/>
      <c r="K27" s="108"/>
    </row>
    <row r="28" spans="1:11" s="14" customFormat="1" ht="240.75" customHeight="1">
      <c r="A28" s="9" t="s">
        <v>121</v>
      </c>
      <c r="B28" s="40" t="s">
        <v>38</v>
      </c>
      <c r="C28" s="40" t="s">
        <v>7</v>
      </c>
      <c r="D28" s="10" t="s">
        <v>42</v>
      </c>
      <c r="E28" s="10" t="s">
        <v>451</v>
      </c>
      <c r="F28" s="31" t="s">
        <v>394</v>
      </c>
      <c r="G28" s="37">
        <f t="shared" si="0"/>
        <v>560000</v>
      </c>
      <c r="H28" s="37">
        <v>560000</v>
      </c>
      <c r="I28" s="37"/>
      <c r="J28" s="37"/>
      <c r="K28" s="108"/>
    </row>
    <row r="29" spans="1:11" s="3" customFormat="1" ht="138.75" customHeight="1">
      <c r="A29" s="9" t="s">
        <v>241</v>
      </c>
      <c r="B29" s="40" t="s">
        <v>243</v>
      </c>
      <c r="C29" s="40" t="s">
        <v>6</v>
      </c>
      <c r="D29" s="19" t="s">
        <v>244</v>
      </c>
      <c r="E29" s="10" t="s">
        <v>343</v>
      </c>
      <c r="F29" s="31" t="s">
        <v>368</v>
      </c>
      <c r="G29" s="37">
        <f t="shared" si="0"/>
        <v>1198395</v>
      </c>
      <c r="H29" s="37">
        <v>1198395</v>
      </c>
      <c r="I29" s="37"/>
      <c r="J29" s="21"/>
      <c r="K29" s="88"/>
    </row>
    <row r="30" spans="1:11" s="3" customFormat="1" ht="179.25" customHeight="1">
      <c r="A30" s="92" t="s">
        <v>242</v>
      </c>
      <c r="B30" s="89" t="s">
        <v>245</v>
      </c>
      <c r="C30" s="89" t="s">
        <v>6</v>
      </c>
      <c r="D30" s="99" t="s">
        <v>246</v>
      </c>
      <c r="E30" s="10" t="s">
        <v>446</v>
      </c>
      <c r="F30" s="31" t="s">
        <v>383</v>
      </c>
      <c r="G30" s="37">
        <f t="shared" si="0"/>
        <v>192410</v>
      </c>
      <c r="H30" s="37">
        <v>192410</v>
      </c>
      <c r="I30" s="37"/>
      <c r="J30" s="21"/>
      <c r="K30" s="88"/>
    </row>
    <row r="31" spans="1:11" s="3" customFormat="1" ht="197.25" customHeight="1">
      <c r="A31" s="92"/>
      <c r="B31" s="89"/>
      <c r="C31" s="89"/>
      <c r="D31" s="99"/>
      <c r="E31" s="10" t="s">
        <v>416</v>
      </c>
      <c r="F31" s="31" t="s">
        <v>477</v>
      </c>
      <c r="G31" s="37">
        <f t="shared" si="0"/>
        <v>25900</v>
      </c>
      <c r="H31" s="37">
        <v>25900</v>
      </c>
      <c r="I31" s="37"/>
      <c r="J31" s="21"/>
      <c r="K31" s="88"/>
    </row>
    <row r="32" spans="1:11" s="3" customFormat="1" ht="143.25" customHeight="1">
      <c r="A32" s="9" t="s">
        <v>285</v>
      </c>
      <c r="B32" s="40" t="s">
        <v>286</v>
      </c>
      <c r="C32" s="40" t="s">
        <v>287</v>
      </c>
      <c r="D32" s="19" t="s">
        <v>288</v>
      </c>
      <c r="E32" s="10" t="s">
        <v>450</v>
      </c>
      <c r="F32" s="31" t="s">
        <v>394</v>
      </c>
      <c r="G32" s="37">
        <f t="shared" si="0"/>
        <v>700000</v>
      </c>
      <c r="H32" s="37">
        <f>850000-150000</f>
        <v>700000</v>
      </c>
      <c r="I32" s="37"/>
      <c r="J32" s="21"/>
      <c r="K32" s="88"/>
    </row>
    <row r="33" spans="1:11" s="3" customFormat="1" ht="159.75" customHeight="1">
      <c r="A33" s="9" t="s">
        <v>277</v>
      </c>
      <c r="B33" s="40" t="s">
        <v>275</v>
      </c>
      <c r="C33" s="40" t="s">
        <v>9</v>
      </c>
      <c r="D33" s="10" t="s">
        <v>276</v>
      </c>
      <c r="E33" s="10" t="s">
        <v>445</v>
      </c>
      <c r="F33" s="31" t="s">
        <v>381</v>
      </c>
      <c r="G33" s="37">
        <f t="shared" si="0"/>
        <v>1563000</v>
      </c>
      <c r="H33" s="37">
        <f>800000+276000+150000+337000</f>
        <v>1563000</v>
      </c>
      <c r="I33" s="37"/>
      <c r="J33" s="37"/>
      <c r="K33" s="88"/>
    </row>
    <row r="34" spans="1:11" s="3" customFormat="1" ht="141.75" customHeight="1">
      <c r="A34" s="9" t="s">
        <v>249</v>
      </c>
      <c r="B34" s="40" t="s">
        <v>247</v>
      </c>
      <c r="C34" s="40" t="s">
        <v>9</v>
      </c>
      <c r="D34" s="19" t="s">
        <v>248</v>
      </c>
      <c r="E34" s="10" t="s">
        <v>445</v>
      </c>
      <c r="F34" s="31" t="s">
        <v>381</v>
      </c>
      <c r="G34" s="37">
        <f t="shared" si="0"/>
        <v>465000</v>
      </c>
      <c r="H34" s="37">
        <v>465000</v>
      </c>
      <c r="I34" s="37"/>
      <c r="J34" s="37"/>
      <c r="K34" s="88"/>
    </row>
    <row r="35" spans="1:11" s="3" customFormat="1" ht="162.75" customHeight="1">
      <c r="A35" s="9" t="s">
        <v>122</v>
      </c>
      <c r="B35" s="40" t="s">
        <v>57</v>
      </c>
      <c r="C35" s="40" t="s">
        <v>10</v>
      </c>
      <c r="D35" s="10" t="s">
        <v>43</v>
      </c>
      <c r="E35" s="10" t="s">
        <v>454</v>
      </c>
      <c r="F35" s="31" t="s">
        <v>397</v>
      </c>
      <c r="G35" s="37">
        <f t="shared" si="0"/>
        <v>1761000</v>
      </c>
      <c r="H35" s="37">
        <f>750000+1000000+11000</f>
        <v>1761000</v>
      </c>
      <c r="I35" s="37"/>
      <c r="J35" s="37"/>
      <c r="K35" s="88"/>
    </row>
    <row r="36" spans="1:11" s="3" customFormat="1" ht="156.75" customHeight="1">
      <c r="A36" s="9" t="s">
        <v>123</v>
      </c>
      <c r="B36" s="40" t="s">
        <v>58</v>
      </c>
      <c r="C36" s="40" t="s">
        <v>10</v>
      </c>
      <c r="D36" s="10" t="s">
        <v>11</v>
      </c>
      <c r="E36" s="10" t="s">
        <v>454</v>
      </c>
      <c r="F36" s="31" t="s">
        <v>397</v>
      </c>
      <c r="G36" s="37">
        <f t="shared" si="0"/>
        <v>2275000</v>
      </c>
      <c r="H36" s="37">
        <f>750000+1300000+127000+98000</f>
        <v>2275000</v>
      </c>
      <c r="I36" s="37"/>
      <c r="J36" s="37"/>
      <c r="K36" s="88"/>
    </row>
    <row r="37" spans="1:11" s="3" customFormat="1" ht="162.75" customHeight="1">
      <c r="A37" s="9" t="s">
        <v>124</v>
      </c>
      <c r="B37" s="40" t="s">
        <v>64</v>
      </c>
      <c r="C37" s="40" t="s">
        <v>10</v>
      </c>
      <c r="D37" s="10" t="s">
        <v>44</v>
      </c>
      <c r="E37" s="10" t="s">
        <v>454</v>
      </c>
      <c r="F37" s="31" t="s">
        <v>397</v>
      </c>
      <c r="G37" s="37">
        <f t="shared" si="0"/>
        <v>14283830</v>
      </c>
      <c r="H37" s="37">
        <f>13106830+37000+412000</f>
        <v>13555830</v>
      </c>
      <c r="I37" s="37">
        <f>500000+228000</f>
        <v>728000</v>
      </c>
      <c r="J37" s="37">
        <f>500000+228000</f>
        <v>728000</v>
      </c>
      <c r="K37" s="88"/>
    </row>
    <row r="38" spans="1:11" s="3" customFormat="1" ht="144.75" customHeight="1">
      <c r="A38" s="9" t="s">
        <v>125</v>
      </c>
      <c r="B38" s="40" t="s">
        <v>65</v>
      </c>
      <c r="C38" s="40" t="s">
        <v>10</v>
      </c>
      <c r="D38" s="10" t="s">
        <v>45</v>
      </c>
      <c r="E38" s="10" t="s">
        <v>454</v>
      </c>
      <c r="F38" s="31" t="s">
        <v>397</v>
      </c>
      <c r="G38" s="37">
        <f t="shared" si="0"/>
        <v>11406630</v>
      </c>
      <c r="H38" s="37">
        <f>11143630+20000+143000</f>
        <v>11306630</v>
      </c>
      <c r="I38" s="37">
        <f>93000+7000</f>
        <v>100000</v>
      </c>
      <c r="J38" s="37">
        <f>93000+7000</f>
        <v>100000</v>
      </c>
      <c r="K38" s="88"/>
    </row>
    <row r="39" spans="1:11" s="3" customFormat="1" ht="192.75" customHeight="1">
      <c r="A39" s="9" t="s">
        <v>126</v>
      </c>
      <c r="B39" s="40" t="s">
        <v>68</v>
      </c>
      <c r="C39" s="40" t="s">
        <v>10</v>
      </c>
      <c r="D39" s="10" t="s">
        <v>66</v>
      </c>
      <c r="E39" s="10" t="s">
        <v>454</v>
      </c>
      <c r="F39" s="31" t="s">
        <v>397</v>
      </c>
      <c r="G39" s="37">
        <f t="shared" si="0"/>
        <v>5022240</v>
      </c>
      <c r="H39" s="37">
        <f>3728120+165000+50000</f>
        <v>3943120</v>
      </c>
      <c r="I39" s="37">
        <f>179120+900000</f>
        <v>1079120</v>
      </c>
      <c r="J39" s="37">
        <v>900000</v>
      </c>
      <c r="K39" s="88"/>
    </row>
    <row r="40" spans="1:11" s="3" customFormat="1" ht="150.75" customHeight="1">
      <c r="A40" s="9" t="s">
        <v>127</v>
      </c>
      <c r="B40" s="40" t="s">
        <v>63</v>
      </c>
      <c r="C40" s="40" t="s">
        <v>10</v>
      </c>
      <c r="D40" s="10" t="s">
        <v>67</v>
      </c>
      <c r="E40" s="10" t="s">
        <v>454</v>
      </c>
      <c r="F40" s="31" t="s">
        <v>397</v>
      </c>
      <c r="G40" s="37">
        <f t="shared" si="0"/>
        <v>7066840</v>
      </c>
      <c r="H40" s="37">
        <f>6608390+200000+215000</f>
        <v>7023390</v>
      </c>
      <c r="I40" s="37">
        <v>43450</v>
      </c>
      <c r="J40" s="37">
        <v>43450</v>
      </c>
      <c r="K40" s="88"/>
    </row>
    <row r="41" spans="1:11" s="3" customFormat="1" ht="178.5" customHeight="1">
      <c r="A41" s="9" t="s">
        <v>128</v>
      </c>
      <c r="B41" s="40" t="s">
        <v>87</v>
      </c>
      <c r="C41" s="40" t="s">
        <v>29</v>
      </c>
      <c r="D41" s="10" t="s">
        <v>28</v>
      </c>
      <c r="E41" s="10" t="s">
        <v>507</v>
      </c>
      <c r="F41" s="31" t="s">
        <v>367</v>
      </c>
      <c r="G41" s="37">
        <f t="shared" si="0"/>
        <v>10000000</v>
      </c>
      <c r="H41" s="37">
        <v>10000000</v>
      </c>
      <c r="I41" s="37"/>
      <c r="J41" s="37"/>
      <c r="K41" s="88"/>
    </row>
    <row r="42" spans="1:11" s="3" customFormat="1" ht="174" customHeight="1">
      <c r="A42" s="9" t="s">
        <v>500</v>
      </c>
      <c r="B42" s="40">
        <v>7413</v>
      </c>
      <c r="C42" s="40" t="s">
        <v>29</v>
      </c>
      <c r="D42" s="10" t="s">
        <v>501</v>
      </c>
      <c r="E42" s="10" t="s">
        <v>507</v>
      </c>
      <c r="F42" s="31" t="s">
        <v>367</v>
      </c>
      <c r="G42" s="37">
        <f t="shared" si="0"/>
        <v>2800000</v>
      </c>
      <c r="H42" s="37">
        <v>2800000</v>
      </c>
      <c r="I42" s="37"/>
      <c r="J42" s="37"/>
      <c r="K42" s="88"/>
    </row>
    <row r="43" spans="1:11" s="3" customFormat="1" ht="169.5" customHeight="1">
      <c r="A43" s="9" t="s">
        <v>129</v>
      </c>
      <c r="B43" s="40" t="s">
        <v>88</v>
      </c>
      <c r="C43" s="40">
        <v>453</v>
      </c>
      <c r="D43" s="10" t="s">
        <v>89</v>
      </c>
      <c r="E43" s="10" t="s">
        <v>507</v>
      </c>
      <c r="F43" s="31" t="s">
        <v>367</v>
      </c>
      <c r="G43" s="37">
        <f t="shared" si="0"/>
        <v>15200000</v>
      </c>
      <c r="H43" s="37">
        <v>15200000</v>
      </c>
      <c r="I43" s="37"/>
      <c r="J43" s="37"/>
      <c r="K43" s="88"/>
    </row>
    <row r="44" spans="1:11" s="14" customFormat="1" ht="133.5" customHeight="1" hidden="1">
      <c r="A44" s="9" t="s">
        <v>262</v>
      </c>
      <c r="B44" s="40" t="s">
        <v>263</v>
      </c>
      <c r="C44" s="40" t="s">
        <v>265</v>
      </c>
      <c r="D44" s="10" t="s">
        <v>264</v>
      </c>
      <c r="E44" s="10" t="s">
        <v>391</v>
      </c>
      <c r="F44" s="31" t="s">
        <v>367</v>
      </c>
      <c r="G44" s="37">
        <f t="shared" si="0"/>
        <v>0</v>
      </c>
      <c r="H44" s="37"/>
      <c r="I44" s="37"/>
      <c r="J44" s="37"/>
      <c r="K44" s="88"/>
    </row>
    <row r="45" spans="1:11" s="3" customFormat="1" ht="205.5" customHeight="1">
      <c r="A45" s="9" t="s">
        <v>199</v>
      </c>
      <c r="B45" s="40" t="s">
        <v>200</v>
      </c>
      <c r="C45" s="40" t="s">
        <v>201</v>
      </c>
      <c r="D45" s="10" t="s">
        <v>202</v>
      </c>
      <c r="E45" s="10" t="s">
        <v>417</v>
      </c>
      <c r="F45" s="10" t="s">
        <v>449</v>
      </c>
      <c r="G45" s="37">
        <f t="shared" si="0"/>
        <v>19500000</v>
      </c>
      <c r="H45" s="37">
        <f>10000000+3450000</f>
        <v>13450000</v>
      </c>
      <c r="I45" s="37">
        <f>5000000+1050000</f>
        <v>6050000</v>
      </c>
      <c r="J45" s="37">
        <f>5000000+1050000</f>
        <v>6050000</v>
      </c>
      <c r="K45" s="88"/>
    </row>
    <row r="46" spans="1:11" s="14" customFormat="1" ht="187.5" customHeight="1">
      <c r="A46" s="9" t="s">
        <v>130</v>
      </c>
      <c r="B46" s="40" t="s">
        <v>90</v>
      </c>
      <c r="C46" s="40" t="s">
        <v>5</v>
      </c>
      <c r="D46" s="10" t="s">
        <v>46</v>
      </c>
      <c r="E46" s="10" t="s">
        <v>414</v>
      </c>
      <c r="F46" s="10" t="s">
        <v>465</v>
      </c>
      <c r="G46" s="37">
        <f t="shared" si="0"/>
        <v>215000</v>
      </c>
      <c r="H46" s="37">
        <v>215000</v>
      </c>
      <c r="I46" s="37"/>
      <c r="J46" s="37"/>
      <c r="K46" s="88"/>
    </row>
    <row r="47" spans="1:11" s="14" customFormat="1" ht="124.5" customHeight="1" hidden="1">
      <c r="A47" s="9" t="s">
        <v>203</v>
      </c>
      <c r="B47" s="40" t="s">
        <v>83</v>
      </c>
      <c r="C47" s="40" t="s">
        <v>25</v>
      </c>
      <c r="D47" s="10" t="s">
        <v>53</v>
      </c>
      <c r="E47" s="10" t="s">
        <v>426</v>
      </c>
      <c r="F47" s="31" t="s">
        <v>411</v>
      </c>
      <c r="G47" s="37">
        <f t="shared" si="0"/>
        <v>0</v>
      </c>
      <c r="H47" s="37"/>
      <c r="I47" s="37"/>
      <c r="J47" s="37"/>
      <c r="K47" s="88"/>
    </row>
    <row r="48" spans="1:11" s="14" customFormat="1" ht="204.75" customHeight="1">
      <c r="A48" s="9" t="s">
        <v>131</v>
      </c>
      <c r="B48" s="40" t="s">
        <v>91</v>
      </c>
      <c r="C48" s="40" t="s">
        <v>4</v>
      </c>
      <c r="D48" s="10" t="s">
        <v>47</v>
      </c>
      <c r="E48" s="10" t="s">
        <v>507</v>
      </c>
      <c r="F48" s="31" t="s">
        <v>367</v>
      </c>
      <c r="G48" s="37">
        <f t="shared" si="0"/>
        <v>22572000</v>
      </c>
      <c r="H48" s="37"/>
      <c r="I48" s="37">
        <v>22572000</v>
      </c>
      <c r="J48" s="37">
        <v>22572000</v>
      </c>
      <c r="K48" s="88"/>
    </row>
    <row r="49" spans="1:11" s="14" customFormat="1" ht="187.5" customHeight="1">
      <c r="A49" s="92" t="s">
        <v>192</v>
      </c>
      <c r="B49" s="89" t="s">
        <v>193</v>
      </c>
      <c r="C49" s="89" t="s">
        <v>4</v>
      </c>
      <c r="D49" s="99" t="s">
        <v>194</v>
      </c>
      <c r="E49" s="12" t="s">
        <v>436</v>
      </c>
      <c r="F49" s="10" t="s">
        <v>478</v>
      </c>
      <c r="G49" s="37">
        <f t="shared" si="0"/>
        <v>159784</v>
      </c>
      <c r="H49" s="37">
        <f>158069+1715</f>
        <v>159784</v>
      </c>
      <c r="I49" s="37"/>
      <c r="J49" s="37"/>
      <c r="K49" s="88"/>
    </row>
    <row r="50" spans="1:11" s="14" customFormat="1" ht="154.5" customHeight="1">
      <c r="A50" s="92"/>
      <c r="B50" s="89"/>
      <c r="C50" s="89"/>
      <c r="D50" s="99"/>
      <c r="E50" s="10" t="s">
        <v>435</v>
      </c>
      <c r="F50" s="10" t="s">
        <v>466</v>
      </c>
      <c r="G50" s="37">
        <f t="shared" si="0"/>
        <v>81683</v>
      </c>
      <c r="H50" s="37">
        <f>82000-317</f>
        <v>81683</v>
      </c>
      <c r="I50" s="37"/>
      <c r="J50" s="37"/>
      <c r="K50" s="88"/>
    </row>
    <row r="51" spans="1:11" s="3" customFormat="1" ht="135.75" customHeight="1">
      <c r="A51" s="9" t="s">
        <v>204</v>
      </c>
      <c r="B51" s="40" t="s">
        <v>205</v>
      </c>
      <c r="C51" s="40" t="s">
        <v>4</v>
      </c>
      <c r="D51" s="10" t="s">
        <v>206</v>
      </c>
      <c r="E51" s="10" t="s">
        <v>445</v>
      </c>
      <c r="F51" s="31" t="s">
        <v>389</v>
      </c>
      <c r="G51" s="37">
        <f t="shared" si="0"/>
        <v>1869189</v>
      </c>
      <c r="H51" s="37">
        <f>1617587+250000+3000-1398</f>
        <v>1869189</v>
      </c>
      <c r="I51" s="37"/>
      <c r="J51" s="37"/>
      <c r="K51" s="88"/>
    </row>
    <row r="52" spans="1:11" ht="222" customHeight="1">
      <c r="A52" s="9" t="s">
        <v>132</v>
      </c>
      <c r="B52" s="40" t="s">
        <v>92</v>
      </c>
      <c r="C52" s="40" t="s">
        <v>93</v>
      </c>
      <c r="D52" s="10" t="s">
        <v>94</v>
      </c>
      <c r="E52" s="10" t="s">
        <v>488</v>
      </c>
      <c r="F52" s="31" t="s">
        <v>440</v>
      </c>
      <c r="G52" s="37">
        <f t="shared" si="0"/>
        <v>2884100</v>
      </c>
      <c r="H52" s="37">
        <f>284500+300000</f>
        <v>584500</v>
      </c>
      <c r="I52" s="37">
        <f>2159600+140000</f>
        <v>2299600</v>
      </c>
      <c r="J52" s="37">
        <f>2159600+140000</f>
        <v>2299600</v>
      </c>
      <c r="K52" s="88"/>
    </row>
    <row r="53" spans="1:11" ht="105" customHeight="1">
      <c r="A53" s="9" t="s">
        <v>195</v>
      </c>
      <c r="B53" s="40" t="s">
        <v>196</v>
      </c>
      <c r="C53" s="40" t="s">
        <v>197</v>
      </c>
      <c r="D53" s="19" t="s">
        <v>198</v>
      </c>
      <c r="E53" s="10" t="s">
        <v>461</v>
      </c>
      <c r="F53" s="31" t="s">
        <v>398</v>
      </c>
      <c r="G53" s="37">
        <f t="shared" si="0"/>
        <v>683360</v>
      </c>
      <c r="H53" s="37">
        <v>683360</v>
      </c>
      <c r="I53" s="37"/>
      <c r="J53" s="37"/>
      <c r="K53" s="88"/>
    </row>
    <row r="54" spans="1:11" ht="146.25" customHeight="1">
      <c r="A54" s="9" t="s">
        <v>133</v>
      </c>
      <c r="B54" s="40" t="s">
        <v>79</v>
      </c>
      <c r="C54" s="40" t="s">
        <v>12</v>
      </c>
      <c r="D54" s="10" t="s">
        <v>80</v>
      </c>
      <c r="E54" s="12" t="s">
        <v>464</v>
      </c>
      <c r="F54" s="10" t="s">
        <v>382</v>
      </c>
      <c r="G54" s="37">
        <f t="shared" si="0"/>
        <v>264000</v>
      </c>
      <c r="H54" s="37"/>
      <c r="I54" s="37">
        <v>264000</v>
      </c>
      <c r="J54" s="37"/>
      <c r="K54" s="88"/>
    </row>
    <row r="55" spans="1:11" ht="146.25" customHeight="1">
      <c r="A55" s="9" t="s">
        <v>238</v>
      </c>
      <c r="B55" s="40" t="s">
        <v>239</v>
      </c>
      <c r="C55" s="40" t="s">
        <v>27</v>
      </c>
      <c r="D55" s="10" t="s">
        <v>240</v>
      </c>
      <c r="E55" s="10" t="s">
        <v>445</v>
      </c>
      <c r="F55" s="31" t="s">
        <v>381</v>
      </c>
      <c r="G55" s="37">
        <f t="shared" si="0"/>
        <v>100000</v>
      </c>
      <c r="H55" s="37">
        <v>100000</v>
      </c>
      <c r="I55" s="37"/>
      <c r="J55" s="37"/>
      <c r="K55" s="88"/>
    </row>
    <row r="56" spans="1:11" ht="116.25" customHeight="1" hidden="1">
      <c r="A56" s="92" t="s">
        <v>316</v>
      </c>
      <c r="B56" s="89" t="s">
        <v>77</v>
      </c>
      <c r="C56" s="89" t="s">
        <v>26</v>
      </c>
      <c r="D56" s="107" t="s">
        <v>78</v>
      </c>
      <c r="E56" s="10" t="s">
        <v>461</v>
      </c>
      <c r="F56" s="31" t="s">
        <v>398</v>
      </c>
      <c r="G56" s="37">
        <f t="shared" si="0"/>
        <v>0</v>
      </c>
      <c r="H56" s="37"/>
      <c r="I56" s="37"/>
      <c r="J56" s="37"/>
      <c r="K56" s="88"/>
    </row>
    <row r="57" spans="1:11" ht="376.5" customHeight="1" hidden="1">
      <c r="A57" s="92"/>
      <c r="B57" s="89"/>
      <c r="C57" s="89"/>
      <c r="D57" s="107"/>
      <c r="E57" s="10" t="s">
        <v>415</v>
      </c>
      <c r="F57" s="31" t="s">
        <v>462</v>
      </c>
      <c r="G57" s="37">
        <f t="shared" si="0"/>
        <v>0</v>
      </c>
      <c r="H57" s="37"/>
      <c r="I57" s="37"/>
      <c r="J57" s="37"/>
      <c r="K57" s="88"/>
    </row>
    <row r="58" spans="1:11" ht="183" customHeight="1" hidden="1">
      <c r="A58" s="92"/>
      <c r="B58" s="89"/>
      <c r="C58" s="89"/>
      <c r="D58" s="107"/>
      <c r="E58" s="10" t="s">
        <v>416</v>
      </c>
      <c r="F58" s="31" t="s">
        <v>447</v>
      </c>
      <c r="G58" s="37">
        <f t="shared" si="0"/>
        <v>0</v>
      </c>
      <c r="H58" s="37"/>
      <c r="I58" s="37"/>
      <c r="J58" s="37"/>
      <c r="K58" s="88"/>
    </row>
    <row r="59" spans="1:11" ht="112.5" customHeight="1" hidden="1">
      <c r="A59" s="92" t="s">
        <v>289</v>
      </c>
      <c r="B59" s="89" t="s">
        <v>290</v>
      </c>
      <c r="C59" s="89" t="s">
        <v>26</v>
      </c>
      <c r="D59" s="99" t="s">
        <v>291</v>
      </c>
      <c r="E59" s="10" t="s">
        <v>461</v>
      </c>
      <c r="F59" s="31" t="s">
        <v>398</v>
      </c>
      <c r="G59" s="37">
        <f t="shared" si="0"/>
        <v>0</v>
      </c>
      <c r="H59" s="37"/>
      <c r="I59" s="37"/>
      <c r="J59" s="37"/>
      <c r="K59" s="88"/>
    </row>
    <row r="60" spans="1:11" ht="378" customHeight="1" hidden="1">
      <c r="A60" s="92"/>
      <c r="B60" s="89"/>
      <c r="C60" s="89"/>
      <c r="D60" s="99"/>
      <c r="E60" s="10" t="s">
        <v>415</v>
      </c>
      <c r="F60" s="31" t="s">
        <v>462</v>
      </c>
      <c r="G60" s="37">
        <f t="shared" si="0"/>
        <v>0</v>
      </c>
      <c r="H60" s="37"/>
      <c r="I60" s="37"/>
      <c r="J60" s="37"/>
      <c r="K60" s="88"/>
    </row>
    <row r="61" spans="1:11" ht="201" customHeight="1" hidden="1">
      <c r="A61" s="92"/>
      <c r="B61" s="89"/>
      <c r="C61" s="89"/>
      <c r="D61" s="99"/>
      <c r="E61" s="10" t="s">
        <v>416</v>
      </c>
      <c r="F61" s="31" t="s">
        <v>447</v>
      </c>
      <c r="G61" s="37">
        <f t="shared" si="0"/>
        <v>0</v>
      </c>
      <c r="H61" s="37"/>
      <c r="I61" s="37"/>
      <c r="J61" s="37"/>
      <c r="K61" s="88"/>
    </row>
    <row r="62" spans="1:11" s="2" customFormat="1" ht="117" customHeight="1">
      <c r="A62" s="16"/>
      <c r="B62" s="41"/>
      <c r="C62" s="41"/>
      <c r="D62" s="17" t="s">
        <v>134</v>
      </c>
      <c r="E62" s="17"/>
      <c r="F62" s="33"/>
      <c r="G62" s="36">
        <f>G63+G64+G65+G66+G67+G68+G69+G70+G71+G72+G73+G74+G75+G76+G77+G78+G79+G80+G81+G82+G84+G85+G86+G87</f>
        <v>1055081057.55</v>
      </c>
      <c r="H62" s="36">
        <f>H63+H64+H65+H66+H67+H68+H69+H70+H71+H72+H73+H74+H75+H76+H77+H78+H79+H80+H81+H82+H84+H85+H86+H87</f>
        <v>967907764</v>
      </c>
      <c r="I62" s="36">
        <f>I63+I64+I65+I66+I67+I68+I69+I70+I71+I72+I73+I74+I75+I76+I77+I78+I79+I80+I81+I82+I84+I85+I86+I87</f>
        <v>87173293.55</v>
      </c>
      <c r="J62" s="36">
        <f>J63+J64+J65+J66+J67+J68+J69+J70+J71+J72+J73+J74+J75+J76+J77+J78+J79+J80+J81+J82+J84+J85+J86+J87</f>
        <v>33456785.55</v>
      </c>
      <c r="K62" s="88"/>
    </row>
    <row r="63" spans="1:11" s="2" customFormat="1" ht="177">
      <c r="A63" s="9" t="s">
        <v>135</v>
      </c>
      <c r="B63" s="40" t="s">
        <v>70</v>
      </c>
      <c r="C63" s="40" t="s">
        <v>2</v>
      </c>
      <c r="D63" s="10" t="s">
        <v>71</v>
      </c>
      <c r="E63" s="10" t="s">
        <v>445</v>
      </c>
      <c r="F63" s="31" t="s">
        <v>381</v>
      </c>
      <c r="G63" s="37">
        <f t="shared" si="0"/>
        <v>272800</v>
      </c>
      <c r="H63" s="37">
        <f>30000+242800</f>
        <v>272800</v>
      </c>
      <c r="I63" s="37"/>
      <c r="J63" s="37"/>
      <c r="K63" s="88"/>
    </row>
    <row r="64" spans="1:11" ht="132.75">
      <c r="A64" s="92" t="s">
        <v>136</v>
      </c>
      <c r="B64" s="89" t="s">
        <v>36</v>
      </c>
      <c r="C64" s="89" t="s">
        <v>14</v>
      </c>
      <c r="D64" s="90" t="s">
        <v>84</v>
      </c>
      <c r="E64" s="10" t="s">
        <v>456</v>
      </c>
      <c r="F64" s="10" t="s">
        <v>393</v>
      </c>
      <c r="G64" s="37">
        <f t="shared" si="0"/>
        <v>264623854</v>
      </c>
      <c r="H64" s="37">
        <f>243109115+176336+1322957+112300-13457-3000000</f>
        <v>241707251</v>
      </c>
      <c r="I64" s="37">
        <f>20525656+500000+88136+760000+703043+347304-7536</f>
        <v>22916603</v>
      </c>
      <c r="J64" s="37">
        <f>4200000+500000+88136+760000+703043+347304-7536</f>
        <v>6590947</v>
      </c>
      <c r="K64" s="88"/>
    </row>
    <row r="65" spans="1:11" s="35" customFormat="1" ht="132.75">
      <c r="A65" s="92"/>
      <c r="B65" s="89"/>
      <c r="C65" s="89"/>
      <c r="D65" s="90"/>
      <c r="E65" s="10" t="s">
        <v>446</v>
      </c>
      <c r="F65" s="10" t="s">
        <v>383</v>
      </c>
      <c r="G65" s="37">
        <f>H65+I65</f>
        <v>16175</v>
      </c>
      <c r="H65" s="37">
        <v>16175</v>
      </c>
      <c r="I65" s="38"/>
      <c r="J65" s="38"/>
      <c r="K65" s="88"/>
    </row>
    <row r="66" spans="1:11" s="35" customFormat="1" ht="192" customHeight="1">
      <c r="A66" s="92"/>
      <c r="B66" s="89"/>
      <c r="C66" s="89"/>
      <c r="D66" s="90"/>
      <c r="E66" s="10" t="s">
        <v>416</v>
      </c>
      <c r="F66" s="31" t="s">
        <v>477</v>
      </c>
      <c r="G66" s="37">
        <f>H66+I66</f>
        <v>1213800</v>
      </c>
      <c r="H66" s="37">
        <v>1213800</v>
      </c>
      <c r="I66" s="38"/>
      <c r="J66" s="38"/>
      <c r="K66" s="88"/>
    </row>
    <row r="67" spans="1:12" s="35" customFormat="1" ht="135" customHeight="1">
      <c r="A67" s="92" t="s">
        <v>137</v>
      </c>
      <c r="B67" s="89" t="s">
        <v>34</v>
      </c>
      <c r="C67" s="89" t="s">
        <v>15</v>
      </c>
      <c r="D67" s="90" t="s">
        <v>469</v>
      </c>
      <c r="E67" s="10" t="s">
        <v>456</v>
      </c>
      <c r="F67" s="10" t="s">
        <v>393</v>
      </c>
      <c r="G67" s="37">
        <f t="shared" si="0"/>
        <v>589208022.64</v>
      </c>
      <c r="H67" s="37">
        <f>529731045-50000+2067000+1396248+800+1533444+15313000-11301200+50000+106000+70000+213600+208752+5996529-7000000</f>
        <v>538335218</v>
      </c>
      <c r="I67" s="37">
        <f>42711044+739872+3050000+2916586+700000-106000-7502.36+202738-76472+742539</f>
        <v>50872804.64</v>
      </c>
      <c r="J67" s="37">
        <f>13799297+739872+3050000+2916586+700000-106000-7502.36+202738-76472+742539</f>
        <v>21961057.64</v>
      </c>
      <c r="K67" s="88"/>
      <c r="L67" s="83"/>
    </row>
    <row r="68" spans="1:11" s="35" customFormat="1" ht="168" customHeight="1">
      <c r="A68" s="92"/>
      <c r="B68" s="89"/>
      <c r="C68" s="89"/>
      <c r="D68" s="90"/>
      <c r="E68" s="10" t="s">
        <v>446</v>
      </c>
      <c r="F68" s="10" t="s">
        <v>383</v>
      </c>
      <c r="G68" s="37">
        <f t="shared" si="0"/>
        <v>95975</v>
      </c>
      <c r="H68" s="37">
        <v>95975</v>
      </c>
      <c r="I68" s="38"/>
      <c r="J68" s="38"/>
      <c r="K68" s="88"/>
    </row>
    <row r="69" spans="1:11" s="35" customFormat="1" ht="198" customHeight="1">
      <c r="A69" s="92"/>
      <c r="B69" s="89"/>
      <c r="C69" s="89"/>
      <c r="D69" s="90"/>
      <c r="E69" s="10" t="s">
        <v>416</v>
      </c>
      <c r="F69" s="31" t="s">
        <v>477</v>
      </c>
      <c r="G69" s="37">
        <f t="shared" si="0"/>
        <v>2955560</v>
      </c>
      <c r="H69" s="37">
        <v>2955560</v>
      </c>
      <c r="I69" s="38"/>
      <c r="J69" s="38"/>
      <c r="K69" s="88"/>
    </row>
    <row r="70" spans="1:11" s="35" customFormat="1" ht="183.75" customHeight="1">
      <c r="A70" s="92"/>
      <c r="B70" s="89"/>
      <c r="C70" s="89"/>
      <c r="D70" s="90"/>
      <c r="E70" s="10" t="s">
        <v>417</v>
      </c>
      <c r="F70" s="10" t="s">
        <v>449</v>
      </c>
      <c r="G70" s="37">
        <f t="shared" si="0"/>
        <v>582850</v>
      </c>
      <c r="H70" s="37">
        <v>582850</v>
      </c>
      <c r="I70" s="38"/>
      <c r="J70" s="38"/>
      <c r="K70" s="88"/>
    </row>
    <row r="71" spans="1:11" ht="232.5" customHeight="1">
      <c r="A71" s="11" t="s">
        <v>471</v>
      </c>
      <c r="B71" s="42">
        <v>1030</v>
      </c>
      <c r="C71" s="40" t="s">
        <v>33</v>
      </c>
      <c r="D71" s="31" t="s">
        <v>470</v>
      </c>
      <c r="E71" s="10" t="s">
        <v>456</v>
      </c>
      <c r="F71" s="10" t="s">
        <v>393</v>
      </c>
      <c r="G71" s="37">
        <f t="shared" si="0"/>
        <v>9590880</v>
      </c>
      <c r="H71" s="37">
        <f>9152880+50000+110000+106000</f>
        <v>9418880</v>
      </c>
      <c r="I71" s="37">
        <f>150000+22000</f>
        <v>172000</v>
      </c>
      <c r="J71" s="37">
        <f>150000+22000</f>
        <v>172000</v>
      </c>
      <c r="K71" s="88"/>
    </row>
    <row r="72" spans="1:11" ht="168.75" customHeight="1">
      <c r="A72" s="11" t="s">
        <v>138</v>
      </c>
      <c r="B72" s="42" t="s">
        <v>6</v>
      </c>
      <c r="C72" s="40" t="s">
        <v>32</v>
      </c>
      <c r="D72" s="10" t="s">
        <v>472</v>
      </c>
      <c r="E72" s="10" t="s">
        <v>456</v>
      </c>
      <c r="F72" s="10" t="s">
        <v>393</v>
      </c>
      <c r="G72" s="37">
        <f t="shared" si="0"/>
        <v>28323440</v>
      </c>
      <c r="H72" s="37">
        <f>27792840+230600</f>
        <v>28023440</v>
      </c>
      <c r="I72" s="37">
        <v>300000</v>
      </c>
      <c r="J72" s="37">
        <v>300000</v>
      </c>
      <c r="K72" s="88"/>
    </row>
    <row r="73" spans="1:11" ht="137.25" customHeight="1">
      <c r="A73" s="11" t="s">
        <v>349</v>
      </c>
      <c r="B73" s="42" t="s">
        <v>350</v>
      </c>
      <c r="C73" s="40" t="s">
        <v>351</v>
      </c>
      <c r="D73" s="10" t="s">
        <v>473</v>
      </c>
      <c r="E73" s="10" t="s">
        <v>456</v>
      </c>
      <c r="F73" s="10" t="s">
        <v>393</v>
      </c>
      <c r="G73" s="37">
        <f>H73+I73</f>
        <v>124887005</v>
      </c>
      <c r="H73" s="37">
        <f>115969900+217000+621000</f>
        <v>116807900</v>
      </c>
      <c r="I73" s="37">
        <v>8079105</v>
      </c>
      <c r="J73" s="37"/>
      <c r="K73" s="88"/>
    </row>
    <row r="74" spans="1:11" ht="131.25" customHeight="1">
      <c r="A74" s="11" t="s">
        <v>352</v>
      </c>
      <c r="B74" s="42" t="s">
        <v>353</v>
      </c>
      <c r="C74" s="40" t="s">
        <v>16</v>
      </c>
      <c r="D74" s="10" t="s">
        <v>474</v>
      </c>
      <c r="E74" s="10" t="s">
        <v>456</v>
      </c>
      <c r="F74" s="10" t="s">
        <v>393</v>
      </c>
      <c r="G74" s="37">
        <f t="shared" si="0"/>
        <v>2893730</v>
      </c>
      <c r="H74" s="37">
        <v>2893730</v>
      </c>
      <c r="I74" s="37"/>
      <c r="J74" s="37"/>
      <c r="K74" s="88"/>
    </row>
    <row r="75" spans="1:11" s="3" customFormat="1" ht="141" customHeight="1">
      <c r="A75" s="11" t="s">
        <v>271</v>
      </c>
      <c r="B75" s="42" t="s">
        <v>267</v>
      </c>
      <c r="C75" s="40" t="s">
        <v>16</v>
      </c>
      <c r="D75" s="10" t="s">
        <v>269</v>
      </c>
      <c r="E75" s="10" t="s">
        <v>456</v>
      </c>
      <c r="F75" s="10" t="s">
        <v>393</v>
      </c>
      <c r="G75" s="37">
        <f t="shared" si="0"/>
        <v>9777170</v>
      </c>
      <c r="H75" s="37">
        <f>9333170+12000</f>
        <v>9345170</v>
      </c>
      <c r="I75" s="37">
        <f>100000+200000+132000</f>
        <v>432000</v>
      </c>
      <c r="J75" s="37">
        <f>100000+200000+132000</f>
        <v>432000</v>
      </c>
      <c r="K75" s="88"/>
    </row>
    <row r="76" spans="1:11" s="3" customFormat="1" ht="141" customHeight="1">
      <c r="A76" s="11" t="s">
        <v>272</v>
      </c>
      <c r="B76" s="42" t="s">
        <v>268</v>
      </c>
      <c r="C76" s="40" t="s">
        <v>16</v>
      </c>
      <c r="D76" s="10" t="s">
        <v>270</v>
      </c>
      <c r="E76" s="10" t="s">
        <v>456</v>
      </c>
      <c r="F76" s="10" t="s">
        <v>393</v>
      </c>
      <c r="G76" s="37">
        <f t="shared" si="0"/>
        <v>107400</v>
      </c>
      <c r="H76" s="37">
        <v>107400</v>
      </c>
      <c r="I76" s="37"/>
      <c r="J76" s="37"/>
      <c r="K76" s="88"/>
    </row>
    <row r="77" spans="1:11" s="3" customFormat="1" ht="138" customHeight="1">
      <c r="A77" s="11" t="s">
        <v>371</v>
      </c>
      <c r="B77" s="42" t="s">
        <v>372</v>
      </c>
      <c r="C77" s="40" t="s">
        <v>16</v>
      </c>
      <c r="D77" s="10" t="s">
        <v>373</v>
      </c>
      <c r="E77" s="10" t="s">
        <v>456</v>
      </c>
      <c r="F77" s="10" t="s">
        <v>393</v>
      </c>
      <c r="G77" s="37">
        <f t="shared" si="0"/>
        <v>1627940</v>
      </c>
      <c r="H77" s="37">
        <v>1627940</v>
      </c>
      <c r="I77" s="37"/>
      <c r="J77" s="37"/>
      <c r="K77" s="88"/>
    </row>
    <row r="78" spans="1:11" ht="94.5" customHeight="1">
      <c r="A78" s="91" t="s">
        <v>139</v>
      </c>
      <c r="B78" s="98" t="s">
        <v>38</v>
      </c>
      <c r="C78" s="89" t="s">
        <v>7</v>
      </c>
      <c r="D78" s="90" t="s">
        <v>42</v>
      </c>
      <c r="E78" s="10" t="s">
        <v>452</v>
      </c>
      <c r="F78" s="31" t="s">
        <v>395</v>
      </c>
      <c r="G78" s="37">
        <f t="shared" si="0"/>
        <v>3661000</v>
      </c>
      <c r="H78" s="37">
        <v>3661000</v>
      </c>
      <c r="I78" s="37"/>
      <c r="J78" s="37"/>
      <c r="K78" s="88"/>
    </row>
    <row r="79" spans="1:11" ht="160.5" customHeight="1">
      <c r="A79" s="91"/>
      <c r="B79" s="98"/>
      <c r="C79" s="89"/>
      <c r="D79" s="90"/>
      <c r="E79" s="10" t="s">
        <v>446</v>
      </c>
      <c r="F79" s="31" t="s">
        <v>383</v>
      </c>
      <c r="G79" s="37">
        <f t="shared" si="0"/>
        <v>63000</v>
      </c>
      <c r="H79" s="37">
        <v>63000</v>
      </c>
      <c r="I79" s="37"/>
      <c r="J79" s="37"/>
      <c r="K79" s="88"/>
    </row>
    <row r="80" spans="1:11" ht="190.5" customHeight="1">
      <c r="A80" s="91"/>
      <c r="B80" s="98"/>
      <c r="C80" s="89"/>
      <c r="D80" s="90"/>
      <c r="E80" s="10" t="s">
        <v>416</v>
      </c>
      <c r="F80" s="31" t="s">
        <v>477</v>
      </c>
      <c r="G80" s="37">
        <f t="shared" si="0"/>
        <v>3276000</v>
      </c>
      <c r="H80" s="37">
        <v>3276000</v>
      </c>
      <c r="I80" s="37"/>
      <c r="J80" s="37"/>
      <c r="K80" s="88"/>
    </row>
    <row r="81" spans="1:11" ht="190.5" customHeight="1">
      <c r="A81" s="11" t="s">
        <v>364</v>
      </c>
      <c r="B81" s="42" t="s">
        <v>245</v>
      </c>
      <c r="C81" s="40" t="s">
        <v>6</v>
      </c>
      <c r="D81" s="10" t="s">
        <v>246</v>
      </c>
      <c r="E81" s="10" t="s">
        <v>427</v>
      </c>
      <c r="F81" s="31" t="s">
        <v>448</v>
      </c>
      <c r="G81" s="37">
        <f t="shared" si="0"/>
        <v>52490</v>
      </c>
      <c r="H81" s="37">
        <v>52490</v>
      </c>
      <c r="I81" s="37"/>
      <c r="J81" s="37"/>
      <c r="K81" s="88"/>
    </row>
    <row r="82" spans="1:11" s="3" customFormat="1" ht="147" customHeight="1">
      <c r="A82" s="9" t="s">
        <v>140</v>
      </c>
      <c r="B82" s="40" t="s">
        <v>64</v>
      </c>
      <c r="C82" s="40" t="s">
        <v>10</v>
      </c>
      <c r="D82" s="10" t="s">
        <v>44</v>
      </c>
      <c r="E82" s="10" t="s">
        <v>454</v>
      </c>
      <c r="F82" s="31" t="s">
        <v>397</v>
      </c>
      <c r="G82" s="37">
        <f t="shared" si="0"/>
        <v>7537500</v>
      </c>
      <c r="H82" s="37">
        <f>6725500+60000+2000</f>
        <v>6787500</v>
      </c>
      <c r="I82" s="37">
        <f>550000+200000</f>
        <v>750000</v>
      </c>
      <c r="J82" s="37">
        <f>550000+200000</f>
        <v>750000</v>
      </c>
      <c r="K82" s="88"/>
    </row>
    <row r="83" spans="1:11" s="3" customFormat="1" ht="142.5" customHeight="1" hidden="1">
      <c r="A83" s="92" t="s">
        <v>293</v>
      </c>
      <c r="B83" s="89" t="s">
        <v>294</v>
      </c>
      <c r="C83" s="89" t="s">
        <v>4</v>
      </c>
      <c r="D83" s="90" t="s">
        <v>295</v>
      </c>
      <c r="E83" s="10" t="s">
        <v>456</v>
      </c>
      <c r="F83" s="10" t="s">
        <v>393</v>
      </c>
      <c r="G83" s="37">
        <f t="shared" si="0"/>
        <v>0</v>
      </c>
      <c r="H83" s="37"/>
      <c r="I83" s="37"/>
      <c r="J83" s="37"/>
      <c r="K83" s="88"/>
    </row>
    <row r="84" spans="1:11" s="3" customFormat="1" ht="177">
      <c r="A84" s="92"/>
      <c r="B84" s="89"/>
      <c r="C84" s="89"/>
      <c r="D84" s="90"/>
      <c r="E84" s="10" t="s">
        <v>435</v>
      </c>
      <c r="F84" s="10" t="s">
        <v>466</v>
      </c>
      <c r="G84" s="37">
        <f>H84+I84</f>
        <v>257580.90999999997</v>
      </c>
      <c r="H84" s="37"/>
      <c r="I84" s="37">
        <f>7502.36+250078.55</f>
        <v>257580.90999999997</v>
      </c>
      <c r="J84" s="37">
        <f>7502.36+250078.55</f>
        <v>257580.90999999997</v>
      </c>
      <c r="K84" s="88"/>
    </row>
    <row r="85" spans="1:11" s="15" customFormat="1" ht="141" customHeight="1">
      <c r="A85" s="9" t="s">
        <v>141</v>
      </c>
      <c r="B85" s="40" t="s">
        <v>83</v>
      </c>
      <c r="C85" s="40" t="s">
        <v>25</v>
      </c>
      <c r="D85" s="10" t="s">
        <v>53</v>
      </c>
      <c r="E85" s="10" t="s">
        <v>435</v>
      </c>
      <c r="F85" s="10" t="s">
        <v>466</v>
      </c>
      <c r="G85" s="37">
        <f>H85+I85</f>
        <v>3572000</v>
      </c>
      <c r="H85" s="37">
        <v>578800</v>
      </c>
      <c r="I85" s="37">
        <v>2993200</v>
      </c>
      <c r="J85" s="37">
        <v>2993200</v>
      </c>
      <c r="K85" s="88"/>
    </row>
    <row r="86" spans="1:11" ht="138.75" customHeight="1">
      <c r="A86" s="11" t="s">
        <v>142</v>
      </c>
      <c r="B86" s="42" t="s">
        <v>79</v>
      </c>
      <c r="C86" s="40" t="s">
        <v>12</v>
      </c>
      <c r="D86" s="10" t="s">
        <v>80</v>
      </c>
      <c r="E86" s="12" t="s">
        <v>464</v>
      </c>
      <c r="F86" s="10" t="s">
        <v>382</v>
      </c>
      <c r="G86" s="37">
        <f>H86+I86</f>
        <v>400000</v>
      </c>
      <c r="H86" s="37"/>
      <c r="I86" s="37">
        <f>390000+10000</f>
        <v>400000</v>
      </c>
      <c r="J86" s="37"/>
      <c r="K86" s="88"/>
    </row>
    <row r="87" spans="1:11" ht="177" customHeight="1">
      <c r="A87" s="9" t="s">
        <v>292</v>
      </c>
      <c r="B87" s="40" t="s">
        <v>290</v>
      </c>
      <c r="C87" s="40" t="s">
        <v>26</v>
      </c>
      <c r="D87" s="19" t="s">
        <v>291</v>
      </c>
      <c r="E87" s="10" t="s">
        <v>416</v>
      </c>
      <c r="F87" s="31" t="s">
        <v>477</v>
      </c>
      <c r="G87" s="37">
        <f>H87+I87</f>
        <v>84885</v>
      </c>
      <c r="H87" s="37">
        <v>84885</v>
      </c>
      <c r="I87" s="37"/>
      <c r="J87" s="37"/>
      <c r="K87" s="88"/>
    </row>
    <row r="88" spans="1:11" s="2" customFormat="1" ht="97.5" customHeight="1">
      <c r="A88" s="16"/>
      <c r="B88" s="41"/>
      <c r="C88" s="41"/>
      <c r="D88" s="17" t="s">
        <v>143</v>
      </c>
      <c r="E88" s="17"/>
      <c r="F88" s="17"/>
      <c r="G88" s="36">
        <f>G89+G90+G91+G92+G93+G94+G95+G96+G97+G98+G99+G100+G103+G104+G101</f>
        <v>329183085</v>
      </c>
      <c r="H88" s="36">
        <f>H89+H90+H91+H92+H93+H94+H95+H96+H97+H98+H99+H100+H103+H104+H101</f>
        <v>225948011</v>
      </c>
      <c r="I88" s="36">
        <f>I89+I90+I91+I92+I93+I94+I95+I96+I97+I98+I99+I100+I103+I104+I101</f>
        <v>103235074</v>
      </c>
      <c r="J88" s="36">
        <f>J89+J90+J91+J92+J93+J94+J95+J96+J97+J98+J99+J100+J103+J104+J101</f>
        <v>102350074</v>
      </c>
      <c r="K88" s="88"/>
    </row>
    <row r="89" spans="1:11" ht="144.75" customHeight="1">
      <c r="A89" s="9" t="s">
        <v>144</v>
      </c>
      <c r="B89" s="40" t="s">
        <v>70</v>
      </c>
      <c r="C89" s="40" t="s">
        <v>2</v>
      </c>
      <c r="D89" s="10" t="s">
        <v>71</v>
      </c>
      <c r="E89" s="10" t="s">
        <v>445</v>
      </c>
      <c r="F89" s="31" t="s">
        <v>381</v>
      </c>
      <c r="G89" s="37">
        <f>H89+I89</f>
        <v>201800</v>
      </c>
      <c r="H89" s="37">
        <f>5000+196800</f>
        <v>201800</v>
      </c>
      <c r="I89" s="37"/>
      <c r="J89" s="37"/>
      <c r="K89" s="88"/>
    </row>
    <row r="90" spans="1:11" ht="144.75" customHeight="1">
      <c r="A90" s="91" t="s">
        <v>145</v>
      </c>
      <c r="B90" s="98" t="s">
        <v>37</v>
      </c>
      <c r="C90" s="89" t="s">
        <v>17</v>
      </c>
      <c r="D90" s="90" t="s">
        <v>48</v>
      </c>
      <c r="E90" s="12" t="s">
        <v>455</v>
      </c>
      <c r="F90" s="10" t="s">
        <v>392</v>
      </c>
      <c r="G90" s="37">
        <f>H90+I90</f>
        <v>165033196</v>
      </c>
      <c r="H90" s="37">
        <f>118457491+150000+717000-H91-100000+30000+725000</f>
        <v>119837696</v>
      </c>
      <c r="I90" s="37">
        <f>27530000+1100000+1606500-3000000+1500000+10000000+6000000+75000+454000+10000000-16000000+5930000</f>
        <v>45195500</v>
      </c>
      <c r="J90" s="37">
        <f>27530000+1100000+1606500-3000000+1500000+10000000+6000000+75000+454000+10000000-16000000+5930000</f>
        <v>45195500</v>
      </c>
      <c r="K90" s="88"/>
    </row>
    <row r="91" spans="1:11" s="35" customFormat="1" ht="207.75" customHeight="1">
      <c r="A91" s="91"/>
      <c r="B91" s="98"/>
      <c r="C91" s="89"/>
      <c r="D91" s="90"/>
      <c r="E91" s="10" t="s">
        <v>416</v>
      </c>
      <c r="F91" s="31" t="s">
        <v>477</v>
      </c>
      <c r="G91" s="37">
        <f aca="true" t="shared" si="1" ref="G91:G106">H91+I91</f>
        <v>141795</v>
      </c>
      <c r="H91" s="37">
        <v>141795</v>
      </c>
      <c r="I91" s="38"/>
      <c r="J91" s="38"/>
      <c r="K91" s="88"/>
    </row>
    <row r="92" spans="1:11" ht="132.75" customHeight="1">
      <c r="A92" s="91" t="s">
        <v>428</v>
      </c>
      <c r="B92" s="98">
        <v>2030</v>
      </c>
      <c r="C92" s="92" t="s">
        <v>429</v>
      </c>
      <c r="D92" s="99" t="s">
        <v>430</v>
      </c>
      <c r="E92" s="12" t="s">
        <v>455</v>
      </c>
      <c r="F92" s="10" t="s">
        <v>392</v>
      </c>
      <c r="G92" s="37">
        <f>H92+I92</f>
        <v>30401613</v>
      </c>
      <c r="H92" s="37">
        <f>15325473+95000-H93</f>
        <v>15361013</v>
      </c>
      <c r="I92" s="37">
        <v>15040600</v>
      </c>
      <c r="J92" s="37">
        <v>15040600</v>
      </c>
      <c r="K92" s="88"/>
    </row>
    <row r="93" spans="1:11" ht="189.75" customHeight="1">
      <c r="A93" s="91"/>
      <c r="B93" s="98"/>
      <c r="C93" s="92"/>
      <c r="D93" s="99"/>
      <c r="E93" s="10" t="s">
        <v>416</v>
      </c>
      <c r="F93" s="31" t="s">
        <v>477</v>
      </c>
      <c r="G93" s="37">
        <f>H93+I93</f>
        <v>59460</v>
      </c>
      <c r="H93" s="37">
        <f>9460+50000</f>
        <v>59460</v>
      </c>
      <c r="I93" s="37"/>
      <c r="J93" s="37"/>
      <c r="K93" s="88"/>
    </row>
    <row r="94" spans="1:11" ht="156.75" customHeight="1">
      <c r="A94" s="91" t="s">
        <v>146</v>
      </c>
      <c r="B94" s="98" t="s">
        <v>81</v>
      </c>
      <c r="C94" s="89" t="s">
        <v>18</v>
      </c>
      <c r="D94" s="90" t="s">
        <v>82</v>
      </c>
      <c r="E94" s="12" t="s">
        <v>455</v>
      </c>
      <c r="F94" s="10" t="s">
        <v>392</v>
      </c>
      <c r="G94" s="37">
        <f>H94+I94</f>
        <v>7759188</v>
      </c>
      <c r="H94" s="37">
        <f>6663426-H95</f>
        <v>6629188</v>
      </c>
      <c r="I94" s="37">
        <f>1210600-80600</f>
        <v>1130000</v>
      </c>
      <c r="J94" s="37">
        <f>1210600-80600</f>
        <v>1130000</v>
      </c>
      <c r="K94" s="88"/>
    </row>
    <row r="95" spans="1:11" s="35" customFormat="1" ht="183.75" customHeight="1">
      <c r="A95" s="91"/>
      <c r="B95" s="98"/>
      <c r="C95" s="89"/>
      <c r="D95" s="90"/>
      <c r="E95" s="10" t="s">
        <v>416</v>
      </c>
      <c r="F95" s="31" t="s">
        <v>477</v>
      </c>
      <c r="G95" s="37">
        <f t="shared" si="1"/>
        <v>34238</v>
      </c>
      <c r="H95" s="37">
        <v>34238</v>
      </c>
      <c r="I95" s="38"/>
      <c r="J95" s="38"/>
      <c r="K95" s="88"/>
    </row>
    <row r="96" spans="1:11" s="3" customFormat="1" ht="138.75" customHeight="1">
      <c r="A96" s="11" t="s">
        <v>418</v>
      </c>
      <c r="B96" s="42">
        <v>2111</v>
      </c>
      <c r="C96" s="9" t="s">
        <v>433</v>
      </c>
      <c r="D96" s="10" t="s">
        <v>432</v>
      </c>
      <c r="E96" s="12" t="s">
        <v>455</v>
      </c>
      <c r="F96" s="10" t="s">
        <v>392</v>
      </c>
      <c r="G96" s="37">
        <f t="shared" si="1"/>
        <v>1882468</v>
      </c>
      <c r="H96" s="37">
        <f>1672468+173000+25000+12000</f>
        <v>1882468</v>
      </c>
      <c r="I96" s="37"/>
      <c r="J96" s="37"/>
      <c r="K96" s="88"/>
    </row>
    <row r="97" spans="1:11" s="3" customFormat="1" ht="139.5" customHeight="1">
      <c r="A97" s="11" t="s">
        <v>358</v>
      </c>
      <c r="B97" s="42" t="s">
        <v>359</v>
      </c>
      <c r="C97" s="42" t="s">
        <v>281</v>
      </c>
      <c r="D97" s="10" t="s">
        <v>362</v>
      </c>
      <c r="E97" s="12" t="s">
        <v>455</v>
      </c>
      <c r="F97" s="10" t="s">
        <v>392</v>
      </c>
      <c r="G97" s="37">
        <f t="shared" si="1"/>
        <v>3090140</v>
      </c>
      <c r="H97" s="37">
        <f>2090140+1000000</f>
        <v>3090140</v>
      </c>
      <c r="I97" s="37"/>
      <c r="J97" s="37"/>
      <c r="K97" s="88"/>
    </row>
    <row r="98" spans="1:11" s="3" customFormat="1" ht="154.5" customHeight="1">
      <c r="A98" s="11" t="s">
        <v>360</v>
      </c>
      <c r="B98" s="42" t="s">
        <v>361</v>
      </c>
      <c r="C98" s="42" t="s">
        <v>281</v>
      </c>
      <c r="D98" s="10" t="s">
        <v>363</v>
      </c>
      <c r="E98" s="12" t="s">
        <v>455</v>
      </c>
      <c r="F98" s="10" t="s">
        <v>392</v>
      </c>
      <c r="G98" s="37">
        <f t="shared" si="1"/>
        <v>2894213</v>
      </c>
      <c r="H98" s="37">
        <v>2894213</v>
      </c>
      <c r="I98" s="37"/>
      <c r="J98" s="37"/>
      <c r="K98" s="88"/>
    </row>
    <row r="99" spans="1:11" s="3" customFormat="1" ht="135" customHeight="1">
      <c r="A99" s="114" t="s">
        <v>283</v>
      </c>
      <c r="B99" s="111" t="s">
        <v>280</v>
      </c>
      <c r="C99" s="111" t="s">
        <v>281</v>
      </c>
      <c r="D99" s="120" t="s">
        <v>282</v>
      </c>
      <c r="E99" s="12" t="s">
        <v>455</v>
      </c>
      <c r="F99" s="10" t="s">
        <v>392</v>
      </c>
      <c r="G99" s="37">
        <f t="shared" si="1"/>
        <v>91073000</v>
      </c>
      <c r="H99" s="37">
        <f>18815000-H100+3000000+625000+63490000+7000000-8000000-1500000-5930000-1883000</f>
        <v>75073000</v>
      </c>
      <c r="I99" s="37">
        <v>16000000</v>
      </c>
      <c r="J99" s="37">
        <v>16000000</v>
      </c>
      <c r="K99" s="88"/>
    </row>
    <row r="100" spans="1:11" s="35" customFormat="1" ht="195" customHeight="1">
      <c r="A100" s="115"/>
      <c r="B100" s="112"/>
      <c r="C100" s="112"/>
      <c r="D100" s="121"/>
      <c r="E100" s="10" t="s">
        <v>416</v>
      </c>
      <c r="F100" s="31" t="s">
        <v>477</v>
      </c>
      <c r="G100" s="37">
        <f t="shared" si="1"/>
        <v>544000</v>
      </c>
      <c r="H100" s="37">
        <v>544000</v>
      </c>
      <c r="I100" s="38"/>
      <c r="J100" s="38"/>
      <c r="K100" s="88"/>
    </row>
    <row r="101" spans="1:11" s="35" customFormat="1" ht="192" customHeight="1">
      <c r="A101" s="77" t="s">
        <v>486</v>
      </c>
      <c r="B101" s="76">
        <v>7361</v>
      </c>
      <c r="C101" s="77" t="s">
        <v>4</v>
      </c>
      <c r="D101" s="78" t="s">
        <v>312</v>
      </c>
      <c r="E101" s="12" t="s">
        <v>436</v>
      </c>
      <c r="F101" s="10" t="s">
        <v>479</v>
      </c>
      <c r="G101" s="37">
        <f t="shared" si="1"/>
        <v>3000000</v>
      </c>
      <c r="H101" s="37"/>
      <c r="I101" s="37">
        <v>3000000</v>
      </c>
      <c r="J101" s="37">
        <v>3000000</v>
      </c>
      <c r="K101" s="88"/>
    </row>
    <row r="102" spans="1:11" s="3" customFormat="1" ht="177" customHeight="1" hidden="1">
      <c r="A102" s="9" t="s">
        <v>296</v>
      </c>
      <c r="B102" s="40" t="s">
        <v>294</v>
      </c>
      <c r="C102" s="40" t="s">
        <v>4</v>
      </c>
      <c r="D102" s="10" t="s">
        <v>295</v>
      </c>
      <c r="E102" s="12" t="s">
        <v>455</v>
      </c>
      <c r="F102" s="10" t="s">
        <v>392</v>
      </c>
      <c r="G102" s="37">
        <f t="shared" si="1"/>
        <v>0</v>
      </c>
      <c r="H102" s="37"/>
      <c r="I102" s="37"/>
      <c r="J102" s="37"/>
      <c r="K102" s="88"/>
    </row>
    <row r="103" spans="1:11" ht="153.75" customHeight="1">
      <c r="A103" s="9" t="s">
        <v>147</v>
      </c>
      <c r="B103" s="40" t="s">
        <v>83</v>
      </c>
      <c r="C103" s="40" t="s">
        <v>25</v>
      </c>
      <c r="D103" s="10" t="s">
        <v>53</v>
      </c>
      <c r="E103" s="10" t="s">
        <v>435</v>
      </c>
      <c r="F103" s="10" t="s">
        <v>466</v>
      </c>
      <c r="G103" s="37">
        <f t="shared" si="1"/>
        <v>22182974</v>
      </c>
      <c r="H103" s="37">
        <v>199000</v>
      </c>
      <c r="I103" s="37">
        <f>25774304+1200000-1100000+9670-1500000-2400000</f>
        <v>21983974</v>
      </c>
      <c r="J103" s="37">
        <f>25774304+1200000-1100000+9670-1500000-2400000</f>
        <v>21983974</v>
      </c>
      <c r="K103" s="88"/>
    </row>
    <row r="104" spans="1:11" ht="183" customHeight="1">
      <c r="A104" s="9" t="s">
        <v>355</v>
      </c>
      <c r="B104" s="40" t="s">
        <v>356</v>
      </c>
      <c r="C104" s="40" t="s">
        <v>13</v>
      </c>
      <c r="D104" s="10" t="s">
        <v>357</v>
      </c>
      <c r="E104" s="10" t="s">
        <v>435</v>
      </c>
      <c r="F104" s="10" t="s">
        <v>466</v>
      </c>
      <c r="G104" s="37">
        <f t="shared" si="1"/>
        <v>885000</v>
      </c>
      <c r="H104" s="37"/>
      <c r="I104" s="37">
        <v>885000</v>
      </c>
      <c r="J104" s="37"/>
      <c r="K104" s="88"/>
    </row>
    <row r="105" spans="1:11" ht="177" customHeight="1" hidden="1">
      <c r="A105" s="9" t="s">
        <v>327</v>
      </c>
      <c r="B105" s="40" t="s">
        <v>79</v>
      </c>
      <c r="C105" s="40" t="s">
        <v>12</v>
      </c>
      <c r="D105" s="10" t="s">
        <v>80</v>
      </c>
      <c r="E105" s="12" t="s">
        <v>464</v>
      </c>
      <c r="F105" s="10" t="s">
        <v>382</v>
      </c>
      <c r="G105" s="37">
        <f t="shared" si="1"/>
        <v>0</v>
      </c>
      <c r="H105" s="73"/>
      <c r="I105" s="73"/>
      <c r="J105" s="37"/>
      <c r="K105" s="88"/>
    </row>
    <row r="106" spans="1:11" ht="221.25" customHeight="1" hidden="1">
      <c r="A106" s="9" t="s">
        <v>320</v>
      </c>
      <c r="B106" s="40" t="s">
        <v>77</v>
      </c>
      <c r="C106" s="40" t="s">
        <v>321</v>
      </c>
      <c r="D106" s="53" t="s">
        <v>78</v>
      </c>
      <c r="E106" s="12" t="s">
        <v>436</v>
      </c>
      <c r="F106" s="10" t="s">
        <v>457</v>
      </c>
      <c r="G106" s="37">
        <f t="shared" si="1"/>
        <v>0</v>
      </c>
      <c r="H106" s="37"/>
      <c r="I106" s="37"/>
      <c r="J106" s="37"/>
      <c r="K106" s="88"/>
    </row>
    <row r="107" spans="1:11" s="2" customFormat="1" ht="114" customHeight="1">
      <c r="A107" s="16"/>
      <c r="B107" s="41"/>
      <c r="C107" s="41"/>
      <c r="D107" s="17" t="s">
        <v>148</v>
      </c>
      <c r="E107" s="17"/>
      <c r="F107" s="33"/>
      <c r="G107" s="36">
        <f>G108+G109+G110+G111+G112+G113+G114+G115+G116+G117+G118+G119+G120+G121+G122+G123+G124+G126+G127</f>
        <v>94059962.5</v>
      </c>
      <c r="H107" s="36">
        <f>H108+H109+H110+H111+H112+H113+H114+H115+H116+H117+H118+H119+H120+H121+H122+H123+H124+H126+H127</f>
        <v>94024322.5</v>
      </c>
      <c r="I107" s="36">
        <f>I108+I109+I110+I111+I112+I113+I114+I115+I116+I117+I118+I119+I120+I121+I122+I123+I124+I126+I127</f>
        <v>35640</v>
      </c>
      <c r="J107" s="36">
        <f>J108+J109+J110+J111+J112+J113+J114+J115+J116+J117+J118+J119+J120+J121+J122+J123+J124+J126+J127</f>
        <v>35640</v>
      </c>
      <c r="K107" s="88"/>
    </row>
    <row r="108" spans="1:11" ht="143.25" customHeight="1">
      <c r="A108" s="9" t="s">
        <v>149</v>
      </c>
      <c r="B108" s="40" t="s">
        <v>70</v>
      </c>
      <c r="C108" s="40" t="s">
        <v>2</v>
      </c>
      <c r="D108" s="10" t="s">
        <v>71</v>
      </c>
      <c r="E108" s="10" t="s">
        <v>445</v>
      </c>
      <c r="F108" s="31" t="s">
        <v>381</v>
      </c>
      <c r="G108" s="37">
        <f aca="true" t="shared" si="2" ref="G108:G127">H108+I108</f>
        <v>284900</v>
      </c>
      <c r="H108" s="37">
        <f>50000+234900</f>
        <v>284900</v>
      </c>
      <c r="I108" s="37"/>
      <c r="J108" s="37"/>
      <c r="K108" s="88"/>
    </row>
    <row r="109" spans="1:11" s="26" customFormat="1" ht="174.75" customHeight="1">
      <c r="A109" s="9" t="s">
        <v>150</v>
      </c>
      <c r="B109" s="40" t="s">
        <v>39</v>
      </c>
      <c r="C109" s="40">
        <v>1030</v>
      </c>
      <c r="D109" s="10" t="s">
        <v>95</v>
      </c>
      <c r="E109" s="10" t="s">
        <v>446</v>
      </c>
      <c r="F109" s="31" t="s">
        <v>383</v>
      </c>
      <c r="G109" s="37">
        <f t="shared" si="2"/>
        <v>582400</v>
      </c>
      <c r="H109" s="37">
        <v>582400</v>
      </c>
      <c r="I109" s="37"/>
      <c r="J109" s="37"/>
      <c r="K109" s="88"/>
    </row>
    <row r="110" spans="1:11" s="3" customFormat="1" ht="159" customHeight="1">
      <c r="A110" s="9" t="s">
        <v>151</v>
      </c>
      <c r="B110" s="40" t="s">
        <v>96</v>
      </c>
      <c r="C110" s="40">
        <v>1070</v>
      </c>
      <c r="D110" s="10" t="s">
        <v>49</v>
      </c>
      <c r="E110" s="10" t="s">
        <v>446</v>
      </c>
      <c r="F110" s="31" t="s">
        <v>383</v>
      </c>
      <c r="G110" s="37">
        <f t="shared" si="2"/>
        <v>1295124</v>
      </c>
      <c r="H110" s="37">
        <f>1300000-4876</f>
        <v>1295124</v>
      </c>
      <c r="I110" s="37"/>
      <c r="J110" s="37"/>
      <c r="K110" s="88"/>
    </row>
    <row r="111" spans="1:11" s="3" customFormat="1" ht="189.75" customHeight="1">
      <c r="A111" s="9" t="s">
        <v>152</v>
      </c>
      <c r="B111" s="40" t="s">
        <v>40</v>
      </c>
      <c r="C111" s="40" t="s">
        <v>19</v>
      </c>
      <c r="D111" s="10" t="s">
        <v>35</v>
      </c>
      <c r="E111" s="10" t="s">
        <v>446</v>
      </c>
      <c r="F111" s="31" t="s">
        <v>383</v>
      </c>
      <c r="G111" s="37">
        <f t="shared" si="2"/>
        <v>21700000</v>
      </c>
      <c r="H111" s="37">
        <f>24500000-2800000</f>
        <v>21700000</v>
      </c>
      <c r="I111" s="37"/>
      <c r="J111" s="37"/>
      <c r="K111" s="88"/>
    </row>
    <row r="112" spans="1:11" s="3" customFormat="1" ht="197.25" customHeight="1">
      <c r="A112" s="9" t="s">
        <v>153</v>
      </c>
      <c r="B112" s="40" t="s">
        <v>59</v>
      </c>
      <c r="C112" s="40" t="s">
        <v>19</v>
      </c>
      <c r="D112" s="10" t="s">
        <v>69</v>
      </c>
      <c r="E112" s="10" t="s">
        <v>446</v>
      </c>
      <c r="F112" s="31" t="s">
        <v>383</v>
      </c>
      <c r="G112" s="37">
        <f t="shared" si="2"/>
        <v>1000000</v>
      </c>
      <c r="H112" s="37">
        <v>1000000</v>
      </c>
      <c r="I112" s="37"/>
      <c r="J112" s="37"/>
      <c r="K112" s="88"/>
    </row>
    <row r="113" spans="1:11" s="3" customFormat="1" ht="165" customHeight="1">
      <c r="A113" s="9" t="s">
        <v>154</v>
      </c>
      <c r="B113" s="40" t="s">
        <v>72</v>
      </c>
      <c r="C113" s="40" t="s">
        <v>19</v>
      </c>
      <c r="D113" s="10" t="s">
        <v>22</v>
      </c>
      <c r="E113" s="10" t="s">
        <v>446</v>
      </c>
      <c r="F113" s="31" t="s">
        <v>383</v>
      </c>
      <c r="G113" s="37">
        <f t="shared" si="2"/>
        <v>26077955.5</v>
      </c>
      <c r="H113" s="37">
        <f>40470500+807455.5-15200000</f>
        <v>26077955.5</v>
      </c>
      <c r="I113" s="37"/>
      <c r="J113" s="37"/>
      <c r="K113" s="88"/>
    </row>
    <row r="114" spans="1:11" s="3" customFormat="1" ht="214.5" customHeight="1">
      <c r="A114" s="9" t="s">
        <v>155</v>
      </c>
      <c r="B114" s="40" t="s">
        <v>41</v>
      </c>
      <c r="C114" s="40" t="s">
        <v>34</v>
      </c>
      <c r="D114" s="10" t="s">
        <v>51</v>
      </c>
      <c r="E114" s="10" t="s">
        <v>446</v>
      </c>
      <c r="F114" s="31" t="s">
        <v>383</v>
      </c>
      <c r="G114" s="37">
        <f t="shared" si="2"/>
        <v>304180</v>
      </c>
      <c r="H114" s="37">
        <f>304180</f>
        <v>304180</v>
      </c>
      <c r="I114" s="37"/>
      <c r="J114" s="37"/>
      <c r="K114" s="88"/>
    </row>
    <row r="115" spans="1:11" s="3" customFormat="1" ht="285" customHeight="1">
      <c r="A115" s="9" t="s">
        <v>341</v>
      </c>
      <c r="B115" s="40" t="s">
        <v>345</v>
      </c>
      <c r="C115" s="40" t="s">
        <v>36</v>
      </c>
      <c r="D115" s="10" t="s">
        <v>344</v>
      </c>
      <c r="E115" s="10" t="s">
        <v>446</v>
      </c>
      <c r="F115" s="31" t="s">
        <v>383</v>
      </c>
      <c r="G115" s="37">
        <f t="shared" si="2"/>
        <v>1895000</v>
      </c>
      <c r="H115" s="37">
        <f>1911000-16000</f>
        <v>1895000</v>
      </c>
      <c r="I115" s="37"/>
      <c r="J115" s="37"/>
      <c r="K115" s="88"/>
    </row>
    <row r="116" spans="1:11" ht="211.5" customHeight="1">
      <c r="A116" s="92" t="s">
        <v>156</v>
      </c>
      <c r="B116" s="89" t="s">
        <v>97</v>
      </c>
      <c r="C116" s="89" t="s">
        <v>3</v>
      </c>
      <c r="D116" s="90" t="s">
        <v>274</v>
      </c>
      <c r="E116" s="10" t="s">
        <v>446</v>
      </c>
      <c r="F116" s="31" t="s">
        <v>383</v>
      </c>
      <c r="G116" s="37">
        <f t="shared" si="2"/>
        <v>1876300</v>
      </c>
      <c r="H116" s="37">
        <v>1876300</v>
      </c>
      <c r="I116" s="37"/>
      <c r="J116" s="37"/>
      <c r="K116" s="88"/>
    </row>
    <row r="117" spans="1:11" ht="184.5" customHeight="1">
      <c r="A117" s="92"/>
      <c r="B117" s="89"/>
      <c r="C117" s="89"/>
      <c r="D117" s="90"/>
      <c r="E117" s="10" t="s">
        <v>416</v>
      </c>
      <c r="F117" s="31" t="s">
        <v>477</v>
      </c>
      <c r="G117" s="37">
        <f t="shared" si="2"/>
        <v>198700</v>
      </c>
      <c r="H117" s="37">
        <v>198700</v>
      </c>
      <c r="I117" s="37"/>
      <c r="J117" s="37"/>
      <c r="K117" s="88"/>
    </row>
    <row r="118" spans="1:11" s="3" customFormat="1" ht="187.5" customHeight="1">
      <c r="A118" s="92" t="s">
        <v>254</v>
      </c>
      <c r="B118" s="89" t="s">
        <v>279</v>
      </c>
      <c r="C118" s="89" t="s">
        <v>21</v>
      </c>
      <c r="D118" s="90" t="s">
        <v>20</v>
      </c>
      <c r="E118" s="10" t="s">
        <v>446</v>
      </c>
      <c r="F118" s="31" t="s">
        <v>383</v>
      </c>
      <c r="G118" s="37">
        <f t="shared" si="2"/>
        <v>978000</v>
      </c>
      <c r="H118" s="37">
        <v>978000</v>
      </c>
      <c r="I118" s="37"/>
      <c r="J118" s="37"/>
      <c r="K118" s="88"/>
    </row>
    <row r="119" spans="1:11" s="3" customFormat="1" ht="178.5" customHeight="1">
      <c r="A119" s="92"/>
      <c r="B119" s="89"/>
      <c r="C119" s="89"/>
      <c r="D119" s="90"/>
      <c r="E119" s="10" t="s">
        <v>416</v>
      </c>
      <c r="F119" s="31" t="s">
        <v>477</v>
      </c>
      <c r="G119" s="37">
        <f t="shared" si="2"/>
        <v>1200000</v>
      </c>
      <c r="H119" s="37">
        <v>1200000</v>
      </c>
      <c r="I119" s="37"/>
      <c r="J119" s="37"/>
      <c r="K119" s="88"/>
    </row>
    <row r="120" spans="1:11" s="3" customFormat="1" ht="199.5" customHeight="1">
      <c r="A120" s="9" t="s">
        <v>255</v>
      </c>
      <c r="B120" s="40" t="s">
        <v>257</v>
      </c>
      <c r="C120" s="40" t="s">
        <v>21</v>
      </c>
      <c r="D120" s="10" t="s">
        <v>256</v>
      </c>
      <c r="E120" s="10" t="s">
        <v>446</v>
      </c>
      <c r="F120" s="31" t="s">
        <v>383</v>
      </c>
      <c r="G120" s="37">
        <f t="shared" si="2"/>
        <v>1892237</v>
      </c>
      <c r="H120" s="37">
        <f>1478776+413461</f>
        <v>1892237</v>
      </c>
      <c r="I120" s="37"/>
      <c r="J120" s="37"/>
      <c r="K120" s="88"/>
    </row>
    <row r="121" spans="1:11" s="14" customFormat="1" ht="196.5" customHeight="1">
      <c r="A121" s="9" t="s">
        <v>157</v>
      </c>
      <c r="B121" s="40" t="s">
        <v>60</v>
      </c>
      <c r="C121" s="40" t="s">
        <v>6</v>
      </c>
      <c r="D121" s="10" t="s">
        <v>98</v>
      </c>
      <c r="E121" s="10" t="s">
        <v>446</v>
      </c>
      <c r="F121" s="31" t="s">
        <v>383</v>
      </c>
      <c r="G121" s="37">
        <f t="shared" si="2"/>
        <v>86500</v>
      </c>
      <c r="H121" s="37">
        <v>86500</v>
      </c>
      <c r="I121" s="37"/>
      <c r="J121" s="37"/>
      <c r="K121" s="88"/>
    </row>
    <row r="122" spans="1:11" s="14" customFormat="1" ht="121.5" customHeight="1">
      <c r="A122" s="9" t="s">
        <v>258</v>
      </c>
      <c r="B122" s="40" t="s">
        <v>259</v>
      </c>
      <c r="C122" s="40" t="s">
        <v>30</v>
      </c>
      <c r="D122" s="10" t="s">
        <v>50</v>
      </c>
      <c r="E122" s="10" t="s">
        <v>342</v>
      </c>
      <c r="F122" s="10" t="s">
        <v>369</v>
      </c>
      <c r="G122" s="37">
        <f t="shared" si="2"/>
        <v>200000</v>
      </c>
      <c r="H122" s="37">
        <v>200000</v>
      </c>
      <c r="I122" s="37"/>
      <c r="J122" s="37"/>
      <c r="K122" s="88"/>
    </row>
    <row r="123" spans="1:11" s="27" customFormat="1" ht="181.5" customHeight="1">
      <c r="A123" s="92" t="s">
        <v>260</v>
      </c>
      <c r="B123" s="98" t="s">
        <v>245</v>
      </c>
      <c r="C123" s="98" t="s">
        <v>6</v>
      </c>
      <c r="D123" s="90" t="s">
        <v>246</v>
      </c>
      <c r="E123" s="10" t="s">
        <v>446</v>
      </c>
      <c r="F123" s="31" t="s">
        <v>383</v>
      </c>
      <c r="G123" s="37">
        <f t="shared" si="2"/>
        <v>9874066</v>
      </c>
      <c r="H123" s="37">
        <f>5638260-11+112500+439024+43903+350000+2246300+418550+70000-29600+470500+63000+16000</f>
        <v>9838426</v>
      </c>
      <c r="I123" s="37">
        <v>35640</v>
      </c>
      <c r="J123" s="37">
        <v>35640</v>
      </c>
      <c r="K123" s="88"/>
    </row>
    <row r="124" spans="1:11" s="27" customFormat="1" ht="204.75" customHeight="1">
      <c r="A124" s="92"/>
      <c r="B124" s="98"/>
      <c r="C124" s="98"/>
      <c r="D124" s="90"/>
      <c r="E124" s="10" t="s">
        <v>416</v>
      </c>
      <c r="F124" s="31" t="s">
        <v>477</v>
      </c>
      <c r="G124" s="37">
        <f t="shared" si="2"/>
        <v>23544600</v>
      </c>
      <c r="H124" s="37">
        <f>23894600-350000</f>
        <v>23544600</v>
      </c>
      <c r="I124" s="37"/>
      <c r="J124" s="37"/>
      <c r="K124" s="88"/>
    </row>
    <row r="125" spans="1:11" s="14" customFormat="1" ht="162" customHeight="1" hidden="1">
      <c r="A125" s="9" t="s">
        <v>380</v>
      </c>
      <c r="B125" s="40" t="s">
        <v>294</v>
      </c>
      <c r="C125" s="40" t="s">
        <v>4</v>
      </c>
      <c r="D125" s="10" t="s">
        <v>295</v>
      </c>
      <c r="E125" s="12" t="s">
        <v>406</v>
      </c>
      <c r="F125" s="31" t="s">
        <v>384</v>
      </c>
      <c r="G125" s="37">
        <f t="shared" si="2"/>
        <v>0</v>
      </c>
      <c r="H125" s="37"/>
      <c r="I125" s="37"/>
      <c r="J125" s="37"/>
      <c r="K125" s="88"/>
    </row>
    <row r="126" spans="1:11" s="3" customFormat="1" ht="165" customHeight="1">
      <c r="A126" s="92" t="s">
        <v>158</v>
      </c>
      <c r="B126" s="89" t="s">
        <v>77</v>
      </c>
      <c r="C126" s="89" t="s">
        <v>26</v>
      </c>
      <c r="D126" s="90" t="s">
        <v>78</v>
      </c>
      <c r="E126" s="10" t="s">
        <v>446</v>
      </c>
      <c r="F126" s="31" t="s">
        <v>383</v>
      </c>
      <c r="G126" s="37">
        <f t="shared" si="2"/>
        <v>70000</v>
      </c>
      <c r="H126" s="37">
        <v>70000</v>
      </c>
      <c r="I126" s="37"/>
      <c r="J126" s="37"/>
      <c r="K126" s="88"/>
    </row>
    <row r="127" spans="1:11" s="3" customFormat="1" ht="201.75" customHeight="1">
      <c r="A127" s="92"/>
      <c r="B127" s="89"/>
      <c r="C127" s="89"/>
      <c r="D127" s="90"/>
      <c r="E127" s="10" t="s">
        <v>416</v>
      </c>
      <c r="F127" s="31" t="s">
        <v>477</v>
      </c>
      <c r="G127" s="37">
        <f t="shared" si="2"/>
        <v>1000000</v>
      </c>
      <c r="H127" s="37">
        <v>1000000</v>
      </c>
      <c r="I127" s="37"/>
      <c r="J127" s="37"/>
      <c r="K127" s="88"/>
    </row>
    <row r="128" spans="1:11" s="2" customFormat="1" ht="93" customHeight="1">
      <c r="A128" s="16"/>
      <c r="B128" s="41"/>
      <c r="C128" s="41"/>
      <c r="D128" s="17" t="s">
        <v>444</v>
      </c>
      <c r="E128" s="17"/>
      <c r="F128" s="33"/>
      <c r="G128" s="36">
        <f>G129+G130</f>
        <v>110500</v>
      </c>
      <c r="H128" s="36">
        <f>H129+H130</f>
        <v>90500</v>
      </c>
      <c r="I128" s="36">
        <f>I129+I130</f>
        <v>20000</v>
      </c>
      <c r="J128" s="36">
        <f>J129+J130</f>
        <v>20000</v>
      </c>
      <c r="K128" s="88"/>
    </row>
    <row r="129" spans="1:11" s="2" customFormat="1" ht="247.5" customHeight="1">
      <c r="A129" s="9" t="s">
        <v>374</v>
      </c>
      <c r="B129" s="40" t="s">
        <v>375</v>
      </c>
      <c r="C129" s="40" t="s">
        <v>7</v>
      </c>
      <c r="D129" s="10" t="s">
        <v>376</v>
      </c>
      <c r="E129" s="10" t="s">
        <v>427</v>
      </c>
      <c r="F129" s="31" t="s">
        <v>448</v>
      </c>
      <c r="G129" s="37">
        <f>H129+I129</f>
        <v>20000</v>
      </c>
      <c r="H129" s="37"/>
      <c r="I129" s="37">
        <v>20000</v>
      </c>
      <c r="J129" s="37">
        <v>20000</v>
      </c>
      <c r="K129" s="88"/>
    </row>
    <row r="130" spans="1:11" s="3" customFormat="1" ht="192" customHeight="1">
      <c r="A130" s="9" t="s">
        <v>159</v>
      </c>
      <c r="B130" s="40" t="s">
        <v>54</v>
      </c>
      <c r="C130" s="40" t="s">
        <v>7</v>
      </c>
      <c r="D130" s="10" t="s">
        <v>52</v>
      </c>
      <c r="E130" s="10" t="s">
        <v>427</v>
      </c>
      <c r="F130" s="31" t="s">
        <v>448</v>
      </c>
      <c r="G130" s="37">
        <f>H130+I130</f>
        <v>90500</v>
      </c>
      <c r="H130" s="37">
        <v>90500</v>
      </c>
      <c r="I130" s="37"/>
      <c r="J130" s="37"/>
      <c r="K130" s="88"/>
    </row>
    <row r="131" spans="1:11" s="2" customFormat="1" ht="99.75" customHeight="1">
      <c r="A131" s="16"/>
      <c r="B131" s="41"/>
      <c r="C131" s="41"/>
      <c r="D131" s="17" t="s">
        <v>401</v>
      </c>
      <c r="E131" s="17"/>
      <c r="F131" s="33"/>
      <c r="G131" s="36">
        <f>G132+G133+G134+G135+G136+G138+G139</f>
        <v>4764088</v>
      </c>
      <c r="H131" s="36">
        <f>H132+H133+H134+H135+H136+H138+H139</f>
        <v>3485093</v>
      </c>
      <c r="I131" s="36">
        <f>I132+I133+I134+I135+I136+I138+I139</f>
        <v>1278995</v>
      </c>
      <c r="J131" s="36">
        <f>J132+J133+J134+J135+J136+J138+J139</f>
        <v>1275995</v>
      </c>
      <c r="K131" s="88"/>
    </row>
    <row r="132" spans="1:11" ht="168.75" customHeight="1">
      <c r="A132" s="9" t="s">
        <v>160</v>
      </c>
      <c r="B132" s="40" t="s">
        <v>70</v>
      </c>
      <c r="C132" s="40" t="s">
        <v>2</v>
      </c>
      <c r="D132" s="10" t="s">
        <v>71</v>
      </c>
      <c r="E132" s="10" t="s">
        <v>445</v>
      </c>
      <c r="F132" s="31" t="s">
        <v>381</v>
      </c>
      <c r="G132" s="37">
        <f aca="true" t="shared" si="3" ref="G132:G138">H132+I132</f>
        <v>164000</v>
      </c>
      <c r="H132" s="37">
        <f>30000+134000</f>
        <v>164000</v>
      </c>
      <c r="I132" s="37"/>
      <c r="J132" s="37"/>
      <c r="K132" s="88"/>
    </row>
    <row r="133" spans="1:11" ht="127.5" customHeight="1">
      <c r="A133" s="9" t="s">
        <v>161</v>
      </c>
      <c r="B133" s="40" t="s">
        <v>86</v>
      </c>
      <c r="C133" s="40" t="s">
        <v>32</v>
      </c>
      <c r="D133" s="10" t="s">
        <v>476</v>
      </c>
      <c r="E133" s="10" t="s">
        <v>463</v>
      </c>
      <c r="F133" s="10" t="s">
        <v>396</v>
      </c>
      <c r="G133" s="37">
        <f t="shared" si="3"/>
        <v>868475</v>
      </c>
      <c r="H133" s="37">
        <f>188475+75000+63000</f>
        <v>326475</v>
      </c>
      <c r="I133" s="37">
        <f>500000+7000+5000+30000</f>
        <v>542000</v>
      </c>
      <c r="J133" s="37">
        <f>500000+7000+5000+30000</f>
        <v>542000</v>
      </c>
      <c r="K133" s="88"/>
    </row>
    <row r="134" spans="1:11" ht="150.75" customHeight="1">
      <c r="A134" s="9" t="s">
        <v>162</v>
      </c>
      <c r="B134" s="40" t="s">
        <v>55</v>
      </c>
      <c r="C134" s="40" t="s">
        <v>31</v>
      </c>
      <c r="D134" s="10" t="s">
        <v>85</v>
      </c>
      <c r="E134" s="10" t="s">
        <v>463</v>
      </c>
      <c r="F134" s="10" t="s">
        <v>396</v>
      </c>
      <c r="G134" s="37">
        <f t="shared" si="3"/>
        <v>810713</v>
      </c>
      <c r="H134" s="37">
        <f>344000+142918-16400+23400</f>
        <v>493918</v>
      </c>
      <c r="I134" s="37">
        <f>100000+216795</f>
        <v>316795</v>
      </c>
      <c r="J134" s="37">
        <f>100000+216795</f>
        <v>316795</v>
      </c>
      <c r="K134" s="88"/>
    </row>
    <row r="135" spans="1:11" s="3" customFormat="1" ht="153" customHeight="1">
      <c r="A135" s="9" t="s">
        <v>497</v>
      </c>
      <c r="B135" s="40">
        <v>4060</v>
      </c>
      <c r="C135" s="40" t="s">
        <v>287</v>
      </c>
      <c r="D135" s="10" t="s">
        <v>288</v>
      </c>
      <c r="E135" s="10" t="s">
        <v>463</v>
      </c>
      <c r="F135" s="10" t="s">
        <v>396</v>
      </c>
      <c r="G135" s="37">
        <f t="shared" si="3"/>
        <v>21200</v>
      </c>
      <c r="H135" s="37"/>
      <c r="I135" s="37">
        <v>21200</v>
      </c>
      <c r="J135" s="37">
        <v>21200</v>
      </c>
      <c r="K135" s="88"/>
    </row>
    <row r="136" spans="1:11" s="3" customFormat="1" ht="162.75" customHeight="1">
      <c r="A136" s="9" t="s">
        <v>250</v>
      </c>
      <c r="B136" s="40" t="s">
        <v>247</v>
      </c>
      <c r="C136" s="40" t="s">
        <v>9</v>
      </c>
      <c r="D136" s="10" t="s">
        <v>248</v>
      </c>
      <c r="E136" s="10" t="s">
        <v>463</v>
      </c>
      <c r="F136" s="10" t="s">
        <v>396</v>
      </c>
      <c r="G136" s="37">
        <f t="shared" si="3"/>
        <v>2500700</v>
      </c>
      <c r="H136" s="37">
        <f>2265700+15000+100000+120000</f>
        <v>2500700</v>
      </c>
      <c r="I136" s="37"/>
      <c r="J136" s="37"/>
      <c r="K136" s="88"/>
    </row>
    <row r="137" spans="1:11" s="3" customFormat="1" ht="177" customHeight="1" hidden="1">
      <c r="A137" s="9" t="s">
        <v>322</v>
      </c>
      <c r="B137" s="40" t="s">
        <v>294</v>
      </c>
      <c r="C137" s="40" t="s">
        <v>4</v>
      </c>
      <c r="D137" s="10" t="s">
        <v>295</v>
      </c>
      <c r="E137" s="10" t="s">
        <v>463</v>
      </c>
      <c r="F137" s="10" t="s">
        <v>396</v>
      </c>
      <c r="G137" s="37">
        <f t="shared" si="3"/>
        <v>0</v>
      </c>
      <c r="H137" s="37"/>
      <c r="I137" s="37"/>
      <c r="J137" s="37"/>
      <c r="K137" s="88"/>
    </row>
    <row r="138" spans="1:11" ht="153.75" customHeight="1">
      <c r="A138" s="9" t="s">
        <v>163</v>
      </c>
      <c r="B138" s="40" t="s">
        <v>83</v>
      </c>
      <c r="C138" s="40" t="s">
        <v>25</v>
      </c>
      <c r="D138" s="10" t="s">
        <v>53</v>
      </c>
      <c r="E138" s="10" t="s">
        <v>435</v>
      </c>
      <c r="F138" s="10" t="s">
        <v>466</v>
      </c>
      <c r="G138" s="37">
        <f t="shared" si="3"/>
        <v>396000</v>
      </c>
      <c r="H138" s="37"/>
      <c r="I138" s="37">
        <v>396000</v>
      </c>
      <c r="J138" s="37">
        <v>396000</v>
      </c>
      <c r="K138" s="88"/>
    </row>
    <row r="139" spans="1:11" ht="158.25" customHeight="1">
      <c r="A139" s="9" t="s">
        <v>420</v>
      </c>
      <c r="B139" s="40">
        <v>8340</v>
      </c>
      <c r="C139" s="40" t="s">
        <v>12</v>
      </c>
      <c r="D139" s="10" t="s">
        <v>80</v>
      </c>
      <c r="E139" s="12" t="s">
        <v>464</v>
      </c>
      <c r="F139" s="10" t="s">
        <v>382</v>
      </c>
      <c r="G139" s="37">
        <f>H139+I139</f>
        <v>3000</v>
      </c>
      <c r="H139" s="37"/>
      <c r="I139" s="37">
        <v>3000</v>
      </c>
      <c r="J139" s="37"/>
      <c r="K139" s="88"/>
    </row>
    <row r="140" spans="1:11" s="2" customFormat="1" ht="88.5" customHeight="1">
      <c r="A140" s="16"/>
      <c r="B140" s="41"/>
      <c r="C140" s="41"/>
      <c r="D140" s="17" t="s">
        <v>164</v>
      </c>
      <c r="E140" s="17"/>
      <c r="F140" s="33"/>
      <c r="G140" s="36">
        <f>G141+G142+G144+G145+G146+G147+G149+G150+G151+G152+G153+G154+G155+G156+G157+G158+G159+G160+G162+G163+G167+G168+G169+G172+G173+G174+G161+G166+G171+G170</f>
        <v>437851649.59999996</v>
      </c>
      <c r="H140" s="36">
        <f>H141+H142+H144+H145+H146+H147+H149+H150+H151+H152+H153+H154+H155+H156+H157+H158+H159+H160+H162+H163+H167+H168+H169+H172+H173+H174+H161+H166+H171+H170</f>
        <v>246820551.95999998</v>
      </c>
      <c r="I140" s="36">
        <f>I141+I142+I144+I145+I146+I147+I149+I150+I151+I152+I153+I154+I155+I156+I157+I158+I159+I160+I162+I163+I167+I168+I169+I172+I173+I174+I161+I166+I171+I170</f>
        <v>191031097.64</v>
      </c>
      <c r="J140" s="36">
        <f>J141+J142+J144+J145+J146+J147+J149+J150+J151+J152+J153+J154+J155+J156+J157+J158+J159+J160+J162+J163+J167+J168+J169+J172+J173+J174+J161+J166+J171+J170</f>
        <v>105366963.91999999</v>
      </c>
      <c r="K140" s="88"/>
    </row>
    <row r="141" spans="1:11" ht="138.75" customHeight="1">
      <c r="A141" s="9" t="s">
        <v>165</v>
      </c>
      <c r="B141" s="40" t="s">
        <v>70</v>
      </c>
      <c r="C141" s="40" t="s">
        <v>2</v>
      </c>
      <c r="D141" s="10" t="s">
        <v>71</v>
      </c>
      <c r="E141" s="10" t="s">
        <v>445</v>
      </c>
      <c r="F141" s="31" t="s">
        <v>381</v>
      </c>
      <c r="G141" s="37">
        <f aca="true" t="shared" si="4" ref="G141:G174">H141+I141</f>
        <v>284800</v>
      </c>
      <c r="H141" s="37">
        <f>40000+244800</f>
        <v>284800</v>
      </c>
      <c r="I141" s="37"/>
      <c r="J141" s="37"/>
      <c r="K141" s="88"/>
    </row>
    <row r="142" spans="1:11" ht="186" customHeight="1">
      <c r="A142" s="92" t="s">
        <v>261</v>
      </c>
      <c r="B142" s="89" t="s">
        <v>259</v>
      </c>
      <c r="C142" s="89" t="s">
        <v>30</v>
      </c>
      <c r="D142" s="90" t="s">
        <v>50</v>
      </c>
      <c r="E142" s="10" t="s">
        <v>485</v>
      </c>
      <c r="F142" s="10" t="s">
        <v>347</v>
      </c>
      <c r="G142" s="37">
        <f t="shared" si="4"/>
        <v>400000</v>
      </c>
      <c r="H142" s="37">
        <v>400000</v>
      </c>
      <c r="I142" s="37"/>
      <c r="J142" s="37"/>
      <c r="K142" s="88"/>
    </row>
    <row r="143" spans="1:11" ht="111" customHeight="1" hidden="1">
      <c r="A143" s="92"/>
      <c r="B143" s="89"/>
      <c r="C143" s="89"/>
      <c r="D143" s="90"/>
      <c r="E143" s="10" t="s">
        <v>342</v>
      </c>
      <c r="F143" s="10" t="s">
        <v>369</v>
      </c>
      <c r="G143" s="37">
        <f t="shared" si="4"/>
        <v>0</v>
      </c>
      <c r="H143" s="37"/>
      <c r="I143" s="37"/>
      <c r="J143" s="37"/>
      <c r="K143" s="88"/>
    </row>
    <row r="144" spans="1:11" s="3" customFormat="1" ht="204" customHeight="1">
      <c r="A144" s="9" t="s">
        <v>166</v>
      </c>
      <c r="B144" s="40" t="s">
        <v>108</v>
      </c>
      <c r="C144" s="40" t="s">
        <v>23</v>
      </c>
      <c r="D144" s="10" t="s">
        <v>109</v>
      </c>
      <c r="E144" s="10" t="s">
        <v>485</v>
      </c>
      <c r="F144" s="10" t="s">
        <v>347</v>
      </c>
      <c r="G144" s="37">
        <f t="shared" si="4"/>
        <v>10918067.93</v>
      </c>
      <c r="H144" s="37"/>
      <c r="I144" s="37">
        <f>20030000-4500000-5000000-1188215.76+827545-766.31+291000+100000+309505+49000</f>
        <v>10918067.93</v>
      </c>
      <c r="J144" s="37">
        <f>20000000-4500000-5000000-1188215.76+827545-766.31+291000+100000+309505+49000</f>
        <v>10888067.93</v>
      </c>
      <c r="K144" s="88"/>
    </row>
    <row r="145" spans="1:11" s="3" customFormat="1" ht="200.25" customHeight="1">
      <c r="A145" s="114" t="s">
        <v>167</v>
      </c>
      <c r="B145" s="111" t="s">
        <v>112</v>
      </c>
      <c r="C145" s="109" t="s">
        <v>8</v>
      </c>
      <c r="D145" s="96" t="s">
        <v>113</v>
      </c>
      <c r="E145" s="10" t="s">
        <v>485</v>
      </c>
      <c r="F145" s="10" t="s">
        <v>347</v>
      </c>
      <c r="G145" s="37">
        <f t="shared" si="4"/>
        <v>30946000</v>
      </c>
      <c r="H145" s="37">
        <f>30925000</f>
        <v>30925000</v>
      </c>
      <c r="I145" s="37">
        <f>20000+1000</f>
        <v>21000</v>
      </c>
      <c r="J145" s="37">
        <f>20000+1000</f>
        <v>21000</v>
      </c>
      <c r="K145" s="88"/>
    </row>
    <row r="146" spans="1:11" s="3" customFormat="1" ht="140.25" customHeight="1">
      <c r="A146" s="115"/>
      <c r="B146" s="112"/>
      <c r="C146" s="110"/>
      <c r="D146" s="97"/>
      <c r="E146" s="12" t="s">
        <v>464</v>
      </c>
      <c r="F146" s="10" t="s">
        <v>382</v>
      </c>
      <c r="G146" s="37">
        <f t="shared" si="4"/>
        <v>1700000</v>
      </c>
      <c r="H146" s="37"/>
      <c r="I146" s="37">
        <v>1700000</v>
      </c>
      <c r="J146" s="37">
        <v>1700000</v>
      </c>
      <c r="K146" s="88"/>
    </row>
    <row r="147" spans="1:11" s="3" customFormat="1" ht="189.75" customHeight="1">
      <c r="A147" s="11" t="s">
        <v>207</v>
      </c>
      <c r="B147" s="42" t="s">
        <v>208</v>
      </c>
      <c r="C147" s="40" t="s">
        <v>8</v>
      </c>
      <c r="D147" s="10" t="s">
        <v>209</v>
      </c>
      <c r="E147" s="12" t="s">
        <v>458</v>
      </c>
      <c r="F147" s="10" t="s">
        <v>459</v>
      </c>
      <c r="G147" s="37">
        <f t="shared" si="4"/>
        <v>13602335.83</v>
      </c>
      <c r="H147" s="37">
        <f>200000-6113</f>
        <v>193887</v>
      </c>
      <c r="I147" s="37">
        <f>15050000+9-1500000-405560.17+100000+164000</f>
        <v>13408448.83</v>
      </c>
      <c r="J147" s="37">
        <f>15000000+9-1500000-405560.17+100000+164000</f>
        <v>13358448.83</v>
      </c>
      <c r="K147" s="88"/>
    </row>
    <row r="148" spans="1:11" s="3" customFormat="1" ht="159" customHeight="1" hidden="1">
      <c r="A148" s="11" t="s">
        <v>297</v>
      </c>
      <c r="B148" s="42" t="s">
        <v>298</v>
      </c>
      <c r="C148" s="40" t="s">
        <v>8</v>
      </c>
      <c r="D148" s="10" t="s">
        <v>299</v>
      </c>
      <c r="E148" s="10" t="s">
        <v>485</v>
      </c>
      <c r="F148" s="10" t="s">
        <v>347</v>
      </c>
      <c r="G148" s="37">
        <f t="shared" si="4"/>
        <v>0</v>
      </c>
      <c r="H148" s="37"/>
      <c r="I148" s="37"/>
      <c r="J148" s="37"/>
      <c r="K148" s="88"/>
    </row>
    <row r="149" spans="1:11" s="3" customFormat="1" ht="189" customHeight="1">
      <c r="A149" s="9" t="s">
        <v>168</v>
      </c>
      <c r="B149" s="40" t="s">
        <v>110</v>
      </c>
      <c r="C149" s="40" t="s">
        <v>8</v>
      </c>
      <c r="D149" s="10" t="s">
        <v>111</v>
      </c>
      <c r="E149" s="10" t="s">
        <v>485</v>
      </c>
      <c r="F149" s="10" t="s">
        <v>347</v>
      </c>
      <c r="G149" s="37">
        <f t="shared" si="4"/>
        <v>100000</v>
      </c>
      <c r="H149" s="37">
        <f>100000+1500000-1500000</f>
        <v>100000</v>
      </c>
      <c r="I149" s="37"/>
      <c r="J149" s="37"/>
      <c r="K149" s="88"/>
    </row>
    <row r="150" spans="1:11" s="14" customFormat="1" ht="186" customHeight="1">
      <c r="A150" s="11" t="s">
        <v>169</v>
      </c>
      <c r="B150" s="42" t="s">
        <v>56</v>
      </c>
      <c r="C150" s="40" t="s">
        <v>8</v>
      </c>
      <c r="D150" s="19" t="s">
        <v>114</v>
      </c>
      <c r="E150" s="10" t="s">
        <v>485</v>
      </c>
      <c r="F150" s="10" t="s">
        <v>347</v>
      </c>
      <c r="G150" s="37">
        <f t="shared" si="4"/>
        <v>4595232</v>
      </c>
      <c r="H150" s="37">
        <f>2595232+2000000</f>
        <v>4595232</v>
      </c>
      <c r="I150" s="37">
        <v>0</v>
      </c>
      <c r="J150" s="37">
        <v>0</v>
      </c>
      <c r="K150" s="88"/>
    </row>
    <row r="151" spans="1:11" ht="181.5" customHeight="1">
      <c r="A151" s="91" t="s">
        <v>170</v>
      </c>
      <c r="B151" s="98" t="s">
        <v>101</v>
      </c>
      <c r="C151" s="89" t="s">
        <v>8</v>
      </c>
      <c r="D151" s="99" t="s">
        <v>102</v>
      </c>
      <c r="E151" s="10" t="s">
        <v>485</v>
      </c>
      <c r="F151" s="10" t="s">
        <v>347</v>
      </c>
      <c r="G151" s="37">
        <f t="shared" si="4"/>
        <v>226640590.72</v>
      </c>
      <c r="H151" s="37">
        <f>191803836-2000000-100000-2000000+575000+2907700+786500-2000000+199000+788511.57-300000-100000+489939+377000+150000+100000-95000-16200</f>
        <v>191566286.57</v>
      </c>
      <c r="I151" s="37">
        <f>33800000-5000000+150000+100000-4000000+10112784.63-4629526.59+12715677.07-575000+110000+75000+569000+163369.04-199000-18000-6700000-6600000+5000000</f>
        <v>35074304.15</v>
      </c>
      <c r="J151" s="37">
        <f>33800000-5000000+150000+100000-4000000+10112784.63-4629526.59+12715677.07-575000+110000+75000+569000+163369.04-199000-18000-6700000-6600000+5000000</f>
        <v>35074304.15</v>
      </c>
      <c r="K151" s="88"/>
    </row>
    <row r="152" spans="1:11" ht="144.75" customHeight="1">
      <c r="A152" s="91"/>
      <c r="B152" s="98"/>
      <c r="C152" s="89"/>
      <c r="D152" s="99"/>
      <c r="E152" s="12" t="s">
        <v>464</v>
      </c>
      <c r="F152" s="10" t="s">
        <v>382</v>
      </c>
      <c r="G152" s="37">
        <f t="shared" si="4"/>
        <v>550000</v>
      </c>
      <c r="H152" s="37"/>
      <c r="I152" s="37">
        <f>5550000-5000000</f>
        <v>550000</v>
      </c>
      <c r="J152" s="37">
        <f>5550000-5000000</f>
        <v>550000</v>
      </c>
      <c r="K152" s="88"/>
    </row>
    <row r="153" spans="1:11" ht="187.5" customHeight="1">
      <c r="A153" s="91" t="s">
        <v>190</v>
      </c>
      <c r="B153" s="98" t="s">
        <v>191</v>
      </c>
      <c r="C153" s="89" t="s">
        <v>211</v>
      </c>
      <c r="D153" s="99" t="s">
        <v>210</v>
      </c>
      <c r="E153" s="10" t="s">
        <v>485</v>
      </c>
      <c r="F153" s="10" t="s">
        <v>347</v>
      </c>
      <c r="G153" s="37">
        <f t="shared" si="4"/>
        <v>2199746</v>
      </c>
      <c r="H153" s="37">
        <f>2009746-100000+100000-110000</f>
        <v>1899746</v>
      </c>
      <c r="I153" s="37">
        <f>10793738-10493738</f>
        <v>300000</v>
      </c>
      <c r="J153" s="37">
        <f>10793738-10493738</f>
        <v>300000</v>
      </c>
      <c r="K153" s="88"/>
    </row>
    <row r="154" spans="1:11" ht="203.25" customHeight="1">
      <c r="A154" s="91"/>
      <c r="B154" s="98"/>
      <c r="C154" s="89"/>
      <c r="D154" s="99"/>
      <c r="E154" s="12" t="s">
        <v>436</v>
      </c>
      <c r="F154" s="10" t="s">
        <v>479</v>
      </c>
      <c r="G154" s="37">
        <f t="shared" si="4"/>
        <v>11856225.18</v>
      </c>
      <c r="H154" s="37">
        <f>14700000+27300000-1991050-19001249-1006880.61-569000-70000-70000-5170304-100000-2351000-49000-166000-100000</f>
        <v>11355516.39</v>
      </c>
      <c r="I154" s="37">
        <f>11000000-51900.97-1288734.74-6359655.5-2494000-305000</f>
        <v>500708.7899999991</v>
      </c>
      <c r="J154" s="37">
        <f>11000000-51900.97-1288734.74-6359655.5-2494000</f>
        <v>805708.7899999991</v>
      </c>
      <c r="K154" s="88"/>
    </row>
    <row r="155" spans="1:11" ht="325.5" customHeight="1">
      <c r="A155" s="91"/>
      <c r="B155" s="98"/>
      <c r="C155" s="89"/>
      <c r="D155" s="99"/>
      <c r="E155" s="10" t="s">
        <v>365</v>
      </c>
      <c r="F155" s="10" t="s">
        <v>366</v>
      </c>
      <c r="G155" s="37">
        <f t="shared" si="4"/>
        <v>579084</v>
      </c>
      <c r="H155" s="37">
        <v>579084</v>
      </c>
      <c r="I155" s="37"/>
      <c r="J155" s="37"/>
      <c r="K155" s="88"/>
    </row>
    <row r="156" spans="1:11" ht="197.25" customHeight="1">
      <c r="A156" s="92" t="s">
        <v>212</v>
      </c>
      <c r="B156" s="89" t="s">
        <v>213</v>
      </c>
      <c r="C156" s="89" t="s">
        <v>62</v>
      </c>
      <c r="D156" s="90" t="s">
        <v>214</v>
      </c>
      <c r="E156" s="10" t="s">
        <v>485</v>
      </c>
      <c r="F156" s="10" t="s">
        <v>347</v>
      </c>
      <c r="G156" s="37">
        <f t="shared" si="4"/>
        <v>6524415.76</v>
      </c>
      <c r="H156" s="37"/>
      <c r="I156" s="37">
        <f>6710000-60000-3000000+2338215.76-2000+2000-360000+350000+230000+300000+16200</f>
        <v>6524415.76</v>
      </c>
      <c r="J156" s="37">
        <f>6710000-60000-3000000+2338215.76-2000+2000-360000+350000+230000+300000+16200</f>
        <v>6524415.76</v>
      </c>
      <c r="K156" s="88"/>
    </row>
    <row r="157" spans="1:11" ht="148.5" customHeight="1">
      <c r="A157" s="92"/>
      <c r="B157" s="89"/>
      <c r="C157" s="89"/>
      <c r="D157" s="90"/>
      <c r="E157" s="12" t="s">
        <v>464</v>
      </c>
      <c r="F157" s="10" t="s">
        <v>382</v>
      </c>
      <c r="G157" s="37">
        <f t="shared" si="4"/>
        <v>2347882</v>
      </c>
      <c r="H157" s="37"/>
      <c r="I157" s="37">
        <f>5830000+40000+8953612-1000000-8050000-1000-350000-1200000-494730-1380000</f>
        <v>2347882</v>
      </c>
      <c r="J157" s="37">
        <f>5830000+40000+8953612-1000000-8050000-1000-350000-1200000-494730-1380000</f>
        <v>2347882</v>
      </c>
      <c r="K157" s="88"/>
    </row>
    <row r="158" spans="1:11" ht="180" customHeight="1">
      <c r="A158" s="116" t="s">
        <v>215</v>
      </c>
      <c r="B158" s="109" t="s">
        <v>216</v>
      </c>
      <c r="C158" s="109" t="s">
        <v>62</v>
      </c>
      <c r="D158" s="96" t="s">
        <v>370</v>
      </c>
      <c r="E158" s="10" t="s">
        <v>485</v>
      </c>
      <c r="F158" s="10" t="s">
        <v>347</v>
      </c>
      <c r="G158" s="37">
        <f t="shared" si="4"/>
        <v>2578998.7699999996</v>
      </c>
      <c r="H158" s="37"/>
      <c r="I158" s="37">
        <f>11650000-700000+550000-4000000+4818144.43+432854.34-1950000+210000+68000-8500000</f>
        <v>2578998.7699999996</v>
      </c>
      <c r="J158" s="37">
        <f>11650000-700000+550000-4000000+4818144.43+432854.34-1950000+210000+68000-8500000</f>
        <v>2578998.7699999996</v>
      </c>
      <c r="K158" s="88"/>
    </row>
    <row r="159" spans="1:11" ht="144.75" customHeight="1">
      <c r="A159" s="117"/>
      <c r="B159" s="110"/>
      <c r="C159" s="110"/>
      <c r="D159" s="97"/>
      <c r="E159" s="12" t="s">
        <v>464</v>
      </c>
      <c r="F159" s="10" t="s">
        <v>382</v>
      </c>
      <c r="G159" s="37">
        <f t="shared" si="4"/>
        <v>3180000</v>
      </c>
      <c r="H159" s="37"/>
      <c r="I159" s="37">
        <f>3180000</f>
        <v>3180000</v>
      </c>
      <c r="J159" s="37">
        <f>3180000</f>
        <v>3180000</v>
      </c>
      <c r="K159" s="88"/>
    </row>
    <row r="160" spans="1:11" ht="184.5" customHeight="1">
      <c r="A160" s="9" t="s">
        <v>171</v>
      </c>
      <c r="B160" s="40" t="s">
        <v>103</v>
      </c>
      <c r="C160" s="40" t="s">
        <v>62</v>
      </c>
      <c r="D160" s="10" t="s">
        <v>104</v>
      </c>
      <c r="E160" s="10" t="s">
        <v>485</v>
      </c>
      <c r="F160" s="10" t="s">
        <v>347</v>
      </c>
      <c r="G160" s="37">
        <f t="shared" si="4"/>
        <v>3000000</v>
      </c>
      <c r="H160" s="37"/>
      <c r="I160" s="37">
        <v>3000000</v>
      </c>
      <c r="J160" s="37">
        <v>3000000</v>
      </c>
      <c r="K160" s="88"/>
    </row>
    <row r="161" spans="1:11" s="3" customFormat="1" ht="177">
      <c r="A161" s="9" t="s">
        <v>310</v>
      </c>
      <c r="B161" s="40" t="s">
        <v>311</v>
      </c>
      <c r="C161" s="40" t="s">
        <v>4</v>
      </c>
      <c r="D161" s="10" t="s">
        <v>312</v>
      </c>
      <c r="E161" s="12" t="s">
        <v>464</v>
      </c>
      <c r="F161" s="10" t="s">
        <v>382</v>
      </c>
      <c r="G161" s="37">
        <f t="shared" si="4"/>
        <v>1386113</v>
      </c>
      <c r="H161" s="37"/>
      <c r="I161" s="37">
        <v>1386113</v>
      </c>
      <c r="J161" s="37">
        <v>1386113</v>
      </c>
      <c r="K161" s="88"/>
    </row>
    <row r="162" spans="1:11" s="3" customFormat="1" ht="182.25" customHeight="1">
      <c r="A162" s="9" t="s">
        <v>419</v>
      </c>
      <c r="B162" s="40">
        <v>7362</v>
      </c>
      <c r="C162" s="9" t="s">
        <v>4</v>
      </c>
      <c r="D162" s="19" t="s">
        <v>475</v>
      </c>
      <c r="E162" s="10" t="s">
        <v>485</v>
      </c>
      <c r="F162" s="10" t="s">
        <v>347</v>
      </c>
      <c r="G162" s="37">
        <f t="shared" si="4"/>
        <v>75600</v>
      </c>
      <c r="H162" s="37"/>
      <c r="I162" s="37">
        <v>75600</v>
      </c>
      <c r="J162" s="37">
        <v>75600</v>
      </c>
      <c r="K162" s="88"/>
    </row>
    <row r="163" spans="1:11" s="3" customFormat="1" ht="221.25">
      <c r="A163" s="92" t="s">
        <v>300</v>
      </c>
      <c r="B163" s="89" t="s">
        <v>294</v>
      </c>
      <c r="C163" s="92" t="s">
        <v>4</v>
      </c>
      <c r="D163" s="90" t="s">
        <v>295</v>
      </c>
      <c r="E163" s="10" t="s">
        <v>485</v>
      </c>
      <c r="F163" s="10" t="s">
        <v>347</v>
      </c>
      <c r="G163" s="37">
        <f t="shared" si="4"/>
        <v>956186.6900000001</v>
      </c>
      <c r="H163" s="37"/>
      <c r="I163" s="37">
        <f>18766.31+937420.38</f>
        <v>956186.6900000001</v>
      </c>
      <c r="J163" s="37">
        <f>18766.31+937420.38</f>
        <v>956186.6900000001</v>
      </c>
      <c r="K163" s="88"/>
    </row>
    <row r="164" spans="1:11" s="3" customFormat="1" ht="177" customHeight="1" hidden="1">
      <c r="A164" s="92"/>
      <c r="B164" s="89"/>
      <c r="C164" s="92"/>
      <c r="D164" s="90"/>
      <c r="E164" s="12" t="s">
        <v>464</v>
      </c>
      <c r="F164" s="10" t="s">
        <v>382</v>
      </c>
      <c r="G164" s="37">
        <f t="shared" si="4"/>
        <v>0</v>
      </c>
      <c r="H164" s="37"/>
      <c r="I164" s="37"/>
      <c r="J164" s="37"/>
      <c r="K164" s="88"/>
    </row>
    <row r="165" spans="1:11" s="3" customFormat="1" ht="221.25" customHeight="1" hidden="1">
      <c r="A165" s="9" t="s">
        <v>408</v>
      </c>
      <c r="B165" s="40">
        <v>7461</v>
      </c>
      <c r="C165" s="9" t="s">
        <v>265</v>
      </c>
      <c r="D165" s="52" t="s">
        <v>409</v>
      </c>
      <c r="E165" s="10" t="s">
        <v>485</v>
      </c>
      <c r="F165" s="10" t="s">
        <v>347</v>
      </c>
      <c r="G165" s="37">
        <f t="shared" si="4"/>
        <v>0</v>
      </c>
      <c r="H165" s="37"/>
      <c r="I165" s="37"/>
      <c r="J165" s="37"/>
      <c r="K165" s="88"/>
    </row>
    <row r="166" spans="1:11" s="3" customFormat="1" ht="221.25" customHeight="1">
      <c r="A166" s="9" t="s">
        <v>402</v>
      </c>
      <c r="B166" s="40">
        <v>7462</v>
      </c>
      <c r="C166" s="9" t="s">
        <v>265</v>
      </c>
      <c r="D166" s="10" t="s">
        <v>319</v>
      </c>
      <c r="E166" s="10" t="s">
        <v>485</v>
      </c>
      <c r="F166" s="10" t="s">
        <v>347</v>
      </c>
      <c r="G166" s="37">
        <f t="shared" si="4"/>
        <v>80000000</v>
      </c>
      <c r="H166" s="37"/>
      <c r="I166" s="37">
        <v>80000000</v>
      </c>
      <c r="J166" s="37"/>
      <c r="K166" s="88"/>
    </row>
    <row r="167" spans="1:11" s="14" customFormat="1" ht="165" customHeight="1">
      <c r="A167" s="9" t="s">
        <v>172</v>
      </c>
      <c r="B167" s="40" t="s">
        <v>83</v>
      </c>
      <c r="C167" s="40" t="s">
        <v>25</v>
      </c>
      <c r="D167" s="10" t="s">
        <v>53</v>
      </c>
      <c r="E167" s="10" t="s">
        <v>485</v>
      </c>
      <c r="F167" s="10" t="s">
        <v>347</v>
      </c>
      <c r="G167" s="37">
        <f t="shared" si="4"/>
        <v>1500000</v>
      </c>
      <c r="H167" s="37">
        <v>1500000</v>
      </c>
      <c r="I167" s="37"/>
      <c r="J167" s="37"/>
      <c r="K167" s="88"/>
    </row>
    <row r="168" spans="1:11" s="14" customFormat="1" ht="165" customHeight="1">
      <c r="A168" s="9" t="s">
        <v>386</v>
      </c>
      <c r="B168" s="40">
        <v>7670</v>
      </c>
      <c r="C168" s="40" t="s">
        <v>4</v>
      </c>
      <c r="D168" s="10" t="s">
        <v>47</v>
      </c>
      <c r="E168" s="12" t="s">
        <v>464</v>
      </c>
      <c r="F168" s="10" t="s">
        <v>382</v>
      </c>
      <c r="G168" s="37">
        <f t="shared" si="4"/>
        <v>17042330</v>
      </c>
      <c r="H168" s="37"/>
      <c r="I168" s="37">
        <v>17042330</v>
      </c>
      <c r="J168" s="37">
        <v>17042330</v>
      </c>
      <c r="K168" s="88"/>
    </row>
    <row r="169" spans="1:11" s="3" customFormat="1" ht="405" customHeight="1">
      <c r="A169" s="9" t="s">
        <v>251</v>
      </c>
      <c r="B169" s="40" t="s">
        <v>252</v>
      </c>
      <c r="C169" s="40" t="s">
        <v>4</v>
      </c>
      <c r="D169" s="10" t="s">
        <v>273</v>
      </c>
      <c r="E169" s="10" t="s">
        <v>485</v>
      </c>
      <c r="F169" s="10" t="s">
        <v>347</v>
      </c>
      <c r="G169" s="37">
        <f t="shared" si="4"/>
        <v>290090.27</v>
      </c>
      <c r="H169" s="37"/>
      <c r="I169" s="37">
        <f>174200+115890.27</f>
        <v>290090.27</v>
      </c>
      <c r="J169" s="37"/>
      <c r="K169" s="88"/>
    </row>
    <row r="170" spans="1:11" s="3" customFormat="1" ht="247.5" customHeight="1">
      <c r="A170" s="9" t="s">
        <v>505</v>
      </c>
      <c r="B170" s="40">
        <v>8110</v>
      </c>
      <c r="C170" s="40" t="s">
        <v>93</v>
      </c>
      <c r="D170" s="10" t="s">
        <v>506</v>
      </c>
      <c r="E170" s="10" t="s">
        <v>488</v>
      </c>
      <c r="F170" s="31" t="s">
        <v>440</v>
      </c>
      <c r="G170" s="37">
        <f t="shared" si="4"/>
        <v>3053000</v>
      </c>
      <c r="H170" s="37">
        <f>1610000+1443000</f>
        <v>3053000</v>
      </c>
      <c r="I170" s="37"/>
      <c r="J170" s="37"/>
      <c r="K170" s="88"/>
    </row>
    <row r="171" spans="1:11" ht="163.5" customHeight="1" hidden="1">
      <c r="A171" s="9" t="s">
        <v>502</v>
      </c>
      <c r="B171" s="40">
        <v>8230</v>
      </c>
      <c r="C171" s="9" t="s">
        <v>197</v>
      </c>
      <c r="D171" s="10" t="s">
        <v>198</v>
      </c>
      <c r="E171" s="10" t="s">
        <v>485</v>
      </c>
      <c r="F171" s="10" t="s">
        <v>347</v>
      </c>
      <c r="G171" s="37">
        <f t="shared" si="4"/>
        <v>0</v>
      </c>
      <c r="H171" s="37">
        <f>110000-110000</f>
        <v>0</v>
      </c>
      <c r="I171" s="37"/>
      <c r="J171" s="37"/>
      <c r="K171" s="88"/>
    </row>
    <row r="172" spans="1:11" ht="141" customHeight="1">
      <c r="A172" s="9" t="s">
        <v>174</v>
      </c>
      <c r="B172" s="40" t="s">
        <v>79</v>
      </c>
      <c r="C172" s="40" t="s">
        <v>12</v>
      </c>
      <c r="D172" s="10" t="s">
        <v>80</v>
      </c>
      <c r="E172" s="12" t="s">
        <v>464</v>
      </c>
      <c r="F172" s="10" t="s">
        <v>382</v>
      </c>
      <c r="G172" s="37">
        <f t="shared" si="4"/>
        <v>5599043.45</v>
      </c>
      <c r="H172" s="37"/>
      <c r="I172" s="37">
        <f>3816500+1782543.45</f>
        <v>5599043.45</v>
      </c>
      <c r="J172" s="37"/>
      <c r="K172" s="88"/>
    </row>
    <row r="173" spans="1:11" s="3" customFormat="1" ht="192" customHeight="1">
      <c r="A173" s="9" t="s">
        <v>175</v>
      </c>
      <c r="B173" s="40" t="s">
        <v>105</v>
      </c>
      <c r="C173" s="40" t="s">
        <v>4</v>
      </c>
      <c r="D173" s="22" t="s">
        <v>115</v>
      </c>
      <c r="E173" s="10" t="s">
        <v>485</v>
      </c>
      <c r="F173" s="10" t="s">
        <v>347</v>
      </c>
      <c r="G173" s="37">
        <f t="shared" si="4"/>
        <v>-2054092</v>
      </c>
      <c r="H173" s="37"/>
      <c r="I173" s="37">
        <v>-2054092</v>
      </c>
      <c r="J173" s="37">
        <v>-2054092</v>
      </c>
      <c r="K173" s="88"/>
    </row>
    <row r="174" spans="1:11" s="14" customFormat="1" ht="189" customHeight="1">
      <c r="A174" s="11" t="s">
        <v>173</v>
      </c>
      <c r="B174" s="42" t="s">
        <v>77</v>
      </c>
      <c r="C174" s="40" t="s">
        <v>26</v>
      </c>
      <c r="D174" s="10" t="s">
        <v>78</v>
      </c>
      <c r="E174" s="10" t="s">
        <v>485</v>
      </c>
      <c r="F174" s="10" t="s">
        <v>347</v>
      </c>
      <c r="G174" s="37">
        <f t="shared" si="4"/>
        <v>8000000</v>
      </c>
      <c r="H174" s="37">
        <v>368000</v>
      </c>
      <c r="I174" s="37">
        <v>7632000</v>
      </c>
      <c r="J174" s="37">
        <v>7632000</v>
      </c>
      <c r="K174" s="88"/>
    </row>
    <row r="175" spans="1:11" s="2" customFormat="1" ht="156.75" customHeight="1">
      <c r="A175" s="16"/>
      <c r="B175" s="41"/>
      <c r="C175" s="41"/>
      <c r="D175" s="17" t="s">
        <v>179</v>
      </c>
      <c r="E175" s="17"/>
      <c r="F175" s="33"/>
      <c r="G175" s="36">
        <f>G176+G177+G178+G179+G180+G181+G182+G183+G184+G185+G186+G187+G188+G189+G190+G191+G192+G193+G194+G195+G196+G197+G198</f>
        <v>172574449.06</v>
      </c>
      <c r="H175" s="36">
        <f>H176+H177+H178+H179+H180+H181+H182+H183+H184+H185+H186+H187+H188+H189+H190+H191+H192+H193+H194+H195+H196+H197+H198</f>
        <v>3228011</v>
      </c>
      <c r="I175" s="36">
        <f>I176+I177+I178+I179+I180+I181+I182+I183+I184+I185+I186+I187+I188+I189+I190+I191+I192+I193+I194+I195+I196+I197+I198</f>
        <v>169346438.06</v>
      </c>
      <c r="J175" s="36">
        <f>J176+J177+J178+J179+J180+J181+J182+J183+J184+J185+J186+J187+J188+J189+J190+J191+J192+J193+J194+J195+J196+J197+J198</f>
        <v>159027220</v>
      </c>
      <c r="K175" s="88"/>
    </row>
    <row r="176" spans="1:11" ht="156" customHeight="1">
      <c r="A176" s="11" t="s">
        <v>180</v>
      </c>
      <c r="B176" s="42" t="s">
        <v>70</v>
      </c>
      <c r="C176" s="40" t="s">
        <v>2</v>
      </c>
      <c r="D176" s="10" t="s">
        <v>71</v>
      </c>
      <c r="E176" s="10" t="s">
        <v>445</v>
      </c>
      <c r="F176" s="31" t="s">
        <v>381</v>
      </c>
      <c r="G176" s="37">
        <f aca="true" t="shared" si="5" ref="G176:G183">H176+I176</f>
        <v>10000</v>
      </c>
      <c r="H176" s="37"/>
      <c r="I176" s="37">
        <v>10000</v>
      </c>
      <c r="J176" s="37"/>
      <c r="K176" s="88"/>
    </row>
    <row r="177" spans="1:11" ht="204" customHeight="1">
      <c r="A177" s="9" t="s">
        <v>181</v>
      </c>
      <c r="B177" s="40" t="s">
        <v>101</v>
      </c>
      <c r="C177" s="40" t="s">
        <v>8</v>
      </c>
      <c r="D177" s="10" t="s">
        <v>102</v>
      </c>
      <c r="E177" s="10" t="s">
        <v>485</v>
      </c>
      <c r="F177" s="10" t="s">
        <v>347</v>
      </c>
      <c r="G177" s="37">
        <f t="shared" si="5"/>
        <v>15454000</v>
      </c>
      <c r="H177" s="37"/>
      <c r="I177" s="37">
        <f>55000000-3750000-35796000</f>
        <v>15454000</v>
      </c>
      <c r="J177" s="37">
        <f>55000000-3750000-35796000</f>
        <v>15454000</v>
      </c>
      <c r="K177" s="88"/>
    </row>
    <row r="178" spans="1:11" s="3" customFormat="1" ht="221.25" customHeight="1" hidden="1">
      <c r="A178" s="9" t="s">
        <v>313</v>
      </c>
      <c r="B178" s="40" t="s">
        <v>314</v>
      </c>
      <c r="C178" s="40" t="s">
        <v>23</v>
      </c>
      <c r="D178" s="10" t="s">
        <v>315</v>
      </c>
      <c r="E178" s="12" t="s">
        <v>436</v>
      </c>
      <c r="F178" s="10" t="s">
        <v>457</v>
      </c>
      <c r="G178" s="37">
        <f t="shared" si="5"/>
        <v>0</v>
      </c>
      <c r="H178" s="37"/>
      <c r="I178" s="37"/>
      <c r="J178" s="37"/>
      <c r="K178" s="88"/>
    </row>
    <row r="179" spans="1:11" s="3" customFormat="1" ht="265.5" customHeight="1" hidden="1">
      <c r="A179" s="9" t="s">
        <v>323</v>
      </c>
      <c r="B179" s="40" t="s">
        <v>324</v>
      </c>
      <c r="C179" s="40" t="s">
        <v>23</v>
      </c>
      <c r="D179" s="43" t="s">
        <v>325</v>
      </c>
      <c r="E179" s="10" t="s">
        <v>427</v>
      </c>
      <c r="F179" s="31" t="s">
        <v>448</v>
      </c>
      <c r="G179" s="37">
        <f t="shared" si="5"/>
        <v>0</v>
      </c>
      <c r="H179" s="37"/>
      <c r="I179" s="37"/>
      <c r="J179" s="37"/>
      <c r="K179" s="88"/>
    </row>
    <row r="180" spans="1:11" s="3" customFormat="1" ht="207" customHeight="1">
      <c r="A180" s="9" t="s">
        <v>182</v>
      </c>
      <c r="B180" s="40" t="s">
        <v>106</v>
      </c>
      <c r="C180" s="40" t="s">
        <v>23</v>
      </c>
      <c r="D180" s="10" t="s">
        <v>107</v>
      </c>
      <c r="E180" s="12" t="s">
        <v>217</v>
      </c>
      <c r="F180" s="12" t="s">
        <v>346</v>
      </c>
      <c r="G180" s="37">
        <f t="shared" si="5"/>
        <v>162609.06</v>
      </c>
      <c r="H180" s="37">
        <v>84906</v>
      </c>
      <c r="I180" s="37">
        <f>46724+30979.06</f>
        <v>77703.06</v>
      </c>
      <c r="J180" s="37"/>
      <c r="K180" s="88"/>
    </row>
    <row r="181" spans="1:11" s="3" customFormat="1" ht="175.5" customHeight="1" hidden="1">
      <c r="A181" s="9" t="s">
        <v>385</v>
      </c>
      <c r="B181" s="40">
        <v>6090</v>
      </c>
      <c r="C181" s="9" t="s">
        <v>211</v>
      </c>
      <c r="D181" s="10" t="s">
        <v>388</v>
      </c>
      <c r="E181" s="12" t="s">
        <v>436</v>
      </c>
      <c r="F181" s="10" t="s">
        <v>457</v>
      </c>
      <c r="G181" s="37">
        <f t="shared" si="5"/>
        <v>0</v>
      </c>
      <c r="H181" s="37"/>
      <c r="I181" s="37"/>
      <c r="J181" s="37"/>
      <c r="K181" s="88"/>
    </row>
    <row r="182" spans="1:11" ht="221.25">
      <c r="A182" s="9" t="s">
        <v>218</v>
      </c>
      <c r="B182" s="40" t="s">
        <v>213</v>
      </c>
      <c r="C182" s="40" t="s">
        <v>62</v>
      </c>
      <c r="D182" s="10" t="s">
        <v>214</v>
      </c>
      <c r="E182" s="12" t="s">
        <v>436</v>
      </c>
      <c r="F182" s="10" t="s">
        <v>478</v>
      </c>
      <c r="G182" s="37">
        <f t="shared" si="5"/>
        <v>4590000</v>
      </c>
      <c r="H182" s="37"/>
      <c r="I182" s="37">
        <f>3000000+1590000</f>
        <v>4590000</v>
      </c>
      <c r="J182" s="37">
        <f>3000000+1590000</f>
        <v>4590000</v>
      </c>
      <c r="K182" s="88"/>
    </row>
    <row r="183" spans="1:11" s="3" customFormat="1" ht="221.25">
      <c r="A183" s="92" t="s">
        <v>219</v>
      </c>
      <c r="B183" s="89" t="s">
        <v>220</v>
      </c>
      <c r="C183" s="89" t="s">
        <v>62</v>
      </c>
      <c r="D183" s="90" t="s">
        <v>221</v>
      </c>
      <c r="E183" s="12" t="s">
        <v>436</v>
      </c>
      <c r="F183" s="10" t="s">
        <v>479</v>
      </c>
      <c r="G183" s="37">
        <f t="shared" si="5"/>
        <v>4000000</v>
      </c>
      <c r="H183" s="37"/>
      <c r="I183" s="37">
        <f>9000000-5000000</f>
        <v>4000000</v>
      </c>
      <c r="J183" s="37">
        <f>9000000-5000000</f>
        <v>4000000</v>
      </c>
      <c r="K183" s="88"/>
    </row>
    <row r="184" spans="1:11" s="3" customFormat="1" ht="192" customHeight="1" hidden="1">
      <c r="A184" s="92"/>
      <c r="B184" s="89"/>
      <c r="C184" s="89"/>
      <c r="D184" s="90"/>
      <c r="E184" s="12" t="s">
        <v>436</v>
      </c>
      <c r="F184" s="10" t="s">
        <v>457</v>
      </c>
      <c r="G184" s="37">
        <f aca="true" t="shared" si="6" ref="G184:G212">H184+I184</f>
        <v>0</v>
      </c>
      <c r="H184" s="37"/>
      <c r="I184" s="37"/>
      <c r="J184" s="37"/>
      <c r="K184" s="88"/>
    </row>
    <row r="185" spans="1:11" s="3" customFormat="1" ht="221.25">
      <c r="A185" s="9" t="s">
        <v>222</v>
      </c>
      <c r="B185" s="40" t="s">
        <v>223</v>
      </c>
      <c r="C185" s="40" t="s">
        <v>62</v>
      </c>
      <c r="D185" s="10" t="s">
        <v>224</v>
      </c>
      <c r="E185" s="12" t="s">
        <v>436</v>
      </c>
      <c r="F185" s="10" t="s">
        <v>478</v>
      </c>
      <c r="G185" s="37">
        <f t="shared" si="6"/>
        <v>12454849</v>
      </c>
      <c r="H185" s="37"/>
      <c r="I185" s="37">
        <f>7000000-3286719+741568+8000000</f>
        <v>12454849</v>
      </c>
      <c r="J185" s="37">
        <f>7000000-3286719+741568+8000000</f>
        <v>12454849</v>
      </c>
      <c r="K185" s="88"/>
    </row>
    <row r="186" spans="1:11" s="3" customFormat="1" ht="221.25">
      <c r="A186" s="9" t="s">
        <v>225</v>
      </c>
      <c r="B186" s="40" t="s">
        <v>226</v>
      </c>
      <c r="C186" s="40" t="s">
        <v>62</v>
      </c>
      <c r="D186" s="10" t="s">
        <v>227</v>
      </c>
      <c r="E186" s="12" t="s">
        <v>436</v>
      </c>
      <c r="F186" s="10" t="s">
        <v>478</v>
      </c>
      <c r="G186" s="37">
        <f t="shared" si="6"/>
        <v>100000</v>
      </c>
      <c r="H186" s="37"/>
      <c r="I186" s="37">
        <v>100000</v>
      </c>
      <c r="J186" s="37">
        <v>100000</v>
      </c>
      <c r="K186" s="88"/>
    </row>
    <row r="187" spans="1:11" ht="183.75" customHeight="1">
      <c r="A187" s="9" t="s">
        <v>228</v>
      </c>
      <c r="B187" s="40" t="s">
        <v>216</v>
      </c>
      <c r="C187" s="40" t="s">
        <v>62</v>
      </c>
      <c r="D187" s="10" t="s">
        <v>370</v>
      </c>
      <c r="E187" s="12" t="s">
        <v>436</v>
      </c>
      <c r="F187" s="10" t="s">
        <v>479</v>
      </c>
      <c r="G187" s="37">
        <f t="shared" si="6"/>
        <v>42980823</v>
      </c>
      <c r="H187" s="37"/>
      <c r="I187" s="37">
        <f>41300000-1000000+300000+1000000+1000000-1800000+860151+8034260+1003444+2000000+282968-10000000</f>
        <v>42980823</v>
      </c>
      <c r="J187" s="37">
        <f>41300000-1000000+300000+1000000+1000000-1800000+860151+8034260+1003444+2000000+282968-10000000</f>
        <v>42980823</v>
      </c>
      <c r="K187" s="88"/>
    </row>
    <row r="188" spans="1:11" ht="177" customHeight="1" hidden="1">
      <c r="A188" s="9" t="s">
        <v>284</v>
      </c>
      <c r="B188" s="40" t="s">
        <v>103</v>
      </c>
      <c r="C188" s="40" t="s">
        <v>62</v>
      </c>
      <c r="D188" s="10" t="s">
        <v>104</v>
      </c>
      <c r="E188" s="12" t="s">
        <v>436</v>
      </c>
      <c r="F188" s="10" t="s">
        <v>457</v>
      </c>
      <c r="G188" s="37">
        <f t="shared" si="6"/>
        <v>0</v>
      </c>
      <c r="H188" s="37"/>
      <c r="I188" s="37"/>
      <c r="J188" s="37"/>
      <c r="K188" s="88"/>
    </row>
    <row r="189" spans="1:11" s="3" customFormat="1" ht="191.25" customHeight="1">
      <c r="A189" s="9" t="s">
        <v>326</v>
      </c>
      <c r="B189" s="40" t="s">
        <v>311</v>
      </c>
      <c r="C189" s="40" t="s">
        <v>4</v>
      </c>
      <c r="D189" s="10" t="s">
        <v>312</v>
      </c>
      <c r="E189" s="12" t="s">
        <v>436</v>
      </c>
      <c r="F189" s="10" t="s">
        <v>479</v>
      </c>
      <c r="G189" s="37">
        <f t="shared" si="6"/>
        <v>5000000</v>
      </c>
      <c r="H189" s="37"/>
      <c r="I189" s="37">
        <v>5000000</v>
      </c>
      <c r="J189" s="37">
        <v>5000000</v>
      </c>
      <c r="K189" s="88"/>
    </row>
    <row r="190" spans="1:11" s="3" customFormat="1" ht="192.75" customHeight="1">
      <c r="A190" s="9" t="s">
        <v>309</v>
      </c>
      <c r="B190" s="40" t="s">
        <v>294</v>
      </c>
      <c r="C190" s="40" t="s">
        <v>4</v>
      </c>
      <c r="D190" s="10" t="s">
        <v>295</v>
      </c>
      <c r="E190" s="12" t="s">
        <v>436</v>
      </c>
      <c r="F190" s="10" t="s">
        <v>479</v>
      </c>
      <c r="G190" s="37">
        <f t="shared" si="6"/>
        <v>95000</v>
      </c>
      <c r="H190" s="37"/>
      <c r="I190" s="37">
        <v>95000</v>
      </c>
      <c r="J190" s="37">
        <v>95000</v>
      </c>
      <c r="K190" s="88"/>
    </row>
    <row r="191" spans="1:11" s="3" customFormat="1" ht="177" customHeight="1" hidden="1">
      <c r="A191" s="9" t="s">
        <v>399</v>
      </c>
      <c r="B191" s="40">
        <v>7370</v>
      </c>
      <c r="C191" s="9" t="s">
        <v>4</v>
      </c>
      <c r="D191" s="10" t="s">
        <v>330</v>
      </c>
      <c r="E191" s="12" t="s">
        <v>400</v>
      </c>
      <c r="F191" s="10" t="s">
        <v>457</v>
      </c>
      <c r="G191" s="37">
        <f t="shared" si="6"/>
        <v>0</v>
      </c>
      <c r="H191" s="37"/>
      <c r="I191" s="37"/>
      <c r="J191" s="37"/>
      <c r="K191" s="88"/>
    </row>
    <row r="192" spans="1:11" s="3" customFormat="1" ht="221.25" customHeight="1" hidden="1">
      <c r="A192" s="9" t="s">
        <v>302</v>
      </c>
      <c r="B192" s="40" t="s">
        <v>303</v>
      </c>
      <c r="C192" s="40" t="s">
        <v>265</v>
      </c>
      <c r="D192" s="10" t="s">
        <v>304</v>
      </c>
      <c r="E192" s="10" t="s">
        <v>485</v>
      </c>
      <c r="F192" s="10" t="s">
        <v>347</v>
      </c>
      <c r="G192" s="37">
        <f t="shared" si="6"/>
        <v>0</v>
      </c>
      <c r="H192" s="37"/>
      <c r="I192" s="37"/>
      <c r="J192" s="37"/>
      <c r="K192" s="88"/>
    </row>
    <row r="193" spans="1:11" s="3" customFormat="1" ht="183" customHeight="1" hidden="1">
      <c r="A193" s="9" t="s">
        <v>317</v>
      </c>
      <c r="B193" s="40" t="s">
        <v>318</v>
      </c>
      <c r="C193" s="40" t="s">
        <v>265</v>
      </c>
      <c r="D193" s="44" t="s">
        <v>319</v>
      </c>
      <c r="E193" s="12" t="s">
        <v>400</v>
      </c>
      <c r="F193" s="10" t="s">
        <v>457</v>
      </c>
      <c r="G193" s="37">
        <f t="shared" si="6"/>
        <v>0</v>
      </c>
      <c r="H193" s="37"/>
      <c r="I193" s="37"/>
      <c r="J193" s="37"/>
      <c r="K193" s="88"/>
    </row>
    <row r="194" spans="1:11" ht="151.5" customHeight="1">
      <c r="A194" s="9" t="s">
        <v>183</v>
      </c>
      <c r="B194" s="40" t="s">
        <v>83</v>
      </c>
      <c r="C194" s="40" t="s">
        <v>25</v>
      </c>
      <c r="D194" s="10" t="s">
        <v>53</v>
      </c>
      <c r="E194" s="10" t="s">
        <v>435</v>
      </c>
      <c r="F194" s="10" t="s">
        <v>466</v>
      </c>
      <c r="G194" s="37">
        <f t="shared" si="6"/>
        <v>85817011</v>
      </c>
      <c r="H194" s="37">
        <v>1728011</v>
      </c>
      <c r="I194" s="37">
        <v>84089000</v>
      </c>
      <c r="J194" s="37">
        <v>74352548</v>
      </c>
      <c r="K194" s="88"/>
    </row>
    <row r="195" spans="1:11" s="3" customFormat="1" ht="177" customHeight="1" hidden="1">
      <c r="A195" s="9" t="s">
        <v>331</v>
      </c>
      <c r="B195" s="40" t="s">
        <v>205</v>
      </c>
      <c r="C195" s="40" t="s">
        <v>4</v>
      </c>
      <c r="D195" s="10" t="s">
        <v>206</v>
      </c>
      <c r="E195" s="12" t="s">
        <v>436</v>
      </c>
      <c r="F195" s="10" t="s">
        <v>457</v>
      </c>
      <c r="G195" s="37">
        <f t="shared" si="6"/>
        <v>0</v>
      </c>
      <c r="H195" s="37"/>
      <c r="I195" s="37"/>
      <c r="J195" s="37"/>
      <c r="K195" s="80"/>
    </row>
    <row r="196" spans="1:11" s="3" customFormat="1" ht="367.5" customHeight="1" hidden="1">
      <c r="A196" s="9" t="s">
        <v>377</v>
      </c>
      <c r="B196" s="40" t="s">
        <v>252</v>
      </c>
      <c r="C196" s="40" t="s">
        <v>4</v>
      </c>
      <c r="D196" s="10" t="s">
        <v>273</v>
      </c>
      <c r="E196" s="12"/>
      <c r="F196" s="10"/>
      <c r="G196" s="37"/>
      <c r="H196" s="37"/>
      <c r="I196" s="37"/>
      <c r="J196" s="37"/>
      <c r="K196" s="80"/>
    </row>
    <row r="197" spans="1:11" s="3" customFormat="1" ht="144" customHeight="1">
      <c r="A197" s="9" t="s">
        <v>307</v>
      </c>
      <c r="B197" s="40" t="s">
        <v>305</v>
      </c>
      <c r="C197" s="40" t="s">
        <v>3</v>
      </c>
      <c r="D197" s="10" t="s">
        <v>378</v>
      </c>
      <c r="E197" s="12" t="s">
        <v>217</v>
      </c>
      <c r="F197" s="12" t="s">
        <v>346</v>
      </c>
      <c r="G197" s="37">
        <f t="shared" si="6"/>
        <v>2710157</v>
      </c>
      <c r="H197" s="37">
        <v>1415094</v>
      </c>
      <c r="I197" s="37">
        <f>778741+516322</f>
        <v>1295063</v>
      </c>
      <c r="J197" s="37"/>
      <c r="K197" s="88"/>
    </row>
    <row r="198" spans="1:11" s="3" customFormat="1" ht="199.5" customHeight="1">
      <c r="A198" s="9" t="s">
        <v>308</v>
      </c>
      <c r="B198" s="40" t="s">
        <v>306</v>
      </c>
      <c r="C198" s="40" t="s">
        <v>3</v>
      </c>
      <c r="D198" s="10" t="s">
        <v>379</v>
      </c>
      <c r="E198" s="12" t="s">
        <v>217</v>
      </c>
      <c r="F198" s="12" t="s">
        <v>346</v>
      </c>
      <c r="G198" s="37">
        <f t="shared" si="6"/>
        <v>-800000</v>
      </c>
      <c r="H198" s="37"/>
      <c r="I198" s="37">
        <v>-800000</v>
      </c>
      <c r="J198" s="37"/>
      <c r="K198" s="88"/>
    </row>
    <row r="199" spans="1:11" s="2" customFormat="1" ht="108" customHeight="1">
      <c r="A199" s="16"/>
      <c r="B199" s="41"/>
      <c r="C199" s="41"/>
      <c r="D199" s="17" t="s">
        <v>184</v>
      </c>
      <c r="E199" s="34"/>
      <c r="F199" s="34"/>
      <c r="G199" s="36">
        <f>G200+G201+G203+G204</f>
        <v>2638878.54</v>
      </c>
      <c r="H199" s="36">
        <f>H200+H201+H203+H204</f>
        <v>275000</v>
      </c>
      <c r="I199" s="36">
        <f>I200+I201+I203+I204</f>
        <v>2363878.54</v>
      </c>
      <c r="J199" s="36">
        <f>J200+J201+J203+J204</f>
        <v>0</v>
      </c>
      <c r="K199" s="88"/>
    </row>
    <row r="200" spans="1:11" ht="144" customHeight="1">
      <c r="A200" s="9" t="s">
        <v>185</v>
      </c>
      <c r="B200" s="40" t="s">
        <v>70</v>
      </c>
      <c r="C200" s="40" t="s">
        <v>2</v>
      </c>
      <c r="D200" s="10" t="s">
        <v>71</v>
      </c>
      <c r="E200" s="10" t="s">
        <v>445</v>
      </c>
      <c r="F200" s="31" t="s">
        <v>381</v>
      </c>
      <c r="G200" s="37">
        <f>H200+I200</f>
        <v>100000</v>
      </c>
      <c r="H200" s="37">
        <f>50000+50000</f>
        <v>100000</v>
      </c>
      <c r="I200" s="37"/>
      <c r="J200" s="37"/>
      <c r="K200" s="88"/>
    </row>
    <row r="201" spans="1:11" ht="177" customHeight="1">
      <c r="A201" s="9" t="s">
        <v>266</v>
      </c>
      <c r="B201" s="40" t="s">
        <v>191</v>
      </c>
      <c r="C201" s="40" t="s">
        <v>211</v>
      </c>
      <c r="D201" s="10" t="s">
        <v>210</v>
      </c>
      <c r="E201" s="10" t="s">
        <v>485</v>
      </c>
      <c r="F201" s="10" t="s">
        <v>347</v>
      </c>
      <c r="G201" s="37">
        <f>H201+I201</f>
        <v>175000</v>
      </c>
      <c r="H201" s="37">
        <v>175000</v>
      </c>
      <c r="I201" s="37"/>
      <c r="J201" s="37"/>
      <c r="K201" s="88"/>
    </row>
    <row r="202" spans="1:11" ht="139.5" customHeight="1" hidden="1">
      <c r="A202" s="9" t="s">
        <v>328</v>
      </c>
      <c r="B202" s="40" t="s">
        <v>329</v>
      </c>
      <c r="C202" s="40" t="s">
        <v>4</v>
      </c>
      <c r="D202" s="10" t="s">
        <v>330</v>
      </c>
      <c r="E202" s="10" t="s">
        <v>354</v>
      </c>
      <c r="F202" s="10" t="s">
        <v>387</v>
      </c>
      <c r="G202" s="37">
        <f>H202+I202</f>
        <v>0</v>
      </c>
      <c r="H202" s="37"/>
      <c r="I202" s="37"/>
      <c r="J202" s="37"/>
      <c r="K202" s="88"/>
    </row>
    <row r="203" spans="1:11" s="3" customFormat="1" ht="221.25">
      <c r="A203" s="92" t="s">
        <v>253</v>
      </c>
      <c r="B203" s="89" t="s">
        <v>252</v>
      </c>
      <c r="C203" s="89" t="s">
        <v>4</v>
      </c>
      <c r="D203" s="90" t="s">
        <v>273</v>
      </c>
      <c r="E203" s="10" t="s">
        <v>485</v>
      </c>
      <c r="F203" s="10" t="s">
        <v>347</v>
      </c>
      <c r="G203" s="37">
        <f>H203+I203</f>
        <v>100000</v>
      </c>
      <c r="H203" s="37"/>
      <c r="I203" s="37">
        <v>100000</v>
      </c>
      <c r="J203" s="37"/>
      <c r="K203" s="88"/>
    </row>
    <row r="204" spans="1:11" s="3" customFormat="1" ht="218.25" customHeight="1">
      <c r="A204" s="92"/>
      <c r="B204" s="89"/>
      <c r="C204" s="89"/>
      <c r="D204" s="90"/>
      <c r="E204" s="10" t="s">
        <v>354</v>
      </c>
      <c r="F204" s="10" t="s">
        <v>387</v>
      </c>
      <c r="G204" s="37">
        <f>H204+I204</f>
        <v>2263878.54</v>
      </c>
      <c r="H204" s="37"/>
      <c r="I204" s="37">
        <f>889000+300000+1074878.54</f>
        <v>2263878.54</v>
      </c>
      <c r="J204" s="37"/>
      <c r="K204" s="88"/>
    </row>
    <row r="205" spans="1:11" s="2" customFormat="1" ht="97.5" customHeight="1">
      <c r="A205" s="16"/>
      <c r="B205" s="41"/>
      <c r="C205" s="41"/>
      <c r="D205" s="17" t="s">
        <v>176</v>
      </c>
      <c r="E205" s="17"/>
      <c r="F205" s="33"/>
      <c r="G205" s="36">
        <f>G206+G208+G209+G210+G211</f>
        <v>2485000</v>
      </c>
      <c r="H205" s="36">
        <f>H206+H208+H209+H210+H211</f>
        <v>2410000</v>
      </c>
      <c r="I205" s="36">
        <f>I206+I208+I209+I210+I211</f>
        <v>75000</v>
      </c>
      <c r="J205" s="36">
        <f>J206+J208+J209+J210+J211</f>
        <v>75000</v>
      </c>
      <c r="K205" s="88"/>
    </row>
    <row r="206" spans="1:11" ht="240" customHeight="1">
      <c r="A206" s="9" t="s">
        <v>177</v>
      </c>
      <c r="B206" s="40" t="s">
        <v>99</v>
      </c>
      <c r="C206" s="40" t="s">
        <v>24</v>
      </c>
      <c r="D206" s="10" t="s">
        <v>100</v>
      </c>
      <c r="E206" s="12" t="s">
        <v>467</v>
      </c>
      <c r="F206" s="32" t="s">
        <v>480</v>
      </c>
      <c r="G206" s="37">
        <f aca="true" t="shared" si="7" ref="G206:G211">H206+I206</f>
        <v>700000</v>
      </c>
      <c r="H206" s="37">
        <v>700000</v>
      </c>
      <c r="I206" s="37"/>
      <c r="J206" s="37"/>
      <c r="K206" s="88"/>
    </row>
    <row r="207" spans="1:11" ht="208.5" customHeight="1" hidden="1">
      <c r="A207" s="9" t="s">
        <v>332</v>
      </c>
      <c r="B207" s="40" t="s">
        <v>329</v>
      </c>
      <c r="C207" s="40" t="s">
        <v>4</v>
      </c>
      <c r="D207" s="10" t="s">
        <v>330</v>
      </c>
      <c r="E207" s="12" t="s">
        <v>436</v>
      </c>
      <c r="F207" s="10" t="s">
        <v>384</v>
      </c>
      <c r="G207" s="37">
        <f t="shared" si="7"/>
        <v>0</v>
      </c>
      <c r="H207" s="37"/>
      <c r="I207" s="37"/>
      <c r="J207" s="37"/>
      <c r="K207" s="88"/>
    </row>
    <row r="208" spans="1:11" ht="181.5" customHeight="1">
      <c r="A208" s="9" t="s">
        <v>178</v>
      </c>
      <c r="B208" s="40" t="s">
        <v>90</v>
      </c>
      <c r="C208" s="40" t="s">
        <v>5</v>
      </c>
      <c r="D208" s="10" t="s">
        <v>46</v>
      </c>
      <c r="E208" s="10" t="s">
        <v>414</v>
      </c>
      <c r="F208" s="10" t="s">
        <v>465</v>
      </c>
      <c r="G208" s="37">
        <f t="shared" si="7"/>
        <v>1020000</v>
      </c>
      <c r="H208" s="37">
        <v>1020000</v>
      </c>
      <c r="I208" s="37"/>
      <c r="J208" s="37"/>
      <c r="K208" s="88"/>
    </row>
    <row r="209" spans="1:11" ht="203.25" customHeight="1">
      <c r="A209" s="9" t="s">
        <v>230</v>
      </c>
      <c r="B209" s="40" t="s">
        <v>229</v>
      </c>
      <c r="C209" s="40" t="s">
        <v>4</v>
      </c>
      <c r="D209" s="10" t="s">
        <v>231</v>
      </c>
      <c r="E209" s="12" t="s">
        <v>467</v>
      </c>
      <c r="F209" s="32" t="s">
        <v>481</v>
      </c>
      <c r="G209" s="37">
        <f t="shared" si="7"/>
        <v>30000</v>
      </c>
      <c r="H209" s="37"/>
      <c r="I209" s="37">
        <v>30000</v>
      </c>
      <c r="J209" s="37">
        <v>30000</v>
      </c>
      <c r="K209" s="88"/>
    </row>
    <row r="210" spans="1:11" ht="221.25" customHeight="1">
      <c r="A210" s="9" t="s">
        <v>233</v>
      </c>
      <c r="B210" s="40" t="s">
        <v>234</v>
      </c>
      <c r="C210" s="40" t="s">
        <v>4</v>
      </c>
      <c r="D210" s="10" t="s">
        <v>235</v>
      </c>
      <c r="E210" s="12" t="s">
        <v>467</v>
      </c>
      <c r="F210" s="32" t="s">
        <v>481</v>
      </c>
      <c r="G210" s="37">
        <f t="shared" si="7"/>
        <v>45000</v>
      </c>
      <c r="H210" s="37"/>
      <c r="I210" s="37">
        <v>45000</v>
      </c>
      <c r="J210" s="37">
        <v>45000</v>
      </c>
      <c r="K210" s="88"/>
    </row>
    <row r="211" spans="1:11" s="3" customFormat="1" ht="247.5" customHeight="1">
      <c r="A211" s="9" t="s">
        <v>232</v>
      </c>
      <c r="B211" s="40" t="s">
        <v>205</v>
      </c>
      <c r="C211" s="40">
        <v>490</v>
      </c>
      <c r="D211" s="10" t="s">
        <v>206</v>
      </c>
      <c r="E211" s="12" t="s">
        <v>467</v>
      </c>
      <c r="F211" s="32" t="s">
        <v>482</v>
      </c>
      <c r="G211" s="37">
        <f t="shared" si="7"/>
        <v>690000</v>
      </c>
      <c r="H211" s="37">
        <v>690000</v>
      </c>
      <c r="I211" s="37"/>
      <c r="J211" s="37"/>
      <c r="K211" s="88"/>
    </row>
    <row r="212" spans="1:11" ht="187.5" customHeight="1" hidden="1">
      <c r="A212" s="9" t="s">
        <v>301</v>
      </c>
      <c r="B212" s="40" t="s">
        <v>290</v>
      </c>
      <c r="C212" s="40" t="s">
        <v>26</v>
      </c>
      <c r="D212" s="19" t="s">
        <v>291</v>
      </c>
      <c r="E212" s="10" t="s">
        <v>414</v>
      </c>
      <c r="F212" s="10" t="s">
        <v>465</v>
      </c>
      <c r="G212" s="37">
        <f t="shared" si="6"/>
        <v>0</v>
      </c>
      <c r="H212" s="37"/>
      <c r="I212" s="37"/>
      <c r="J212" s="37"/>
      <c r="K212" s="88"/>
    </row>
    <row r="213" spans="1:11" s="2" customFormat="1" ht="117.75" customHeight="1">
      <c r="A213" s="16"/>
      <c r="B213" s="41"/>
      <c r="C213" s="41"/>
      <c r="D213" s="17" t="s">
        <v>186</v>
      </c>
      <c r="E213" s="34"/>
      <c r="F213" s="34"/>
      <c r="G213" s="36">
        <f>G215+G216+G217+G218+G219+G220+G221</f>
        <v>1438765</v>
      </c>
      <c r="H213" s="36">
        <f>H215+H216+H217+H218+H219+H220+H221</f>
        <v>1345265</v>
      </c>
      <c r="I213" s="36">
        <f>I215+I216+I217+I218+I219+I220+I221</f>
        <v>93500</v>
      </c>
      <c r="J213" s="36">
        <f>J215+J216+J217+J218+J219+J220+J221</f>
        <v>0</v>
      </c>
      <c r="K213" s="88"/>
    </row>
    <row r="214" spans="1:11" s="2" customFormat="1" ht="195" customHeight="1" hidden="1">
      <c r="A214" s="9" t="s">
        <v>390</v>
      </c>
      <c r="B214" s="40">
        <v>7370</v>
      </c>
      <c r="C214" s="9" t="s">
        <v>4</v>
      </c>
      <c r="D214" s="10" t="s">
        <v>330</v>
      </c>
      <c r="E214" s="12" t="s">
        <v>436</v>
      </c>
      <c r="F214" s="10" t="s">
        <v>384</v>
      </c>
      <c r="G214" s="37">
        <f aca="true" t="shared" si="8" ref="G214:G223">H214+I214</f>
        <v>0</v>
      </c>
      <c r="H214" s="37"/>
      <c r="I214" s="36"/>
      <c r="J214" s="36"/>
      <c r="K214" s="88"/>
    </row>
    <row r="215" spans="1:11" s="2" customFormat="1" ht="138.75" customHeight="1">
      <c r="A215" s="9" t="s">
        <v>236</v>
      </c>
      <c r="B215" s="40" t="s">
        <v>83</v>
      </c>
      <c r="C215" s="40" t="s">
        <v>25</v>
      </c>
      <c r="D215" s="10" t="s">
        <v>53</v>
      </c>
      <c r="E215" s="10" t="s">
        <v>435</v>
      </c>
      <c r="F215" s="10" t="s">
        <v>466</v>
      </c>
      <c r="G215" s="37">
        <f t="shared" si="8"/>
        <v>345000</v>
      </c>
      <c r="H215" s="37">
        <v>345000</v>
      </c>
      <c r="I215" s="37"/>
      <c r="J215" s="37"/>
      <c r="K215" s="88"/>
    </row>
    <row r="216" spans="1:11" s="2" customFormat="1" ht="188.25" customHeight="1">
      <c r="A216" s="9" t="s">
        <v>348</v>
      </c>
      <c r="B216" s="40" t="s">
        <v>205</v>
      </c>
      <c r="C216" s="9" t="s">
        <v>4</v>
      </c>
      <c r="D216" s="10" t="s">
        <v>206</v>
      </c>
      <c r="E216" s="12" t="s">
        <v>436</v>
      </c>
      <c r="F216" s="10" t="s">
        <v>479</v>
      </c>
      <c r="G216" s="37">
        <f t="shared" si="8"/>
        <v>213200</v>
      </c>
      <c r="H216" s="37">
        <v>213200</v>
      </c>
      <c r="I216" s="37"/>
      <c r="J216" s="37"/>
      <c r="K216" s="88"/>
    </row>
    <row r="217" spans="1:11" s="2" customFormat="1" ht="176.25" customHeight="1">
      <c r="A217" s="9" t="s">
        <v>421</v>
      </c>
      <c r="B217" s="40">
        <v>8330</v>
      </c>
      <c r="C217" s="9" t="s">
        <v>12</v>
      </c>
      <c r="D217" s="10" t="s">
        <v>434</v>
      </c>
      <c r="E217" s="12" t="s">
        <v>436</v>
      </c>
      <c r="F217" s="10" t="s">
        <v>478</v>
      </c>
      <c r="G217" s="37">
        <f t="shared" si="8"/>
        <v>75000</v>
      </c>
      <c r="H217" s="37">
        <v>75000</v>
      </c>
      <c r="I217" s="37"/>
      <c r="J217" s="37"/>
      <c r="K217" s="88"/>
    </row>
    <row r="218" spans="1:11" ht="130.5" customHeight="1">
      <c r="A218" s="9" t="s">
        <v>187</v>
      </c>
      <c r="B218" s="40" t="s">
        <v>79</v>
      </c>
      <c r="C218" s="9" t="s">
        <v>12</v>
      </c>
      <c r="D218" s="10" t="s">
        <v>80</v>
      </c>
      <c r="E218" s="12" t="s">
        <v>464</v>
      </c>
      <c r="F218" s="10" t="s">
        <v>382</v>
      </c>
      <c r="G218" s="37">
        <f t="shared" si="8"/>
        <v>93500</v>
      </c>
      <c r="H218" s="37"/>
      <c r="I218" s="37">
        <f>45000+48500</f>
        <v>93500</v>
      </c>
      <c r="J218" s="37"/>
      <c r="K218" s="88"/>
    </row>
    <row r="219" spans="1:11" ht="194.25" customHeight="1">
      <c r="A219" s="9" t="s">
        <v>437</v>
      </c>
      <c r="B219" s="40">
        <v>8600</v>
      </c>
      <c r="C219" s="9" t="s">
        <v>438</v>
      </c>
      <c r="D219" s="10" t="s">
        <v>439</v>
      </c>
      <c r="E219" s="12" t="s">
        <v>436</v>
      </c>
      <c r="F219" s="10" t="s">
        <v>479</v>
      </c>
      <c r="G219" s="37">
        <f t="shared" si="8"/>
        <v>712065</v>
      </c>
      <c r="H219" s="37">
        <v>712065</v>
      </c>
      <c r="I219" s="37"/>
      <c r="J219" s="37"/>
      <c r="K219" s="88"/>
    </row>
    <row r="220" spans="1:11" ht="189.75" customHeight="1">
      <c r="A220" s="9" t="s">
        <v>422</v>
      </c>
      <c r="B220" s="40">
        <v>8881</v>
      </c>
      <c r="C220" s="9" t="s">
        <v>4</v>
      </c>
      <c r="D220" s="10" t="s">
        <v>424</v>
      </c>
      <c r="E220" s="12" t="s">
        <v>436</v>
      </c>
      <c r="F220" s="10" t="s">
        <v>479</v>
      </c>
      <c r="G220" s="37">
        <f t="shared" si="8"/>
        <v>808088</v>
      </c>
      <c r="H220" s="37"/>
      <c r="I220" s="37">
        <v>808088</v>
      </c>
      <c r="J220" s="37">
        <v>808088</v>
      </c>
      <c r="K220" s="88"/>
    </row>
    <row r="221" spans="1:11" ht="191.25" customHeight="1">
      <c r="A221" s="9" t="s">
        <v>423</v>
      </c>
      <c r="B221" s="40">
        <v>8882</v>
      </c>
      <c r="C221" s="9" t="s">
        <v>4</v>
      </c>
      <c r="D221" s="10" t="s">
        <v>425</v>
      </c>
      <c r="E221" s="12" t="s">
        <v>436</v>
      </c>
      <c r="F221" s="10" t="s">
        <v>479</v>
      </c>
      <c r="G221" s="37">
        <f t="shared" si="8"/>
        <v>-808088</v>
      </c>
      <c r="H221" s="37"/>
      <c r="I221" s="37">
        <v>-808088</v>
      </c>
      <c r="J221" s="37">
        <v>-808088</v>
      </c>
      <c r="K221" s="88"/>
    </row>
    <row r="222" spans="1:11" ht="357.75" customHeight="1" hidden="1">
      <c r="A222" s="9" t="s">
        <v>403</v>
      </c>
      <c r="B222" s="49" t="s">
        <v>405</v>
      </c>
      <c r="C222" s="49" t="s">
        <v>26</v>
      </c>
      <c r="D222" s="54" t="s">
        <v>404</v>
      </c>
      <c r="E222" s="12" t="s">
        <v>436</v>
      </c>
      <c r="F222" s="10" t="s">
        <v>457</v>
      </c>
      <c r="G222" s="37">
        <f t="shared" si="8"/>
        <v>0</v>
      </c>
      <c r="H222" s="37"/>
      <c r="I222" s="37"/>
      <c r="J222" s="37"/>
      <c r="K222" s="88"/>
    </row>
    <row r="223" spans="1:11" ht="192" customHeight="1" hidden="1">
      <c r="A223" s="9" t="s">
        <v>278</v>
      </c>
      <c r="B223" s="40" t="s">
        <v>77</v>
      </c>
      <c r="C223" s="40" t="s">
        <v>26</v>
      </c>
      <c r="D223" s="10" t="s">
        <v>78</v>
      </c>
      <c r="E223" s="12" t="s">
        <v>436</v>
      </c>
      <c r="F223" s="10" t="s">
        <v>457</v>
      </c>
      <c r="G223" s="37">
        <f t="shared" si="8"/>
        <v>0</v>
      </c>
      <c r="H223" s="37"/>
      <c r="I223" s="37"/>
      <c r="J223" s="37"/>
      <c r="K223" s="88"/>
    </row>
    <row r="224" spans="1:11" s="25" customFormat="1" ht="54" customHeight="1">
      <c r="A224" s="24"/>
      <c r="B224" s="93" t="s">
        <v>453</v>
      </c>
      <c r="C224" s="94"/>
      <c r="D224" s="94"/>
      <c r="E224" s="95"/>
      <c r="F224" s="28"/>
      <c r="G224" s="39">
        <f>G19+G62+G88+G107+G128+G131+G140+G175+G199+G205+G213</f>
        <v>2226217021.25</v>
      </c>
      <c r="H224" s="39">
        <f>H19+H62+H88+H107+H128+H131+H140+H175+H199+H205+H213</f>
        <v>1638427934.46</v>
      </c>
      <c r="I224" s="39">
        <f>I19+I62+I88+I107+I128+I131+I140+I175+I199+I205+I213</f>
        <v>587789086.79</v>
      </c>
      <c r="J224" s="39">
        <f>J19+J62+J88+J107+J128+J131+J140+J175+J199+J205+J213</f>
        <v>434300728.47</v>
      </c>
      <c r="K224" s="88"/>
    </row>
    <row r="225" spans="1:11" ht="132.75" customHeight="1">
      <c r="A225" s="66"/>
      <c r="B225" s="60"/>
      <c r="C225" s="60"/>
      <c r="D225" s="10"/>
      <c r="E225" s="10" t="s">
        <v>445</v>
      </c>
      <c r="F225" s="31" t="s">
        <v>381</v>
      </c>
      <c r="G225" s="58">
        <f>G20+G33+G34+G51+G55+G63+G89+G108+G132+G141+G176+G200</f>
        <v>6812189</v>
      </c>
      <c r="H225" s="58">
        <f>H20+H33+H34+H51+H55+H63+H89+H108+H132+H141+H176+H200</f>
        <v>6802189</v>
      </c>
      <c r="I225" s="58">
        <f>I20+I33+I34+I51+I55+I63+I89+I108+I132+I141+I176+I200</f>
        <v>10000</v>
      </c>
      <c r="J225" s="58">
        <f>J20+J33+J34+J51+J55+J63+J89+J108+J132+J141+J176+J200</f>
        <v>0</v>
      </c>
      <c r="K225" s="88"/>
    </row>
    <row r="226" spans="1:11" ht="153.75" customHeight="1">
      <c r="A226" s="66"/>
      <c r="B226" s="60"/>
      <c r="C226" s="60"/>
      <c r="D226" s="59"/>
      <c r="E226" s="10" t="s">
        <v>456</v>
      </c>
      <c r="F226" s="10" t="s">
        <v>393</v>
      </c>
      <c r="G226" s="58">
        <f>G23+G25+G64+G67+G71+G72+G73+G74+G75+G76+G77+G83</f>
        <v>1031347341.64</v>
      </c>
      <c r="H226" s="58">
        <f>H23+H25+H64+H67+H71+H72+H73+H74+H75+H76+H77+H83</f>
        <v>948574829</v>
      </c>
      <c r="I226" s="58">
        <f>I23+I25+I64+I67+I71+I72+I73+I74+I75+I76+I77+I83</f>
        <v>82772512.64</v>
      </c>
      <c r="J226" s="58">
        <f>J23+J25+J64+J67+J71+J72+J73+J74+J75+J76+J77+J83</f>
        <v>29456004.64</v>
      </c>
      <c r="K226" s="88"/>
    </row>
    <row r="227" spans="1:11" ht="145.5" customHeight="1">
      <c r="A227" s="66"/>
      <c r="B227" s="60"/>
      <c r="C227" s="60"/>
      <c r="D227" s="59"/>
      <c r="E227" s="12" t="s">
        <v>455</v>
      </c>
      <c r="F227" s="10" t="s">
        <v>392</v>
      </c>
      <c r="G227" s="58">
        <f>G90+G92+G94+G96+G97+G98+G99+G102</f>
        <v>302133818</v>
      </c>
      <c r="H227" s="58">
        <f>H90+H92+H94+H96+H97+H98+H99+H102</f>
        <v>224767718</v>
      </c>
      <c r="I227" s="58">
        <f>I90+I92+I94+I96+I97+I98+I99+I102</f>
        <v>77366100</v>
      </c>
      <c r="J227" s="58">
        <f>J90+J92+J94+J96+J97+J98+J99+J102</f>
        <v>77366100</v>
      </c>
      <c r="K227" s="88"/>
    </row>
    <row r="228" spans="1:11" ht="189.75" customHeight="1">
      <c r="A228" s="66"/>
      <c r="B228" s="60"/>
      <c r="C228" s="60"/>
      <c r="D228" s="59"/>
      <c r="E228" s="10" t="s">
        <v>485</v>
      </c>
      <c r="F228" s="10" t="s">
        <v>347</v>
      </c>
      <c r="G228" s="58">
        <f>G142+G144+G145+G149+G150+G151+G153+G156+G158+G160+G162+G163+G167+G169+G173+G174+G177+G201+G203+G166+G171</f>
        <v>392399836.1399999</v>
      </c>
      <c r="H228" s="58">
        <f>H142+H144+H145+H149+H150+H151+H153+H156+H158+H160+H162+H163+H167+H169+H173+H174+H177+H201+H203+H166+H171</f>
        <v>231529264.57</v>
      </c>
      <c r="I228" s="58">
        <f>I142+I144+I145+I149+I150+I151+I153+I156+I158+I160+I162+I163+I167+I169+I173+I174+I177+I201+I203+I166+I171</f>
        <v>160870571.57</v>
      </c>
      <c r="J228" s="58">
        <f>J142+J144+J145+J149+J150+J151+J153+J156+J158+J160+J162+J163+J167+J169+J173+J174+J177+J201+J203+J166+J171</f>
        <v>80450481.3</v>
      </c>
      <c r="K228" s="88"/>
    </row>
    <row r="229" spans="1:11" ht="241.5" customHeight="1">
      <c r="A229" s="66"/>
      <c r="B229" s="60"/>
      <c r="C229" s="60"/>
      <c r="D229" s="59"/>
      <c r="E229" s="12" t="s">
        <v>467</v>
      </c>
      <c r="F229" s="32" t="s">
        <v>413</v>
      </c>
      <c r="G229" s="58">
        <f>G206+G209+G210+G211</f>
        <v>1465000</v>
      </c>
      <c r="H229" s="58">
        <f>H206+H209+H210+H211</f>
        <v>1390000</v>
      </c>
      <c r="I229" s="58">
        <f>I206+I209+I210+I211</f>
        <v>75000</v>
      </c>
      <c r="J229" s="58">
        <f>J206+J209+J210+J211</f>
        <v>75000</v>
      </c>
      <c r="K229" s="88"/>
    </row>
    <row r="230" spans="1:11" ht="103.5" customHeight="1">
      <c r="A230" s="66"/>
      <c r="B230" s="60"/>
      <c r="C230" s="60"/>
      <c r="D230" s="59"/>
      <c r="E230" s="10" t="s">
        <v>461</v>
      </c>
      <c r="F230" s="31" t="s">
        <v>398</v>
      </c>
      <c r="G230" s="58">
        <f>G53+G56+G59</f>
        <v>683360</v>
      </c>
      <c r="H230" s="58">
        <f>H53+H56+H59</f>
        <v>683360</v>
      </c>
      <c r="I230" s="58">
        <f>I53+I56+I59</f>
        <v>0</v>
      </c>
      <c r="J230" s="58">
        <f>J53+J56+J59</f>
        <v>0</v>
      </c>
      <c r="K230" s="88"/>
    </row>
    <row r="231" spans="1:11" ht="186" customHeight="1">
      <c r="A231" s="66"/>
      <c r="B231" s="60"/>
      <c r="C231" s="60"/>
      <c r="D231" s="59"/>
      <c r="E231" s="10" t="s">
        <v>507</v>
      </c>
      <c r="F231" s="31" t="s">
        <v>367</v>
      </c>
      <c r="G231" s="58">
        <f>G41+G42+G43+G44+G48</f>
        <v>50572000</v>
      </c>
      <c r="H231" s="58">
        <f>H41+H42+H43+H44+H48</f>
        <v>28000000</v>
      </c>
      <c r="I231" s="58">
        <f>I41+I42+I43+I44+I48</f>
        <v>22572000</v>
      </c>
      <c r="J231" s="58">
        <f>J41+J42+J43+J44+J48</f>
        <v>22572000</v>
      </c>
      <c r="K231" s="88"/>
    </row>
    <row r="232" spans="1:11" ht="183" customHeight="1">
      <c r="A232" s="66"/>
      <c r="B232" s="60"/>
      <c r="C232" s="60"/>
      <c r="D232" s="59"/>
      <c r="E232" s="10" t="s">
        <v>417</v>
      </c>
      <c r="F232" s="10" t="s">
        <v>483</v>
      </c>
      <c r="G232" s="58">
        <f>G45+G70</f>
        <v>20082850</v>
      </c>
      <c r="H232" s="58">
        <f>H45+H70</f>
        <v>14032850</v>
      </c>
      <c r="I232" s="58">
        <f>I45+I70</f>
        <v>6050000</v>
      </c>
      <c r="J232" s="58">
        <f>J45+J70</f>
        <v>6050000</v>
      </c>
      <c r="K232" s="88"/>
    </row>
    <row r="233" spans="1:11" ht="132.75">
      <c r="A233" s="66"/>
      <c r="B233" s="60"/>
      <c r="C233" s="60"/>
      <c r="D233" s="59"/>
      <c r="E233" s="10" t="s">
        <v>446</v>
      </c>
      <c r="F233" s="31" t="s">
        <v>383</v>
      </c>
      <c r="G233" s="58">
        <f>G30+G65+G68+G79+G109+G110+G111+G112+G113+G114+G115+G116+G118+G120+G121+G123+G126</f>
        <v>67999322.5</v>
      </c>
      <c r="H233" s="58">
        <f>H30+H65+H68+H79+H109+H110+H111+H112+H113+H114+H115+H116+H118+H120+H121+H123+H126</f>
        <v>67963682.5</v>
      </c>
      <c r="I233" s="58">
        <f>I30+I65+I68+I79+I109+I110+I111+I112+I113+I114+I115+I116+I118+I120+I121+I123+I126</f>
        <v>35640</v>
      </c>
      <c r="J233" s="58">
        <f>J30+J65+J68+J79+J109+J110+J111+J112+J113+J114+J115+J116+J118+J120+J121+J123+J126</f>
        <v>35640</v>
      </c>
      <c r="K233" s="88"/>
    </row>
    <row r="234" spans="1:11" ht="132.75">
      <c r="A234" s="66"/>
      <c r="B234" s="60"/>
      <c r="C234" s="60"/>
      <c r="D234" s="59"/>
      <c r="E234" s="10" t="s">
        <v>407</v>
      </c>
      <c r="F234" s="31" t="s">
        <v>410</v>
      </c>
      <c r="G234" s="61">
        <f>G22</f>
        <v>100000</v>
      </c>
      <c r="H234" s="61">
        <f>H22</f>
        <v>100000</v>
      </c>
      <c r="I234" s="61">
        <f>I22</f>
        <v>0</v>
      </c>
      <c r="J234" s="61">
        <f>J22</f>
        <v>0</v>
      </c>
      <c r="K234" s="88"/>
    </row>
    <row r="235" spans="1:11" ht="165" customHeight="1">
      <c r="A235" s="66"/>
      <c r="B235" s="60"/>
      <c r="C235" s="60"/>
      <c r="D235" s="59"/>
      <c r="E235" s="10" t="s">
        <v>463</v>
      </c>
      <c r="F235" s="10" t="s">
        <v>396</v>
      </c>
      <c r="G235" s="61">
        <f>G133+G134+G135+G136+G137</f>
        <v>4201088</v>
      </c>
      <c r="H235" s="61">
        <f>H133+H134+H135+H136+H137</f>
        <v>3321093</v>
      </c>
      <c r="I235" s="61">
        <f>I133+I134+I135+I136+I137</f>
        <v>879995</v>
      </c>
      <c r="J235" s="61">
        <f>J133+J134+J135+J136+J137</f>
        <v>879995</v>
      </c>
      <c r="K235" s="88"/>
    </row>
    <row r="236" spans="1:11" ht="132.75">
      <c r="A236" s="66"/>
      <c r="B236" s="60"/>
      <c r="C236" s="60"/>
      <c r="D236" s="59"/>
      <c r="E236" s="10" t="s">
        <v>343</v>
      </c>
      <c r="F236" s="31" t="s">
        <v>368</v>
      </c>
      <c r="G236" s="58">
        <f>G26+G29</f>
        <v>1327395</v>
      </c>
      <c r="H236" s="58">
        <f>H26+H29</f>
        <v>1327395</v>
      </c>
      <c r="I236" s="58">
        <f>I26+I29</f>
        <v>0</v>
      </c>
      <c r="J236" s="58">
        <f>J26+J29</f>
        <v>0</v>
      </c>
      <c r="K236" s="88"/>
    </row>
    <row r="237" spans="1:11" s="69" customFormat="1" ht="192" customHeight="1">
      <c r="A237" s="66"/>
      <c r="B237" s="67"/>
      <c r="C237" s="67"/>
      <c r="D237" s="68"/>
      <c r="E237" s="10" t="s">
        <v>427</v>
      </c>
      <c r="F237" s="31" t="s">
        <v>448</v>
      </c>
      <c r="G237" s="58">
        <f>G81+G129+G130+G179</f>
        <v>162990</v>
      </c>
      <c r="H237" s="58">
        <f>H81+H129+H130+H179</f>
        <v>142990</v>
      </c>
      <c r="I237" s="58">
        <f>I81+I129+I130+I179</f>
        <v>20000</v>
      </c>
      <c r="J237" s="58">
        <f>J81+J129+J130+J179</f>
        <v>20000</v>
      </c>
      <c r="K237" s="88"/>
    </row>
    <row r="238" spans="1:11" ht="221.25">
      <c r="A238" s="66"/>
      <c r="B238" s="60"/>
      <c r="C238" s="60"/>
      <c r="D238" s="59"/>
      <c r="E238" s="10" t="s">
        <v>488</v>
      </c>
      <c r="F238" s="31" t="s">
        <v>440</v>
      </c>
      <c r="G238" s="58">
        <f>G52+G170</f>
        <v>5937100</v>
      </c>
      <c r="H238" s="58">
        <f>H52+H170</f>
        <v>3637500</v>
      </c>
      <c r="I238" s="58">
        <f>I52+I170</f>
        <v>2299600</v>
      </c>
      <c r="J238" s="58">
        <f>J52+J170</f>
        <v>2299600</v>
      </c>
      <c r="K238" s="88"/>
    </row>
    <row r="239" spans="1:11" ht="88.5" customHeight="1">
      <c r="A239" s="66"/>
      <c r="B239" s="60"/>
      <c r="C239" s="60"/>
      <c r="D239" s="59"/>
      <c r="E239" s="10" t="s">
        <v>468</v>
      </c>
      <c r="F239" s="31" t="s">
        <v>394</v>
      </c>
      <c r="G239" s="58">
        <f>G24+G27+G28+G32+G78</f>
        <v>5857625</v>
      </c>
      <c r="H239" s="58">
        <f>H24+H27+H28+H32+H78</f>
        <v>5857625</v>
      </c>
      <c r="I239" s="58">
        <f>I24+I27+I28+I32+I78</f>
        <v>0</v>
      </c>
      <c r="J239" s="58">
        <f>J24+J27+J28+J32+J78</f>
        <v>0</v>
      </c>
      <c r="K239" s="88"/>
    </row>
    <row r="240" spans="1:11" ht="237" customHeight="1">
      <c r="A240" s="66"/>
      <c r="B240" s="60"/>
      <c r="C240" s="60"/>
      <c r="D240" s="59"/>
      <c r="E240" s="10" t="s">
        <v>412</v>
      </c>
      <c r="F240" s="31" t="s">
        <v>460</v>
      </c>
      <c r="G240" s="58">
        <f>G21</f>
        <v>210000</v>
      </c>
      <c r="H240" s="58">
        <f>H21</f>
        <v>210000</v>
      </c>
      <c r="I240" s="58">
        <f>I21</f>
        <v>0</v>
      </c>
      <c r="J240" s="58">
        <f>J21</f>
        <v>0</v>
      </c>
      <c r="K240" s="88"/>
    </row>
    <row r="241" spans="1:11" ht="189.75" customHeight="1">
      <c r="A241" s="66"/>
      <c r="B241" s="60"/>
      <c r="C241" s="60"/>
      <c r="D241" s="59"/>
      <c r="E241" s="12" t="s">
        <v>436</v>
      </c>
      <c r="F241" s="10" t="s">
        <v>479</v>
      </c>
      <c r="G241" s="58">
        <f>G49+G106+G125+G154+G178+G181+G182+G183+G184+G185+G186+G187+G188+G189+G190+G191+G193+G195+G207+G214+G216+G217+G219+G220+G221+G222+G223+G101</f>
        <v>85236946.18</v>
      </c>
      <c r="H241" s="58">
        <f>H49+H106+H125+H154+H178+H181+H182+H183+H184+H185+H186+H187+H188+H189+H190+H191+H193+H195+H207+H214+H216+H217+H219+H220+H221+H222+H223+H101</f>
        <v>12515565.39</v>
      </c>
      <c r="I241" s="58">
        <f>I49+I106+I125+I154+I178+I181+I182+I183+I184+I185+I186+I187+I188+I189+I190+I191+I193+I195+I207+I214+I216+I217+I219+I220+I221+I222+I223+I101</f>
        <v>72721380.78999999</v>
      </c>
      <c r="J241" s="58">
        <f>J49+J106+J125+J154+J178+J181+J182+J183+J184+J185+J186+J187+J188+J189+J190+J191+J193+J195+J207+J214+J216+J217+J219+J220+J221+J222+J223+J101</f>
        <v>73026380.78999999</v>
      </c>
      <c r="K241" s="88"/>
    </row>
    <row r="242" spans="1:11" ht="88.5">
      <c r="A242" s="66"/>
      <c r="B242" s="60"/>
      <c r="C242" s="60"/>
      <c r="D242" s="59"/>
      <c r="E242" s="10" t="s">
        <v>342</v>
      </c>
      <c r="F242" s="10" t="s">
        <v>369</v>
      </c>
      <c r="G242" s="58">
        <f>G122+G143</f>
        <v>200000</v>
      </c>
      <c r="H242" s="58">
        <f>H122+H143</f>
        <v>200000</v>
      </c>
      <c r="I242" s="58">
        <f>I122+I143</f>
        <v>0</v>
      </c>
      <c r="J242" s="58">
        <f>J122+J143</f>
        <v>0</v>
      </c>
      <c r="K242" s="88"/>
    </row>
    <row r="243" spans="1:11" ht="94.5" customHeight="1">
      <c r="A243" s="66"/>
      <c r="B243" s="60"/>
      <c r="C243" s="60"/>
      <c r="D243" s="59"/>
      <c r="E243" s="12" t="s">
        <v>217</v>
      </c>
      <c r="F243" s="12" t="s">
        <v>346</v>
      </c>
      <c r="G243" s="58">
        <f>G180+G197+G198</f>
        <v>2072766.06</v>
      </c>
      <c r="H243" s="58">
        <f>H180+H197+H198</f>
        <v>1500000</v>
      </c>
      <c r="I243" s="58">
        <f>I180+I197+I198</f>
        <v>572766.06</v>
      </c>
      <c r="J243" s="58">
        <f>J180+J197+J198</f>
        <v>0</v>
      </c>
      <c r="K243" s="88"/>
    </row>
    <row r="244" spans="1:11" ht="309.75" customHeight="1">
      <c r="A244" s="66"/>
      <c r="B244" s="60"/>
      <c r="C244" s="60"/>
      <c r="D244" s="59"/>
      <c r="E244" s="10" t="s">
        <v>365</v>
      </c>
      <c r="F244" s="10" t="s">
        <v>366</v>
      </c>
      <c r="G244" s="58">
        <f>G155</f>
        <v>579084</v>
      </c>
      <c r="H244" s="58">
        <f>H155</f>
        <v>579084</v>
      </c>
      <c r="I244" s="58">
        <f>I155</f>
        <v>0</v>
      </c>
      <c r="J244" s="58">
        <f>J155</f>
        <v>0</v>
      </c>
      <c r="K244" s="87"/>
    </row>
    <row r="245" spans="1:11" ht="153" customHeight="1">
      <c r="A245" s="66"/>
      <c r="B245" s="60"/>
      <c r="C245" s="60"/>
      <c r="D245" s="59"/>
      <c r="E245" s="12" t="s">
        <v>464</v>
      </c>
      <c r="F245" s="10" t="s">
        <v>382</v>
      </c>
      <c r="G245" s="58">
        <f>G54+G86+G105+G139+G146+G152+G157+G159+G161+G164+G168+G172+G218</f>
        <v>32565868.45</v>
      </c>
      <c r="H245" s="58">
        <f>H54+H86+H105+H139+H146+H152+H157+H159+H161+H164+H168+H172+H218</f>
        <v>0</v>
      </c>
      <c r="I245" s="58">
        <f>I54+I86+I105+I139+I146+I152+I157+I159+I161+I164+I168+I172+I218</f>
        <v>32565868.45</v>
      </c>
      <c r="J245" s="58">
        <f>J54+J86+J105+J139+J146+J152+J157+J159+J161+J164+J168+J172+J218</f>
        <v>26206325</v>
      </c>
      <c r="K245" s="87"/>
    </row>
    <row r="246" spans="1:11" ht="177">
      <c r="A246" s="66"/>
      <c r="B246" s="60"/>
      <c r="C246" s="60"/>
      <c r="D246" s="59"/>
      <c r="E246" s="10" t="s">
        <v>416</v>
      </c>
      <c r="F246" s="31" t="s">
        <v>477</v>
      </c>
      <c r="G246" s="58">
        <f>G31+G66+G69+G80+G87+G91+G93+G95+G100+G117+G119+G124+G127</f>
        <v>34278938</v>
      </c>
      <c r="H246" s="58">
        <f>H31+H66+H69+H80+H87+H91+H93+H95+H100+H117+H119+H124+H127</f>
        <v>34278938</v>
      </c>
      <c r="I246" s="58">
        <f>I31+I66+I69+I80+I87+I91+I93+I95+I100+I117+I119+I124+I127</f>
        <v>0</v>
      </c>
      <c r="J246" s="58">
        <f>J31+J66+J69+J80+J87+J91+J93+J95+J100+J117+J119+J124+J127</f>
        <v>0</v>
      </c>
      <c r="K246" s="87"/>
    </row>
    <row r="247" spans="1:11" ht="141.75" customHeight="1">
      <c r="A247" s="66"/>
      <c r="B247" s="60"/>
      <c r="C247" s="60"/>
      <c r="D247" s="59"/>
      <c r="E247" s="10" t="s">
        <v>435</v>
      </c>
      <c r="F247" s="10" t="s">
        <v>466</v>
      </c>
      <c r="G247" s="58">
        <f>G47+G50+G84+G85+G103+G104+G138+G194+G215</f>
        <v>113537248.91</v>
      </c>
      <c r="H247" s="58">
        <f>H47+H50+H84+H85+H103+H104+H138+H194+H215</f>
        <v>2932494</v>
      </c>
      <c r="I247" s="58">
        <f>I47+I50+I84+I85+I103+I104+I138+I194+I215</f>
        <v>110604754.91</v>
      </c>
      <c r="J247" s="58">
        <f>J47+J50+J84+J85+J103+J104+J138+J194+J215</f>
        <v>99983302.91</v>
      </c>
      <c r="K247" s="87"/>
    </row>
    <row r="248" spans="1:11" ht="147.75" customHeight="1">
      <c r="A248" s="66"/>
      <c r="B248" s="60"/>
      <c r="C248" s="60"/>
      <c r="D248" s="59"/>
      <c r="E248" s="10" t="s">
        <v>354</v>
      </c>
      <c r="F248" s="10" t="s">
        <v>387</v>
      </c>
      <c r="G248" s="58">
        <f>G202+G204</f>
        <v>2263878.54</v>
      </c>
      <c r="H248" s="58">
        <f>H202+H204</f>
        <v>0</v>
      </c>
      <c r="I248" s="58">
        <f>I202+I204</f>
        <v>2263878.54</v>
      </c>
      <c r="J248" s="58">
        <f>J202+J204</f>
        <v>0</v>
      </c>
      <c r="K248" s="87"/>
    </row>
    <row r="249" spans="1:11" ht="153.75" customHeight="1">
      <c r="A249" s="66"/>
      <c r="B249" s="60"/>
      <c r="C249" s="60"/>
      <c r="D249" s="59"/>
      <c r="E249" s="10" t="s">
        <v>454</v>
      </c>
      <c r="F249" s="31" t="s">
        <v>397</v>
      </c>
      <c r="G249" s="58">
        <f>G35+G36+G37+G38+G39+G40+G82</f>
        <v>49353040</v>
      </c>
      <c r="H249" s="58">
        <f>H35+H36+H37+H38+H39+H40+H82</f>
        <v>46652470</v>
      </c>
      <c r="I249" s="58">
        <f>I35+I36+I37+I38+I39+I40+I82</f>
        <v>2700570</v>
      </c>
      <c r="J249" s="58">
        <f>J35+J36+J37+J38+J39+J40+J82</f>
        <v>2521450</v>
      </c>
      <c r="K249" s="87"/>
    </row>
    <row r="250" spans="1:11" ht="198" customHeight="1">
      <c r="A250" s="66"/>
      <c r="B250" s="60"/>
      <c r="C250" s="60"/>
      <c r="D250" s="59"/>
      <c r="E250" s="12" t="s">
        <v>441</v>
      </c>
      <c r="F250" s="10" t="s">
        <v>459</v>
      </c>
      <c r="G250" s="58">
        <f>G147</f>
        <v>13602335.83</v>
      </c>
      <c r="H250" s="58">
        <f>H147</f>
        <v>193887</v>
      </c>
      <c r="I250" s="58">
        <f>I147</f>
        <v>13408448.83</v>
      </c>
      <c r="J250" s="58">
        <f>J147</f>
        <v>13358448.83</v>
      </c>
      <c r="K250" s="87"/>
    </row>
    <row r="251" spans="1:11" ht="172.5" customHeight="1">
      <c r="A251" s="66"/>
      <c r="B251" s="60"/>
      <c r="C251" s="60"/>
      <c r="D251" s="59"/>
      <c r="E251" s="10" t="s">
        <v>414</v>
      </c>
      <c r="F251" s="10" t="s">
        <v>465</v>
      </c>
      <c r="G251" s="58">
        <f>G46+G208+G212</f>
        <v>1235000</v>
      </c>
      <c r="H251" s="58">
        <f>H46+H208+H212</f>
        <v>1235000</v>
      </c>
      <c r="I251" s="58">
        <f>I46+I208+I212</f>
        <v>0</v>
      </c>
      <c r="J251" s="58">
        <f>J46+J208+J212</f>
        <v>0</v>
      </c>
      <c r="K251" s="87"/>
    </row>
    <row r="252" ht="38.25" customHeight="1" hidden="1">
      <c r="K252" s="87"/>
    </row>
    <row r="253" ht="38.25" customHeight="1" hidden="1">
      <c r="K253" s="87"/>
    </row>
    <row r="254" ht="38.25" customHeight="1" hidden="1">
      <c r="K254" s="87"/>
    </row>
    <row r="255" spans="1:11" s="64" customFormat="1" ht="43.5" customHeight="1" hidden="1">
      <c r="A255" s="62"/>
      <c r="B255" s="62"/>
      <c r="C255" s="62"/>
      <c r="D255" s="63"/>
      <c r="E255" s="62"/>
      <c r="F255" s="62"/>
      <c r="G255" s="65" t="e">
        <f>G224-#REF!</f>
        <v>#REF!</v>
      </c>
      <c r="H255" s="65" t="e">
        <f>H224-#REF!</f>
        <v>#REF!</v>
      </c>
      <c r="I255" s="65" t="e">
        <f>I224-#REF!</f>
        <v>#REF!</v>
      </c>
      <c r="J255" s="65" t="e">
        <f>J224-#REF!</f>
        <v>#REF!</v>
      </c>
      <c r="K255" s="87"/>
    </row>
    <row r="256" ht="38.25" customHeight="1" hidden="1">
      <c r="K256" s="87"/>
    </row>
    <row r="257" ht="38.25" customHeight="1">
      <c r="K257" s="87"/>
    </row>
    <row r="258" ht="38.25" customHeight="1">
      <c r="K258" s="87"/>
    </row>
    <row r="259" ht="38.25" customHeight="1">
      <c r="K259" s="87"/>
    </row>
    <row r="260" ht="38.25" customHeight="1">
      <c r="K260" s="87"/>
    </row>
    <row r="261" ht="38.25" customHeight="1">
      <c r="K261" s="87"/>
    </row>
    <row r="262" ht="38.25" customHeight="1">
      <c r="K262" s="87"/>
    </row>
    <row r="263" spans="7:11" ht="62.25" customHeight="1">
      <c r="G263" s="82"/>
      <c r="H263" s="82"/>
      <c r="I263" s="82"/>
      <c r="J263" s="82"/>
      <c r="K263" s="87"/>
    </row>
    <row r="264" spans="1:11" ht="77.25" customHeight="1">
      <c r="A264" s="119" t="s">
        <v>494</v>
      </c>
      <c r="B264" s="119"/>
      <c r="C264" s="119"/>
      <c r="D264" s="119"/>
      <c r="E264" s="84"/>
      <c r="F264" s="45"/>
      <c r="G264" s="75"/>
      <c r="H264" s="75"/>
      <c r="I264" s="74" t="s">
        <v>495</v>
      </c>
      <c r="J264" s="46"/>
      <c r="K264" s="87"/>
    </row>
    <row r="265" ht="38.25" customHeight="1">
      <c r="K265" s="87"/>
    </row>
    <row r="266" spans="1:11" ht="88.5" customHeight="1">
      <c r="A266" s="82" t="s">
        <v>496</v>
      </c>
      <c r="B266" s="85"/>
      <c r="K266" s="87"/>
    </row>
    <row r="267" spans="1:11" s="47" customFormat="1" ht="122.25" customHeight="1">
      <c r="A267" s="86"/>
      <c r="B267" s="85"/>
      <c r="C267" s="8"/>
      <c r="D267" s="7"/>
      <c r="E267" s="8"/>
      <c r="F267" s="8"/>
      <c r="G267" s="8"/>
      <c r="H267" s="18"/>
      <c r="I267" s="18"/>
      <c r="J267" s="18"/>
      <c r="K267" s="87"/>
    </row>
    <row r="268" ht="38.25">
      <c r="K268" s="87"/>
    </row>
    <row r="269" spans="7:10" ht="38.25">
      <c r="G269" s="71">
        <f>G251+G250+G249+G248+G247+G246+G245+G244+G243+G242+G241+G240+G239+G238+G237+G236+G235+G234+G233+G232+G231+G230+G229+G228+G227+G226+G225-G224</f>
        <v>0</v>
      </c>
      <c r="H269" s="71">
        <f>H251+H250+H249+H248+H247+H246+H245+H244+H243+H242+H241+H240+H239+H238+H237+H236+H235+H234+H233+H232+H231+H230+H229+H228+H227+H226+H225-H224</f>
        <v>0</v>
      </c>
      <c r="I269" s="71">
        <f>I251+I250+I249+I248+I247+I246+I245+I244+I243+I242+I241+I240+I239+I238+I237+I236+I235+I234+I233+I232+I231+I230+I229+I228+I227+I226+I225-I224</f>
        <v>0</v>
      </c>
      <c r="J269" s="71">
        <f>J251+J250+J249+J248+J247+J246+J245+J244+J243+J242+J241+J240+J239+J238+J237+J236+J235+J234+J233+J232+J231+J230+J229+J228+J227+J226+J225-J224</f>
        <v>0</v>
      </c>
    </row>
  </sheetData>
  <sheetProtection/>
  <mergeCells count="144">
    <mergeCell ref="G2:J2"/>
    <mergeCell ref="G3:J3"/>
    <mergeCell ref="G4:J4"/>
    <mergeCell ref="G5:J5"/>
    <mergeCell ref="G6:J6"/>
    <mergeCell ref="G7:J7"/>
    <mergeCell ref="G9:J9"/>
    <mergeCell ref="A264:D264"/>
    <mergeCell ref="C90:C91"/>
    <mergeCell ref="D126:D127"/>
    <mergeCell ref="D116:D117"/>
    <mergeCell ref="C116:C117"/>
    <mergeCell ref="B67:B70"/>
    <mergeCell ref="D78:D80"/>
    <mergeCell ref="D99:D100"/>
    <mergeCell ref="C126:C127"/>
    <mergeCell ref="A158:A159"/>
    <mergeCell ref="B158:B159"/>
    <mergeCell ref="D83:D84"/>
    <mergeCell ref="B92:B93"/>
    <mergeCell ref="C99:C100"/>
    <mergeCell ref="D90:D91"/>
    <mergeCell ref="D123:D124"/>
    <mergeCell ref="D118:D119"/>
    <mergeCell ref="A92:A93"/>
    <mergeCell ref="A94:A95"/>
    <mergeCell ref="A99:A100"/>
    <mergeCell ref="A59:A61"/>
    <mergeCell ref="B59:B61"/>
    <mergeCell ref="A64:A66"/>
    <mergeCell ref="A90:A91"/>
    <mergeCell ref="A78:A80"/>
    <mergeCell ref="A83:A84"/>
    <mergeCell ref="A151:A152"/>
    <mergeCell ref="B123:B124"/>
    <mergeCell ref="A126:A127"/>
    <mergeCell ref="A145:A146"/>
    <mergeCell ref="A123:A124"/>
    <mergeCell ref="B126:B127"/>
    <mergeCell ref="B142:B143"/>
    <mergeCell ref="B151:B152"/>
    <mergeCell ref="A56:A58"/>
    <mergeCell ref="A30:A31"/>
    <mergeCell ref="A142:A143"/>
    <mergeCell ref="B118:B119"/>
    <mergeCell ref="B99:B100"/>
    <mergeCell ref="B116:B117"/>
    <mergeCell ref="B94:B95"/>
    <mergeCell ref="A118:A119"/>
    <mergeCell ref="A67:A70"/>
    <mergeCell ref="B64:B66"/>
    <mergeCell ref="A116:A117"/>
    <mergeCell ref="D30:D31"/>
    <mergeCell ref="B56:B58"/>
    <mergeCell ref="C56:C58"/>
    <mergeCell ref="A21:A22"/>
    <mergeCell ref="B21:B22"/>
    <mergeCell ref="C21:C22"/>
    <mergeCell ref="A49:A50"/>
    <mergeCell ref="C30:C31"/>
    <mergeCell ref="C49:C50"/>
    <mergeCell ref="A24:A25"/>
    <mergeCell ref="C92:C93"/>
    <mergeCell ref="D21:D22"/>
    <mergeCell ref="D59:D61"/>
    <mergeCell ref="D67:D70"/>
    <mergeCell ref="B17:B18"/>
    <mergeCell ref="D17:D18"/>
    <mergeCell ref="B24:B25"/>
    <mergeCell ref="C24:C25"/>
    <mergeCell ref="D24:D25"/>
    <mergeCell ref="B30:B31"/>
    <mergeCell ref="D151:D152"/>
    <mergeCell ref="C145:C146"/>
    <mergeCell ref="D142:D143"/>
    <mergeCell ref="C59:C61"/>
    <mergeCell ref="C78:C80"/>
    <mergeCell ref="B145:B146"/>
    <mergeCell ref="B49:B50"/>
    <mergeCell ref="D92:D93"/>
    <mergeCell ref="C94:C95"/>
    <mergeCell ref="K145:K157"/>
    <mergeCell ref="C203:C204"/>
    <mergeCell ref="C64:C66"/>
    <mergeCell ref="C153:C155"/>
    <mergeCell ref="D64:D66"/>
    <mergeCell ref="C67:C70"/>
    <mergeCell ref="K99:K114"/>
    <mergeCell ref="D94:D95"/>
    <mergeCell ref="K128:K144"/>
    <mergeCell ref="C158:C159"/>
    <mergeCell ref="C83:C84"/>
    <mergeCell ref="C17:C18"/>
    <mergeCell ref="K1:K28"/>
    <mergeCell ref="B163:B164"/>
    <mergeCell ref="D156:D157"/>
    <mergeCell ref="C118:C119"/>
    <mergeCell ref="C163:C164"/>
    <mergeCell ref="C123:C124"/>
    <mergeCell ref="K115:K127"/>
    <mergeCell ref="D145:D146"/>
    <mergeCell ref="E17:E18"/>
    <mergeCell ref="K46:K67"/>
    <mergeCell ref="K68:K81"/>
    <mergeCell ref="K82:K98"/>
    <mergeCell ref="D49:D50"/>
    <mergeCell ref="D56:D58"/>
    <mergeCell ref="C151:C152"/>
    <mergeCell ref="K29:K45"/>
    <mergeCell ref="A12:J12"/>
    <mergeCell ref="I17:J17"/>
    <mergeCell ref="G17:G18"/>
    <mergeCell ref="F17:F18"/>
    <mergeCell ref="A14:B14"/>
    <mergeCell ref="A17:A18"/>
    <mergeCell ref="H17:H18"/>
    <mergeCell ref="A15:B15"/>
    <mergeCell ref="A156:A157"/>
    <mergeCell ref="B224:E224"/>
    <mergeCell ref="D158:D159"/>
    <mergeCell ref="B83:B84"/>
    <mergeCell ref="B78:B80"/>
    <mergeCell ref="B90:B91"/>
    <mergeCell ref="D153:D155"/>
    <mergeCell ref="B156:B157"/>
    <mergeCell ref="B153:B155"/>
    <mergeCell ref="C156:C157"/>
    <mergeCell ref="A153:A155"/>
    <mergeCell ref="K175:K194"/>
    <mergeCell ref="A163:A164"/>
    <mergeCell ref="C142:C143"/>
    <mergeCell ref="K211:K228"/>
    <mergeCell ref="K229:K243"/>
    <mergeCell ref="A183:A184"/>
    <mergeCell ref="A203:A204"/>
    <mergeCell ref="B203:B204"/>
    <mergeCell ref="D163:D164"/>
    <mergeCell ref="K244:K268"/>
    <mergeCell ref="K158:K174"/>
    <mergeCell ref="B183:B184"/>
    <mergeCell ref="D183:D184"/>
    <mergeCell ref="C183:C184"/>
    <mergeCell ref="D203:D204"/>
    <mergeCell ref="K197:K210"/>
  </mergeCells>
  <printOptions horizontalCentered="1"/>
  <pageMargins left="0" right="0" top="0.7874015748031497" bottom="0.3937007874015748" header="0.4330708661417323" footer="0"/>
  <pageSetup firstPageNumber="1" useFirstPageNumber="1" fitToHeight="15" horizontalDpi="600" verticalDpi="600" orientation="landscape" paperSize="9" scale="17" r:id="rId1"/>
  <headerFooter differentFirst="1" scaleWithDoc="0" alignWithMargins="0">
    <oddHeader>&amp;R
</oddHeader>
    <oddFooter>&amp;R&amp;9Сторінка &amp;P</oddFooter>
  </headerFooter>
  <rowBreaks count="1" manualBreakCount="1">
    <brk id="2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2020-04-02T14:48:13Z</cp:lastPrinted>
  <dcterms:created xsi:type="dcterms:W3CDTF">2014-01-17T10:52:16Z</dcterms:created>
  <dcterms:modified xsi:type="dcterms:W3CDTF">2020-04-02T14:54:05Z</dcterms:modified>
  <cp:category/>
  <cp:version/>
  <cp:contentType/>
  <cp:contentStatus/>
</cp:coreProperties>
</file>