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'Sheet1'!$A$1:$P$710</definedName>
  </definedNames>
  <calcPr fullCalcOnLoad="1"/>
</workbook>
</file>

<file path=xl/sharedStrings.xml><?xml version="1.0" encoding="utf-8"?>
<sst xmlns="http://schemas.openxmlformats.org/spreadsheetml/2006/main" count="718" uniqueCount="471">
  <si>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</si>
  <si>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</si>
  <si>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</si>
  <si>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</si>
  <si>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</si>
  <si>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</si>
  <si>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</si>
  <si>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</si>
  <si>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</si>
  <si>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</si>
  <si>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</si>
  <si>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</si>
  <si>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</si>
  <si>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</si>
  <si>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</si>
  <si>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</si>
  <si>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</si>
  <si>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</si>
  <si>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</si>
  <si>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</si>
  <si>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</si>
  <si>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</si>
  <si>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</si>
  <si>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</si>
  <si>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</si>
  <si>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</si>
  <si>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</si>
  <si>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</si>
  <si>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</si>
  <si>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</si>
  <si>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</si>
  <si>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</si>
  <si>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</si>
  <si>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</si>
  <si>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</si>
  <si>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</si>
  <si>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</si>
  <si>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</si>
  <si>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</si>
  <si>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</si>
  <si>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</si>
  <si>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</si>
  <si>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</si>
  <si>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</si>
  <si>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</si>
  <si>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</si>
  <si>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</si>
  <si>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</si>
  <si>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</si>
  <si>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</si>
  <si>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</si>
  <si>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</si>
  <si>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</si>
  <si>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</si>
  <si>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</si>
  <si>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</si>
  <si>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</si>
  <si>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</si>
  <si>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</si>
  <si>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</si>
  <si>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</si>
  <si>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</si>
  <si>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</si>
  <si>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</si>
  <si>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</si>
  <si>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</si>
  <si>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</si>
  <si>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</si>
  <si>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</si>
  <si>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</si>
  <si>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</si>
  <si>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</si>
  <si>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</si>
  <si>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</si>
  <si>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</si>
  <si>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</si>
  <si>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</si>
  <si>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</si>
  <si>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</si>
  <si>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</si>
  <si>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</si>
  <si>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</si>
  <si>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</si>
  <si>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</si>
  <si>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</si>
  <si>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</si>
  <si>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</si>
  <si>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</si>
  <si>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</si>
  <si>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</si>
  <si>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</si>
  <si>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</si>
  <si>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</si>
  <si>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</si>
  <si>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</si>
  <si>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</si>
  <si>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</si>
  <si>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</si>
  <si>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</si>
  <si>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</si>
  <si>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</si>
  <si>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</si>
  <si>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</si>
  <si>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</si>
  <si>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</si>
  <si>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</si>
  <si>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</si>
  <si>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</si>
  <si>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</si>
  <si>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</si>
  <si>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</si>
  <si>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</si>
  <si>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</si>
  <si>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</si>
  <si>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</si>
  <si>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</si>
  <si>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</si>
  <si>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</si>
  <si>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</si>
  <si>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</si>
  <si>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</si>
  <si>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</si>
  <si>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</si>
  <si>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</si>
  <si>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</si>
  <si>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</si>
  <si>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</si>
  <si>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</si>
  <si>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</si>
  <si>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</si>
  <si>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</si>
  <si>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</si>
  <si>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</si>
  <si>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</si>
  <si>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</si>
  <si>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</si>
  <si>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</si>
  <si>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</si>
  <si>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</si>
  <si>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</si>
  <si>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</si>
  <si>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</si>
  <si>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</si>
  <si>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</si>
  <si>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</si>
  <si>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</si>
  <si>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</si>
  <si>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</si>
  <si>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</si>
  <si>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</si>
  <si>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</si>
  <si>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</si>
  <si>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</si>
  <si>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</si>
  <si>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</si>
  <si>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</si>
  <si>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</si>
  <si>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</si>
  <si>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</si>
  <si>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</si>
  <si>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</si>
  <si>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</si>
  <si>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</si>
  <si>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</si>
  <si>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</si>
  <si>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</si>
  <si>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</si>
  <si>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</si>
  <si>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</si>
  <si>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</si>
  <si>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</si>
  <si>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</si>
  <si>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</si>
  <si>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</si>
  <si>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</si>
  <si>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</si>
  <si>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</si>
  <si>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</si>
  <si>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</si>
  <si>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</si>
  <si>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</si>
  <si>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</si>
  <si>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</si>
  <si>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</si>
  <si>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</si>
  <si>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</si>
  <si>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</si>
  <si>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</si>
  <si>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</si>
  <si>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</si>
  <si>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</si>
  <si>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</si>
  <si>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</si>
  <si>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</si>
  <si>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</si>
  <si>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</si>
  <si>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</si>
  <si>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</si>
  <si>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</si>
  <si>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</si>
  <si>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</si>
  <si>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</si>
  <si>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</si>
  <si>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</si>
  <si>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</si>
  <si>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</si>
  <si>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</si>
  <si>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</si>
  <si>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</si>
  <si>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</si>
  <si>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</si>
  <si>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</si>
  <si>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</si>
  <si>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</si>
  <si>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</si>
  <si>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</si>
  <si>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</si>
  <si>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</si>
  <si>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</si>
  <si>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</si>
  <si>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</si>
  <si>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</si>
  <si>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</si>
  <si>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</si>
  <si>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</si>
  <si>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</si>
  <si>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</si>
  <si>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</si>
  <si>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</si>
  <si>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</si>
  <si>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</si>
  <si>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</si>
  <si>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</si>
  <si>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</si>
  <si>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</si>
  <si>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</si>
  <si>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</si>
  <si>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</si>
  <si>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</si>
  <si>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</si>
  <si>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</si>
  <si>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</si>
  <si>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</si>
  <si>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</si>
  <si>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</si>
  <si>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</si>
  <si>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</si>
  <si>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</si>
  <si>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</si>
  <si>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</si>
  <si>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</si>
  <si>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</si>
  <si>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</si>
  <si>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</si>
  <si>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</si>
  <si>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</si>
  <si>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</si>
  <si>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</si>
  <si>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</si>
  <si>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</si>
  <si>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</si>
  <si>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</si>
  <si>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</si>
  <si>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</si>
  <si>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</si>
  <si>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</si>
  <si>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</si>
  <si>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</si>
  <si>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</si>
  <si>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</si>
  <si>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</si>
  <si>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</si>
  <si>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</si>
  <si>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</si>
  <si>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</si>
  <si>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</si>
  <si>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</si>
  <si>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</si>
  <si>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</si>
  <si>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</si>
  <si>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</si>
  <si>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</si>
  <si>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</si>
  <si>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</si>
  <si>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</si>
  <si>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</si>
  <si>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</si>
  <si>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</si>
  <si>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</si>
  <si>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</si>
  <si>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</si>
  <si>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</si>
  <si>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</si>
  <si>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</si>
  <si>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</si>
  <si>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</si>
  <si>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</si>
  <si>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</si>
  <si>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</si>
  <si>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</si>
  <si>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</si>
  <si>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</si>
  <si>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</si>
  <si>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</si>
  <si>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</si>
  <si>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</si>
  <si>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</si>
  <si>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</si>
  <si>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</si>
  <si>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</si>
  <si>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</si>
  <si>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</si>
  <si>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</si>
  <si>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</si>
  <si>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</si>
  <si>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</si>
  <si>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</si>
  <si>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</si>
  <si>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</si>
  <si>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</si>
  <si>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</si>
  <si>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</si>
  <si>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</si>
  <si>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</si>
  <si>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</si>
  <si>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</si>
  <si>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</si>
  <si>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</si>
  <si>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</si>
  <si>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</si>
  <si>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</si>
  <si>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</si>
  <si>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</si>
  <si>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</si>
  <si>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</si>
  <si>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</si>
  <si>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</si>
  <si>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</si>
  <si>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</si>
  <si>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</si>
  <si>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</si>
  <si>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</si>
  <si>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</si>
  <si>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</si>
  <si>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</si>
  <si>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</si>
  <si>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</si>
  <si>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</si>
  <si>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</si>
  <si>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</si>
  <si>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</si>
  <si>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</si>
  <si>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</si>
  <si>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</si>
  <si>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</si>
  <si>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</si>
  <si>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</si>
  <si>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</si>
  <si>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</si>
  <si>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</si>
  <si>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</si>
  <si>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</si>
  <si>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</si>
  <si>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</si>
  <si>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</si>
  <si>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</si>
  <si>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</si>
  <si>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</si>
  <si>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</si>
  <si>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</si>
  <si>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</si>
  <si>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</si>
  <si>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</si>
  <si>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</si>
  <si>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</si>
  <si>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</si>
  <si>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</si>
  <si>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</si>
  <si>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</si>
  <si>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</si>
  <si>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</si>
  <si>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</si>
  <si>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</si>
  <si>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</si>
  <si>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</si>
  <si>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</si>
  <si>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</si>
  <si>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</si>
  <si>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</si>
  <si>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</si>
  <si>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</si>
  <si>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</si>
  <si>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</si>
  <si>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</si>
  <si>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</si>
  <si>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</si>
  <si>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</si>
  <si>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</si>
  <si>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</si>
  <si>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</si>
  <si>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</si>
  <si>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</si>
  <si>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</si>
  <si>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</si>
  <si>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</si>
  <si>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</si>
  <si>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</si>
  <si>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</si>
  <si>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</si>
  <si>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</si>
  <si>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</si>
  <si>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</si>
  <si>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</si>
  <si>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</si>
  <si>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</si>
  <si>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</si>
  <si>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</si>
  <si>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</si>
  <si>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</si>
  <si>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</si>
  <si>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</si>
  <si>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</si>
  <si>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</si>
  <si>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</si>
  <si>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</si>
  <si>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</si>
  <si>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>Завдання: 44. Впровадження енергозберігаючих заходів</t>
  </si>
  <si>
    <t>Завдання: 44.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</si>
  <si>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44.2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</si>
  <si>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45. Забезпечення зміцнення матеріально-технічної бази підприємств комунальної форми власності</t>
  </si>
  <si>
    <t xml:space="preserve">  Завдання: 46. Створення сприятливих умов проживання населення та забезпечення надання життєво необхідних послуг</t>
  </si>
  <si>
    <t xml:space="preserve"> Завдання: 47. Встановлення вузлів  комерційного обліку </t>
  </si>
  <si>
    <t xml:space="preserve">  Завдання: 48. Забезпечення надійного та безперебійного функціонування житлово-експлуатаційного господарства</t>
  </si>
  <si>
    <t xml:space="preserve">  Завдання: 49. Організація та проведення громадських робіт</t>
  </si>
  <si>
    <t xml:space="preserve">  Завдання: 50.Заходи з будівництва, реставрації  та реконструкції</t>
  </si>
  <si>
    <t xml:space="preserve">  Завдання: 51.Здійснення заходів із землеустрою </t>
  </si>
  <si>
    <t xml:space="preserve">  Завдання: 53. Повернення бюджетних позичок на поворотній основі</t>
  </si>
  <si>
    <t xml:space="preserve">  Завдання: 52. Повернення бюджетних позичок на поворотній основі</t>
  </si>
  <si>
    <t xml:space="preserve">  Завдання: 54. Надання бюджетних позичок на поворотній основі</t>
  </si>
  <si>
    <t xml:space="preserve"> КПКВК 6030, 7691, 7462, 7363, 7442</t>
  </si>
  <si>
    <t>2018 рік  (план)</t>
  </si>
  <si>
    <t>2019 рік  (план)</t>
  </si>
  <si>
    <t>2020 рік  (прогноз)</t>
  </si>
  <si>
    <t>Додаток 23</t>
  </si>
  <si>
    <t xml:space="preserve">Показник: видатки на визначення норм надання послуг з вивезення ТПВ в м. Суми (ІІІ етап робіт -розробка звіту) </t>
  </si>
  <si>
    <t>Показник: кількість послуг, які будуть надані при визначенні норм обсягів шару на новоселецькому кладовищі, од</t>
  </si>
  <si>
    <t>Показник: середня вартість 1 послуги, з визначення норм обсягів шару на новоселецькому кладовищі , грн.</t>
  </si>
  <si>
    <t>Показник: кількість послуг, які будуть надані при розробці ОВД будівництва 3 черги полігону ТПВ, од</t>
  </si>
  <si>
    <t xml:space="preserve"> Показник: середня вартість 1 послуги,  при розробці ОВД будівництва 3 черги полігону ТПВ , грн.</t>
  </si>
  <si>
    <t>Показник: кількість колодязів , по яких буде проведена санація, од</t>
  </si>
  <si>
    <t>Показник: середня вартість проведення санації, грн.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</si>
  <si>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</si>
  <si>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</si>
  <si>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тротуарів, тротуарівв до шкіл та садочків</t>
  </si>
  <si>
    <t>реалізацію проектів-переможців громадського (партиципаторного )бюджету</t>
  </si>
  <si>
    <t xml:space="preserve"> Завдання: 31.3 Фінансова підтримка (погашення заборгованості за судовим рішенням)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</si>
  <si>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</si>
  <si>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електроенергії , погашення заборгованності за судовим рішенням), Фінансова підтримка КП «Міськводоканал» СМР для проведення оцінки запасів питних підземних вод Сумського родовища</t>
  </si>
  <si>
    <t>Виконавець: Журба О.І.</t>
  </si>
  <si>
    <t>Показник: кількість приміщень, по яких  необхідно провести ремонт, од</t>
  </si>
  <si>
    <t>Показник: середня вартість ремонту приміщення , грн.</t>
  </si>
  <si>
    <t>"Про внесення змін до Комплексної цільової</t>
  </si>
  <si>
    <t xml:space="preserve">комунального господарства Сумської об'єднаної </t>
  </si>
  <si>
    <t>територіальної громади на 2018-2020 роки,</t>
  </si>
  <si>
    <t>затвердженої рішенням Сумської міської ради</t>
  </si>
  <si>
    <t>від 21 грудня 2017 року № 2913-МР (зі змінами)</t>
  </si>
  <si>
    <t xml:space="preserve">від                                №   </t>
  </si>
  <si>
    <t xml:space="preserve"> Сумський міський голова </t>
  </si>
  <si>
    <t>О.М. Лисенко</t>
  </si>
  <si>
    <t>Надання послуги   з проведення дезінфекційних  заходів в житлових будинках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</si>
  <si>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м.Суми, надання послуг з розробки ОВД будівництва 3 черги полігону ТПВ, визначення обсягів шару на новоселецькому кладовищі, надання послуг з визначення норм накопичення рослинних відходів, проведення комплексно-приладового обстеження газопроводів військогового містечка по вул.Г.Кондратьєва165, поточний ремонт приміщення комунальної власності по проспекту Курський,103; Підключення до електромереж блокпостів на території Сумської об’єднаної територіальної громади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</si>
</sst>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7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64934308"/>
        <c:axId val="47537861"/>
      </c:barChart>
      <c:catAx>
        <c:axId val="649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37861"/>
        <c:crosses val="autoZero"/>
        <c:auto val="1"/>
        <c:lblOffset val="100"/>
        <c:tickLblSkip val="1"/>
        <c:noMultiLvlLbl val="0"/>
      </c:catAx>
      <c:valAx>
        <c:axId val="47537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34308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807"/>
  <sheetViews>
    <sheetView tabSelected="1" view="pageBreakPreview" zoomScaleNormal="85" zoomScaleSheetLayoutView="100" workbookViewId="0" topLeftCell="A2">
      <selection activeCell="P22" sqref="P22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1" ht="11.25" hidden="1"/>
    <row r="2" spans="1:16" ht="18.75">
      <c r="A2" s="112"/>
      <c r="B2" s="112"/>
      <c r="C2" s="112"/>
      <c r="D2" s="118"/>
      <c r="E2" s="118"/>
      <c r="F2" s="118"/>
      <c r="G2" s="118"/>
      <c r="H2" s="118"/>
      <c r="I2" s="118"/>
      <c r="J2" s="167" t="s">
        <v>443</v>
      </c>
      <c r="K2" s="167"/>
      <c r="L2" s="167"/>
      <c r="M2" s="108"/>
      <c r="N2" s="108"/>
      <c r="O2" s="108"/>
      <c r="P2" s="108"/>
    </row>
    <row r="3" spans="1:16" ht="14.25" customHeight="1">
      <c r="A3" s="112"/>
      <c r="B3" s="112"/>
      <c r="C3" s="112"/>
      <c r="D3" s="118"/>
      <c r="E3" s="118"/>
      <c r="F3" s="118"/>
      <c r="G3" s="118"/>
      <c r="H3" s="118"/>
      <c r="I3" s="118"/>
      <c r="J3" s="108" t="s">
        <v>347</v>
      </c>
      <c r="K3" s="108"/>
      <c r="L3" s="108"/>
      <c r="M3" s="108"/>
      <c r="N3" s="108"/>
      <c r="O3" s="108"/>
      <c r="P3" s="108"/>
    </row>
    <row r="4" spans="1:16" ht="14.25" customHeight="1">
      <c r="A4" s="112"/>
      <c r="B4" s="112"/>
      <c r="C4" s="112"/>
      <c r="D4" s="118"/>
      <c r="E4" s="118"/>
      <c r="F4" s="118"/>
      <c r="G4" s="118"/>
      <c r="H4" s="118"/>
      <c r="I4" s="118"/>
      <c r="J4" s="108" t="s">
        <v>461</v>
      </c>
      <c r="K4" s="108"/>
      <c r="L4" s="108"/>
      <c r="M4" s="108"/>
      <c r="N4" s="108"/>
      <c r="O4" s="108"/>
      <c r="P4" s="108"/>
    </row>
    <row r="5" spans="1:16" ht="13.5" customHeight="1">
      <c r="A5" s="120"/>
      <c r="B5" s="120"/>
      <c r="C5" s="120"/>
      <c r="D5" s="121"/>
      <c r="E5" s="121"/>
      <c r="F5" s="121"/>
      <c r="G5" s="121"/>
      <c r="H5" s="121"/>
      <c r="I5" s="121"/>
      <c r="J5" s="108" t="s">
        <v>42</v>
      </c>
      <c r="K5" s="108"/>
      <c r="L5" s="108"/>
      <c r="M5" s="108"/>
      <c r="N5" s="108"/>
      <c r="O5" s="108"/>
      <c r="P5" s="108"/>
    </row>
    <row r="6" spans="1:16" ht="14.25" customHeight="1">
      <c r="A6" s="120"/>
      <c r="B6" s="120"/>
      <c r="C6" s="120"/>
      <c r="D6" s="121"/>
      <c r="E6" s="121"/>
      <c r="F6" s="121"/>
      <c r="G6" s="121"/>
      <c r="H6" s="121"/>
      <c r="I6" s="121"/>
      <c r="J6" s="108" t="s">
        <v>462</v>
      </c>
      <c r="K6" s="108"/>
      <c r="L6" s="108"/>
      <c r="M6" s="108"/>
      <c r="N6" s="108"/>
      <c r="O6" s="108"/>
      <c r="P6" s="108"/>
    </row>
    <row r="7" spans="1:16" ht="14.25" customHeight="1">
      <c r="A7" s="120"/>
      <c r="B7" s="120"/>
      <c r="C7" s="120"/>
      <c r="D7" s="121"/>
      <c r="E7" s="121"/>
      <c r="F7" s="121"/>
      <c r="G7" s="121"/>
      <c r="H7" s="121"/>
      <c r="I7" s="121"/>
      <c r="J7" s="108" t="s">
        <v>463</v>
      </c>
      <c r="K7" s="108"/>
      <c r="L7" s="108"/>
      <c r="M7" s="108"/>
      <c r="N7" s="108"/>
      <c r="O7" s="108"/>
      <c r="P7" s="108"/>
    </row>
    <row r="8" spans="1:16" ht="14.25" customHeight="1">
      <c r="A8" s="120"/>
      <c r="B8" s="120"/>
      <c r="C8" s="120"/>
      <c r="D8" s="121"/>
      <c r="E8" s="121"/>
      <c r="F8" s="121"/>
      <c r="G8" s="121"/>
      <c r="H8" s="121"/>
      <c r="I8" s="121"/>
      <c r="J8" s="108" t="s">
        <v>464</v>
      </c>
      <c r="K8" s="108"/>
      <c r="L8" s="108"/>
      <c r="M8" s="108"/>
      <c r="N8" s="108"/>
      <c r="O8" s="108"/>
      <c r="P8" s="108"/>
    </row>
    <row r="9" spans="1:16" ht="14.25" customHeight="1">
      <c r="A9" s="120"/>
      <c r="B9" s="120"/>
      <c r="C9" s="120"/>
      <c r="D9" s="121"/>
      <c r="E9" s="121"/>
      <c r="F9" s="121"/>
      <c r="G9" s="121"/>
      <c r="H9" s="121"/>
      <c r="I9" s="121"/>
      <c r="J9" s="108" t="s">
        <v>465</v>
      </c>
      <c r="K9" s="108"/>
      <c r="L9" s="108"/>
      <c r="M9" s="108"/>
      <c r="N9" s="108"/>
      <c r="O9" s="108"/>
      <c r="P9" s="108"/>
    </row>
    <row r="10" spans="1:16" ht="15" customHeight="1">
      <c r="A10" s="120"/>
      <c r="B10" s="120"/>
      <c r="C10" s="120"/>
      <c r="D10" s="121"/>
      <c r="E10" s="121"/>
      <c r="F10" s="121"/>
      <c r="G10" s="121"/>
      <c r="H10" s="121"/>
      <c r="I10" s="121"/>
      <c r="J10" s="108" t="s">
        <v>466</v>
      </c>
      <c r="K10" s="108"/>
      <c r="L10" s="108"/>
      <c r="M10" s="108"/>
      <c r="N10" s="108"/>
      <c r="O10" s="108"/>
      <c r="P10" s="108"/>
    </row>
    <row r="11" spans="1:17" ht="12.75" customHeight="1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9"/>
      <c r="O11" s="119"/>
      <c r="P11" s="119"/>
      <c r="Q11" s="28"/>
    </row>
    <row r="12" spans="1:16" ht="10.5" customHeight="1">
      <c r="A12" s="120"/>
      <c r="B12" s="120"/>
      <c r="C12" s="120"/>
      <c r="D12" s="121"/>
      <c r="E12" s="121"/>
      <c r="F12" s="121"/>
      <c r="G12" s="121"/>
      <c r="H12" s="121"/>
      <c r="I12" s="121"/>
      <c r="J12" s="118"/>
      <c r="K12" s="118"/>
      <c r="L12" s="118"/>
      <c r="M12" s="118"/>
      <c r="N12" s="118"/>
      <c r="O12" s="118"/>
      <c r="P12" s="118"/>
    </row>
    <row r="13" spans="1:16" ht="39.75" customHeight="1">
      <c r="A13" s="168" t="s">
        <v>272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</row>
    <row r="14" spans="1:16" ht="16.5" customHeight="1">
      <c r="A14" s="122"/>
      <c r="B14" s="122"/>
      <c r="C14" s="122"/>
      <c r="D14" s="123"/>
      <c r="E14" s="123"/>
      <c r="F14" s="166" t="s">
        <v>273</v>
      </c>
      <c r="G14" s="166"/>
      <c r="H14" s="123"/>
      <c r="I14" s="123"/>
      <c r="J14" s="118"/>
      <c r="K14" s="123"/>
      <c r="L14" s="118"/>
      <c r="M14" s="118"/>
      <c r="N14" s="118"/>
      <c r="O14" s="118"/>
      <c r="P14" s="158" t="s">
        <v>39</v>
      </c>
    </row>
    <row r="15" spans="1:241" ht="11.25" customHeight="1">
      <c r="A15" s="180"/>
      <c r="B15" s="180" t="s">
        <v>34</v>
      </c>
      <c r="C15" s="180" t="s">
        <v>35</v>
      </c>
      <c r="D15" s="170" t="s">
        <v>440</v>
      </c>
      <c r="E15" s="171"/>
      <c r="F15" s="172"/>
      <c r="G15" s="177" t="s">
        <v>441</v>
      </c>
      <c r="H15" s="177"/>
      <c r="I15" s="177"/>
      <c r="J15" s="177"/>
      <c r="K15" s="33"/>
      <c r="L15" s="33"/>
      <c r="M15" s="33"/>
      <c r="N15" s="170" t="s">
        <v>442</v>
      </c>
      <c r="O15" s="171"/>
      <c r="P15" s="172"/>
      <c r="IB15" s="25"/>
      <c r="IC15" s="25"/>
      <c r="ID15" s="25"/>
      <c r="IE15" s="25"/>
      <c r="IF15" s="25"/>
      <c r="IG15" s="25"/>
    </row>
    <row r="16" spans="1:241" ht="12" customHeight="1">
      <c r="A16" s="181"/>
      <c r="B16" s="181"/>
      <c r="C16" s="181"/>
      <c r="D16" s="173" t="s">
        <v>36</v>
      </c>
      <c r="E16" s="174"/>
      <c r="F16" s="175" t="s">
        <v>26</v>
      </c>
      <c r="G16" s="179" t="s">
        <v>36</v>
      </c>
      <c r="H16" s="179"/>
      <c r="I16" s="179"/>
      <c r="J16" s="177" t="s">
        <v>26</v>
      </c>
      <c r="K16" s="170" t="s">
        <v>25</v>
      </c>
      <c r="L16" s="171"/>
      <c r="M16" s="172"/>
      <c r="N16" s="173" t="s">
        <v>36</v>
      </c>
      <c r="O16" s="174"/>
      <c r="P16" s="175" t="s">
        <v>26</v>
      </c>
      <c r="IB16" s="25"/>
      <c r="IC16" s="25"/>
      <c r="ID16" s="25"/>
      <c r="IE16" s="25"/>
      <c r="IF16" s="25"/>
      <c r="IG16" s="25"/>
    </row>
    <row r="17" spans="1:241" ht="24.75" customHeight="1">
      <c r="A17" s="182"/>
      <c r="B17" s="182"/>
      <c r="C17" s="182"/>
      <c r="D17" s="33" t="s">
        <v>0</v>
      </c>
      <c r="E17" s="33" t="s">
        <v>1</v>
      </c>
      <c r="F17" s="176"/>
      <c r="G17" s="33" t="s">
        <v>0</v>
      </c>
      <c r="H17" s="33" t="s">
        <v>1</v>
      </c>
      <c r="I17" s="33" t="s">
        <v>185</v>
      </c>
      <c r="J17" s="177"/>
      <c r="K17" s="33" t="s">
        <v>0</v>
      </c>
      <c r="L17" s="33" t="s">
        <v>1</v>
      </c>
      <c r="M17" s="33" t="s">
        <v>26</v>
      </c>
      <c r="N17" s="33" t="s">
        <v>0</v>
      </c>
      <c r="O17" s="33" t="s">
        <v>1</v>
      </c>
      <c r="P17" s="176"/>
      <c r="IB17" s="25"/>
      <c r="IC17" s="25"/>
      <c r="ID17" s="25"/>
      <c r="IE17" s="25"/>
      <c r="IF17" s="25"/>
      <c r="IG17" s="25"/>
    </row>
    <row r="18" spans="1:241" s="116" customFormat="1" ht="12.75">
      <c r="A18" s="124">
        <v>1</v>
      </c>
      <c r="B18" s="124"/>
      <c r="C18" s="124"/>
      <c r="D18" s="124" t="s">
        <v>2</v>
      </c>
      <c r="E18" s="124" t="s">
        <v>3</v>
      </c>
      <c r="F18" s="124">
        <v>7</v>
      </c>
      <c r="G18" s="124">
        <v>8</v>
      </c>
      <c r="H18" s="124">
        <v>9</v>
      </c>
      <c r="I18" s="124">
        <v>10</v>
      </c>
      <c r="J18" s="124">
        <v>11</v>
      </c>
      <c r="K18" s="124">
        <v>12</v>
      </c>
      <c r="L18" s="124">
        <v>13</v>
      </c>
      <c r="M18" s="124">
        <v>14</v>
      </c>
      <c r="N18" s="124">
        <v>12</v>
      </c>
      <c r="O18" s="124">
        <v>13</v>
      </c>
      <c r="P18" s="124">
        <v>14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</row>
    <row r="19" spans="1:16" s="25" customFormat="1" ht="28.5" customHeight="1">
      <c r="A19" s="32" t="s">
        <v>47</v>
      </c>
      <c r="B19" s="32"/>
      <c r="C19" s="32"/>
      <c r="D19" s="33">
        <f>SUM(D24)+D301+D341+D470+D479+D589+D607+D616+D625+D635+D645+D653+D666+D675+D693</f>
        <v>157231200.00291747</v>
      </c>
      <c r="E19" s="33">
        <f>SUM(E24)+E301+E341+E470+E479+E589+E607+E616+E625+E635+E645+E653+E666+E675+E693</f>
        <v>490457807.999755</v>
      </c>
      <c r="F19" s="33">
        <f>SUM(D19:E19)</f>
        <v>647689008.0026724</v>
      </c>
      <c r="G19" s="33">
        <f>SUM(G24)+G301+G341+G470+G479+G589+G607+G616+G625+G635+G645+G653+G666+G675+G693</f>
        <v>330608667.0799948</v>
      </c>
      <c r="H19" s="33">
        <f>SUM(H24)+H301+H341+H470+H479+H589+H607+H616+H625+H635+H645+H653+H666+H675+H684+H693</f>
        <v>383991108.94646204</v>
      </c>
      <c r="I19" s="33" t="e">
        <f>SUM(I24)+I301+I341+I470+I479+I589+I607+I616+I625+I635+I645+I653+I666+I675+I693</f>
        <v>#REF!</v>
      </c>
      <c r="J19" s="33">
        <f>SUM(G19)+H19</f>
        <v>714599776.0264568</v>
      </c>
      <c r="K19" s="33" t="e">
        <f>SUM(K24)+K301+K341+K470+K479+K589+K607+K616+K625+K635+K645+K653+K666+K675+K693</f>
        <v>#REF!</v>
      </c>
      <c r="L19" s="33" t="e">
        <f>SUM(L24)+L301+L341+L470+L479+L589+L607+L616+L625+L635+L645+L653+L666+L675+L693</f>
        <v>#REF!</v>
      </c>
      <c r="M19" s="33" t="e">
        <f>SUM(M24)+M301+M341+M470+M479+M589+M607+M616+M625+M635+M645+M653+M666+M675+M693</f>
        <v>#REF!</v>
      </c>
      <c r="N19" s="33">
        <f>SUM(N24)+N301+N341+N470+N479+N589+N607+N616+N625+N635+N653+N666+N675+N693</f>
        <v>328168805.3397447</v>
      </c>
      <c r="O19" s="33">
        <f>SUM(O24)+O301+O341+O470+O479+O589+O607+O616+O625+O635+O645+O653+O666+O675+O693</f>
        <v>423732728.380365</v>
      </c>
      <c r="P19" s="33">
        <f>SUM(P24)+P301+P341+P470+P479+P589+P607+P616+P625+P635+P653+P666+P675+P693</f>
        <v>751901533.7201097</v>
      </c>
    </row>
    <row r="20" spans="1:16" s="25" customFormat="1" ht="41.25" customHeight="1">
      <c r="A20" s="32" t="s">
        <v>41</v>
      </c>
      <c r="B20" s="32"/>
      <c r="C20" s="32"/>
      <c r="D20" s="33">
        <f>D25</f>
        <v>124999999.9999491</v>
      </c>
      <c r="E20" s="33">
        <f>E25</f>
        <v>191899944.43989998</v>
      </c>
      <c r="F20" s="33">
        <f>F25</f>
        <v>316899944.4398491</v>
      </c>
      <c r="G20" s="33">
        <f>G25</f>
        <v>9041700.003999999</v>
      </c>
      <c r="H20" s="33">
        <f>H25</f>
        <v>208302479.99964452</v>
      </c>
      <c r="I20" s="33">
        <f aca="true" t="shared" si="0" ref="I20:O20">I25</f>
        <v>-2000000</v>
      </c>
      <c r="J20" s="33">
        <f>SUM(G20)+H20</f>
        <v>217344180.00364453</v>
      </c>
      <c r="K20" s="33">
        <f t="shared" si="0"/>
        <v>-2000000</v>
      </c>
      <c r="L20" s="33">
        <f t="shared" si="0"/>
        <v>-2000000</v>
      </c>
      <c r="M20" s="33">
        <f t="shared" si="0"/>
        <v>-2000000</v>
      </c>
      <c r="N20" s="33">
        <f>N25</f>
        <v>61217800.02673205</v>
      </c>
      <c r="O20" s="33">
        <f t="shared" si="0"/>
        <v>164363001.15679845</v>
      </c>
      <c r="P20" s="33">
        <f>P25</f>
        <v>225580801.1835305</v>
      </c>
    </row>
    <row r="21" spans="1:17" ht="40.5" customHeight="1">
      <c r="A21" s="32" t="s">
        <v>187</v>
      </c>
      <c r="B21" s="32"/>
      <c r="C21" s="32"/>
      <c r="D21" s="33">
        <f>D342-0.006</f>
        <v>462379.99700000003</v>
      </c>
      <c r="E21" s="33">
        <f>E342</f>
        <v>692840</v>
      </c>
      <c r="F21" s="33">
        <f>F342</f>
        <v>1155220.003</v>
      </c>
      <c r="G21" s="33">
        <f>G342</f>
        <v>443775</v>
      </c>
      <c r="H21" s="33">
        <f>H342</f>
        <v>763900</v>
      </c>
      <c r="I21" s="33">
        <f>I342</f>
        <v>0</v>
      </c>
      <c r="J21" s="33">
        <f>SUM(G21)+H21</f>
        <v>1207675</v>
      </c>
      <c r="K21" s="33">
        <f aca="true" t="shared" si="1" ref="K21:Q21">K342</f>
        <v>0</v>
      </c>
      <c r="L21" s="33">
        <f t="shared" si="1"/>
        <v>0</v>
      </c>
      <c r="M21" s="33">
        <f t="shared" si="1"/>
        <v>0</v>
      </c>
      <c r="N21" s="33">
        <f t="shared" si="1"/>
        <v>352520</v>
      </c>
      <c r="O21" s="33">
        <f t="shared" si="1"/>
        <v>787532</v>
      </c>
      <c r="P21" s="33">
        <f t="shared" si="1"/>
        <v>1140052</v>
      </c>
      <c r="Q21" s="33">
        <f t="shared" si="1"/>
        <v>0</v>
      </c>
    </row>
    <row r="22" spans="1:18" ht="20.25" customHeight="1">
      <c r="A22" s="32" t="s">
        <v>137</v>
      </c>
      <c r="B22" s="32"/>
      <c r="C22" s="32"/>
      <c r="D22" s="33">
        <f>D19+D20+D21</f>
        <v>282693579.99986655</v>
      </c>
      <c r="E22" s="33">
        <f aca="true" t="shared" si="2" ref="E22:Q22">E19+E20+E21</f>
        <v>683050592.4396551</v>
      </c>
      <c r="F22" s="33">
        <f t="shared" si="2"/>
        <v>965744172.4455216</v>
      </c>
      <c r="G22" s="33">
        <f>G19+G20+G21</f>
        <v>340094142.0839948</v>
      </c>
      <c r="H22" s="33">
        <f>H19+H20+H21</f>
        <v>593057488.9461066</v>
      </c>
      <c r="I22" s="33" t="e">
        <f t="shared" si="2"/>
        <v>#REF!</v>
      </c>
      <c r="J22" s="33">
        <f>J19+J20+J21</f>
        <v>933151631.0301013</v>
      </c>
      <c r="K22" s="33" t="e">
        <f t="shared" si="2"/>
        <v>#REF!</v>
      </c>
      <c r="L22" s="33" t="e">
        <f t="shared" si="2"/>
        <v>#REF!</v>
      </c>
      <c r="M22" s="33" t="e">
        <f t="shared" si="2"/>
        <v>#REF!</v>
      </c>
      <c r="N22" s="33">
        <f>N19+N20+N21</f>
        <v>389739125.3664767</v>
      </c>
      <c r="O22" s="33">
        <f t="shared" si="2"/>
        <v>588883261.5371635</v>
      </c>
      <c r="P22" s="33">
        <f>P19+P20+P21</f>
        <v>978622386.9036403</v>
      </c>
      <c r="Q22" s="33">
        <f t="shared" si="2"/>
        <v>0</v>
      </c>
      <c r="R22" s="26"/>
    </row>
    <row r="23" spans="1:235" s="139" customFormat="1" ht="30.75" customHeight="1">
      <c r="A23" s="140" t="s">
        <v>439</v>
      </c>
      <c r="B23" s="141"/>
      <c r="C23" s="141"/>
      <c r="D23" s="142">
        <f>D24+D25</f>
        <v>242045100.0028672</v>
      </c>
      <c r="E23" s="142">
        <f>E24+E25</f>
        <v>290485527.43965495</v>
      </c>
      <c r="F23" s="142">
        <f>F24+F25</f>
        <v>532530627.44252217</v>
      </c>
      <c r="G23" s="142">
        <f aca="true" t="shared" si="3" ref="G23:P23">G24+G25</f>
        <v>261115566.68376482</v>
      </c>
      <c r="H23" s="142">
        <f>H24+H25</f>
        <v>319617016.9486065</v>
      </c>
      <c r="I23" s="142">
        <f t="shared" si="3"/>
        <v>-2000000</v>
      </c>
      <c r="J23" s="142">
        <f>J24+J25</f>
        <v>580732583.6323714</v>
      </c>
      <c r="K23" s="142" t="e">
        <f t="shared" si="3"/>
        <v>#REF!</v>
      </c>
      <c r="L23" s="142" t="e">
        <f t="shared" si="3"/>
        <v>#REF!</v>
      </c>
      <c r="M23" s="142" t="e">
        <f t="shared" si="3"/>
        <v>#REF!</v>
      </c>
      <c r="N23" s="142">
        <f>N24+N25</f>
        <v>338975133.36242706</v>
      </c>
      <c r="O23" s="142">
        <f>O24+O25</f>
        <v>408467784.91516346</v>
      </c>
      <c r="P23" s="142">
        <f t="shared" si="3"/>
        <v>747442918.2775905</v>
      </c>
      <c r="Q23" s="143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15" customHeight="1">
      <c r="A24" s="144" t="s">
        <v>59</v>
      </c>
      <c r="B24" s="144"/>
      <c r="C24" s="144"/>
      <c r="D24" s="142">
        <f>SUM(D49)+D77+(D92*D95)+D99+D142+D168+D222+D246+D270+D291+D283+2000000</f>
        <v>117045100.0029181</v>
      </c>
      <c r="E24" s="142">
        <f>SUM(E49)+E77+(E92*E95)+E99+E142+E168+E222+E246+E270+E291+E283</f>
        <v>98585582.999755</v>
      </c>
      <c r="F24" s="142">
        <f>D24+E24</f>
        <v>215630683.0026731</v>
      </c>
      <c r="G24" s="142">
        <f>SUM(G49)+G77+(G92*G95)+G99+G142+G168+G222+G246+G270+G291+G283+G35+G58</f>
        <v>252073866.6797648</v>
      </c>
      <c r="H24" s="142">
        <f>SUM(H49)+H77+(H92*H95)+H99+H142+H168+H222+H246+H270+H291+H283</f>
        <v>111314536.948962</v>
      </c>
      <c r="I24" s="142">
        <f>I49+I77+I86+I99+I142+I168+I222+I246+I270+I283+I291</f>
        <v>0</v>
      </c>
      <c r="J24" s="142">
        <f>G24+H24</f>
        <v>363388403.62872684</v>
      </c>
      <c r="K24" s="142" t="e">
        <f>K49+K77+K86+K99+K142+K168+K222+K246+K270+K283+K291</f>
        <v>#REF!</v>
      </c>
      <c r="L24" s="142" t="e">
        <f>L49+L77+L86+L99+L142+L168+L222+L246+L270+L283+L291</f>
        <v>#REF!</v>
      </c>
      <c r="M24" s="142" t="e">
        <f>M49+M77+M86+M99+M142+M168+M222+M246+M270+M283+M291</f>
        <v>#REF!</v>
      </c>
      <c r="N24" s="142">
        <f>SUM(N49)+N77+(N92*N95)+N99+N142+N168+N222+N246+N270+N291+N283+N35</f>
        <v>277757333.335695</v>
      </c>
      <c r="O24" s="142">
        <f>SUM(O49)+O77+(O92*O95)+O99+O142+O168+O222+O246+O270+O291+O215+O283-O215+O44</f>
        <v>244104783.758365</v>
      </c>
      <c r="P24" s="142">
        <f>N24+O24</f>
        <v>521862117.09406006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139" customFormat="1" ht="28.5" customHeight="1">
      <c r="A25" s="144" t="s">
        <v>60</v>
      </c>
      <c r="B25" s="144"/>
      <c r="C25" s="144"/>
      <c r="D25" s="142">
        <f>SUM(D26)+D35+D58+D113-2000000</f>
        <v>124999999.9999491</v>
      </c>
      <c r="E25" s="142">
        <f>SUM(E26)+E35+E58+E113+(E91*E94)+E44</f>
        <v>191899944.43989998</v>
      </c>
      <c r="F25" s="142">
        <f>SUM(D25)+E25</f>
        <v>316899944.4398491</v>
      </c>
      <c r="G25" s="142">
        <f>SUM(G26)+G113</f>
        <v>9041700.003999999</v>
      </c>
      <c r="H25" s="142">
        <f>SUM(H26)+H35+H44+H58+H113+(H91*H94)+H106</f>
        <v>208302479.99964452</v>
      </c>
      <c r="I25" s="142">
        <f>I26+I35+I58+I106+I113-2000000</f>
        <v>-2000000</v>
      </c>
      <c r="J25" s="142">
        <f>G25+H25</f>
        <v>217344180.00364453</v>
      </c>
      <c r="K25" s="142">
        <f>K26+K35+K58+K106+K113-2000000</f>
        <v>-2000000</v>
      </c>
      <c r="L25" s="142">
        <f>L26+L35+L58+L106+L113-2000000</f>
        <v>-2000000</v>
      </c>
      <c r="M25" s="142">
        <f>M26+M35+M58+M106+M113-2000000</f>
        <v>-2000000</v>
      </c>
      <c r="N25" s="142">
        <f>SUM(N26)+N58+N113</f>
        <v>61217800.02673205</v>
      </c>
      <c r="O25" s="142">
        <f>SUM(O26)+O35+O58+O113+(O91*O94)</f>
        <v>164363001.15679845</v>
      </c>
      <c r="P25" s="142">
        <f>N25+O25</f>
        <v>225580801.1835305</v>
      </c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</row>
    <row r="26" spans="1:235" s="39" customFormat="1" ht="33.75">
      <c r="A26" s="34" t="s">
        <v>29</v>
      </c>
      <c r="B26" s="35"/>
      <c r="C26" s="35"/>
      <c r="D26" s="36"/>
      <c r="E26" s="36">
        <f>E32*E30+73455.56-73455.56</f>
        <v>49999944.44</v>
      </c>
      <c r="F26" s="36">
        <f>SUM(D26)+E26</f>
        <v>49999944.44</v>
      </c>
      <c r="G26" s="36"/>
      <c r="H26" s="36">
        <f>H30*H32</f>
        <v>55743999.9999828</v>
      </c>
      <c r="I26" s="36"/>
      <c r="J26" s="36">
        <f>H26</f>
        <v>55743999.9999828</v>
      </c>
      <c r="K26" s="36"/>
      <c r="L26" s="36"/>
      <c r="M26" s="36"/>
      <c r="N26" s="36"/>
      <c r="O26" s="36">
        <f>(O32*O30)</f>
        <v>58620999.99996351</v>
      </c>
      <c r="P26" s="36">
        <f>(P32*P30)</f>
        <v>58620999.99996351</v>
      </c>
      <c r="Q26" s="38"/>
      <c r="R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</row>
    <row r="27" spans="1:16" ht="11.25">
      <c r="A27" s="5" t="s">
        <v>4</v>
      </c>
      <c r="B27" s="37"/>
      <c r="C27" s="37"/>
      <c r="D27" s="36"/>
      <c r="E27" s="36"/>
      <c r="F27" s="36"/>
      <c r="G27" s="36"/>
      <c r="H27" s="36"/>
      <c r="I27" s="36"/>
      <c r="J27" s="36"/>
      <c r="K27" s="7"/>
      <c r="L27" s="7"/>
      <c r="M27" s="7"/>
      <c r="N27" s="36"/>
      <c r="O27" s="36"/>
      <c r="P27" s="36"/>
    </row>
    <row r="28" spans="1:16" ht="27" customHeight="1">
      <c r="A28" s="8" t="s">
        <v>9</v>
      </c>
      <c r="B28" s="6"/>
      <c r="C28" s="6"/>
      <c r="D28" s="7"/>
      <c r="E28" s="7">
        <v>270000</v>
      </c>
      <c r="F28" s="7">
        <f>E28</f>
        <v>270000</v>
      </c>
      <c r="G28" s="7">
        <f>F26+F35+F49+F58+F77+F86+F99+F106+F113</f>
        <v>326499944.4408291</v>
      </c>
      <c r="H28" s="7">
        <v>270000</v>
      </c>
      <c r="I28" s="7"/>
      <c r="J28" s="7">
        <f>H28</f>
        <v>270000</v>
      </c>
      <c r="K28" s="7"/>
      <c r="L28" s="7"/>
      <c r="M28" s="7"/>
      <c r="N28" s="7"/>
      <c r="O28" s="7">
        <v>270000</v>
      </c>
      <c r="P28" s="7">
        <f>O28</f>
        <v>270000</v>
      </c>
    </row>
    <row r="29" spans="1:16" ht="11.25">
      <c r="A29" s="5" t="s">
        <v>5</v>
      </c>
      <c r="B29" s="37"/>
      <c r="C29" s="37"/>
      <c r="D29" s="7"/>
      <c r="E29" s="36"/>
      <c r="F29" s="36"/>
      <c r="G29" s="7"/>
      <c r="H29" s="36"/>
      <c r="I29" s="36"/>
      <c r="J29" s="36"/>
      <c r="K29" s="7"/>
      <c r="L29" s="7"/>
      <c r="M29" s="7"/>
      <c r="N29" s="7"/>
      <c r="O29" s="36"/>
      <c r="P29" s="36"/>
    </row>
    <row r="30" spans="1:16" ht="22.5">
      <c r="A30" s="8" t="s">
        <v>12</v>
      </c>
      <c r="B30" s="6"/>
      <c r="C30" s="6"/>
      <c r="D30" s="7"/>
      <c r="E30" s="7">
        <v>44444</v>
      </c>
      <c r="F30" s="7">
        <f>E30</f>
        <v>44444</v>
      </c>
      <c r="G30" s="7"/>
      <c r="H30" s="7">
        <v>44452.9505582</v>
      </c>
      <c r="I30" s="7"/>
      <c r="J30" s="7">
        <f>H30</f>
        <v>44452.9505582</v>
      </c>
      <c r="K30" s="7"/>
      <c r="L30" s="7"/>
      <c r="M30" s="7"/>
      <c r="N30" s="7"/>
      <c r="O30" s="7">
        <v>44443.5178165</v>
      </c>
      <c r="P30" s="7">
        <f>O30</f>
        <v>44443.5178165</v>
      </c>
    </row>
    <row r="31" spans="1:16" ht="11.25">
      <c r="A31" s="5" t="s">
        <v>7</v>
      </c>
      <c r="B31" s="37"/>
      <c r="C31" s="37"/>
      <c r="D31" s="7"/>
      <c r="E31" s="36"/>
      <c r="F31" s="36"/>
      <c r="G31" s="7"/>
      <c r="H31" s="36"/>
      <c r="I31" s="36"/>
      <c r="J31" s="36"/>
      <c r="K31" s="7"/>
      <c r="L31" s="7"/>
      <c r="M31" s="7"/>
      <c r="N31" s="7"/>
      <c r="O31" s="36"/>
      <c r="P31" s="36"/>
    </row>
    <row r="32" spans="1:16" ht="22.5">
      <c r="A32" s="8" t="s">
        <v>17</v>
      </c>
      <c r="B32" s="6"/>
      <c r="C32" s="6"/>
      <c r="D32" s="7"/>
      <c r="E32" s="7">
        <v>1125.01</v>
      </c>
      <c r="F32" s="7">
        <f>E32</f>
        <v>1125.01</v>
      </c>
      <c r="G32" s="7"/>
      <c r="H32" s="7">
        <v>1254</v>
      </c>
      <c r="I32" s="7"/>
      <c r="J32" s="7">
        <f>H32</f>
        <v>1254</v>
      </c>
      <c r="K32" s="7"/>
      <c r="L32" s="7"/>
      <c r="M32" s="7"/>
      <c r="N32" s="7"/>
      <c r="O32" s="7">
        <v>1319</v>
      </c>
      <c r="P32" s="7">
        <f>O32</f>
        <v>1319</v>
      </c>
    </row>
    <row r="33" spans="1:16" ht="11.25">
      <c r="A33" s="5" t="s">
        <v>6</v>
      </c>
      <c r="B33" s="37"/>
      <c r="C33" s="37"/>
      <c r="D33" s="7"/>
      <c r="E33" s="36"/>
      <c r="F33" s="36"/>
      <c r="G33" s="7"/>
      <c r="H33" s="36"/>
      <c r="I33" s="36"/>
      <c r="J33" s="36"/>
      <c r="K33" s="7"/>
      <c r="L33" s="7"/>
      <c r="M33" s="7"/>
      <c r="N33" s="7"/>
      <c r="O33" s="36"/>
      <c r="P33" s="36"/>
    </row>
    <row r="34" spans="1:16" ht="22.5">
      <c r="A34" s="8" t="s">
        <v>23</v>
      </c>
      <c r="B34" s="6"/>
      <c r="C34" s="6"/>
      <c r="D34" s="7"/>
      <c r="E34" s="7">
        <f>E30/E28*100</f>
        <v>16.46074074074074</v>
      </c>
      <c r="F34" s="7">
        <f>F30/F28*100</f>
        <v>16.46074074074074</v>
      </c>
      <c r="G34" s="7"/>
      <c r="H34" s="7">
        <v>0</v>
      </c>
      <c r="I34" s="7"/>
      <c r="J34" s="7">
        <f>J30/J28*100</f>
        <v>16.464055762296294</v>
      </c>
      <c r="K34" s="7"/>
      <c r="L34" s="7"/>
      <c r="M34" s="7"/>
      <c r="N34" s="7"/>
      <c r="O34" s="7">
        <v>0</v>
      </c>
      <c r="P34" s="7">
        <f>P30/P28*100</f>
        <v>16.46056215425926</v>
      </c>
    </row>
    <row r="35" spans="1:235" s="134" customFormat="1" ht="35.25" customHeight="1">
      <c r="A35" s="130" t="s">
        <v>55</v>
      </c>
      <c r="B35" s="131"/>
      <c r="C35" s="131"/>
      <c r="D35" s="132">
        <f>D41*D39</f>
        <v>77889999.99998794</v>
      </c>
      <c r="E35" s="132"/>
      <c r="F35" s="132">
        <f>F41*F39</f>
        <v>77889999.99998794</v>
      </c>
      <c r="G35" s="132">
        <f>G39*G41</f>
        <v>86837999.99996285</v>
      </c>
      <c r="H35" s="132"/>
      <c r="I35" s="132"/>
      <c r="J35" s="132">
        <f>G35</f>
        <v>86837999.99996285</v>
      </c>
      <c r="K35" s="132"/>
      <c r="L35" s="132"/>
      <c r="M35" s="132"/>
      <c r="N35" s="132">
        <f>N39*N41</f>
        <v>138420000.00356</v>
      </c>
      <c r="O35" s="132"/>
      <c r="P35" s="132">
        <f>N35</f>
        <v>138420000.00356</v>
      </c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</row>
    <row r="36" spans="1:16" ht="11.25">
      <c r="A36" s="5" t="s">
        <v>4</v>
      </c>
      <c r="B36" s="37"/>
      <c r="C36" s="3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2.5">
      <c r="A37" s="8" t="s">
        <v>10</v>
      </c>
      <c r="B37" s="6"/>
      <c r="C37" s="6"/>
      <c r="D37" s="7">
        <v>292000</v>
      </c>
      <c r="E37" s="7"/>
      <c r="F37" s="7">
        <f>D37</f>
        <v>292000</v>
      </c>
      <c r="G37" s="7">
        <v>292000</v>
      </c>
      <c r="H37" s="7"/>
      <c r="I37" s="7"/>
      <c r="J37" s="7">
        <f>G37</f>
        <v>292000</v>
      </c>
      <c r="K37" s="7"/>
      <c r="L37" s="7"/>
      <c r="M37" s="7"/>
      <c r="N37" s="7">
        <v>300000</v>
      </c>
      <c r="O37" s="7"/>
      <c r="P37" s="7">
        <f>N37</f>
        <v>300000</v>
      </c>
    </row>
    <row r="38" spans="1:16" ht="11.25">
      <c r="A38" s="5" t="s">
        <v>5</v>
      </c>
      <c r="B38" s="37"/>
      <c r="C38" s="3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2.5">
      <c r="A39" s="8" t="s">
        <v>11</v>
      </c>
      <c r="B39" s="6"/>
      <c r="C39" s="6"/>
      <c r="D39" s="7">
        <v>119831</v>
      </c>
      <c r="E39" s="7"/>
      <c r="F39" s="7">
        <f>D39</f>
        <v>119831</v>
      </c>
      <c r="G39" s="7">
        <v>119777</v>
      </c>
      <c r="H39" s="7"/>
      <c r="I39" s="7"/>
      <c r="J39" s="7">
        <f>G39</f>
        <v>119777</v>
      </c>
      <c r="K39" s="7"/>
      <c r="L39" s="7"/>
      <c r="M39" s="7"/>
      <c r="N39" s="7">
        <v>92774.79893</v>
      </c>
      <c r="O39" s="7"/>
      <c r="P39" s="7">
        <f>N39</f>
        <v>92774.79893</v>
      </c>
    </row>
    <row r="40" spans="1:16" ht="11.25">
      <c r="A40" s="5" t="s">
        <v>7</v>
      </c>
      <c r="B40" s="37"/>
      <c r="C40" s="3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4" customHeight="1">
      <c r="A41" s="8" t="s">
        <v>20</v>
      </c>
      <c r="B41" s="6"/>
      <c r="C41" s="6"/>
      <c r="D41" s="7">
        <v>649.998748237</v>
      </c>
      <c r="E41" s="7"/>
      <c r="F41" s="7">
        <f>D41</f>
        <v>649.998748237</v>
      </c>
      <c r="G41" s="7">
        <v>724.997286624</v>
      </c>
      <c r="H41" s="7"/>
      <c r="I41" s="7"/>
      <c r="J41" s="7">
        <f>G41</f>
        <v>724.997286624</v>
      </c>
      <c r="K41" s="7"/>
      <c r="L41" s="7"/>
      <c r="M41" s="7"/>
      <c r="N41" s="7">
        <v>1492</v>
      </c>
      <c r="O41" s="7"/>
      <c r="P41" s="7">
        <f>N41</f>
        <v>1492</v>
      </c>
    </row>
    <row r="42" spans="1:16" ht="11.25">
      <c r="A42" s="5" t="s">
        <v>6</v>
      </c>
      <c r="B42" s="37"/>
      <c r="C42" s="3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75" customHeight="1">
      <c r="A43" s="8" t="s">
        <v>22</v>
      </c>
      <c r="B43" s="6"/>
      <c r="C43" s="6"/>
      <c r="D43" s="7">
        <f aca="true" t="shared" si="4" ref="D43:J43">D39/D37*100</f>
        <v>41.03801369863014</v>
      </c>
      <c r="E43" s="7"/>
      <c r="F43" s="7">
        <f t="shared" si="4"/>
        <v>41.03801369863014</v>
      </c>
      <c r="G43" s="7">
        <f>G39/G37*100</f>
        <v>41.019520547945206</v>
      </c>
      <c r="H43" s="7"/>
      <c r="I43" s="7"/>
      <c r="J43" s="7">
        <f t="shared" si="4"/>
        <v>41.019520547945206</v>
      </c>
      <c r="K43" s="7"/>
      <c r="L43" s="7"/>
      <c r="M43" s="7"/>
      <c r="N43" s="7">
        <f>N39/N37*100</f>
        <v>30.924932976666668</v>
      </c>
      <c r="O43" s="7"/>
      <c r="P43" s="7">
        <f>P39/P37*100</f>
        <v>30.924932976666668</v>
      </c>
    </row>
    <row r="44" spans="1:16" ht="33.75" customHeight="1">
      <c r="A44" s="34" t="s">
        <v>366</v>
      </c>
      <c r="B44" s="6"/>
      <c r="C44" s="6"/>
      <c r="D44" s="7"/>
      <c r="E44" s="7">
        <v>41900000</v>
      </c>
      <c r="F44" s="7">
        <f>D44+E44</f>
        <v>41900000</v>
      </c>
      <c r="G44" s="7"/>
      <c r="H44" s="7">
        <v>41000000</v>
      </c>
      <c r="I44" s="7"/>
      <c r="J44" s="7">
        <f>H44</f>
        <v>41000000</v>
      </c>
      <c r="K44" s="7"/>
      <c r="L44" s="7"/>
      <c r="M44" s="7"/>
      <c r="N44" s="7"/>
      <c r="O44" s="7">
        <f>80000000+40000000</f>
        <v>120000000</v>
      </c>
      <c r="P44" s="7">
        <f>N44+O44</f>
        <v>120000000</v>
      </c>
    </row>
    <row r="45" spans="1:235" s="52" customFormat="1" ht="21.75" customHeight="1">
      <c r="A45" s="5" t="s">
        <v>5</v>
      </c>
      <c r="B45" s="37"/>
      <c r="C45" s="37"/>
      <c r="D45" s="30"/>
      <c r="E45" s="30"/>
      <c r="F45" s="30"/>
      <c r="G45" s="30"/>
      <c r="H45" s="30"/>
      <c r="I45" s="30"/>
      <c r="J45" s="7"/>
      <c r="K45" s="30"/>
      <c r="L45" s="30"/>
      <c r="M45" s="30"/>
      <c r="N45" s="30"/>
      <c r="O45" s="30"/>
      <c r="P45" s="7">
        <f>N45+O45</f>
        <v>0</v>
      </c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</row>
    <row r="46" spans="1:16" ht="21.75" customHeight="1">
      <c r="A46" s="8" t="s">
        <v>11</v>
      </c>
      <c r="B46" s="6"/>
      <c r="C46" s="6"/>
      <c r="D46" s="7"/>
      <c r="E46" s="7">
        <f>SUM(E44)/E48</f>
        <v>64461.53846153846</v>
      </c>
      <c r="F46" s="7">
        <f>SUM(F44)/F48</f>
        <v>64461.53846153846</v>
      </c>
      <c r="G46" s="7"/>
      <c r="H46" s="7">
        <v>63076.92</v>
      </c>
      <c r="I46" s="7"/>
      <c r="J46" s="7">
        <f>H46</f>
        <v>63076.92</v>
      </c>
      <c r="K46" s="7"/>
      <c r="L46" s="7"/>
      <c r="M46" s="7"/>
      <c r="N46" s="7"/>
      <c r="O46" s="7">
        <v>59026.07</v>
      </c>
      <c r="P46" s="7">
        <f>N46+O46</f>
        <v>59026.07</v>
      </c>
    </row>
    <row r="47" spans="1:235" s="52" customFormat="1" ht="21.75" customHeight="1">
      <c r="A47" s="5" t="s">
        <v>7</v>
      </c>
      <c r="B47" s="37"/>
      <c r="C47" s="37"/>
      <c r="D47" s="30"/>
      <c r="E47" s="30"/>
      <c r="F47" s="30"/>
      <c r="G47" s="30"/>
      <c r="H47" s="30"/>
      <c r="I47" s="30"/>
      <c r="J47" s="7"/>
      <c r="K47" s="30"/>
      <c r="L47" s="30"/>
      <c r="M47" s="30"/>
      <c r="N47" s="30"/>
      <c r="O47" s="30"/>
      <c r="P47" s="7">
        <f>N47+O47</f>
        <v>0</v>
      </c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</row>
    <row r="48" spans="1:16" ht="21.75" customHeight="1">
      <c r="A48" s="8" t="s">
        <v>20</v>
      </c>
      <c r="B48" s="6"/>
      <c r="C48" s="6"/>
      <c r="D48" s="7"/>
      <c r="E48" s="7">
        <v>650</v>
      </c>
      <c r="F48" s="7">
        <f>SUM(E48)</f>
        <v>650</v>
      </c>
      <c r="G48" s="7"/>
      <c r="H48" s="7">
        <v>650</v>
      </c>
      <c r="I48" s="7"/>
      <c r="J48" s="7">
        <f>H48</f>
        <v>650</v>
      </c>
      <c r="K48" s="7"/>
      <c r="L48" s="7"/>
      <c r="M48" s="7"/>
      <c r="N48" s="7"/>
      <c r="O48" s="7">
        <v>2033</v>
      </c>
      <c r="P48" s="7">
        <f>N48+O48</f>
        <v>2033</v>
      </c>
    </row>
    <row r="49" spans="1:235" s="39" customFormat="1" ht="27" customHeight="1">
      <c r="A49" s="34" t="s">
        <v>367</v>
      </c>
      <c r="B49" s="35"/>
      <c r="C49" s="35"/>
      <c r="D49" s="36">
        <f>D55*D53</f>
        <v>800000.001</v>
      </c>
      <c r="E49" s="36">
        <v>17300000</v>
      </c>
      <c r="F49" s="36">
        <f>E49+D49</f>
        <v>18100000.001</v>
      </c>
      <c r="G49" s="36">
        <f>G53*G55</f>
        <v>2000000</v>
      </c>
      <c r="H49" s="36">
        <f>H53*H55</f>
        <v>16100000.199000001</v>
      </c>
      <c r="I49" s="36"/>
      <c r="J49" s="36">
        <f>G49+H49</f>
        <v>18100000.199</v>
      </c>
      <c r="K49" s="36"/>
      <c r="L49" s="36"/>
      <c r="M49" s="36"/>
      <c r="N49" s="36">
        <f>N53*N55</f>
        <v>450000</v>
      </c>
      <c r="O49" s="36">
        <f>O53*O55</f>
        <v>14550000</v>
      </c>
      <c r="P49" s="36">
        <f>O49+N49</f>
        <v>15000000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</row>
    <row r="50" spans="1:16" ht="11.25">
      <c r="A50" s="5" t="s">
        <v>4</v>
      </c>
      <c r="B50" s="37"/>
      <c r="C50" s="37"/>
      <c r="D50" s="7"/>
      <c r="E50" s="7"/>
      <c r="F50" s="7">
        <f aca="true" t="shared" si="5" ref="F50:F56">E50+D50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2.5">
      <c r="A51" s="8" t="s">
        <v>203</v>
      </c>
      <c r="B51" s="6"/>
      <c r="C51" s="6"/>
      <c r="D51" s="7">
        <v>3</v>
      </c>
      <c r="E51" s="7">
        <v>4</v>
      </c>
      <c r="F51" s="7">
        <f t="shared" si="5"/>
        <v>7</v>
      </c>
      <c r="G51" s="7">
        <v>4</v>
      </c>
      <c r="H51" s="7">
        <v>3</v>
      </c>
      <c r="I51" s="7"/>
      <c r="J51" s="7">
        <f>G51+H51</f>
        <v>7</v>
      </c>
      <c r="K51" s="7"/>
      <c r="L51" s="7"/>
      <c r="M51" s="7"/>
      <c r="N51" s="7">
        <v>1</v>
      </c>
      <c r="O51" s="7">
        <v>2</v>
      </c>
      <c r="P51" s="7">
        <f>O51+N51</f>
        <v>3</v>
      </c>
    </row>
    <row r="52" spans="1:16" ht="11.25">
      <c r="A52" s="5" t="s">
        <v>5</v>
      </c>
      <c r="B52" s="37"/>
      <c r="C52" s="37"/>
      <c r="D52" s="7"/>
      <c r="E52" s="7"/>
      <c r="F52" s="7">
        <f t="shared" si="5"/>
        <v>0</v>
      </c>
      <c r="G52" s="7"/>
      <c r="H52" s="7"/>
      <c r="I52" s="7"/>
      <c r="J52" s="7">
        <f>G52+H52</f>
        <v>0</v>
      </c>
      <c r="K52" s="7"/>
      <c r="L52" s="7"/>
      <c r="M52" s="7"/>
      <c r="N52" s="7"/>
      <c r="O52" s="7"/>
      <c r="P52" s="7"/>
    </row>
    <row r="53" spans="1:16" ht="22.5">
      <c r="A53" s="8" t="s">
        <v>204</v>
      </c>
      <c r="B53" s="6"/>
      <c r="C53" s="6"/>
      <c r="D53" s="7">
        <v>3</v>
      </c>
      <c r="E53" s="7">
        <v>3</v>
      </c>
      <c r="F53" s="7">
        <f t="shared" si="5"/>
        <v>6</v>
      </c>
      <c r="G53" s="7">
        <v>4</v>
      </c>
      <c r="H53" s="7">
        <v>3</v>
      </c>
      <c r="I53" s="7"/>
      <c r="J53" s="7">
        <f>G53+H53</f>
        <v>7</v>
      </c>
      <c r="K53" s="7"/>
      <c r="L53" s="7"/>
      <c r="M53" s="7"/>
      <c r="N53" s="7">
        <v>1</v>
      </c>
      <c r="O53" s="7">
        <v>1</v>
      </c>
      <c r="P53" s="7">
        <f>O53+N53</f>
        <v>2</v>
      </c>
    </row>
    <row r="54" spans="1:16" ht="11.25">
      <c r="A54" s="5" t="s">
        <v>7</v>
      </c>
      <c r="B54" s="37"/>
      <c r="C54" s="37"/>
      <c r="D54" s="7"/>
      <c r="E54" s="7"/>
      <c r="F54" s="7">
        <f t="shared" si="5"/>
        <v>0</v>
      </c>
      <c r="G54" s="7"/>
      <c r="H54" s="7"/>
      <c r="I54" s="7"/>
      <c r="J54" s="7">
        <f>G54+H54</f>
        <v>0</v>
      </c>
      <c r="K54" s="7"/>
      <c r="L54" s="7"/>
      <c r="M54" s="7"/>
      <c r="N54" s="7"/>
      <c r="O54" s="7"/>
      <c r="P54" s="7"/>
    </row>
    <row r="55" spans="1:16" ht="22.5">
      <c r="A55" s="8" t="s">
        <v>189</v>
      </c>
      <c r="B55" s="6"/>
      <c r="C55" s="6"/>
      <c r="D55" s="7">
        <v>266666.667</v>
      </c>
      <c r="E55" s="7">
        <v>5766666.67</v>
      </c>
      <c r="F55" s="7">
        <f>E55+D55</f>
        <v>6033333.337</v>
      </c>
      <c r="G55" s="7">
        <v>500000</v>
      </c>
      <c r="H55" s="7">
        <v>5366666.733</v>
      </c>
      <c r="I55" s="7"/>
      <c r="J55" s="7">
        <f>G55+H55</f>
        <v>5866666.733</v>
      </c>
      <c r="K55" s="7"/>
      <c r="L55" s="7"/>
      <c r="M55" s="7"/>
      <c r="N55" s="7">
        <v>450000</v>
      </c>
      <c r="O55" s="7">
        <v>14550000</v>
      </c>
      <c r="P55" s="7">
        <f>N55</f>
        <v>450000</v>
      </c>
    </row>
    <row r="56" spans="1:16" ht="11.25">
      <c r="A56" s="5" t="s">
        <v>6</v>
      </c>
      <c r="B56" s="37"/>
      <c r="C56" s="37"/>
      <c r="D56" s="7"/>
      <c r="E56" s="7"/>
      <c r="F56" s="7">
        <f t="shared" si="5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1.75" customHeight="1">
      <c r="A57" s="8" t="s">
        <v>205</v>
      </c>
      <c r="B57" s="6"/>
      <c r="C57" s="6"/>
      <c r="D57" s="7">
        <f>D53/D51*100</f>
        <v>100</v>
      </c>
      <c r="E57" s="7">
        <f>E53/E51*100</f>
        <v>75</v>
      </c>
      <c r="F57" s="36"/>
      <c r="G57" s="7">
        <f>G53/G51</f>
        <v>1</v>
      </c>
      <c r="H57" s="7">
        <f>H53/H51</f>
        <v>1</v>
      </c>
      <c r="I57" s="7"/>
      <c r="J57" s="7">
        <f>J53/J51*100</f>
        <v>100</v>
      </c>
      <c r="K57" s="7"/>
      <c r="L57" s="7"/>
      <c r="M57" s="7"/>
      <c r="N57" s="7">
        <f>N53/N51*100</f>
        <v>100</v>
      </c>
      <c r="O57" s="7">
        <f>O53/O51*100</f>
        <v>50</v>
      </c>
      <c r="P57" s="7">
        <f>P53/P51*100</f>
        <v>66.66666666666666</v>
      </c>
    </row>
    <row r="58" spans="1:235" s="39" customFormat="1" ht="29.25" customHeight="1">
      <c r="A58" s="34" t="s">
        <v>368</v>
      </c>
      <c r="B58" s="35"/>
      <c r="C58" s="35"/>
      <c r="D58" s="36">
        <f>(D62*D64)+2000000</f>
        <v>40999999.999961145</v>
      </c>
      <c r="E58" s="36"/>
      <c r="F58" s="36">
        <f>(F62*F64)+(F68*F72)-544</f>
        <v>40999999.999961145</v>
      </c>
      <c r="G58" s="36">
        <f>G62*G64+G70*G72</f>
        <v>45680299.99663542</v>
      </c>
      <c r="H58" s="36"/>
      <c r="I58" s="36"/>
      <c r="J58" s="36">
        <f>G58</f>
        <v>45680299.99663542</v>
      </c>
      <c r="K58" s="36"/>
      <c r="L58" s="36"/>
      <c r="M58" s="36"/>
      <c r="N58" s="36">
        <f>N62*N64</f>
        <v>51724400.02673205</v>
      </c>
      <c r="O58" s="36"/>
      <c r="P58" s="36">
        <f>N58</f>
        <v>51724400.02673205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</row>
    <row r="59" spans="1:16" ht="11.25">
      <c r="A59" s="5" t="s">
        <v>4</v>
      </c>
      <c r="B59" s="37"/>
      <c r="C59" s="3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2.5">
      <c r="A60" s="8" t="s">
        <v>51</v>
      </c>
      <c r="B60" s="6"/>
      <c r="C60" s="6"/>
      <c r="D60" s="7">
        <v>3372600</v>
      </c>
      <c r="E60" s="7"/>
      <c r="F60" s="7">
        <f>D60</f>
        <v>3372600</v>
      </c>
      <c r="G60" s="7">
        <v>3372600</v>
      </c>
      <c r="H60" s="7"/>
      <c r="I60" s="7"/>
      <c r="J60" s="7">
        <f>G60</f>
        <v>3372600</v>
      </c>
      <c r="K60" s="7"/>
      <c r="L60" s="7"/>
      <c r="M60" s="7"/>
      <c r="N60" s="7">
        <v>3372600</v>
      </c>
      <c r="O60" s="7"/>
      <c r="P60" s="7">
        <f>N60</f>
        <v>3372600</v>
      </c>
    </row>
    <row r="61" spans="1:16" ht="11.25">
      <c r="A61" s="5" t="s">
        <v>5</v>
      </c>
      <c r="B61" s="37"/>
      <c r="C61" s="3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21.75" customHeight="1">
      <c r="A62" s="8" t="s">
        <v>52</v>
      </c>
      <c r="B62" s="6"/>
      <c r="C62" s="6"/>
      <c r="D62" s="7">
        <v>1310344.8</v>
      </c>
      <c r="E62" s="7"/>
      <c r="F62" s="7">
        <f>D62</f>
        <v>1310344.8</v>
      </c>
      <c r="G62" s="7">
        <v>1310344.8</v>
      </c>
      <c r="H62" s="7"/>
      <c r="I62" s="7"/>
      <c r="J62" s="7">
        <f>G62</f>
        <v>1310344.8</v>
      </c>
      <c r="K62" s="7">
        <f>H62</f>
        <v>0</v>
      </c>
      <c r="L62" s="7">
        <f>I62</f>
        <v>0</v>
      </c>
      <c r="M62" s="7">
        <f>J62</f>
        <v>1310344.8</v>
      </c>
      <c r="N62" s="7">
        <v>1482289.513</v>
      </c>
      <c r="O62" s="7"/>
      <c r="P62" s="7">
        <f>N62</f>
        <v>1482289.513</v>
      </c>
    </row>
    <row r="63" spans="1:16" ht="11.25">
      <c r="A63" s="5" t="s">
        <v>7</v>
      </c>
      <c r="B63" s="37"/>
      <c r="C63" s="3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21.75" customHeight="1">
      <c r="A64" s="8" t="s">
        <v>18</v>
      </c>
      <c r="B64" s="6"/>
      <c r="C64" s="6"/>
      <c r="D64" s="7">
        <v>29.7631585213</v>
      </c>
      <c r="E64" s="7"/>
      <c r="F64" s="7">
        <f>D64</f>
        <v>29.7631585213</v>
      </c>
      <c r="G64" s="7">
        <v>33.33284739</v>
      </c>
      <c r="H64" s="7"/>
      <c r="I64" s="7"/>
      <c r="J64" s="7">
        <f>G64</f>
        <v>33.33284739</v>
      </c>
      <c r="K64" s="7"/>
      <c r="L64" s="7"/>
      <c r="M64" s="7"/>
      <c r="N64" s="7">
        <v>34.8949375767</v>
      </c>
      <c r="O64" s="7"/>
      <c r="P64" s="7">
        <f>N64</f>
        <v>34.8949375767</v>
      </c>
    </row>
    <row r="65" spans="1:16" ht="11.25">
      <c r="A65" s="5" t="s">
        <v>6</v>
      </c>
      <c r="B65" s="37"/>
      <c r="C65" s="3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34.5" customHeight="1">
      <c r="A66" s="8" t="s">
        <v>53</v>
      </c>
      <c r="B66" s="6"/>
      <c r="C66" s="6"/>
      <c r="D66" s="7">
        <f>D62/D60*100</f>
        <v>38.852659669098024</v>
      </c>
      <c r="E66" s="7"/>
      <c r="F66" s="7">
        <f>F62/F60*100</f>
        <v>38.852659669098024</v>
      </c>
      <c r="G66" s="7">
        <f>G62/G60*100</f>
        <v>38.852659669098024</v>
      </c>
      <c r="H66" s="7"/>
      <c r="I66" s="7"/>
      <c r="J66" s="7">
        <f>J62/J60*100</f>
        <v>38.852659669098024</v>
      </c>
      <c r="K66" s="7"/>
      <c r="L66" s="7"/>
      <c r="M66" s="7"/>
      <c r="N66" s="7">
        <f>N62/N60*100</f>
        <v>43.950943278183004</v>
      </c>
      <c r="O66" s="7"/>
      <c r="P66" s="7">
        <f>P62/P60*100</f>
        <v>43.950943278183004</v>
      </c>
    </row>
    <row r="67" spans="1:16" ht="11.25">
      <c r="A67" s="5" t="s">
        <v>4</v>
      </c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45">
      <c r="A68" s="8" t="s">
        <v>275</v>
      </c>
      <c r="B68" s="6"/>
      <c r="C68" s="6"/>
      <c r="D68" s="7">
        <v>446550</v>
      </c>
      <c r="E68" s="7"/>
      <c r="F68" s="7">
        <v>446550</v>
      </c>
      <c r="G68" s="7">
        <v>446550</v>
      </c>
      <c r="H68" s="7"/>
      <c r="I68" s="7"/>
      <c r="J68" s="7">
        <v>446550</v>
      </c>
      <c r="K68" s="7"/>
      <c r="L68" s="7"/>
      <c r="M68" s="7"/>
      <c r="N68" s="7">
        <v>446550</v>
      </c>
      <c r="O68" s="7"/>
      <c r="P68" s="7">
        <v>446550</v>
      </c>
    </row>
    <row r="69" spans="1:16" ht="11.25">
      <c r="A69" s="5" t="s">
        <v>5</v>
      </c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45">
      <c r="A70" s="8" t="s">
        <v>274</v>
      </c>
      <c r="B70" s="6"/>
      <c r="C70" s="6"/>
      <c r="D70" s="7">
        <v>446550</v>
      </c>
      <c r="E70" s="7"/>
      <c r="F70" s="7">
        <v>446550</v>
      </c>
      <c r="G70" s="7">
        <v>446550</v>
      </c>
      <c r="H70" s="7"/>
      <c r="I70" s="7"/>
      <c r="J70" s="7">
        <v>446550</v>
      </c>
      <c r="K70" s="7"/>
      <c r="L70" s="7"/>
      <c r="M70" s="7"/>
      <c r="N70" s="7"/>
      <c r="O70" s="7"/>
      <c r="P70" s="7"/>
    </row>
    <row r="71" spans="1:16" ht="11.25">
      <c r="A71" s="5" t="s">
        <v>7</v>
      </c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22.5">
      <c r="A72" s="8" t="s">
        <v>18</v>
      </c>
      <c r="B72" s="6"/>
      <c r="C72" s="6"/>
      <c r="D72" s="7">
        <v>4.48</v>
      </c>
      <c r="E72" s="7"/>
      <c r="F72" s="7">
        <v>4.48</v>
      </c>
      <c r="G72" s="7">
        <v>4.4849999999</v>
      </c>
      <c r="H72" s="7"/>
      <c r="I72" s="7"/>
      <c r="J72" s="7">
        <v>4.48</v>
      </c>
      <c r="K72" s="7"/>
      <c r="L72" s="7"/>
      <c r="M72" s="7"/>
      <c r="N72" s="7"/>
      <c r="O72" s="7"/>
      <c r="P72" s="7"/>
    </row>
    <row r="73" spans="1:16" ht="11.25">
      <c r="A73" s="5" t="s">
        <v>6</v>
      </c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31.5" customHeight="1">
      <c r="A74" s="8" t="s">
        <v>53</v>
      </c>
      <c r="B74" s="6"/>
      <c r="C74" s="6"/>
      <c r="D74" s="7">
        <v>100</v>
      </c>
      <c r="E74" s="7"/>
      <c r="F74" s="7">
        <v>100</v>
      </c>
      <c r="G74" s="7">
        <v>100</v>
      </c>
      <c r="H74" s="7"/>
      <c r="I74" s="7"/>
      <c r="J74" s="7">
        <v>100</v>
      </c>
      <c r="K74" s="7"/>
      <c r="L74" s="7"/>
      <c r="M74" s="7"/>
      <c r="N74" s="7"/>
      <c r="O74" s="7"/>
      <c r="P74" s="7"/>
    </row>
    <row r="75" spans="1:16" ht="1.5" customHeight="1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1.25">
      <c r="A76" s="8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235" s="39" customFormat="1" ht="46.5" customHeight="1">
      <c r="A77" s="34" t="s">
        <v>369</v>
      </c>
      <c r="B77" s="35"/>
      <c r="C77" s="35"/>
      <c r="D77" s="36">
        <f>(D81*D83)</f>
        <v>5999999.99998</v>
      </c>
      <c r="E77" s="36"/>
      <c r="F77" s="36">
        <f>(F83*F81)</f>
        <v>5999999.99998</v>
      </c>
      <c r="G77" s="36">
        <f>(G83*G81)-0.01</f>
        <v>5799999.99875</v>
      </c>
      <c r="H77" s="36"/>
      <c r="I77" s="36"/>
      <c r="J77" s="36">
        <f>G77+H77</f>
        <v>5799999.99875</v>
      </c>
      <c r="K77" s="36"/>
      <c r="L77" s="36"/>
      <c r="M77" s="36"/>
      <c r="N77" s="36">
        <f>(N81*N83)</f>
        <v>9999999.99975</v>
      </c>
      <c r="O77" s="36"/>
      <c r="P77" s="36">
        <f>N77</f>
        <v>9999999.99975</v>
      </c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</row>
    <row r="78" spans="1:16" ht="11.25">
      <c r="A78" s="5" t="s">
        <v>4</v>
      </c>
      <c r="B78" s="37"/>
      <c r="C78" s="3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33" customHeight="1">
      <c r="A79" s="8" t="s">
        <v>229</v>
      </c>
      <c r="B79" s="6"/>
      <c r="C79" s="6"/>
      <c r="D79" s="7">
        <f>D77</f>
        <v>5999999.99998</v>
      </c>
      <c r="E79" s="7"/>
      <c r="F79" s="7">
        <f>D79</f>
        <v>5999999.99998</v>
      </c>
      <c r="G79" s="7">
        <f>G77</f>
        <v>5799999.99875</v>
      </c>
      <c r="H79" s="7"/>
      <c r="I79" s="7"/>
      <c r="J79" s="7">
        <f>G79</f>
        <v>5799999.99875</v>
      </c>
      <c r="K79" s="7"/>
      <c r="L79" s="7"/>
      <c r="M79" s="7"/>
      <c r="N79" s="7">
        <f>N77</f>
        <v>9999999.99975</v>
      </c>
      <c r="O79" s="7"/>
      <c r="P79" s="7">
        <f>N79</f>
        <v>9999999.99975</v>
      </c>
    </row>
    <row r="80" spans="1:16" ht="11.25">
      <c r="A80" s="5" t="s">
        <v>5</v>
      </c>
      <c r="B80" s="37"/>
      <c r="C80" s="3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34.5" customHeight="1">
      <c r="A81" s="8" t="s">
        <v>56</v>
      </c>
      <c r="B81" s="6"/>
      <c r="C81" s="6"/>
      <c r="D81" s="7">
        <v>8571.4285714</v>
      </c>
      <c r="E81" s="7"/>
      <c r="F81" s="7">
        <f>D81</f>
        <v>8571.4285714</v>
      </c>
      <c r="G81" s="7">
        <v>7733.333345</v>
      </c>
      <c r="H81" s="7"/>
      <c r="I81" s="7"/>
      <c r="J81" s="7">
        <f>G81</f>
        <v>7733.333345</v>
      </c>
      <c r="K81" s="7"/>
      <c r="L81" s="7"/>
      <c r="M81" s="7"/>
      <c r="N81" s="7">
        <v>13333.333333</v>
      </c>
      <c r="O81" s="7"/>
      <c r="P81" s="7">
        <f>N81</f>
        <v>13333.333333</v>
      </c>
    </row>
    <row r="82" spans="1:16" ht="11.25">
      <c r="A82" s="5" t="s">
        <v>7</v>
      </c>
      <c r="B82" s="37"/>
      <c r="C82" s="3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33.75">
      <c r="A83" s="8" t="s">
        <v>57</v>
      </c>
      <c r="B83" s="6"/>
      <c r="C83" s="6"/>
      <c r="D83" s="7">
        <v>700</v>
      </c>
      <c r="E83" s="7"/>
      <c r="F83" s="7">
        <f>D83</f>
        <v>700</v>
      </c>
      <c r="G83" s="7">
        <v>750</v>
      </c>
      <c r="H83" s="7"/>
      <c r="I83" s="7"/>
      <c r="J83" s="7">
        <f>G83</f>
        <v>750</v>
      </c>
      <c r="K83" s="7"/>
      <c r="L83" s="7"/>
      <c r="M83" s="7"/>
      <c r="N83" s="7">
        <v>750</v>
      </c>
      <c r="O83" s="7"/>
      <c r="P83" s="7">
        <f>N83</f>
        <v>750</v>
      </c>
    </row>
    <row r="84" spans="1:16" ht="11.25">
      <c r="A84" s="5" t="s">
        <v>6</v>
      </c>
      <c r="B84" s="37"/>
      <c r="C84" s="3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45">
      <c r="A85" s="8" t="s">
        <v>58</v>
      </c>
      <c r="B85" s="6"/>
      <c r="C85" s="6"/>
      <c r="D85" s="7">
        <f>D81/D79*100</f>
        <v>0.14285714285714285</v>
      </c>
      <c r="E85" s="7"/>
      <c r="F85" s="7">
        <f>F81/F79*100</f>
        <v>0.14285714285714285</v>
      </c>
      <c r="G85" s="7">
        <f>G81/G79*100</f>
        <v>0.1333333335632184</v>
      </c>
      <c r="H85" s="7"/>
      <c r="I85" s="7"/>
      <c r="J85" s="7">
        <f>J81/J79*100</f>
        <v>0.1333333335632184</v>
      </c>
      <c r="K85" s="7"/>
      <c r="L85" s="7"/>
      <c r="M85" s="7"/>
      <c r="N85" s="7">
        <f>N81/N79*100</f>
        <v>0.13333333333333336</v>
      </c>
      <c r="O85" s="7"/>
      <c r="P85" s="7">
        <f>P81/P79*100</f>
        <v>0.13333333333333336</v>
      </c>
    </row>
    <row r="86" spans="1:235" s="39" customFormat="1" ht="49.5" customHeight="1">
      <c r="A86" s="34" t="s">
        <v>453</v>
      </c>
      <c r="B86" s="35"/>
      <c r="C86" s="35"/>
      <c r="D86" s="36"/>
      <c r="E86" s="36">
        <f>(E91*E94)+(E92*E95)</f>
        <v>124999999.9999</v>
      </c>
      <c r="F86" s="36">
        <f>E86</f>
        <v>124999999.9999</v>
      </c>
      <c r="G86" s="36"/>
      <c r="H86" s="36">
        <f>(H91*H94)+(H92*H95)</f>
        <v>142488000.34962872</v>
      </c>
      <c r="I86" s="36"/>
      <c r="J86" s="36">
        <f>H86</f>
        <v>142488000.34962872</v>
      </c>
      <c r="K86" s="36">
        <f aca="true" t="shared" si="6" ref="K86:P86">(K91*K94)+(K92*K95)</f>
        <v>0</v>
      </c>
      <c r="L86" s="36">
        <f t="shared" si="6"/>
        <v>0</v>
      </c>
      <c r="M86" s="36">
        <f t="shared" si="6"/>
        <v>0</v>
      </c>
      <c r="N86" s="36"/>
      <c r="O86" s="36">
        <f>(O91*O94)+(O92*O95)</f>
        <v>140742001.15680495</v>
      </c>
      <c r="P86" s="36">
        <f t="shared" si="6"/>
        <v>140742001.15680495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</row>
    <row r="87" spans="1:16" ht="11.25">
      <c r="A87" s="5" t="s">
        <v>4</v>
      </c>
      <c r="B87" s="6"/>
      <c r="C87" s="6"/>
      <c r="D87" s="7"/>
      <c r="E87" s="7"/>
      <c r="F87" s="7"/>
      <c r="G87" s="7"/>
      <c r="H87" s="7"/>
      <c r="I87" s="7"/>
      <c r="J87" s="36"/>
      <c r="K87" s="7"/>
      <c r="L87" s="7"/>
      <c r="M87" s="7"/>
      <c r="N87" s="7"/>
      <c r="O87" s="7"/>
      <c r="P87" s="7"/>
    </row>
    <row r="88" spans="1:16" ht="33.75">
      <c r="A88" s="8" t="s">
        <v>138</v>
      </c>
      <c r="B88" s="6"/>
      <c r="C88" s="6"/>
      <c r="D88" s="7"/>
      <c r="E88" s="7">
        <v>380000</v>
      </c>
      <c r="F88" s="7">
        <f>E88</f>
        <v>380000</v>
      </c>
      <c r="G88" s="7"/>
      <c r="H88" s="7">
        <f>E88</f>
        <v>380000</v>
      </c>
      <c r="I88" s="7"/>
      <c r="J88" s="7">
        <f aca="true" t="shared" si="7" ref="J88:J94">H88</f>
        <v>380000</v>
      </c>
      <c r="K88" s="7"/>
      <c r="L88" s="7"/>
      <c r="M88" s="7"/>
      <c r="N88" s="7"/>
      <c r="O88" s="7">
        <f>H88</f>
        <v>380000</v>
      </c>
      <c r="P88" s="7">
        <f>O88</f>
        <v>380000</v>
      </c>
    </row>
    <row r="89" spans="1:16" ht="29.25" customHeight="1">
      <c r="A89" s="8" t="s">
        <v>139</v>
      </c>
      <c r="B89" s="6"/>
      <c r="C89" s="6"/>
      <c r="D89" s="7"/>
      <c r="E89" s="7">
        <v>76000</v>
      </c>
      <c r="F89" s="7">
        <f>E89</f>
        <v>76000</v>
      </c>
      <c r="G89" s="7"/>
      <c r="H89" s="7">
        <f>E89</f>
        <v>76000</v>
      </c>
      <c r="I89" s="7"/>
      <c r="J89" s="7">
        <f>H89</f>
        <v>76000</v>
      </c>
      <c r="K89" s="7"/>
      <c r="L89" s="7"/>
      <c r="M89" s="7"/>
      <c r="N89" s="7"/>
      <c r="O89" s="7">
        <f>H89</f>
        <v>76000</v>
      </c>
      <c r="P89" s="7">
        <f>O89</f>
        <v>76000</v>
      </c>
    </row>
    <row r="90" spans="1:16" ht="11.25">
      <c r="A90" s="5" t="s">
        <v>5</v>
      </c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34.5" customHeight="1">
      <c r="A91" s="8" t="s">
        <v>140</v>
      </c>
      <c r="B91" s="6"/>
      <c r="C91" s="6"/>
      <c r="D91" s="7"/>
      <c r="E91" s="7">
        <v>103950</v>
      </c>
      <c r="F91" s="7">
        <f>E91</f>
        <v>103950</v>
      </c>
      <c r="G91" s="7"/>
      <c r="H91" s="7">
        <v>103903</v>
      </c>
      <c r="I91" s="7"/>
      <c r="J91" s="7">
        <f t="shared" si="7"/>
        <v>103903</v>
      </c>
      <c r="K91" s="7"/>
      <c r="L91" s="7"/>
      <c r="M91" s="7"/>
      <c r="N91" s="7"/>
      <c r="O91" s="7">
        <v>93742.96</v>
      </c>
      <c r="P91" s="7">
        <f>O91</f>
        <v>93742.96</v>
      </c>
    </row>
    <row r="92" spans="1:16" ht="26.25" customHeight="1">
      <c r="A92" s="8" t="s">
        <v>141</v>
      </c>
      <c r="B92" s="6"/>
      <c r="C92" s="6"/>
      <c r="D92" s="7"/>
      <c r="E92" s="7">
        <v>50000</v>
      </c>
      <c r="F92" s="7">
        <f>E92</f>
        <v>50000</v>
      </c>
      <c r="G92" s="7"/>
      <c r="H92" s="7">
        <f>58823.5294117+1960.785</f>
        <v>60784.314411700005</v>
      </c>
      <c r="I92" s="7"/>
      <c r="J92" s="7">
        <f>H92</f>
        <v>60784.314411700005</v>
      </c>
      <c r="K92" s="7"/>
      <c r="L92" s="7"/>
      <c r="M92" s="7"/>
      <c r="N92" s="7"/>
      <c r="O92" s="7">
        <v>66037.735849</v>
      </c>
      <c r="P92" s="7">
        <f>O92</f>
        <v>66037.735849</v>
      </c>
    </row>
    <row r="93" spans="1:16" ht="11.25">
      <c r="A93" s="5" t="s">
        <v>7</v>
      </c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22.5" customHeight="1">
      <c r="A94" s="8" t="s">
        <v>144</v>
      </c>
      <c r="B94" s="6"/>
      <c r="C94" s="6"/>
      <c r="D94" s="7"/>
      <c r="E94" s="7">
        <v>962.000962</v>
      </c>
      <c r="F94" s="7">
        <f>E94</f>
        <v>962.000962</v>
      </c>
      <c r="G94" s="7"/>
      <c r="H94" s="7">
        <v>1073.00077957</v>
      </c>
      <c r="I94" s="7"/>
      <c r="J94" s="7">
        <f t="shared" si="7"/>
        <v>1073.00077957</v>
      </c>
      <c r="K94" s="7"/>
      <c r="L94" s="7"/>
      <c r="M94" s="7"/>
      <c r="N94" s="7"/>
      <c r="O94" s="7">
        <v>1127.99938424</v>
      </c>
      <c r="P94" s="7">
        <f>O94</f>
        <v>1127.99938424</v>
      </c>
    </row>
    <row r="95" spans="1:16" ht="22.5" customHeight="1">
      <c r="A95" s="8" t="s">
        <v>145</v>
      </c>
      <c r="B95" s="6"/>
      <c r="C95" s="6"/>
      <c r="D95" s="7"/>
      <c r="E95" s="7">
        <v>500</v>
      </c>
      <c r="F95" s="7">
        <f>E95</f>
        <v>500</v>
      </c>
      <c r="G95" s="7"/>
      <c r="H95" s="7">
        <v>510</v>
      </c>
      <c r="I95" s="7"/>
      <c r="J95" s="7">
        <f>H95</f>
        <v>510</v>
      </c>
      <c r="K95" s="7"/>
      <c r="L95" s="7"/>
      <c r="M95" s="7"/>
      <c r="N95" s="7"/>
      <c r="O95" s="7">
        <v>530</v>
      </c>
      <c r="P95" s="7">
        <f>O95</f>
        <v>530</v>
      </c>
    </row>
    <row r="96" spans="1:16" ht="11.25">
      <c r="A96" s="5" t="s">
        <v>6</v>
      </c>
      <c r="B96" s="6"/>
      <c r="C96" s="6"/>
      <c r="D96" s="7"/>
      <c r="E96" s="7"/>
      <c r="F96" s="7"/>
      <c r="G96" s="7"/>
      <c r="H96" s="7"/>
      <c r="I96" s="7"/>
      <c r="J96" s="36"/>
      <c r="K96" s="7"/>
      <c r="L96" s="7"/>
      <c r="M96" s="7"/>
      <c r="N96" s="7"/>
      <c r="O96" s="7"/>
      <c r="P96" s="7"/>
    </row>
    <row r="97" spans="1:16" ht="38.25" customHeight="1">
      <c r="A97" s="8" t="s">
        <v>142</v>
      </c>
      <c r="B97" s="6"/>
      <c r="C97" s="6"/>
      <c r="D97" s="7"/>
      <c r="E97" s="7">
        <f>E91/E88*100</f>
        <v>27.35526315789474</v>
      </c>
      <c r="F97" s="7">
        <f aca="true" t="shared" si="8" ref="F97:P97">F91/F88*100</f>
        <v>27.35526315789474</v>
      </c>
      <c r="G97" s="7"/>
      <c r="H97" s="7">
        <f t="shared" si="8"/>
        <v>27.342894736842105</v>
      </c>
      <c r="I97" s="7"/>
      <c r="J97" s="7">
        <f t="shared" si="8"/>
        <v>27.342894736842105</v>
      </c>
      <c r="K97" s="7" t="e">
        <f t="shared" si="8"/>
        <v>#DIV/0!</v>
      </c>
      <c r="L97" s="7" t="e">
        <f t="shared" si="8"/>
        <v>#DIV/0!</v>
      </c>
      <c r="M97" s="7" t="e">
        <f t="shared" si="8"/>
        <v>#DIV/0!</v>
      </c>
      <c r="N97" s="7"/>
      <c r="O97" s="7">
        <f t="shared" si="8"/>
        <v>24.669200000000004</v>
      </c>
      <c r="P97" s="7">
        <f t="shared" si="8"/>
        <v>24.669200000000004</v>
      </c>
    </row>
    <row r="98" spans="1:16" ht="38.25" customHeight="1">
      <c r="A98" s="8" t="s">
        <v>143</v>
      </c>
      <c r="B98" s="6"/>
      <c r="C98" s="6"/>
      <c r="D98" s="7"/>
      <c r="E98" s="7">
        <f>E92/E89*100</f>
        <v>65.78947368421053</v>
      </c>
      <c r="F98" s="7">
        <f aca="true" t="shared" si="9" ref="F98:P98">F92/F89*100</f>
        <v>65.78947368421053</v>
      </c>
      <c r="G98" s="7"/>
      <c r="H98" s="7">
        <f t="shared" si="9"/>
        <v>79.97936106802632</v>
      </c>
      <c r="I98" s="7"/>
      <c r="J98" s="7">
        <f t="shared" si="9"/>
        <v>79.97936106802632</v>
      </c>
      <c r="K98" s="7" t="e">
        <f t="shared" si="9"/>
        <v>#DIV/0!</v>
      </c>
      <c r="L98" s="7" t="e">
        <f t="shared" si="9"/>
        <v>#DIV/0!</v>
      </c>
      <c r="M98" s="7" t="e">
        <f t="shared" si="9"/>
        <v>#DIV/0!</v>
      </c>
      <c r="N98" s="7"/>
      <c r="O98" s="7">
        <f t="shared" si="9"/>
        <v>86.89175769605264</v>
      </c>
      <c r="P98" s="7">
        <f t="shared" si="9"/>
        <v>86.89175769605264</v>
      </c>
    </row>
    <row r="99" spans="1:235" s="39" customFormat="1" ht="33.75">
      <c r="A99" s="34" t="s">
        <v>370</v>
      </c>
      <c r="B99" s="35"/>
      <c r="C99" s="35"/>
      <c r="D99" s="36">
        <f>D101</f>
        <v>400000</v>
      </c>
      <c r="E99" s="36"/>
      <c r="F99" s="36">
        <f>D99</f>
        <v>400000</v>
      </c>
      <c r="G99" s="36">
        <f>G101</f>
        <v>950000</v>
      </c>
      <c r="H99" s="36"/>
      <c r="I99" s="36"/>
      <c r="J99" s="36">
        <f>G99</f>
        <v>950000</v>
      </c>
      <c r="K99" s="36"/>
      <c r="L99" s="36"/>
      <c r="M99" s="36"/>
      <c r="N99" s="36">
        <f>N105*N103</f>
        <v>500000</v>
      </c>
      <c r="O99" s="36"/>
      <c r="P99" s="36">
        <f>N99+O99</f>
        <v>500000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</row>
    <row r="100" spans="1:16" ht="11.25">
      <c r="A100" s="5" t="s">
        <v>4</v>
      </c>
      <c r="B100" s="6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27" customHeight="1">
      <c r="A101" s="8" t="s">
        <v>157</v>
      </c>
      <c r="B101" s="6"/>
      <c r="C101" s="6"/>
      <c r="D101" s="7">
        <v>400000</v>
      </c>
      <c r="E101" s="7"/>
      <c r="F101" s="7">
        <f>D101</f>
        <v>400000</v>
      </c>
      <c r="G101" s="7">
        <f>400000+550000</f>
        <v>950000</v>
      </c>
      <c r="H101" s="7"/>
      <c r="I101" s="7"/>
      <c r="J101" s="7">
        <f>G101</f>
        <v>950000</v>
      </c>
      <c r="K101" s="7"/>
      <c r="L101" s="7"/>
      <c r="M101" s="7"/>
      <c r="N101" s="7">
        <v>500000</v>
      </c>
      <c r="O101" s="7"/>
      <c r="P101" s="7">
        <f>N101+O101</f>
        <v>500000</v>
      </c>
    </row>
    <row r="102" spans="1:16" ht="11.25">
      <c r="A102" s="5" t="s">
        <v>5</v>
      </c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25.5" customHeight="1">
      <c r="A103" s="8" t="s">
        <v>158</v>
      </c>
      <c r="B103" s="6"/>
      <c r="C103" s="6"/>
      <c r="D103" s="7">
        <v>2</v>
      </c>
      <c r="E103" s="7"/>
      <c r="F103" s="7">
        <f>D103</f>
        <v>2</v>
      </c>
      <c r="G103" s="7">
        <v>3</v>
      </c>
      <c r="H103" s="7"/>
      <c r="I103" s="7"/>
      <c r="J103" s="7">
        <f>G103</f>
        <v>3</v>
      </c>
      <c r="K103" s="7"/>
      <c r="L103" s="7"/>
      <c r="M103" s="7"/>
      <c r="N103" s="7">
        <v>2</v>
      </c>
      <c r="O103" s="7"/>
      <c r="P103" s="7">
        <f>N103+O103</f>
        <v>2</v>
      </c>
    </row>
    <row r="104" spans="1:16" ht="11.25">
      <c r="A104" s="5" t="s">
        <v>7</v>
      </c>
      <c r="B104" s="6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23.25" customHeight="1">
      <c r="A105" s="8" t="s">
        <v>159</v>
      </c>
      <c r="B105" s="6"/>
      <c r="C105" s="6"/>
      <c r="D105" s="7">
        <f>D101/D103</f>
        <v>200000</v>
      </c>
      <c r="E105" s="7"/>
      <c r="F105" s="7">
        <f>D105</f>
        <v>200000</v>
      </c>
      <c r="G105" s="7">
        <f>G101/G103</f>
        <v>316666.6666666667</v>
      </c>
      <c r="H105" s="7"/>
      <c r="I105" s="7"/>
      <c r="J105" s="7">
        <f>G105</f>
        <v>316666.6666666667</v>
      </c>
      <c r="K105" s="7"/>
      <c r="L105" s="7"/>
      <c r="M105" s="7"/>
      <c r="N105" s="7">
        <f>N101/N103</f>
        <v>250000</v>
      </c>
      <c r="O105" s="7"/>
      <c r="P105" s="7">
        <f>N105+O105</f>
        <v>250000</v>
      </c>
    </row>
    <row r="106" spans="1:235" s="39" customFormat="1" ht="31.5" customHeight="1">
      <c r="A106" s="34" t="s">
        <v>371</v>
      </c>
      <c r="B106" s="35"/>
      <c r="C106" s="35"/>
      <c r="D106" s="36"/>
      <c r="E106" s="36">
        <f>E110*E112</f>
        <v>0</v>
      </c>
      <c r="F106" s="36">
        <f>E106</f>
        <v>0</v>
      </c>
      <c r="G106" s="36"/>
      <c r="H106" s="36">
        <f>H110*H112</f>
        <v>70480</v>
      </c>
      <c r="I106" s="36"/>
      <c r="J106" s="36">
        <f>H106</f>
        <v>70480</v>
      </c>
      <c r="K106" s="36"/>
      <c r="L106" s="36"/>
      <c r="M106" s="36"/>
      <c r="N106" s="36"/>
      <c r="O106" s="36">
        <f>O110*O112</f>
        <v>0</v>
      </c>
      <c r="P106" s="36">
        <f>O106</f>
        <v>0</v>
      </c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</row>
    <row r="107" spans="1:16" ht="11.25">
      <c r="A107" s="5" t="s">
        <v>4</v>
      </c>
      <c r="B107" s="6"/>
      <c r="C107" s="6"/>
      <c r="D107" s="7"/>
      <c r="E107" s="7"/>
      <c r="F107" s="7"/>
      <c r="G107" s="7"/>
      <c r="H107" s="7"/>
      <c r="I107" s="7"/>
      <c r="J107" s="36"/>
      <c r="K107" s="7"/>
      <c r="L107" s="7"/>
      <c r="M107" s="7"/>
      <c r="N107" s="7"/>
      <c r="O107" s="7"/>
      <c r="P107" s="7"/>
    </row>
    <row r="108" spans="1:16" ht="20.25" customHeight="1">
      <c r="A108" s="8" t="s">
        <v>319</v>
      </c>
      <c r="B108" s="6"/>
      <c r="C108" s="6"/>
      <c r="D108" s="7"/>
      <c r="E108" s="7">
        <f>73400-73400</f>
        <v>0</v>
      </c>
      <c r="F108" s="36">
        <f>E108</f>
        <v>0</v>
      </c>
      <c r="G108" s="7"/>
      <c r="H108" s="7">
        <f>0+70480</f>
        <v>70480</v>
      </c>
      <c r="I108" s="7"/>
      <c r="J108" s="36">
        <f>H108</f>
        <v>70480</v>
      </c>
      <c r="K108" s="7"/>
      <c r="L108" s="7"/>
      <c r="M108" s="7"/>
      <c r="N108" s="7"/>
      <c r="O108" s="7">
        <v>0</v>
      </c>
      <c r="P108" s="36">
        <f>O108</f>
        <v>0</v>
      </c>
    </row>
    <row r="109" spans="1:16" ht="11.25">
      <c r="A109" s="5" t="s">
        <v>5</v>
      </c>
      <c r="B109" s="6"/>
      <c r="C109" s="6"/>
      <c r="D109" s="7"/>
      <c r="E109" s="7"/>
      <c r="F109" s="36"/>
      <c r="G109" s="7"/>
      <c r="H109" s="7"/>
      <c r="I109" s="7"/>
      <c r="J109" s="36"/>
      <c r="K109" s="7"/>
      <c r="L109" s="7"/>
      <c r="M109" s="7"/>
      <c r="N109" s="7"/>
      <c r="O109" s="7"/>
      <c r="P109" s="36"/>
    </row>
    <row r="110" spans="1:16" ht="21" customHeight="1">
      <c r="A110" s="8" t="s">
        <v>320</v>
      </c>
      <c r="B110" s="6"/>
      <c r="C110" s="6"/>
      <c r="D110" s="7"/>
      <c r="E110" s="7">
        <f>1-1</f>
        <v>0</v>
      </c>
      <c r="F110" s="36">
        <f>E110</f>
        <v>0</v>
      </c>
      <c r="G110" s="7"/>
      <c r="H110" s="7">
        <f>0+1</f>
        <v>1</v>
      </c>
      <c r="I110" s="7"/>
      <c r="J110" s="36">
        <f>H110</f>
        <v>1</v>
      </c>
      <c r="K110" s="7"/>
      <c r="L110" s="7"/>
      <c r="M110" s="7"/>
      <c r="N110" s="7"/>
      <c r="O110" s="7">
        <v>0</v>
      </c>
      <c r="P110" s="36">
        <f>O110</f>
        <v>0</v>
      </c>
    </row>
    <row r="111" spans="1:16" ht="11.25">
      <c r="A111" s="5" t="s">
        <v>7</v>
      </c>
      <c r="B111" s="6"/>
      <c r="C111" s="6"/>
      <c r="D111" s="7"/>
      <c r="E111" s="7"/>
      <c r="F111" s="36"/>
      <c r="G111" s="7"/>
      <c r="H111" s="7"/>
      <c r="I111" s="7"/>
      <c r="J111" s="36"/>
      <c r="K111" s="7"/>
      <c r="L111" s="7"/>
      <c r="M111" s="7"/>
      <c r="N111" s="7"/>
      <c r="O111" s="7"/>
      <c r="P111" s="36"/>
    </row>
    <row r="112" spans="1:16" ht="27" customHeight="1">
      <c r="A112" s="8" t="s">
        <v>321</v>
      </c>
      <c r="B112" s="6"/>
      <c r="C112" s="6"/>
      <c r="D112" s="7"/>
      <c r="E112" s="7">
        <f>73400-73400</f>
        <v>0</v>
      </c>
      <c r="F112" s="36">
        <f>E112</f>
        <v>0</v>
      </c>
      <c r="G112" s="7"/>
      <c r="H112" s="7">
        <f>0+70480</f>
        <v>70480</v>
      </c>
      <c r="I112" s="7"/>
      <c r="J112" s="36">
        <f>H112</f>
        <v>70480</v>
      </c>
      <c r="K112" s="36">
        <f aca="true" t="shared" si="10" ref="K112:P112">I112</f>
        <v>0</v>
      </c>
      <c r="L112" s="36">
        <f t="shared" si="10"/>
        <v>70480</v>
      </c>
      <c r="M112" s="36">
        <f t="shared" si="10"/>
        <v>0</v>
      </c>
      <c r="N112" s="36"/>
      <c r="O112" s="36">
        <f>M112</f>
        <v>0</v>
      </c>
      <c r="P112" s="36">
        <f t="shared" si="10"/>
        <v>0</v>
      </c>
    </row>
    <row r="113" spans="1:235" s="39" customFormat="1" ht="48" customHeight="1">
      <c r="A113" s="34" t="s">
        <v>372</v>
      </c>
      <c r="B113" s="35"/>
      <c r="C113" s="35"/>
      <c r="D113" s="36">
        <f>(D121*D129)+(D122*D130)+(D123*D131)+(D124*D132)+(D125*D133)+(D134*D122*D135)-10</f>
        <v>8110000</v>
      </c>
      <c r="E113" s="36">
        <f aca="true" t="shared" si="11" ref="E113:M113">(E121*E129)+(E122*E130)+(E123*E131)+(E124*E132)+(E125*E133)+(E134*E122*E135)</f>
        <v>0</v>
      </c>
      <c r="F113" s="36">
        <f>D113+E113</f>
        <v>8110000</v>
      </c>
      <c r="G113" s="36">
        <f>(G121*G129)+(G122*G130)+(G123*G131)+(G124*G132)+(G125*G133)+(G134*G122*G135)+G126-0.22</f>
        <v>9041700.003999999</v>
      </c>
      <c r="H113" s="36">
        <f t="shared" si="11"/>
        <v>0</v>
      </c>
      <c r="I113" s="36"/>
      <c r="J113" s="36">
        <f>G113+H113</f>
        <v>9041700.003999999</v>
      </c>
      <c r="K113" s="36">
        <f t="shared" si="11"/>
        <v>0</v>
      </c>
      <c r="L113" s="36">
        <f t="shared" si="11"/>
        <v>0</v>
      </c>
      <c r="M113" s="36">
        <f t="shared" si="11"/>
        <v>0</v>
      </c>
      <c r="N113" s="36">
        <f>(N121*N129)+(N122*N130)+(N123*N131)+(N124*N132)+(N125*N133)+(N134*N122*N135)-15.8-14900</f>
        <v>9493400</v>
      </c>
      <c r="O113" s="36">
        <f>(O121*O129)+(O122*O130)+(O123*O131)+(O124*O132)+(O125*O133)+(O134*O122*O135)</f>
        <v>0</v>
      </c>
      <c r="P113" s="36">
        <f>N113+O113</f>
        <v>9493400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</row>
    <row r="114" spans="1:16" ht="11.25">
      <c r="A114" s="5" t="s">
        <v>4</v>
      </c>
      <c r="B114" s="37"/>
      <c r="C114" s="3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1.25">
      <c r="A115" s="8" t="s">
        <v>61</v>
      </c>
      <c r="B115" s="6"/>
      <c r="C115" s="6"/>
      <c r="D115" s="7">
        <v>60</v>
      </c>
      <c r="E115" s="7"/>
      <c r="F115" s="7">
        <f>D115</f>
        <v>60</v>
      </c>
      <c r="G115" s="7">
        <v>62</v>
      </c>
      <c r="H115" s="7"/>
      <c r="I115" s="7"/>
      <c r="J115" s="7">
        <f>G115</f>
        <v>62</v>
      </c>
      <c r="K115" s="7"/>
      <c r="L115" s="7"/>
      <c r="M115" s="7"/>
      <c r="N115" s="7">
        <v>67</v>
      </c>
      <c r="O115" s="7"/>
      <c r="P115" s="7">
        <f>N115</f>
        <v>67</v>
      </c>
    </row>
    <row r="116" spans="1:16" ht="11.25">
      <c r="A116" s="8" t="s">
        <v>8</v>
      </c>
      <c r="B116" s="6"/>
      <c r="C116" s="6"/>
      <c r="D116" s="7">
        <v>37000</v>
      </c>
      <c r="E116" s="7"/>
      <c r="F116" s="7">
        <f>D116</f>
        <v>37000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33.75">
      <c r="A117" s="8" t="s">
        <v>67</v>
      </c>
      <c r="B117" s="6"/>
      <c r="C117" s="6"/>
      <c r="D117" s="7">
        <v>37400</v>
      </c>
      <c r="E117" s="7"/>
      <c r="F117" s="7">
        <f>D117</f>
        <v>37400</v>
      </c>
      <c r="G117" s="7">
        <v>37400</v>
      </c>
      <c r="H117" s="7"/>
      <c r="I117" s="7"/>
      <c r="J117" s="7">
        <f>G117</f>
        <v>37400</v>
      </c>
      <c r="K117" s="7"/>
      <c r="L117" s="7"/>
      <c r="M117" s="7"/>
      <c r="N117" s="7">
        <v>37400</v>
      </c>
      <c r="O117" s="7"/>
      <c r="P117" s="7">
        <f>N117</f>
        <v>37400</v>
      </c>
    </row>
    <row r="118" spans="1:16" ht="22.5">
      <c r="A118" s="8" t="s">
        <v>44</v>
      </c>
      <c r="B118" s="6"/>
      <c r="C118" s="6"/>
      <c r="D118" s="7">
        <v>0</v>
      </c>
      <c r="E118" s="7"/>
      <c r="F118" s="7">
        <f>D118</f>
        <v>0</v>
      </c>
      <c r="G118" s="7">
        <v>0</v>
      </c>
      <c r="H118" s="7"/>
      <c r="I118" s="7"/>
      <c r="J118" s="7">
        <f>G118</f>
        <v>0</v>
      </c>
      <c r="K118" s="7"/>
      <c r="L118" s="7"/>
      <c r="M118" s="7"/>
      <c r="N118" s="7">
        <v>0</v>
      </c>
      <c r="O118" s="7"/>
      <c r="P118" s="7">
        <f>N118</f>
        <v>0</v>
      </c>
    </row>
    <row r="119" spans="1:241" s="25" customFormat="1" ht="12" customHeight="1">
      <c r="A119" s="5" t="s">
        <v>5</v>
      </c>
      <c r="B119" s="37"/>
      <c r="C119" s="3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IB119" s="53"/>
      <c r="IC119" s="53"/>
      <c r="ID119" s="53"/>
      <c r="IE119" s="53"/>
      <c r="IF119" s="53"/>
      <c r="IG119" s="53"/>
    </row>
    <row r="120" spans="1:241" s="25" customFormat="1" ht="22.5">
      <c r="A120" s="8" t="s">
        <v>14</v>
      </c>
      <c r="B120" s="6"/>
      <c r="C120" s="6"/>
      <c r="D120" s="7">
        <v>2</v>
      </c>
      <c r="E120" s="7"/>
      <c r="F120" s="7">
        <f>D120</f>
        <v>2</v>
      </c>
      <c r="G120" s="7">
        <v>2</v>
      </c>
      <c r="H120" s="7"/>
      <c r="I120" s="7"/>
      <c r="J120" s="7">
        <f>G120</f>
        <v>2</v>
      </c>
      <c r="K120" s="7"/>
      <c r="L120" s="7"/>
      <c r="M120" s="7"/>
      <c r="N120" s="7">
        <v>5</v>
      </c>
      <c r="O120" s="7"/>
      <c r="P120" s="7">
        <f>N120</f>
        <v>5</v>
      </c>
      <c r="IB120" s="53"/>
      <c r="IC120" s="53"/>
      <c r="ID120" s="53"/>
      <c r="IE120" s="53"/>
      <c r="IF120" s="53"/>
      <c r="IG120" s="53"/>
    </row>
    <row r="121" spans="1:241" s="25" customFormat="1" ht="27.75" customHeight="1">
      <c r="A121" s="8" t="s">
        <v>62</v>
      </c>
      <c r="B121" s="6"/>
      <c r="C121" s="37"/>
      <c r="D121" s="7"/>
      <c r="E121" s="7">
        <v>0</v>
      </c>
      <c r="F121" s="7">
        <f>E121</f>
        <v>0</v>
      </c>
      <c r="G121" s="7"/>
      <c r="H121" s="7">
        <v>0</v>
      </c>
      <c r="I121" s="7"/>
      <c r="J121" s="7">
        <v>0</v>
      </c>
      <c r="K121" s="7"/>
      <c r="L121" s="7"/>
      <c r="M121" s="7"/>
      <c r="N121" s="7"/>
      <c r="O121" s="7">
        <v>0</v>
      </c>
      <c r="P121" s="7">
        <f>O121</f>
        <v>0</v>
      </c>
      <c r="IB121" s="53"/>
      <c r="IC121" s="53"/>
      <c r="ID121" s="53"/>
      <c r="IE121" s="53"/>
      <c r="IF121" s="53"/>
      <c r="IG121" s="53"/>
    </row>
    <row r="122" spans="1:241" s="25" customFormat="1" ht="27" customHeight="1">
      <c r="A122" s="8" t="s">
        <v>63</v>
      </c>
      <c r="B122" s="6"/>
      <c r="C122" s="37"/>
      <c r="D122" s="7">
        <v>60</v>
      </c>
      <c r="E122" s="7"/>
      <c r="F122" s="7">
        <f>D122</f>
        <v>60</v>
      </c>
      <c r="G122" s="7">
        <v>62</v>
      </c>
      <c r="H122" s="7"/>
      <c r="I122" s="7"/>
      <c r="J122" s="7">
        <f>G122</f>
        <v>62</v>
      </c>
      <c r="K122" s="7"/>
      <c r="L122" s="7"/>
      <c r="M122" s="7"/>
      <c r="N122" s="7">
        <v>67</v>
      </c>
      <c r="O122" s="7"/>
      <c r="P122" s="7">
        <f>N122</f>
        <v>67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27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31</v>
      </c>
      <c r="B124" s="6"/>
      <c r="C124" s="37"/>
      <c r="D124" s="7">
        <v>300</v>
      </c>
      <c r="E124" s="7"/>
      <c r="F124" s="7">
        <f>D124</f>
        <v>300</v>
      </c>
      <c r="G124" s="7">
        <v>300</v>
      </c>
      <c r="H124" s="7"/>
      <c r="I124" s="7"/>
      <c r="J124" s="7">
        <f>G124</f>
        <v>300</v>
      </c>
      <c r="K124" s="7"/>
      <c r="L124" s="7"/>
      <c r="M124" s="7"/>
      <c r="N124" s="7">
        <v>300</v>
      </c>
      <c r="O124" s="7"/>
      <c r="P124" s="7">
        <f>N124</f>
        <v>300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13</v>
      </c>
      <c r="B125" s="6"/>
      <c r="C125" s="37"/>
      <c r="D125" s="7">
        <v>37400</v>
      </c>
      <c r="E125" s="7"/>
      <c r="F125" s="7">
        <f aca="true" t="shared" si="12" ref="F125:F141">D125</f>
        <v>37400</v>
      </c>
      <c r="G125" s="7">
        <v>37400</v>
      </c>
      <c r="H125" s="7"/>
      <c r="I125" s="7"/>
      <c r="J125" s="7">
        <f>G125</f>
        <v>37400</v>
      </c>
      <c r="K125" s="7"/>
      <c r="L125" s="7"/>
      <c r="M125" s="7"/>
      <c r="N125" s="7">
        <v>37400</v>
      </c>
      <c r="O125" s="7"/>
      <c r="P125" s="7">
        <f>N125</f>
        <v>37400</v>
      </c>
      <c r="IB125" s="53"/>
      <c r="IC125" s="53"/>
      <c r="ID125" s="53"/>
      <c r="IE125" s="53"/>
      <c r="IF125" s="53"/>
      <c r="IG125" s="53"/>
    </row>
    <row r="126" spans="1:241" s="25" customFormat="1" ht="22.5">
      <c r="A126" s="8" t="s">
        <v>401</v>
      </c>
      <c r="B126" s="6"/>
      <c r="C126" s="37"/>
      <c r="D126" s="7">
        <v>0</v>
      </c>
      <c r="E126" s="7">
        <v>0</v>
      </c>
      <c r="F126" s="7">
        <v>0</v>
      </c>
      <c r="G126" s="7">
        <v>105827</v>
      </c>
      <c r="H126" s="7"/>
      <c r="I126" s="7"/>
      <c r="J126" s="7">
        <f>G126</f>
        <v>105827</v>
      </c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11.25">
      <c r="A127" s="5" t="s">
        <v>7</v>
      </c>
      <c r="B127" s="37"/>
      <c r="C127" s="37"/>
      <c r="D127" s="7"/>
      <c r="E127" s="7"/>
      <c r="F127" s="7">
        <f t="shared" si="12"/>
        <v>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IB127" s="53"/>
      <c r="IC127" s="53"/>
      <c r="ID127" s="53"/>
      <c r="IE127" s="53"/>
      <c r="IF127" s="53"/>
      <c r="IG127" s="53"/>
    </row>
    <row r="128" spans="1:241" s="25" customFormat="1" ht="22.5" customHeight="1">
      <c r="A128" s="8" t="s">
        <v>16</v>
      </c>
      <c r="B128" s="6"/>
      <c r="C128" s="6"/>
      <c r="D128" s="7">
        <v>500000</v>
      </c>
      <c r="E128" s="7"/>
      <c r="F128" s="7">
        <f t="shared" si="12"/>
        <v>500000</v>
      </c>
      <c r="G128" s="7">
        <v>557400</v>
      </c>
      <c r="H128" s="7"/>
      <c r="I128" s="7"/>
      <c r="J128" s="7">
        <f>G128</f>
        <v>557400</v>
      </c>
      <c r="K128" s="7"/>
      <c r="L128" s="7"/>
      <c r="M128" s="7"/>
      <c r="N128" s="7">
        <v>586210</v>
      </c>
      <c r="O128" s="7"/>
      <c r="P128" s="7">
        <f>N128</f>
        <v>586210</v>
      </c>
      <c r="IB128" s="53"/>
      <c r="IC128" s="53"/>
      <c r="ID128" s="53"/>
      <c r="IE128" s="53"/>
      <c r="IF128" s="53"/>
      <c r="IG128" s="53"/>
    </row>
    <row r="129" spans="1:241" s="25" customFormat="1" ht="27" customHeight="1">
      <c r="A129" s="8" t="s">
        <v>64</v>
      </c>
      <c r="B129" s="6"/>
      <c r="C129" s="6"/>
      <c r="D129" s="7"/>
      <c r="E129" s="7"/>
      <c r="F129" s="7">
        <f t="shared" si="12"/>
        <v>0</v>
      </c>
      <c r="G129" s="7"/>
      <c r="H129" s="7"/>
      <c r="I129" s="7"/>
      <c r="J129" s="7">
        <f>G129</f>
        <v>0</v>
      </c>
      <c r="K129" s="7"/>
      <c r="L129" s="7"/>
      <c r="M129" s="7"/>
      <c r="N129" s="7"/>
      <c r="O129" s="7"/>
      <c r="P129" s="7">
        <f>N129</f>
        <v>0</v>
      </c>
      <c r="IB129" s="53"/>
      <c r="IC129" s="53"/>
      <c r="ID129" s="53"/>
      <c r="IE129" s="53"/>
      <c r="IF129" s="53"/>
      <c r="IG129" s="53"/>
    </row>
    <row r="130" spans="1:241" s="25" customFormat="1" ht="22.5">
      <c r="A130" s="8" t="s">
        <v>65</v>
      </c>
      <c r="B130" s="6"/>
      <c r="C130" s="6"/>
      <c r="D130" s="7">
        <v>18795</v>
      </c>
      <c r="E130" s="7"/>
      <c r="F130" s="7">
        <f t="shared" si="12"/>
        <v>18795</v>
      </c>
      <c r="G130" s="7">
        <v>24723</v>
      </c>
      <c r="H130" s="7"/>
      <c r="I130" s="7"/>
      <c r="J130" s="7">
        <f aca="true" t="shared" si="13" ref="J130:J135">G130</f>
        <v>24723</v>
      </c>
      <c r="K130" s="7"/>
      <c r="L130" s="7"/>
      <c r="M130" s="7"/>
      <c r="N130" s="7">
        <v>25586</v>
      </c>
      <c r="O130" s="7"/>
      <c r="P130" s="7">
        <f aca="true" t="shared" si="14" ref="P130:P135">N130</f>
        <v>25586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28</v>
      </c>
      <c r="B131" s="6"/>
      <c r="C131" s="6"/>
      <c r="D131" s="7">
        <v>1500</v>
      </c>
      <c r="E131" s="7"/>
      <c r="F131" s="7">
        <f>D131</f>
        <v>1500</v>
      </c>
      <c r="G131" s="7">
        <v>1672</v>
      </c>
      <c r="H131" s="7"/>
      <c r="I131" s="7"/>
      <c r="J131" s="7">
        <f t="shared" si="13"/>
        <v>1672</v>
      </c>
      <c r="K131" s="7"/>
      <c r="L131" s="7"/>
      <c r="M131" s="7"/>
      <c r="N131" s="7">
        <v>1759</v>
      </c>
      <c r="O131" s="7"/>
      <c r="P131" s="7">
        <f t="shared" si="14"/>
        <v>1759</v>
      </c>
      <c r="IB131" s="53"/>
      <c r="IC131" s="53"/>
      <c r="ID131" s="53"/>
      <c r="IE131" s="53"/>
      <c r="IF131" s="53"/>
      <c r="IG131" s="53"/>
    </row>
    <row r="132" spans="1:241" s="25" customFormat="1" ht="27" customHeight="1">
      <c r="A132" s="8" t="s">
        <v>19</v>
      </c>
      <c r="B132" s="6"/>
      <c r="C132" s="6"/>
      <c r="D132" s="7">
        <v>500</v>
      </c>
      <c r="E132" s="7"/>
      <c r="F132" s="7">
        <f t="shared" si="12"/>
        <v>500</v>
      </c>
      <c r="G132" s="7">
        <v>557</v>
      </c>
      <c r="H132" s="7"/>
      <c r="I132" s="7"/>
      <c r="J132" s="7">
        <f t="shared" si="13"/>
        <v>557</v>
      </c>
      <c r="K132" s="7"/>
      <c r="L132" s="7"/>
      <c r="M132" s="7"/>
      <c r="N132" s="7">
        <v>586</v>
      </c>
      <c r="O132" s="7"/>
      <c r="P132" s="7">
        <f t="shared" si="14"/>
        <v>586</v>
      </c>
      <c r="IB132" s="53"/>
      <c r="IC132" s="53"/>
      <c r="ID132" s="53"/>
      <c r="IE132" s="53"/>
      <c r="IF132" s="53"/>
      <c r="IG132" s="53"/>
    </row>
    <row r="133" spans="1:241" s="25" customFormat="1" ht="22.5">
      <c r="A133" s="8" t="s">
        <v>15</v>
      </c>
      <c r="B133" s="6"/>
      <c r="C133" s="6"/>
      <c r="D133" s="7">
        <v>170.65</v>
      </c>
      <c r="E133" s="7"/>
      <c r="F133" s="7">
        <f t="shared" si="12"/>
        <v>170.65</v>
      </c>
      <c r="G133" s="7">
        <v>180.06276</v>
      </c>
      <c r="H133" s="7"/>
      <c r="I133" s="7"/>
      <c r="J133" s="7">
        <f t="shared" si="13"/>
        <v>180.06276</v>
      </c>
      <c r="K133" s="7"/>
      <c r="L133" s="7"/>
      <c r="M133" s="7"/>
      <c r="N133" s="7">
        <v>189.587</v>
      </c>
      <c r="O133" s="7"/>
      <c r="P133" s="7">
        <f t="shared" si="14"/>
        <v>189.587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45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3"/>
        <v>0</v>
      </c>
      <c r="K134" s="7"/>
      <c r="L134" s="7"/>
      <c r="M134" s="7"/>
      <c r="N134" s="7"/>
      <c r="O134" s="7"/>
      <c r="P134" s="7">
        <f t="shared" si="14"/>
        <v>0</v>
      </c>
      <c r="S134" s="25">
        <f>21572/4</f>
        <v>5393</v>
      </c>
      <c r="IB134" s="53"/>
      <c r="IC134" s="53"/>
      <c r="ID134" s="53"/>
      <c r="IE134" s="53"/>
      <c r="IF134" s="53"/>
      <c r="IG134" s="53"/>
    </row>
    <row r="135" spans="1:241" s="25" customFormat="1" ht="22.5" hidden="1">
      <c r="A135" s="8" t="s">
        <v>46</v>
      </c>
      <c r="B135" s="6"/>
      <c r="C135" s="6"/>
      <c r="D135" s="7"/>
      <c r="E135" s="7"/>
      <c r="F135" s="7">
        <f>D135</f>
        <v>0</v>
      </c>
      <c r="G135" s="7"/>
      <c r="H135" s="7"/>
      <c r="I135" s="7"/>
      <c r="J135" s="7">
        <f t="shared" si="13"/>
        <v>0</v>
      </c>
      <c r="K135" s="7"/>
      <c r="L135" s="7"/>
      <c r="M135" s="7"/>
      <c r="N135" s="7"/>
      <c r="O135" s="7"/>
      <c r="P135" s="7">
        <f t="shared" si="14"/>
        <v>0</v>
      </c>
      <c r="IB135" s="53"/>
      <c r="IC135" s="53"/>
      <c r="ID135" s="53"/>
      <c r="IE135" s="53"/>
      <c r="IF135" s="53"/>
      <c r="IG135" s="53"/>
    </row>
    <row r="136" spans="1:241" s="25" customFormat="1" ht="11.25">
      <c r="A136" s="5" t="s">
        <v>6</v>
      </c>
      <c r="B136" s="37"/>
      <c r="C136" s="3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22.5" customHeight="1">
      <c r="A137" s="8" t="s">
        <v>30</v>
      </c>
      <c r="B137" s="6"/>
      <c r="C137" s="6"/>
      <c r="D137" s="7"/>
      <c r="E137" s="7"/>
      <c r="F137" s="7">
        <f t="shared" si="12"/>
        <v>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IB137" s="53"/>
      <c r="IC137" s="53"/>
      <c r="ID137" s="53"/>
      <c r="IE137" s="53"/>
      <c r="IF137" s="53"/>
      <c r="IG137" s="53"/>
    </row>
    <row r="138" spans="1:241" s="25" customFormat="1" ht="30.75" customHeight="1">
      <c r="A138" s="8" t="s">
        <v>66</v>
      </c>
      <c r="B138" s="6"/>
      <c r="C138" s="6"/>
      <c r="D138" s="7">
        <v>100</v>
      </c>
      <c r="E138" s="7"/>
      <c r="F138" s="7">
        <f t="shared" si="12"/>
        <v>100</v>
      </c>
      <c r="G138" s="7">
        <v>100</v>
      </c>
      <c r="H138" s="7"/>
      <c r="I138" s="7"/>
      <c r="J138" s="7">
        <v>100</v>
      </c>
      <c r="K138" s="7"/>
      <c r="L138" s="7"/>
      <c r="M138" s="7"/>
      <c r="N138" s="7">
        <v>100</v>
      </c>
      <c r="O138" s="7"/>
      <c r="P138" s="7">
        <v>100</v>
      </c>
      <c r="IB138" s="53"/>
      <c r="IC138" s="53"/>
      <c r="ID138" s="53"/>
      <c r="IE138" s="53"/>
      <c r="IF138" s="53"/>
      <c r="IG138" s="53"/>
    </row>
    <row r="139" spans="1:241" s="25" customFormat="1" ht="22.5" customHeight="1">
      <c r="A139" s="8" t="s">
        <v>32</v>
      </c>
      <c r="B139" s="6"/>
      <c r="C139" s="6"/>
      <c r="D139" s="7"/>
      <c r="E139" s="7"/>
      <c r="F139" s="7">
        <f t="shared" si="12"/>
        <v>0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IB139" s="53"/>
      <c r="IC139" s="53"/>
      <c r="ID139" s="53"/>
      <c r="IE139" s="53"/>
      <c r="IF139" s="53"/>
      <c r="IG139" s="53"/>
    </row>
    <row r="140" spans="1:241" s="25" customFormat="1" ht="23.25" customHeight="1">
      <c r="A140" s="8" t="s">
        <v>21</v>
      </c>
      <c r="B140" s="6"/>
      <c r="C140" s="6"/>
      <c r="D140" s="7">
        <v>100</v>
      </c>
      <c r="E140" s="7"/>
      <c r="F140" s="7">
        <f t="shared" si="12"/>
        <v>100</v>
      </c>
      <c r="G140" s="7">
        <v>100</v>
      </c>
      <c r="H140" s="7"/>
      <c r="I140" s="7"/>
      <c r="J140" s="7">
        <v>100</v>
      </c>
      <c r="K140" s="7"/>
      <c r="L140" s="7"/>
      <c r="M140" s="7"/>
      <c r="N140" s="7">
        <v>100</v>
      </c>
      <c r="O140" s="7"/>
      <c r="P140" s="7">
        <v>100</v>
      </c>
      <c r="IB140" s="53"/>
      <c r="IC140" s="53"/>
      <c r="ID140" s="53"/>
      <c r="IE140" s="53"/>
      <c r="IF140" s="53"/>
      <c r="IG140" s="53"/>
    </row>
    <row r="141" spans="1:241" s="25" customFormat="1" ht="30" customHeight="1">
      <c r="A141" s="8" t="s">
        <v>37</v>
      </c>
      <c r="B141" s="6"/>
      <c r="C141" s="6"/>
      <c r="D141" s="7">
        <v>100</v>
      </c>
      <c r="E141" s="7"/>
      <c r="F141" s="7">
        <f t="shared" si="12"/>
        <v>100</v>
      </c>
      <c r="G141" s="7">
        <f>G125/G117*100</f>
        <v>100</v>
      </c>
      <c r="H141" s="7"/>
      <c r="I141" s="7"/>
      <c r="J141" s="7">
        <f>J125/J117*100</f>
        <v>100</v>
      </c>
      <c r="K141" s="7"/>
      <c r="L141" s="7"/>
      <c r="M141" s="7"/>
      <c r="N141" s="7">
        <f>N125/N117*100</f>
        <v>100</v>
      </c>
      <c r="O141" s="7"/>
      <c r="P141" s="7">
        <f>P125/P117*100</f>
        <v>100</v>
      </c>
      <c r="IB141" s="53"/>
      <c r="IC141" s="53"/>
      <c r="ID141" s="53"/>
      <c r="IE141" s="53"/>
      <c r="IF141" s="53"/>
      <c r="IG141" s="53"/>
    </row>
    <row r="142" spans="1:241" s="38" customFormat="1" ht="25.5" customHeight="1">
      <c r="A142" s="34" t="s">
        <v>373</v>
      </c>
      <c r="B142" s="35"/>
      <c r="C142" s="35"/>
      <c r="D142" s="36">
        <f>(D153*D159)+(D154*D160)+(D156*D162)+(D155*D161)+(D157*D163)+0.01+750000+190000</f>
        <v>40940000.002</v>
      </c>
      <c r="E142" s="36">
        <f>(E153*E159)+(E154*E160)+(E156*E162)+(E155*E161)+(E157*E163)</f>
        <v>14999999.99976</v>
      </c>
      <c r="F142" s="36">
        <f>D142+E142</f>
        <v>55940000.00176</v>
      </c>
      <c r="G142" s="36">
        <f>(G153*G159)+(G154*G160)+(G156*G162)+(G155*G161)+(G157*G163)-0.24-1500-84000-96000</f>
        <v>38935366.67961999</v>
      </c>
      <c r="H142" s="36">
        <f>(H153*H159)+(H154*H160)+(H156*H162)+(H155*H161)+(H157*H163)+5006</f>
        <v>10845506</v>
      </c>
      <c r="I142" s="36"/>
      <c r="J142" s="36">
        <f>G142+H142</f>
        <v>49780872.67961999</v>
      </c>
      <c r="K142" s="36">
        <f>(K153*K159)+(K154*K160)+(K156*K162)+(K155*K161)+(K157*K163)+100</f>
        <v>100</v>
      </c>
      <c r="L142" s="36">
        <f>(L153*L159)+(L154*L160)+(L156*L162)+(L155*L161)+(L157*L163)+100</f>
        <v>100</v>
      </c>
      <c r="M142" s="36">
        <f>(M153*M159)+(M154*M160)+(M156*M162)+(M155*M161)+(M157*M163)+100</f>
        <v>100</v>
      </c>
      <c r="N142" s="36">
        <f>(N153*N159)+(N154*N160)+(N156*N162)+(N155*N161)+(N157*N163)-0.24-799.99</f>
        <v>50377333.332282394</v>
      </c>
      <c r="O142" s="36">
        <f>(O153*O159)+(O154*O160)+(O156*O162)+(O155*O161)+(O157*O163)</f>
        <v>24999999.9984</v>
      </c>
      <c r="P142" s="36">
        <f>N142+O142</f>
        <v>75377333.3306824</v>
      </c>
      <c r="IB142" s="39"/>
      <c r="IC142" s="39"/>
      <c r="ID142" s="39"/>
      <c r="IE142" s="39"/>
      <c r="IF142" s="39"/>
      <c r="IG142" s="39"/>
    </row>
    <row r="143" spans="1:241" s="25" customFormat="1" ht="0.75" customHeight="1">
      <c r="A143" s="40" t="s">
        <v>33</v>
      </c>
      <c r="B143" s="41"/>
      <c r="C143" s="41"/>
      <c r="D143" s="7" t="e">
        <f>#REF!*D159+D156*D161+D155*D162</f>
        <v>#REF!</v>
      </c>
      <c r="E143" s="7" t="e">
        <f>#REF!*E159+E156*E161+E155*E162</f>
        <v>#REF!</v>
      </c>
      <c r="F143" s="7" t="e">
        <f>#REF!*F159+F156*F161+F155*F162</f>
        <v>#REF!</v>
      </c>
      <c r="G143" s="7" t="e">
        <f>#REF!*G159+G156*G161+G155*G162</f>
        <v>#REF!</v>
      </c>
      <c r="H143" s="7"/>
      <c r="I143" s="7"/>
      <c r="J143" s="7" t="e">
        <f>#REF!*J159+J156*J161+J155*J162</f>
        <v>#REF!</v>
      </c>
      <c r="K143" s="7"/>
      <c r="L143" s="7"/>
      <c r="M143" s="7"/>
      <c r="N143" s="7" t="e">
        <f>#REF!*N159+N156*N161+N155*N162</f>
        <v>#REF!</v>
      </c>
      <c r="O143" s="7"/>
      <c r="P143" s="7" t="e">
        <f>#REF!*P159+P156*P161+P155*P162</f>
        <v>#REF!</v>
      </c>
      <c r="IB143" s="53"/>
      <c r="IC143" s="53"/>
      <c r="ID143" s="53"/>
      <c r="IE143" s="53"/>
      <c r="IF143" s="53"/>
      <c r="IG143" s="53"/>
    </row>
    <row r="144" spans="1:241" s="25" customFormat="1" ht="11.25">
      <c r="A144" s="5" t="s">
        <v>4</v>
      </c>
      <c r="B144" s="37"/>
      <c r="C144" s="37"/>
      <c r="D144" s="30"/>
      <c r="E144" s="30"/>
      <c r="F144" s="30"/>
      <c r="G144" s="30"/>
      <c r="H144" s="30"/>
      <c r="I144" s="30"/>
      <c r="J144" s="30"/>
      <c r="K144" s="7"/>
      <c r="L144" s="7"/>
      <c r="M144" s="7"/>
      <c r="N144" s="30"/>
      <c r="O144" s="30"/>
      <c r="P144" s="30"/>
      <c r="IB144" s="53"/>
      <c r="IC144" s="53"/>
      <c r="ID144" s="53"/>
      <c r="IE144" s="53"/>
      <c r="IF144" s="53"/>
      <c r="IG144" s="53"/>
    </row>
    <row r="145" spans="1:241" s="25" customFormat="1" ht="21" customHeight="1">
      <c r="A145" s="8" t="s">
        <v>68</v>
      </c>
      <c r="B145" s="6"/>
      <c r="C145" s="6"/>
      <c r="D145" s="7">
        <v>614.9</v>
      </c>
      <c r="E145" s="7"/>
      <c r="F145" s="7">
        <f>D145</f>
        <v>614.9</v>
      </c>
      <c r="G145" s="7">
        <f>D145</f>
        <v>614.9</v>
      </c>
      <c r="H145" s="7"/>
      <c r="I145" s="7"/>
      <c r="J145" s="7">
        <f>G145</f>
        <v>614.9</v>
      </c>
      <c r="K145" s="7"/>
      <c r="L145" s="7"/>
      <c r="M145" s="7"/>
      <c r="N145" s="7">
        <f>J145</f>
        <v>614.9</v>
      </c>
      <c r="O145" s="7"/>
      <c r="P145" s="7">
        <f>N145</f>
        <v>614.9</v>
      </c>
      <c r="IB145" s="53"/>
      <c r="IC145" s="53"/>
      <c r="ID145" s="53"/>
      <c r="IE145" s="53"/>
      <c r="IF145" s="53"/>
      <c r="IG145" s="53"/>
    </row>
    <row r="146" spans="1:241" s="25" customFormat="1" ht="27" customHeight="1">
      <c r="A146" s="8" t="s">
        <v>69</v>
      </c>
      <c r="B146" s="6"/>
      <c r="C146" s="6"/>
      <c r="D146" s="7"/>
      <c r="E146" s="7">
        <v>427.5</v>
      </c>
      <c r="F146" s="7">
        <f>E146</f>
        <v>427.5</v>
      </c>
      <c r="G146" s="7"/>
      <c r="H146" s="7">
        <v>427.5</v>
      </c>
      <c r="I146" s="7"/>
      <c r="J146" s="7">
        <f>H146</f>
        <v>427.5</v>
      </c>
      <c r="K146" s="7"/>
      <c r="L146" s="7"/>
      <c r="M146" s="7"/>
      <c r="N146" s="7"/>
      <c r="O146" s="7">
        <v>427.5</v>
      </c>
      <c r="P146" s="7">
        <f>O146</f>
        <v>427.5</v>
      </c>
      <c r="IB146" s="53"/>
      <c r="IC146" s="53"/>
      <c r="ID146" s="53"/>
      <c r="IE146" s="53"/>
      <c r="IF146" s="53"/>
      <c r="IG146" s="53"/>
    </row>
    <row r="147" spans="1:241" s="25" customFormat="1" ht="30.75" customHeight="1">
      <c r="A147" s="8" t="s">
        <v>70</v>
      </c>
      <c r="B147" s="6"/>
      <c r="C147" s="6"/>
      <c r="D147" s="7">
        <v>97.9</v>
      </c>
      <c r="E147" s="7"/>
      <c r="F147" s="7">
        <f>D147</f>
        <v>97.9</v>
      </c>
      <c r="G147" s="7">
        <v>97.9</v>
      </c>
      <c r="H147" s="7"/>
      <c r="I147" s="7"/>
      <c r="J147" s="7">
        <f>G147</f>
        <v>97.9</v>
      </c>
      <c r="K147" s="7"/>
      <c r="L147" s="7"/>
      <c r="M147" s="7"/>
      <c r="N147" s="7">
        <v>97.9</v>
      </c>
      <c r="O147" s="7"/>
      <c r="P147" s="7">
        <f>N147</f>
        <v>97.9</v>
      </c>
      <c r="IB147" s="53"/>
      <c r="IC147" s="53"/>
      <c r="ID147" s="53"/>
      <c r="IE147" s="53"/>
      <c r="IF147" s="53"/>
      <c r="IG147" s="53"/>
    </row>
    <row r="148" spans="1:241" s="25" customFormat="1" ht="25.5" customHeight="1">
      <c r="A148" s="8" t="s">
        <v>71</v>
      </c>
      <c r="B148" s="6"/>
      <c r="C148" s="6"/>
      <c r="D148" s="7">
        <v>16263</v>
      </c>
      <c r="E148" s="7"/>
      <c r="F148" s="7">
        <f>D148</f>
        <v>16263</v>
      </c>
      <c r="G148" s="7">
        <v>16263</v>
      </c>
      <c r="H148" s="7"/>
      <c r="I148" s="7"/>
      <c r="J148" s="7">
        <f aca="true" t="shared" si="15" ref="J148:J164">G148</f>
        <v>16263</v>
      </c>
      <c r="K148" s="7"/>
      <c r="L148" s="7"/>
      <c r="M148" s="7"/>
      <c r="N148" s="7">
        <v>16263</v>
      </c>
      <c r="O148" s="7"/>
      <c r="P148" s="7">
        <f aca="true" t="shared" si="16" ref="P148:P164">N148</f>
        <v>16263</v>
      </c>
      <c r="IB148" s="53"/>
      <c r="IC148" s="53"/>
      <c r="ID148" s="53"/>
      <c r="IE148" s="53"/>
      <c r="IF148" s="53"/>
      <c r="IG148" s="53"/>
    </row>
    <row r="149" spans="1:241" s="25" customFormat="1" ht="22.5">
      <c r="A149" s="8" t="s">
        <v>72</v>
      </c>
      <c r="B149" s="6"/>
      <c r="C149" s="6"/>
      <c r="D149" s="7">
        <v>7400</v>
      </c>
      <c r="E149" s="7"/>
      <c r="F149" s="7">
        <f>D149</f>
        <v>7400</v>
      </c>
      <c r="G149" s="7">
        <f>F149</f>
        <v>7400</v>
      </c>
      <c r="H149" s="7"/>
      <c r="I149" s="7"/>
      <c r="J149" s="7">
        <f t="shared" si="15"/>
        <v>7400</v>
      </c>
      <c r="K149" s="7"/>
      <c r="L149" s="7"/>
      <c r="M149" s="7"/>
      <c r="N149" s="7">
        <f>G149</f>
        <v>7400</v>
      </c>
      <c r="O149" s="7"/>
      <c r="P149" s="7">
        <f t="shared" si="16"/>
        <v>7400</v>
      </c>
      <c r="IB149" s="53"/>
      <c r="IC149" s="53"/>
      <c r="ID149" s="53"/>
      <c r="IE149" s="53"/>
      <c r="IF149" s="53"/>
      <c r="IG149" s="53"/>
    </row>
    <row r="150" spans="1:241" s="25" customFormat="1" ht="29.25" customHeight="1">
      <c r="A150" s="8" t="s">
        <v>73</v>
      </c>
      <c r="B150" s="6"/>
      <c r="C150" s="6"/>
      <c r="D150" s="7">
        <v>8333333.33</v>
      </c>
      <c r="E150" s="7"/>
      <c r="F150" s="7">
        <f>D150</f>
        <v>8333333.33</v>
      </c>
      <c r="G150" s="7">
        <v>8333333.33</v>
      </c>
      <c r="H150" s="7"/>
      <c r="I150" s="7"/>
      <c r="J150" s="7">
        <f>G150</f>
        <v>8333333.33</v>
      </c>
      <c r="K150" s="7"/>
      <c r="L150" s="7"/>
      <c r="M150" s="7"/>
      <c r="N150" s="7">
        <v>8333333.33</v>
      </c>
      <c r="O150" s="7"/>
      <c r="P150" s="7">
        <f>N150</f>
        <v>8333333.33</v>
      </c>
      <c r="IB150" s="53"/>
      <c r="IC150" s="53"/>
      <c r="ID150" s="53"/>
      <c r="IE150" s="53"/>
      <c r="IF150" s="53"/>
      <c r="IG150" s="53"/>
    </row>
    <row r="151" spans="1:241" s="25" customFormat="1" ht="11.25">
      <c r="A151" s="5" t="s">
        <v>5</v>
      </c>
      <c r="B151" s="37"/>
      <c r="C151" s="37"/>
      <c r="D151" s="30"/>
      <c r="E151" s="30"/>
      <c r="F151" s="7"/>
      <c r="G151" s="30"/>
      <c r="H151" s="30"/>
      <c r="I151" s="30"/>
      <c r="J151" s="7">
        <f t="shared" si="15"/>
        <v>0</v>
      </c>
      <c r="K151" s="7"/>
      <c r="L151" s="7"/>
      <c r="M151" s="7"/>
      <c r="N151" s="30"/>
      <c r="O151" s="30"/>
      <c r="P151" s="7">
        <f t="shared" si="16"/>
        <v>0</v>
      </c>
      <c r="IB151" s="53"/>
      <c r="IC151" s="53"/>
      <c r="ID151" s="53"/>
      <c r="IE151" s="53"/>
      <c r="IF151" s="53"/>
      <c r="IG151" s="53"/>
    </row>
    <row r="152" spans="1:241" s="25" customFormat="1" ht="22.5" customHeight="1">
      <c r="A152" s="8" t="s">
        <v>24</v>
      </c>
      <c r="B152" s="6"/>
      <c r="C152" s="6"/>
      <c r="D152" s="7"/>
      <c r="E152" s="7"/>
      <c r="F152" s="7"/>
      <c r="G152" s="7"/>
      <c r="H152" s="7"/>
      <c r="I152" s="7"/>
      <c r="J152" s="7">
        <f t="shared" si="15"/>
        <v>0</v>
      </c>
      <c r="K152" s="7"/>
      <c r="L152" s="7"/>
      <c r="M152" s="7"/>
      <c r="N152" s="7"/>
      <c r="O152" s="7"/>
      <c r="P152" s="7">
        <f t="shared" si="16"/>
        <v>0</v>
      </c>
      <c r="IB152" s="53"/>
      <c r="IC152" s="53"/>
      <c r="ID152" s="53"/>
      <c r="IE152" s="53"/>
      <c r="IF152" s="53"/>
      <c r="IG152" s="53"/>
    </row>
    <row r="153" spans="1:241" s="25" customFormat="1" ht="29.25" customHeight="1">
      <c r="A153" s="8" t="s">
        <v>74</v>
      </c>
      <c r="B153" s="6"/>
      <c r="C153" s="6"/>
      <c r="D153" s="7">
        <v>20</v>
      </c>
      <c r="E153" s="7"/>
      <c r="F153" s="7">
        <f>D153</f>
        <v>20</v>
      </c>
      <c r="G153" s="7">
        <v>22.5</v>
      </c>
      <c r="H153" s="7"/>
      <c r="I153" s="7"/>
      <c r="J153" s="7">
        <f>G153</f>
        <v>22.5</v>
      </c>
      <c r="K153" s="7"/>
      <c r="L153" s="7"/>
      <c r="M153" s="7"/>
      <c r="N153" s="7">
        <v>24</v>
      </c>
      <c r="O153" s="7"/>
      <c r="P153" s="7">
        <f>N153</f>
        <v>24</v>
      </c>
      <c r="IB153" s="53"/>
      <c r="IC153" s="53"/>
      <c r="ID153" s="53"/>
      <c r="IE153" s="53"/>
      <c r="IF153" s="53"/>
      <c r="IG153" s="53"/>
    </row>
    <row r="154" spans="1:241" s="25" customFormat="1" ht="30" customHeight="1">
      <c r="A154" s="8" t="s">
        <v>75</v>
      </c>
      <c r="B154" s="6"/>
      <c r="C154" s="6"/>
      <c r="D154" s="7"/>
      <c r="E154" s="7">
        <v>36</v>
      </c>
      <c r="F154" s="7">
        <f>E154</f>
        <v>36</v>
      </c>
      <c r="G154" s="7"/>
      <c r="H154" s="159">
        <v>21.681</v>
      </c>
      <c r="I154" s="7"/>
      <c r="J154" s="7">
        <f>H154</f>
        <v>21.681</v>
      </c>
      <c r="K154" s="7"/>
      <c r="L154" s="7"/>
      <c r="M154" s="7"/>
      <c r="N154" s="7"/>
      <c r="O154" s="7">
        <v>48</v>
      </c>
      <c r="P154" s="7">
        <f>O154</f>
        <v>48</v>
      </c>
      <c r="IB154" s="53"/>
      <c r="IC154" s="53"/>
      <c r="ID154" s="53"/>
      <c r="IE154" s="53"/>
      <c r="IF154" s="53"/>
      <c r="IG154" s="53"/>
    </row>
    <row r="155" spans="1:241" s="25" customFormat="1" ht="26.25" customHeight="1">
      <c r="A155" s="8" t="s">
        <v>109</v>
      </c>
      <c r="B155" s="6"/>
      <c r="C155" s="6"/>
      <c r="D155" s="7">
        <v>16263</v>
      </c>
      <c r="E155" s="7"/>
      <c r="F155" s="7">
        <f>D155</f>
        <v>16263</v>
      </c>
      <c r="G155" s="7">
        <v>16263</v>
      </c>
      <c r="H155" s="7"/>
      <c r="I155" s="7"/>
      <c r="J155" s="7">
        <f>G155</f>
        <v>16263</v>
      </c>
      <c r="K155" s="7"/>
      <c r="L155" s="7"/>
      <c r="M155" s="7"/>
      <c r="N155" s="7">
        <f>N148</f>
        <v>16263</v>
      </c>
      <c r="O155" s="7"/>
      <c r="P155" s="7">
        <f>N155</f>
        <v>16263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76</v>
      </c>
      <c r="B156" s="6"/>
      <c r="C156" s="6"/>
      <c r="D156" s="7">
        <v>1700</v>
      </c>
      <c r="E156" s="7"/>
      <c r="F156" s="7">
        <f aca="true" t="shared" si="17" ref="F156:F164">D156</f>
        <v>1700</v>
      </c>
      <c r="G156" s="7">
        <v>1667</v>
      </c>
      <c r="H156" s="7"/>
      <c r="I156" s="7"/>
      <c r="J156" s="7">
        <f t="shared" si="15"/>
        <v>1667</v>
      </c>
      <c r="K156" s="7"/>
      <c r="L156" s="7"/>
      <c r="M156" s="7"/>
      <c r="N156" s="7">
        <v>1800</v>
      </c>
      <c r="O156" s="7"/>
      <c r="P156" s="7">
        <f t="shared" si="16"/>
        <v>1800</v>
      </c>
      <c r="IB156" s="53"/>
      <c r="IC156" s="53"/>
      <c r="ID156" s="53"/>
      <c r="IE156" s="53"/>
      <c r="IF156" s="53"/>
      <c r="IG156" s="53"/>
    </row>
    <row r="157" spans="1:241" s="25" customFormat="1" ht="24.75" customHeight="1">
      <c r="A157" s="8" t="s">
        <v>77</v>
      </c>
      <c r="B157" s="6"/>
      <c r="C157" s="6"/>
      <c r="D157" s="7">
        <v>8333333.33</v>
      </c>
      <c r="E157" s="7"/>
      <c r="F157" s="7">
        <f>D157</f>
        <v>8333333.33</v>
      </c>
      <c r="G157" s="7">
        <v>8333333.33</v>
      </c>
      <c r="H157" s="7"/>
      <c r="I157" s="7"/>
      <c r="J157" s="7">
        <f>G157</f>
        <v>8333333.33</v>
      </c>
      <c r="K157" s="7"/>
      <c r="L157" s="7"/>
      <c r="M157" s="7"/>
      <c r="N157" s="7">
        <v>8333333.33</v>
      </c>
      <c r="O157" s="7"/>
      <c r="P157" s="7">
        <f>N157</f>
        <v>8333333.33</v>
      </c>
      <c r="IB157" s="53"/>
      <c r="IC157" s="53"/>
      <c r="ID157" s="53"/>
      <c r="IE157" s="53"/>
      <c r="IF157" s="53"/>
      <c r="IG157" s="53"/>
    </row>
    <row r="158" spans="1:241" s="25" customFormat="1" ht="11.25">
      <c r="A158" s="5" t="s">
        <v>7</v>
      </c>
      <c r="B158" s="37"/>
      <c r="C158" s="37"/>
      <c r="D158" s="30"/>
      <c r="E158" s="30"/>
      <c r="F158" s="7">
        <f t="shared" si="17"/>
        <v>0</v>
      </c>
      <c r="G158" s="30"/>
      <c r="H158" s="30"/>
      <c r="I158" s="30"/>
      <c r="J158" s="7">
        <f t="shared" si="15"/>
        <v>0</v>
      </c>
      <c r="K158" s="7"/>
      <c r="L158" s="7"/>
      <c r="M158" s="7"/>
      <c r="N158" s="30"/>
      <c r="O158" s="30"/>
      <c r="P158" s="7">
        <f t="shared" si="16"/>
        <v>0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78</v>
      </c>
      <c r="B159" s="6"/>
      <c r="C159" s="6"/>
      <c r="D159" s="7">
        <v>275977</v>
      </c>
      <c r="E159" s="7"/>
      <c r="F159" s="7">
        <f>D159</f>
        <v>275977</v>
      </c>
      <c r="G159" s="7">
        <v>311360.456</v>
      </c>
      <c r="H159" s="7"/>
      <c r="I159" s="7"/>
      <c r="J159" s="7">
        <f>G159</f>
        <v>311360.456</v>
      </c>
      <c r="K159" s="7"/>
      <c r="L159" s="7"/>
      <c r="M159" s="7"/>
      <c r="N159" s="7">
        <v>289345.01</v>
      </c>
      <c r="O159" s="7"/>
      <c r="P159" s="7">
        <f>N159</f>
        <v>289345.01</v>
      </c>
      <c r="IB159" s="53"/>
      <c r="IC159" s="53"/>
      <c r="ID159" s="53"/>
      <c r="IE159" s="53"/>
      <c r="IF159" s="53"/>
      <c r="IG159" s="53"/>
    </row>
    <row r="160" spans="1:241" s="25" customFormat="1" ht="33.75">
      <c r="A160" s="8" t="s">
        <v>79</v>
      </c>
      <c r="B160" s="6"/>
      <c r="C160" s="6"/>
      <c r="D160" s="7"/>
      <c r="E160" s="7">
        <v>416666.66666</v>
      </c>
      <c r="F160" s="7">
        <f>E160</f>
        <v>416666.66666</v>
      </c>
      <c r="G160" s="7"/>
      <c r="H160" s="7">
        <v>500000</v>
      </c>
      <c r="I160" s="7"/>
      <c r="J160" s="7">
        <f>H160</f>
        <v>500000</v>
      </c>
      <c r="K160" s="7"/>
      <c r="L160" s="7"/>
      <c r="M160" s="7"/>
      <c r="N160" s="7"/>
      <c r="O160" s="7">
        <v>520833.3333</v>
      </c>
      <c r="P160" s="7">
        <f>O160</f>
        <v>520833.3333</v>
      </c>
      <c r="IB160" s="53"/>
      <c r="IC160" s="53"/>
      <c r="ID160" s="53"/>
      <c r="IE160" s="53"/>
      <c r="IF160" s="53"/>
      <c r="IG160" s="53"/>
    </row>
    <row r="161" spans="1:241" s="25" customFormat="1" ht="23.25" customHeight="1">
      <c r="A161" s="8" t="s">
        <v>80</v>
      </c>
      <c r="B161" s="6"/>
      <c r="C161" s="6"/>
      <c r="D161" s="7">
        <v>420</v>
      </c>
      <c r="E161" s="7"/>
      <c r="F161" s="7">
        <v>420</v>
      </c>
      <c r="G161" s="7">
        <v>430</v>
      </c>
      <c r="H161" s="7"/>
      <c r="I161" s="7"/>
      <c r="J161" s="7">
        <f>G161</f>
        <v>430</v>
      </c>
      <c r="K161" s="7"/>
      <c r="L161" s="7"/>
      <c r="M161" s="7"/>
      <c r="N161" s="7">
        <v>440</v>
      </c>
      <c r="O161" s="7"/>
      <c r="P161" s="7">
        <f>N161</f>
        <v>440</v>
      </c>
      <c r="IB161" s="53"/>
      <c r="IC161" s="53"/>
      <c r="ID161" s="53"/>
      <c r="IE161" s="53"/>
      <c r="IF161" s="53"/>
      <c r="IG161" s="53"/>
    </row>
    <row r="162" spans="1:241" s="25" customFormat="1" ht="22.5">
      <c r="A162" s="8" t="s">
        <v>81</v>
      </c>
      <c r="B162" s="6"/>
      <c r="C162" s="6"/>
      <c r="D162" s="7">
        <v>4500</v>
      </c>
      <c r="E162" s="7"/>
      <c r="F162" s="7">
        <f t="shared" si="17"/>
        <v>4500</v>
      </c>
      <c r="G162" s="7">
        <v>4500</v>
      </c>
      <c r="H162" s="7"/>
      <c r="I162" s="7"/>
      <c r="J162" s="7">
        <f t="shared" si="15"/>
        <v>4500</v>
      </c>
      <c r="K162" s="7"/>
      <c r="L162" s="7"/>
      <c r="M162" s="7"/>
      <c r="N162" s="7">
        <v>4806</v>
      </c>
      <c r="O162" s="7"/>
      <c r="P162" s="7">
        <f t="shared" si="16"/>
        <v>4806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33.75">
      <c r="A163" s="8" t="s">
        <v>230</v>
      </c>
      <c r="B163" s="6"/>
      <c r="C163" s="6"/>
      <c r="D163" s="7">
        <v>2.4</v>
      </c>
      <c r="E163" s="7"/>
      <c r="F163" s="7">
        <f>D163</f>
        <v>2.4</v>
      </c>
      <c r="G163" s="7">
        <v>2.114</v>
      </c>
      <c r="H163" s="7"/>
      <c r="I163" s="7"/>
      <c r="J163" s="7">
        <f>G163</f>
        <v>2.114</v>
      </c>
      <c r="K163" s="7"/>
      <c r="L163" s="7"/>
      <c r="M163" s="7"/>
      <c r="N163" s="7">
        <v>3.31528</v>
      </c>
      <c r="O163" s="7"/>
      <c r="P163" s="7">
        <f>N163</f>
        <v>3.31528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11.25">
      <c r="A164" s="5" t="s">
        <v>6</v>
      </c>
      <c r="B164" s="37"/>
      <c r="C164" s="37"/>
      <c r="D164" s="30"/>
      <c r="E164" s="30"/>
      <c r="F164" s="7">
        <f t="shared" si="17"/>
        <v>0</v>
      </c>
      <c r="G164" s="30"/>
      <c r="H164" s="30"/>
      <c r="I164" s="30"/>
      <c r="J164" s="7">
        <f t="shared" si="15"/>
        <v>0</v>
      </c>
      <c r="K164" s="7"/>
      <c r="L164" s="7"/>
      <c r="M164" s="7"/>
      <c r="N164" s="30"/>
      <c r="O164" s="30"/>
      <c r="P164" s="7">
        <f t="shared" si="16"/>
        <v>0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3.75">
      <c r="A165" s="8" t="s">
        <v>83</v>
      </c>
      <c r="B165" s="6"/>
      <c r="C165" s="6"/>
      <c r="D165" s="7"/>
      <c r="E165" s="7">
        <f>E154/E146*100</f>
        <v>8.421052631578947</v>
      </c>
      <c r="F165" s="7">
        <f>E165</f>
        <v>8.421052631578947</v>
      </c>
      <c r="G165" s="7"/>
      <c r="H165" s="7">
        <f>H154/H146*100</f>
        <v>5.071578947368422</v>
      </c>
      <c r="I165" s="7"/>
      <c r="J165" s="7">
        <f>H165</f>
        <v>5.071578947368422</v>
      </c>
      <c r="K165" s="7"/>
      <c r="L165" s="7"/>
      <c r="M165" s="7"/>
      <c r="N165" s="7"/>
      <c r="O165" s="7">
        <f>O154/O146*100</f>
        <v>11.228070175438596</v>
      </c>
      <c r="P165" s="7">
        <f>O165</f>
        <v>11.228070175438596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36" customHeight="1">
      <c r="A166" s="8" t="s">
        <v>82</v>
      </c>
      <c r="B166" s="6"/>
      <c r="C166" s="6"/>
      <c r="D166" s="7">
        <f>D153/D147*100</f>
        <v>20.429009193054135</v>
      </c>
      <c r="E166" s="7"/>
      <c r="F166" s="7">
        <f>D166</f>
        <v>20.429009193054135</v>
      </c>
      <c r="G166" s="7">
        <f>G153/G147*100</f>
        <v>22.982635342185905</v>
      </c>
      <c r="H166" s="7"/>
      <c r="I166" s="7"/>
      <c r="J166" s="7">
        <f>G166</f>
        <v>22.982635342185905</v>
      </c>
      <c r="K166" s="7"/>
      <c r="L166" s="7"/>
      <c r="M166" s="7"/>
      <c r="N166" s="7">
        <f>N153/N147*100</f>
        <v>24.514811031664962</v>
      </c>
      <c r="O166" s="7"/>
      <c r="P166" s="7">
        <f>N166</f>
        <v>24.514811031664962</v>
      </c>
      <c r="R166" s="27"/>
      <c r="IB166" s="53"/>
      <c r="IC166" s="53"/>
      <c r="ID166" s="53"/>
      <c r="IE166" s="53"/>
      <c r="IF166" s="53"/>
      <c r="IG166" s="53"/>
    </row>
    <row r="167" spans="1:241" s="25" customFormat="1" ht="24" customHeight="1">
      <c r="A167" s="8" t="s">
        <v>84</v>
      </c>
      <c r="B167" s="6"/>
      <c r="C167" s="6"/>
      <c r="D167" s="7">
        <f>D156/D149*100</f>
        <v>22.972972972972975</v>
      </c>
      <c r="E167" s="7"/>
      <c r="F167" s="7">
        <f>D167</f>
        <v>22.972972972972975</v>
      </c>
      <c r="G167" s="7">
        <f>G156/G149*100</f>
        <v>22.527027027027028</v>
      </c>
      <c r="H167" s="7"/>
      <c r="I167" s="7"/>
      <c r="J167" s="7">
        <f>G167</f>
        <v>22.527027027027028</v>
      </c>
      <c r="K167" s="7"/>
      <c r="L167" s="7"/>
      <c r="M167" s="7"/>
      <c r="N167" s="7">
        <f>N156/N149*100</f>
        <v>24.324324324324326</v>
      </c>
      <c r="O167" s="7"/>
      <c r="P167" s="7">
        <f>N167</f>
        <v>24.324324324324326</v>
      </c>
      <c r="R167" s="27"/>
      <c r="IB167" s="53"/>
      <c r="IC167" s="53"/>
      <c r="ID167" s="53"/>
      <c r="IE167" s="53"/>
      <c r="IF167" s="53"/>
      <c r="IG167" s="53"/>
    </row>
    <row r="168" spans="1:241" s="38" customFormat="1" ht="31.5" customHeight="1">
      <c r="A168" s="34" t="s">
        <v>374</v>
      </c>
      <c r="B168" s="35"/>
      <c r="C168" s="35"/>
      <c r="D168" s="36">
        <f>SUM(D183)*D197+D184*D198+D185*D199+D187*D202+D188*D203+D189*D204+D190*D205+D191*D206+D192*D207+D193*D208+0.65+532023</f>
        <v>19686999.999978114</v>
      </c>
      <c r="E168" s="36">
        <f>SUM(E186)*E200+E194*E209+E195*E210+E215</f>
        <v>23278332.999995</v>
      </c>
      <c r="F168" s="36">
        <f>D168+E168</f>
        <v>42965332.99997312</v>
      </c>
      <c r="G168" s="36">
        <f>SUM(G183)*G197+G184*G198+G185*G199+G187*G202+G188*G203+G189*G204+G190*G205+G191*G206+G192*G207+G193*G208-0.02+552000+58000+350000</f>
        <v>20664000.004896514</v>
      </c>
      <c r="H168" s="36">
        <f>SUM(H186)*H200+H194*H209+H195*H210+H215+H180*H201+H181*H202+600000</f>
        <v>25360030.399995</v>
      </c>
      <c r="I168" s="36"/>
      <c r="J168" s="36">
        <f>G168+H168</f>
        <v>46024030.40489151</v>
      </c>
      <c r="K168" s="36" t="e">
        <f>(K183*K197)+(K184*K198)+(K185*K199)+(K188*K203)+(K189*K204)+(K205*K190)+(#REF!*#REF!)-1036.73</f>
        <v>#REF!</v>
      </c>
      <c r="L168" s="36" t="e">
        <f>(L183*L197)+(L184*L198)+(L185*L199)+(L188*L203)+(L189*L204)+(L205*L190)+(#REF!*#REF!)-1036.73</f>
        <v>#REF!</v>
      </c>
      <c r="M168" s="36" t="e">
        <f>(M183*M197)+(M184*M198)+(M185*M199)+(M188*M203)+(M189*M204)+(M205*M190)+(#REF!*#REF!)-1036.73</f>
        <v>#REF!</v>
      </c>
      <c r="N168" s="36">
        <f>SUM(N183)*N197+N184*N198+N185*N199+N187*N202+N188*N203+N189*N204+N190*N205+N191*N206+N192*N207+N193*N208+0.2+591794</f>
        <v>21544999.99979262</v>
      </c>
      <c r="O168" s="36">
        <f>SUM(O186)*O200+O194*O209+O195*O210</f>
        <v>23169999.999995</v>
      </c>
      <c r="P168" s="36">
        <f>N168+O168</f>
        <v>44714999.99978762</v>
      </c>
      <c r="R168" s="42"/>
      <c r="IB168" s="39"/>
      <c r="IC168" s="39"/>
      <c r="ID168" s="39"/>
      <c r="IE168" s="39"/>
      <c r="IF168" s="39"/>
      <c r="IG168" s="39"/>
    </row>
    <row r="169" spans="1:241" s="25" customFormat="1" ht="11.25">
      <c r="A169" s="5" t="s">
        <v>4</v>
      </c>
      <c r="B169" s="37"/>
      <c r="C169" s="37"/>
      <c r="D169" s="30"/>
      <c r="E169" s="30"/>
      <c r="F169" s="30"/>
      <c r="G169" s="30"/>
      <c r="H169" s="30"/>
      <c r="I169" s="30"/>
      <c r="J169" s="30"/>
      <c r="K169" s="7"/>
      <c r="L169" s="7"/>
      <c r="M169" s="7"/>
      <c r="N169" s="30"/>
      <c r="O169" s="30"/>
      <c r="P169" s="30"/>
      <c r="R169" s="27"/>
      <c r="IB169" s="53"/>
      <c r="IC169" s="53"/>
      <c r="ID169" s="53"/>
      <c r="IE169" s="53"/>
      <c r="IF169" s="53"/>
      <c r="IG169" s="53"/>
    </row>
    <row r="170" spans="1:241" s="25" customFormat="1" ht="34.5" customHeight="1">
      <c r="A170" s="8" t="s">
        <v>85</v>
      </c>
      <c r="B170" s="6"/>
      <c r="C170" s="6"/>
      <c r="D170" s="7">
        <v>135</v>
      </c>
      <c r="E170" s="7"/>
      <c r="F170" s="7">
        <f aca="true" t="shared" si="18" ref="F170:F177">D170</f>
        <v>135</v>
      </c>
      <c r="G170" s="7">
        <f>F170</f>
        <v>135</v>
      </c>
      <c r="H170" s="7"/>
      <c r="I170" s="7"/>
      <c r="J170" s="7">
        <f>G170</f>
        <v>135</v>
      </c>
      <c r="K170" s="7"/>
      <c r="L170" s="7"/>
      <c r="M170" s="7"/>
      <c r="N170" s="7">
        <f>G170</f>
        <v>135</v>
      </c>
      <c r="O170" s="7"/>
      <c r="P170" s="7">
        <f>N170</f>
        <v>135</v>
      </c>
      <c r="R170" s="27"/>
      <c r="IB170" s="53"/>
      <c r="IC170" s="53"/>
      <c r="ID170" s="53"/>
      <c r="IE170" s="53"/>
      <c r="IF170" s="53"/>
      <c r="IG170" s="53"/>
    </row>
    <row r="171" spans="1:241" s="25" customFormat="1" ht="22.5">
      <c r="A171" s="8" t="s">
        <v>86</v>
      </c>
      <c r="B171" s="6"/>
      <c r="C171" s="6"/>
      <c r="D171" s="7">
        <v>4850</v>
      </c>
      <c r="E171" s="7"/>
      <c r="F171" s="7">
        <f t="shared" si="18"/>
        <v>4850</v>
      </c>
      <c r="G171" s="7">
        <f>F171</f>
        <v>4850</v>
      </c>
      <c r="H171" s="7"/>
      <c r="I171" s="7"/>
      <c r="J171" s="7">
        <f>G171</f>
        <v>4850</v>
      </c>
      <c r="K171" s="7"/>
      <c r="L171" s="7"/>
      <c r="M171" s="7"/>
      <c r="N171" s="7">
        <v>4850</v>
      </c>
      <c r="O171" s="7"/>
      <c r="P171" s="7">
        <f>N171</f>
        <v>4850</v>
      </c>
      <c r="IB171" s="53"/>
      <c r="IC171" s="53"/>
      <c r="ID171" s="53"/>
      <c r="IE171" s="53"/>
      <c r="IF171" s="53"/>
      <c r="IG171" s="53"/>
    </row>
    <row r="172" spans="1:241" s="25" customFormat="1" ht="18.75" customHeight="1">
      <c r="A172" s="8" t="s">
        <v>87</v>
      </c>
      <c r="B172" s="6"/>
      <c r="C172" s="6"/>
      <c r="D172" s="7">
        <v>8210</v>
      </c>
      <c r="E172" s="7"/>
      <c r="F172" s="7">
        <f t="shared" si="18"/>
        <v>8210</v>
      </c>
      <c r="G172" s="7">
        <f>F172</f>
        <v>8210</v>
      </c>
      <c r="H172" s="7"/>
      <c r="I172" s="7"/>
      <c r="J172" s="7">
        <f>G172</f>
        <v>8210</v>
      </c>
      <c r="K172" s="7"/>
      <c r="L172" s="7"/>
      <c r="M172" s="7"/>
      <c r="N172" s="7">
        <v>8210</v>
      </c>
      <c r="O172" s="7"/>
      <c r="P172" s="7">
        <f>N172</f>
        <v>8210</v>
      </c>
      <c r="IB172" s="53"/>
      <c r="IC172" s="53"/>
      <c r="ID172" s="53"/>
      <c r="IE172" s="53"/>
      <c r="IF172" s="53"/>
      <c r="IG172" s="53"/>
    </row>
    <row r="173" spans="1:241" s="25" customFormat="1" ht="24.75" customHeight="1">
      <c r="A173" s="8" t="s">
        <v>231</v>
      </c>
      <c r="B173" s="6"/>
      <c r="C173" s="6"/>
      <c r="D173" s="7">
        <v>2000</v>
      </c>
      <c r="E173" s="7">
        <v>700</v>
      </c>
      <c r="F173" s="7">
        <f>E173</f>
        <v>700</v>
      </c>
      <c r="G173" s="7"/>
      <c r="H173" s="7">
        <f>E173</f>
        <v>700</v>
      </c>
      <c r="I173" s="7"/>
      <c r="J173" s="7">
        <f>H173</f>
        <v>700</v>
      </c>
      <c r="K173" s="7"/>
      <c r="L173" s="7"/>
      <c r="M173" s="7"/>
      <c r="N173" s="7"/>
      <c r="O173" s="7">
        <f>H173</f>
        <v>700</v>
      </c>
      <c r="P173" s="7">
        <f>O173</f>
        <v>700</v>
      </c>
      <c r="IB173" s="53"/>
      <c r="IC173" s="53"/>
      <c r="ID173" s="53"/>
      <c r="IE173" s="53"/>
      <c r="IF173" s="53"/>
      <c r="IG173" s="53"/>
    </row>
    <row r="174" spans="1:241" s="25" customFormat="1" ht="25.5" customHeight="1">
      <c r="A174" s="8" t="s">
        <v>102</v>
      </c>
      <c r="B174" s="6"/>
      <c r="C174" s="6"/>
      <c r="D174" s="7">
        <v>300</v>
      </c>
      <c r="E174" s="7"/>
      <c r="F174" s="7">
        <f t="shared" si="18"/>
        <v>300</v>
      </c>
      <c r="G174" s="7">
        <v>300</v>
      </c>
      <c r="H174" s="7"/>
      <c r="I174" s="7"/>
      <c r="J174" s="7">
        <f>G174</f>
        <v>300</v>
      </c>
      <c r="K174" s="7"/>
      <c r="L174" s="7"/>
      <c r="M174" s="7"/>
      <c r="N174" s="7">
        <v>300</v>
      </c>
      <c r="O174" s="7"/>
      <c r="P174" s="7">
        <f>N174</f>
        <v>300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88</v>
      </c>
      <c r="B175" s="6"/>
      <c r="C175" s="6"/>
      <c r="D175" s="7">
        <v>123.45</v>
      </c>
      <c r="E175" s="7"/>
      <c r="F175" s="7">
        <f t="shared" si="18"/>
        <v>123.45</v>
      </c>
      <c r="G175" s="7">
        <f>F175</f>
        <v>123.45</v>
      </c>
      <c r="H175" s="7"/>
      <c r="I175" s="7"/>
      <c r="J175" s="7">
        <f>G175</f>
        <v>123.45</v>
      </c>
      <c r="K175" s="7"/>
      <c r="L175" s="7"/>
      <c r="M175" s="7"/>
      <c r="N175" s="7">
        <f>J175</f>
        <v>123.45</v>
      </c>
      <c r="O175" s="7"/>
      <c r="P175" s="7">
        <f>N175</f>
        <v>123.45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146</v>
      </c>
      <c r="B176" s="6"/>
      <c r="C176" s="6"/>
      <c r="D176" s="7">
        <v>11.549</v>
      </c>
      <c r="E176" s="7"/>
      <c r="F176" s="7">
        <f t="shared" si="18"/>
        <v>11.549</v>
      </c>
      <c r="G176" s="7">
        <v>11.549</v>
      </c>
      <c r="H176" s="7"/>
      <c r="I176" s="7">
        <f>G176</f>
        <v>11.549</v>
      </c>
      <c r="J176" s="7">
        <f>G176</f>
        <v>11.549</v>
      </c>
      <c r="K176" s="7"/>
      <c r="L176" s="7"/>
      <c r="M176" s="7"/>
      <c r="N176" s="7">
        <v>11.55</v>
      </c>
      <c r="O176" s="7"/>
      <c r="P176" s="7">
        <f>N176</f>
        <v>11.55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208</v>
      </c>
      <c r="B177" s="6"/>
      <c r="C177" s="6"/>
      <c r="D177" s="7">
        <v>5</v>
      </c>
      <c r="E177" s="7"/>
      <c r="F177" s="7">
        <f t="shared" si="18"/>
        <v>5</v>
      </c>
      <c r="G177" s="7">
        <v>4</v>
      </c>
      <c r="H177" s="7"/>
      <c r="I177" s="7"/>
      <c r="J177" s="7">
        <f>G177</f>
        <v>4</v>
      </c>
      <c r="K177" s="7"/>
      <c r="L177" s="7"/>
      <c r="M177" s="7"/>
      <c r="N177" s="7">
        <v>3</v>
      </c>
      <c r="O177" s="7"/>
      <c r="P177" s="7">
        <f>N177</f>
        <v>3</v>
      </c>
      <c r="IB177" s="53"/>
      <c r="IC177" s="53"/>
      <c r="ID177" s="53"/>
      <c r="IE177" s="53"/>
      <c r="IF177" s="53"/>
      <c r="IG177" s="53"/>
    </row>
    <row r="178" spans="1:241" s="25" customFormat="1" ht="29.25" customHeight="1">
      <c r="A178" s="8" t="s">
        <v>209</v>
      </c>
      <c r="B178" s="6"/>
      <c r="C178" s="6"/>
      <c r="D178" s="7"/>
      <c r="E178" s="7">
        <v>3.5</v>
      </c>
      <c r="F178" s="7">
        <f>E178</f>
        <v>3.5</v>
      </c>
      <c r="G178" s="7"/>
      <c r="H178" s="7">
        <v>3.5</v>
      </c>
      <c r="I178" s="7"/>
      <c r="J178" s="7">
        <f>H178</f>
        <v>3.5</v>
      </c>
      <c r="K178" s="7"/>
      <c r="L178" s="7"/>
      <c r="M178" s="7"/>
      <c r="N178" s="7"/>
      <c r="O178" s="7">
        <v>3.5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32.25" customHeight="1">
      <c r="A179" s="8" t="s">
        <v>226</v>
      </c>
      <c r="B179" s="6"/>
      <c r="C179" s="6"/>
      <c r="D179" s="7"/>
      <c r="E179" s="7">
        <v>25</v>
      </c>
      <c r="F179" s="7">
        <f>E179</f>
        <v>25</v>
      </c>
      <c r="G179" s="7"/>
      <c r="H179" s="7">
        <v>15</v>
      </c>
      <c r="I179" s="7"/>
      <c r="J179" s="7">
        <f>H179</f>
        <v>15</v>
      </c>
      <c r="K179" s="7"/>
      <c r="L179" s="7"/>
      <c r="M179" s="7"/>
      <c r="N179" s="7"/>
      <c r="O179" s="7">
        <v>10</v>
      </c>
      <c r="P179" s="7"/>
      <c r="IB179" s="53"/>
      <c r="IC179" s="53"/>
      <c r="ID179" s="53"/>
      <c r="IE179" s="53"/>
      <c r="IF179" s="53"/>
      <c r="IG179" s="53"/>
    </row>
    <row r="180" spans="1:241" s="25" customFormat="1" ht="26.25" customHeight="1">
      <c r="A180" s="8" t="s">
        <v>387</v>
      </c>
      <c r="B180" s="6"/>
      <c r="C180" s="6"/>
      <c r="D180" s="7"/>
      <c r="E180" s="7"/>
      <c r="F180" s="7"/>
      <c r="G180" s="7"/>
      <c r="H180" s="7">
        <v>6112</v>
      </c>
      <c r="I180" s="7"/>
      <c r="J180" s="7">
        <f>H180</f>
        <v>6112</v>
      </c>
      <c r="K180" s="7"/>
      <c r="L180" s="7"/>
      <c r="M180" s="7"/>
      <c r="N180" s="7"/>
      <c r="O180" s="7"/>
      <c r="P180" s="7"/>
      <c r="IB180" s="53"/>
      <c r="IC180" s="53"/>
      <c r="ID180" s="53"/>
      <c r="IE180" s="53"/>
      <c r="IF180" s="53"/>
      <c r="IG180" s="53"/>
    </row>
    <row r="181" spans="1:241" s="25" customFormat="1" ht="26.25" customHeight="1">
      <c r="A181" s="8" t="s">
        <v>389</v>
      </c>
      <c r="B181" s="6"/>
      <c r="C181" s="6"/>
      <c r="D181" s="7"/>
      <c r="E181" s="7"/>
      <c r="F181" s="7"/>
      <c r="G181" s="7"/>
      <c r="H181" s="7">
        <v>320</v>
      </c>
      <c r="I181" s="7"/>
      <c r="J181" s="7">
        <f>H181</f>
        <v>320</v>
      </c>
      <c r="K181" s="7"/>
      <c r="L181" s="7"/>
      <c r="M181" s="7"/>
      <c r="N181" s="7"/>
      <c r="O181" s="7"/>
      <c r="P181" s="7"/>
      <c r="IB181" s="53"/>
      <c r="IC181" s="53"/>
      <c r="ID181" s="53"/>
      <c r="IE181" s="53"/>
      <c r="IF181" s="53"/>
      <c r="IG181" s="53"/>
    </row>
    <row r="182" spans="1:241" s="25" customFormat="1" ht="11.25">
      <c r="A182" s="5" t="s">
        <v>5</v>
      </c>
      <c r="B182" s="37"/>
      <c r="C182" s="37"/>
      <c r="D182" s="30"/>
      <c r="E182" s="30"/>
      <c r="F182" s="30"/>
      <c r="G182" s="30"/>
      <c r="H182" s="30"/>
      <c r="I182" s="30"/>
      <c r="J182" s="7"/>
      <c r="K182" s="7"/>
      <c r="L182" s="7"/>
      <c r="M182" s="7"/>
      <c r="N182" s="30"/>
      <c r="O182" s="30"/>
      <c r="P182" s="7"/>
      <c r="IB182" s="53"/>
      <c r="IC182" s="53"/>
      <c r="ID182" s="53"/>
      <c r="IE182" s="53"/>
      <c r="IF182" s="53"/>
      <c r="IG182" s="53"/>
    </row>
    <row r="183" spans="1:241" s="25" customFormat="1" ht="28.5" customHeight="1">
      <c r="A183" s="8" t="s">
        <v>89</v>
      </c>
      <c r="B183" s="6"/>
      <c r="C183" s="6"/>
      <c r="D183" s="7">
        <v>135</v>
      </c>
      <c r="E183" s="7"/>
      <c r="F183" s="7">
        <f>D183</f>
        <v>135</v>
      </c>
      <c r="G183" s="7">
        <f>F183</f>
        <v>135</v>
      </c>
      <c r="H183" s="7"/>
      <c r="I183" s="7"/>
      <c r="J183" s="7">
        <f aca="true" t="shared" si="19" ref="J183:J191">G183</f>
        <v>135</v>
      </c>
      <c r="K183" s="7"/>
      <c r="L183" s="7"/>
      <c r="M183" s="7"/>
      <c r="N183" s="7">
        <f>J183</f>
        <v>135</v>
      </c>
      <c r="O183" s="7"/>
      <c r="P183" s="7">
        <f aca="true" t="shared" si="20" ref="P183:P191">N183</f>
        <v>135</v>
      </c>
      <c r="IB183" s="53"/>
      <c r="IC183" s="53"/>
      <c r="ID183" s="53"/>
      <c r="IE183" s="53"/>
      <c r="IF183" s="53"/>
      <c r="IG183" s="53"/>
    </row>
    <row r="184" spans="1:241" s="25" customFormat="1" ht="22.5">
      <c r="A184" s="8" t="s">
        <v>90</v>
      </c>
      <c r="B184" s="6"/>
      <c r="C184" s="6"/>
      <c r="D184" s="7">
        <v>920</v>
      </c>
      <c r="E184" s="7"/>
      <c r="F184" s="7">
        <f aca="true" t="shared" si="21" ref="F184:F194">D184</f>
        <v>920</v>
      </c>
      <c r="G184" s="7">
        <v>920</v>
      </c>
      <c r="H184" s="7"/>
      <c r="I184" s="7"/>
      <c r="J184" s="7">
        <f t="shared" si="19"/>
        <v>920</v>
      </c>
      <c r="K184" s="7"/>
      <c r="L184" s="7"/>
      <c r="M184" s="7"/>
      <c r="N184" s="7">
        <v>920</v>
      </c>
      <c r="O184" s="7"/>
      <c r="P184" s="7">
        <f t="shared" si="20"/>
        <v>920</v>
      </c>
      <c r="IB184" s="53"/>
      <c r="IC184" s="53"/>
      <c r="ID184" s="53"/>
      <c r="IE184" s="53"/>
      <c r="IF184" s="53"/>
      <c r="IG184" s="53"/>
    </row>
    <row r="185" spans="1:241" s="25" customFormat="1" ht="26.25" customHeight="1">
      <c r="A185" s="8" t="s">
        <v>91</v>
      </c>
      <c r="B185" s="6"/>
      <c r="C185" s="6"/>
      <c r="D185" s="7">
        <v>800</v>
      </c>
      <c r="E185" s="7"/>
      <c r="F185" s="7">
        <f t="shared" si="21"/>
        <v>800</v>
      </c>
      <c r="G185" s="7">
        <v>800</v>
      </c>
      <c r="H185" s="7"/>
      <c r="I185" s="7"/>
      <c r="J185" s="7">
        <f t="shared" si="19"/>
        <v>800</v>
      </c>
      <c r="K185" s="7"/>
      <c r="L185" s="7"/>
      <c r="M185" s="7"/>
      <c r="N185" s="7">
        <v>800</v>
      </c>
      <c r="O185" s="7"/>
      <c r="P185" s="7">
        <f t="shared" si="20"/>
        <v>800</v>
      </c>
      <c r="IB185" s="53"/>
      <c r="IC185" s="53"/>
      <c r="ID185" s="53"/>
      <c r="IE185" s="53"/>
      <c r="IF185" s="53"/>
      <c r="IG185" s="53"/>
    </row>
    <row r="186" spans="1:241" s="25" customFormat="1" ht="33" customHeight="1">
      <c r="A186" s="8" t="s">
        <v>206</v>
      </c>
      <c r="B186" s="6"/>
      <c r="C186" s="6"/>
      <c r="D186" s="7"/>
      <c r="E186" s="7">
        <v>200</v>
      </c>
      <c r="F186" s="7">
        <f>E186</f>
        <v>200</v>
      </c>
      <c r="G186" s="7"/>
      <c r="H186" s="7">
        <v>200</v>
      </c>
      <c r="I186" s="7"/>
      <c r="J186" s="7">
        <f>H186</f>
        <v>200</v>
      </c>
      <c r="K186" s="7"/>
      <c r="L186" s="7"/>
      <c r="M186" s="7"/>
      <c r="N186" s="7"/>
      <c r="O186" s="7">
        <v>200</v>
      </c>
      <c r="P186" s="7">
        <f>O186</f>
        <v>200</v>
      </c>
      <c r="IB186" s="53"/>
      <c r="IC186" s="53"/>
      <c r="ID186" s="53"/>
      <c r="IE186" s="53"/>
      <c r="IF186" s="53"/>
      <c r="IG186" s="53"/>
    </row>
    <row r="187" spans="1:241" s="25" customFormat="1" ht="26.25" customHeight="1">
      <c r="A187" s="8" t="s">
        <v>334</v>
      </c>
      <c r="B187" s="6"/>
      <c r="C187" s="6"/>
      <c r="D187" s="7">
        <v>1000</v>
      </c>
      <c r="E187" s="7"/>
      <c r="F187" s="7">
        <f>D187</f>
        <v>1000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IB187" s="53"/>
      <c r="IC187" s="53"/>
      <c r="ID187" s="53"/>
      <c r="IE187" s="53"/>
      <c r="IF187" s="53"/>
      <c r="IG187" s="53"/>
    </row>
    <row r="188" spans="1:241" s="25" customFormat="1" ht="22.5">
      <c r="A188" s="8" t="s">
        <v>101</v>
      </c>
      <c r="B188" s="6"/>
      <c r="C188" s="6"/>
      <c r="D188" s="7">
        <v>300</v>
      </c>
      <c r="E188" s="7"/>
      <c r="F188" s="7">
        <f t="shared" si="21"/>
        <v>300</v>
      </c>
      <c r="G188" s="7">
        <v>300</v>
      </c>
      <c r="H188" s="7"/>
      <c r="I188" s="7"/>
      <c r="J188" s="7">
        <f t="shared" si="19"/>
        <v>300</v>
      </c>
      <c r="K188" s="7"/>
      <c r="L188" s="7"/>
      <c r="M188" s="7"/>
      <c r="N188" s="7">
        <v>300</v>
      </c>
      <c r="O188" s="7"/>
      <c r="P188" s="7">
        <f t="shared" si="20"/>
        <v>300</v>
      </c>
      <c r="IB188" s="53"/>
      <c r="IC188" s="53"/>
      <c r="ID188" s="53"/>
      <c r="IE188" s="53"/>
      <c r="IF188" s="53"/>
      <c r="IG188" s="53"/>
    </row>
    <row r="189" spans="1:241" s="25" customFormat="1" ht="22.5">
      <c r="A189" s="8" t="s">
        <v>92</v>
      </c>
      <c r="B189" s="6"/>
      <c r="C189" s="6"/>
      <c r="D189" s="7">
        <v>76.26</v>
      </c>
      <c r="E189" s="7"/>
      <c r="F189" s="7">
        <f t="shared" si="21"/>
        <v>76.26</v>
      </c>
      <c r="G189" s="7">
        <v>76.26</v>
      </c>
      <c r="H189" s="7"/>
      <c r="I189" s="7"/>
      <c r="J189" s="7">
        <f t="shared" si="19"/>
        <v>76.26</v>
      </c>
      <c r="K189" s="7"/>
      <c r="L189" s="7"/>
      <c r="M189" s="7"/>
      <c r="N189" s="7">
        <f>J189</f>
        <v>76.26</v>
      </c>
      <c r="O189" s="7"/>
      <c r="P189" s="7">
        <f t="shared" si="20"/>
        <v>76.26</v>
      </c>
      <c r="IB189" s="53"/>
      <c r="IC189" s="53"/>
      <c r="ID189" s="53"/>
      <c r="IE189" s="53"/>
      <c r="IF189" s="53"/>
      <c r="IG189" s="53"/>
    </row>
    <row r="190" spans="1:241" s="25" customFormat="1" ht="24" customHeight="1">
      <c r="A190" s="8" t="s">
        <v>224</v>
      </c>
      <c r="B190" s="6"/>
      <c r="C190" s="6"/>
      <c r="D190" s="7">
        <v>5</v>
      </c>
      <c r="E190" s="7"/>
      <c r="F190" s="7">
        <f t="shared" si="21"/>
        <v>5</v>
      </c>
      <c r="G190" s="7">
        <f>F190</f>
        <v>5</v>
      </c>
      <c r="H190" s="7"/>
      <c r="I190" s="7"/>
      <c r="J190" s="7">
        <f t="shared" si="19"/>
        <v>5</v>
      </c>
      <c r="K190" s="7"/>
      <c r="L190" s="7"/>
      <c r="M190" s="7"/>
      <c r="N190" s="7">
        <f>J190</f>
        <v>5</v>
      </c>
      <c r="O190" s="7"/>
      <c r="P190" s="7">
        <f t="shared" si="20"/>
        <v>5</v>
      </c>
      <c r="IB190" s="53"/>
      <c r="IC190" s="53"/>
      <c r="ID190" s="53"/>
      <c r="IE190" s="53"/>
      <c r="IF190" s="53"/>
      <c r="IG190" s="53"/>
    </row>
    <row r="191" spans="1:241" s="25" customFormat="1" ht="21.75" customHeight="1">
      <c r="A191" s="8" t="s">
        <v>135</v>
      </c>
      <c r="B191" s="6"/>
      <c r="C191" s="6"/>
      <c r="D191" s="7">
        <v>2</v>
      </c>
      <c r="E191" s="7"/>
      <c r="F191" s="7">
        <f t="shared" si="21"/>
        <v>2</v>
      </c>
      <c r="G191" s="7">
        <v>2</v>
      </c>
      <c r="H191" s="7"/>
      <c r="I191" s="7"/>
      <c r="J191" s="7">
        <f t="shared" si="19"/>
        <v>2</v>
      </c>
      <c r="K191" s="7"/>
      <c r="L191" s="7"/>
      <c r="M191" s="7"/>
      <c r="N191" s="7">
        <v>2</v>
      </c>
      <c r="O191" s="7"/>
      <c r="P191" s="7">
        <f t="shared" si="20"/>
        <v>2</v>
      </c>
      <c r="IB191" s="53"/>
      <c r="IC191" s="53"/>
      <c r="ID191" s="53"/>
      <c r="IE191" s="53"/>
      <c r="IF191" s="53"/>
      <c r="IG191" s="53"/>
    </row>
    <row r="192" spans="1:241" s="25" customFormat="1" ht="28.5" customHeight="1">
      <c r="A192" s="8" t="s">
        <v>147</v>
      </c>
      <c r="B192" s="6"/>
      <c r="C192" s="6"/>
      <c r="D192" s="7">
        <v>11.549</v>
      </c>
      <c r="E192" s="7"/>
      <c r="F192" s="7">
        <f t="shared" si="21"/>
        <v>11.549</v>
      </c>
      <c r="G192" s="7">
        <v>11.549</v>
      </c>
      <c r="H192" s="7"/>
      <c r="I192" s="7"/>
      <c r="J192" s="7">
        <v>11.55</v>
      </c>
      <c r="K192" s="7"/>
      <c r="L192" s="7"/>
      <c r="M192" s="7"/>
      <c r="N192" s="7">
        <v>11.549</v>
      </c>
      <c r="O192" s="7"/>
      <c r="P192" s="7">
        <v>11.55</v>
      </c>
      <c r="IB192" s="53"/>
      <c r="IC192" s="53"/>
      <c r="ID192" s="53"/>
      <c r="IE192" s="53"/>
      <c r="IF192" s="53"/>
      <c r="IG192" s="53"/>
    </row>
    <row r="193" spans="1:241" s="25" customFormat="1" ht="28.5" customHeight="1">
      <c r="A193" s="8" t="s">
        <v>210</v>
      </c>
      <c r="B193" s="6"/>
      <c r="C193" s="6"/>
      <c r="D193" s="7">
        <v>5</v>
      </c>
      <c r="E193" s="7"/>
      <c r="F193" s="7">
        <f t="shared" si="21"/>
        <v>5</v>
      </c>
      <c r="G193" s="7">
        <v>10</v>
      </c>
      <c r="H193" s="7"/>
      <c r="I193" s="7"/>
      <c r="J193" s="7">
        <f>G193</f>
        <v>10</v>
      </c>
      <c r="K193" s="7"/>
      <c r="L193" s="7"/>
      <c r="M193" s="7"/>
      <c r="N193" s="7">
        <v>15</v>
      </c>
      <c r="O193" s="7"/>
      <c r="P193" s="7">
        <f>N193</f>
        <v>15</v>
      </c>
      <c r="IB193" s="53"/>
      <c r="IC193" s="53"/>
      <c r="ID193" s="53"/>
      <c r="IE193" s="53"/>
      <c r="IF193" s="53"/>
      <c r="IG193" s="53"/>
    </row>
    <row r="194" spans="1:241" s="25" customFormat="1" ht="34.5" customHeight="1">
      <c r="A194" s="8" t="s">
        <v>211</v>
      </c>
      <c r="B194" s="6"/>
      <c r="C194" s="6"/>
      <c r="D194" s="7"/>
      <c r="E194" s="7">
        <v>3.5</v>
      </c>
      <c r="F194" s="7">
        <f t="shared" si="21"/>
        <v>0</v>
      </c>
      <c r="G194" s="7"/>
      <c r="H194" s="7">
        <v>3.5</v>
      </c>
      <c r="I194" s="7"/>
      <c r="J194" s="7">
        <f>G194</f>
        <v>0</v>
      </c>
      <c r="K194" s="7"/>
      <c r="L194" s="7"/>
      <c r="M194" s="7"/>
      <c r="N194" s="7"/>
      <c r="O194" s="7">
        <v>3.5</v>
      </c>
      <c r="P194" s="7">
        <f>N194</f>
        <v>0</v>
      </c>
      <c r="IB194" s="53"/>
      <c r="IC194" s="53"/>
      <c r="ID194" s="53"/>
      <c r="IE194" s="53"/>
      <c r="IF194" s="53"/>
      <c r="IG194" s="53"/>
    </row>
    <row r="195" spans="1:241" s="25" customFormat="1" ht="33" customHeight="1">
      <c r="A195" s="8" t="s">
        <v>227</v>
      </c>
      <c r="B195" s="6"/>
      <c r="C195" s="6"/>
      <c r="D195" s="7"/>
      <c r="E195" s="7">
        <v>10</v>
      </c>
      <c r="F195" s="7"/>
      <c r="G195" s="7"/>
      <c r="H195" s="7">
        <v>5</v>
      </c>
      <c r="I195" s="7"/>
      <c r="J195" s="7"/>
      <c r="K195" s="7"/>
      <c r="L195" s="7"/>
      <c r="M195" s="7"/>
      <c r="N195" s="7"/>
      <c r="O195" s="7">
        <v>10</v>
      </c>
      <c r="P195" s="7"/>
      <c r="IB195" s="53"/>
      <c r="IC195" s="53"/>
      <c r="ID195" s="53"/>
      <c r="IE195" s="53"/>
      <c r="IF195" s="53"/>
      <c r="IG195" s="53"/>
    </row>
    <row r="196" spans="1:241" s="25" customFormat="1" ht="11.25">
      <c r="A196" s="5" t="s">
        <v>7</v>
      </c>
      <c r="B196" s="37"/>
      <c r="C196" s="37"/>
      <c r="D196" s="30"/>
      <c r="E196" s="30"/>
      <c r="F196" s="7"/>
      <c r="G196" s="30"/>
      <c r="H196" s="30"/>
      <c r="I196" s="30"/>
      <c r="J196" s="7"/>
      <c r="K196" s="7"/>
      <c r="L196" s="7"/>
      <c r="M196" s="7"/>
      <c r="N196" s="30"/>
      <c r="O196" s="30"/>
      <c r="P196" s="7"/>
      <c r="IB196" s="53"/>
      <c r="IC196" s="53"/>
      <c r="ID196" s="53"/>
      <c r="IE196" s="53"/>
      <c r="IF196" s="53"/>
      <c r="IG196" s="53"/>
    </row>
    <row r="197" spans="1:241" s="25" customFormat="1" ht="33.75">
      <c r="A197" s="8" t="s">
        <v>93</v>
      </c>
      <c r="B197" s="37"/>
      <c r="C197" s="37"/>
      <c r="D197" s="7">
        <v>46611.41</v>
      </c>
      <c r="E197" s="30"/>
      <c r="F197" s="7">
        <f>D197</f>
        <v>46611.41</v>
      </c>
      <c r="G197" s="7">
        <v>48277.615</v>
      </c>
      <c r="H197" s="30"/>
      <c r="I197" s="30"/>
      <c r="J197" s="7">
        <f aca="true" t="shared" si="22" ref="J197:J206">G197</f>
        <v>48277.615</v>
      </c>
      <c r="K197" s="7"/>
      <c r="L197" s="7"/>
      <c r="M197" s="7"/>
      <c r="N197" s="7">
        <v>50079.48</v>
      </c>
      <c r="O197" s="30"/>
      <c r="P197" s="7">
        <f aca="true" t="shared" si="23" ref="P197:P208">N197</f>
        <v>50079.48</v>
      </c>
      <c r="IB197" s="53"/>
      <c r="IC197" s="53"/>
      <c r="ID197" s="53"/>
      <c r="IE197" s="53"/>
      <c r="IF197" s="53"/>
      <c r="IG197" s="53"/>
    </row>
    <row r="198" spans="1:241" s="25" customFormat="1" ht="22.5">
      <c r="A198" s="8" t="s">
        <v>94</v>
      </c>
      <c r="B198" s="6"/>
      <c r="C198" s="6"/>
      <c r="D198" s="7">
        <v>1850.5</v>
      </c>
      <c r="E198" s="7"/>
      <c r="F198" s="7">
        <f>D198</f>
        <v>1850.5</v>
      </c>
      <c r="G198" s="7">
        <v>1910.35</v>
      </c>
      <c r="H198" s="7"/>
      <c r="I198" s="7"/>
      <c r="J198" s="7">
        <f t="shared" si="22"/>
        <v>1910.35</v>
      </c>
      <c r="K198" s="7"/>
      <c r="L198" s="7"/>
      <c r="M198" s="7"/>
      <c r="N198" s="7">
        <v>1950.3</v>
      </c>
      <c r="O198" s="7"/>
      <c r="P198" s="7">
        <f t="shared" si="23"/>
        <v>1950.3</v>
      </c>
      <c r="IB198" s="53"/>
      <c r="IC198" s="53"/>
      <c r="ID198" s="53"/>
      <c r="IE198" s="53"/>
      <c r="IF198" s="53"/>
      <c r="IG198" s="53"/>
    </row>
    <row r="199" spans="1:241" s="25" customFormat="1" ht="22.5">
      <c r="A199" s="8" t="s">
        <v>95</v>
      </c>
      <c r="B199" s="6"/>
      <c r="C199" s="6"/>
      <c r="D199" s="7">
        <v>943.75</v>
      </c>
      <c r="E199" s="7"/>
      <c r="F199" s="7">
        <f aca="true" t="shared" si="24" ref="F199:F208">D199</f>
        <v>943.75</v>
      </c>
      <c r="G199" s="7">
        <v>975</v>
      </c>
      <c r="H199" s="7"/>
      <c r="I199" s="7"/>
      <c r="J199" s="7">
        <f t="shared" si="22"/>
        <v>975</v>
      </c>
      <c r="K199" s="7"/>
      <c r="L199" s="7"/>
      <c r="M199" s="7"/>
      <c r="N199" s="7">
        <v>1018.75</v>
      </c>
      <c r="O199" s="7"/>
      <c r="P199" s="7">
        <f t="shared" si="23"/>
        <v>1018.75</v>
      </c>
      <c r="IB199" s="53"/>
      <c r="IC199" s="53"/>
      <c r="ID199" s="53"/>
      <c r="IE199" s="53"/>
      <c r="IF199" s="53"/>
      <c r="IG199" s="53"/>
    </row>
    <row r="200" spans="1:241" s="25" customFormat="1" ht="27" customHeight="1">
      <c r="A200" s="8" t="s">
        <v>207</v>
      </c>
      <c r="B200" s="6"/>
      <c r="C200" s="6"/>
      <c r="D200" s="7"/>
      <c r="E200" s="7">
        <v>700</v>
      </c>
      <c r="F200" s="7">
        <f>E200</f>
        <v>700</v>
      </c>
      <c r="G200" s="7"/>
      <c r="H200" s="7">
        <v>800</v>
      </c>
      <c r="I200" s="7"/>
      <c r="J200" s="7">
        <f>H200</f>
        <v>800</v>
      </c>
      <c r="K200" s="7"/>
      <c r="L200" s="7"/>
      <c r="M200" s="7"/>
      <c r="N200" s="7"/>
      <c r="O200" s="7">
        <v>850</v>
      </c>
      <c r="P200" s="7">
        <f>O200</f>
        <v>850</v>
      </c>
      <c r="IB200" s="53"/>
      <c r="IC200" s="53"/>
      <c r="ID200" s="53"/>
      <c r="IE200" s="53"/>
      <c r="IF200" s="53"/>
      <c r="IG200" s="53"/>
    </row>
    <row r="201" spans="1:241" s="25" customFormat="1" ht="22.5" customHeight="1">
      <c r="A201" s="8" t="s">
        <v>388</v>
      </c>
      <c r="B201" s="6"/>
      <c r="C201" s="6"/>
      <c r="D201" s="7"/>
      <c r="E201" s="7"/>
      <c r="F201" s="7"/>
      <c r="G201" s="7"/>
      <c r="H201" s="7">
        <v>65.45</v>
      </c>
      <c r="I201" s="7"/>
      <c r="J201" s="7"/>
      <c r="K201" s="7"/>
      <c r="L201" s="7"/>
      <c r="M201" s="7"/>
      <c r="N201" s="7"/>
      <c r="O201" s="7"/>
      <c r="P201" s="7"/>
      <c r="IB201" s="53"/>
      <c r="IC201" s="53"/>
      <c r="ID201" s="53"/>
      <c r="IE201" s="53"/>
      <c r="IF201" s="53"/>
      <c r="IG201" s="53"/>
    </row>
    <row r="202" spans="1:241" s="25" customFormat="1" ht="27" customHeight="1">
      <c r="A202" s="8" t="s">
        <v>335</v>
      </c>
      <c r="B202" s="6"/>
      <c r="C202" s="6"/>
      <c r="D202" s="7">
        <v>500</v>
      </c>
      <c r="E202" s="7"/>
      <c r="F202" s="7"/>
      <c r="G202" s="7"/>
      <c r="H202" s="7">
        <v>1562.5</v>
      </c>
      <c r="I202" s="7"/>
      <c r="J202" s="7"/>
      <c r="K202" s="7"/>
      <c r="L202" s="7"/>
      <c r="M202" s="7"/>
      <c r="N202" s="7"/>
      <c r="O202" s="7"/>
      <c r="P202" s="7"/>
      <c r="IB202" s="53"/>
      <c r="IC202" s="53"/>
      <c r="ID202" s="53"/>
      <c r="IE202" s="53"/>
      <c r="IF202" s="53"/>
      <c r="IG202" s="53"/>
    </row>
    <row r="203" spans="1:241" s="25" customFormat="1" ht="22.5">
      <c r="A203" s="8" t="s">
        <v>96</v>
      </c>
      <c r="B203" s="6"/>
      <c r="C203" s="6"/>
      <c r="D203" s="7">
        <v>5866.6666666</v>
      </c>
      <c r="E203" s="7"/>
      <c r="F203" s="7">
        <f t="shared" si="24"/>
        <v>5866.6666666</v>
      </c>
      <c r="G203" s="7">
        <v>6433.333333</v>
      </c>
      <c r="H203" s="7"/>
      <c r="I203" s="7"/>
      <c r="J203" s="7">
        <f t="shared" si="22"/>
        <v>6433.333333</v>
      </c>
      <c r="K203" s="7"/>
      <c r="L203" s="7"/>
      <c r="M203" s="7"/>
      <c r="N203" s="7">
        <v>6966.666666</v>
      </c>
      <c r="O203" s="7"/>
      <c r="P203" s="7">
        <f t="shared" si="23"/>
        <v>6966.666666</v>
      </c>
      <c r="IB203" s="53"/>
      <c r="IC203" s="53"/>
      <c r="ID203" s="53"/>
      <c r="IE203" s="53"/>
      <c r="IF203" s="53"/>
      <c r="IG203" s="53"/>
    </row>
    <row r="204" spans="1:241" s="25" customFormat="1" ht="22.5">
      <c r="A204" s="8" t="s">
        <v>97</v>
      </c>
      <c r="B204" s="6"/>
      <c r="C204" s="6"/>
      <c r="D204" s="7">
        <v>89260.4248623</v>
      </c>
      <c r="E204" s="7"/>
      <c r="F204" s="7">
        <f t="shared" si="24"/>
        <v>89260.4248623</v>
      </c>
      <c r="G204" s="7">
        <v>93377.9176501</v>
      </c>
      <c r="H204" s="7"/>
      <c r="I204" s="7"/>
      <c r="J204" s="7">
        <f t="shared" si="22"/>
        <v>93377.9176501</v>
      </c>
      <c r="K204" s="7"/>
      <c r="L204" s="7"/>
      <c r="M204" s="7"/>
      <c r="N204" s="7">
        <v>98806.7138735</v>
      </c>
      <c r="O204" s="7"/>
      <c r="P204" s="7">
        <f t="shared" si="23"/>
        <v>98806.7138735</v>
      </c>
      <c r="IB204" s="53"/>
      <c r="IC204" s="53"/>
      <c r="ID204" s="53"/>
      <c r="IE204" s="53"/>
      <c r="IF204" s="53"/>
      <c r="IG204" s="53"/>
    </row>
    <row r="205" spans="1:241" s="25" customFormat="1" ht="29.25" customHeight="1">
      <c r="A205" s="8" t="s">
        <v>225</v>
      </c>
      <c r="B205" s="6"/>
      <c r="C205" s="6"/>
      <c r="D205" s="7">
        <v>38000</v>
      </c>
      <c r="E205" s="7"/>
      <c r="F205" s="7">
        <f t="shared" si="24"/>
        <v>38000</v>
      </c>
      <c r="G205" s="7">
        <v>38000</v>
      </c>
      <c r="H205" s="7"/>
      <c r="I205" s="7"/>
      <c r="J205" s="7">
        <f t="shared" si="22"/>
        <v>38000</v>
      </c>
      <c r="K205" s="7"/>
      <c r="L205" s="7"/>
      <c r="M205" s="7"/>
      <c r="N205" s="7">
        <v>38000</v>
      </c>
      <c r="O205" s="7"/>
      <c r="P205" s="7">
        <f t="shared" si="23"/>
        <v>38000</v>
      </c>
      <c r="IB205" s="53"/>
      <c r="IC205" s="53"/>
      <c r="ID205" s="53"/>
      <c r="IE205" s="53"/>
      <c r="IF205" s="53"/>
      <c r="IG205" s="53"/>
    </row>
    <row r="206" spans="1:241" s="25" customFormat="1" ht="27" customHeight="1">
      <c r="A206" s="8" t="s">
        <v>136</v>
      </c>
      <c r="B206" s="6"/>
      <c r="C206" s="6"/>
      <c r="D206" s="7">
        <v>3988</v>
      </c>
      <c r="E206" s="7"/>
      <c r="F206" s="7">
        <f t="shared" si="24"/>
        <v>3988</v>
      </c>
      <c r="G206" s="7">
        <v>4000</v>
      </c>
      <c r="H206" s="7"/>
      <c r="I206" s="7"/>
      <c r="J206" s="7">
        <f t="shared" si="22"/>
        <v>4000</v>
      </c>
      <c r="K206" s="7"/>
      <c r="L206" s="7"/>
      <c r="M206" s="7"/>
      <c r="N206" s="7">
        <v>4100</v>
      </c>
      <c r="O206" s="7"/>
      <c r="P206" s="7">
        <f t="shared" si="23"/>
        <v>4100</v>
      </c>
      <c r="IB206" s="53"/>
      <c r="IC206" s="53"/>
      <c r="ID206" s="53"/>
      <c r="IE206" s="53"/>
      <c r="IF206" s="53"/>
      <c r="IG206" s="53"/>
    </row>
    <row r="207" spans="1:241" s="25" customFormat="1" ht="33.75" customHeight="1">
      <c r="A207" s="8" t="s">
        <v>148</v>
      </c>
      <c r="B207" s="6"/>
      <c r="C207" s="6"/>
      <c r="D207" s="7">
        <v>12122.2616676</v>
      </c>
      <c r="E207" s="7"/>
      <c r="F207" s="7">
        <f t="shared" si="24"/>
        <v>12122.2616676</v>
      </c>
      <c r="G207" s="7">
        <v>17317.5166681</v>
      </c>
      <c r="H207" s="7"/>
      <c r="I207" s="7"/>
      <c r="J207" s="7">
        <f>G207</f>
        <v>17317.5166681</v>
      </c>
      <c r="K207" s="7"/>
      <c r="L207" s="7"/>
      <c r="M207" s="7"/>
      <c r="N207" s="7">
        <v>22512.7716685</v>
      </c>
      <c r="O207" s="7"/>
      <c r="P207" s="7">
        <f t="shared" si="23"/>
        <v>22512.7716685</v>
      </c>
      <c r="IB207" s="53"/>
      <c r="IC207" s="53"/>
      <c r="ID207" s="53"/>
      <c r="IE207" s="53"/>
      <c r="IF207" s="53"/>
      <c r="IG207" s="53"/>
    </row>
    <row r="208" spans="1:241" s="25" customFormat="1" ht="33.75" customHeight="1">
      <c r="A208" s="8" t="s">
        <v>212</v>
      </c>
      <c r="B208" s="6"/>
      <c r="C208" s="6"/>
      <c r="D208" s="7">
        <v>200000</v>
      </c>
      <c r="E208" s="7"/>
      <c r="F208" s="7">
        <f t="shared" si="24"/>
        <v>200000</v>
      </c>
      <c r="G208" s="7">
        <v>120000</v>
      </c>
      <c r="H208" s="7"/>
      <c r="I208" s="7"/>
      <c r="J208" s="7">
        <f>G208</f>
        <v>120000</v>
      </c>
      <c r="K208" s="7"/>
      <c r="L208" s="7"/>
      <c r="M208" s="7"/>
      <c r="N208" s="7">
        <v>100000</v>
      </c>
      <c r="O208" s="7"/>
      <c r="P208" s="7">
        <f t="shared" si="23"/>
        <v>100000</v>
      </c>
      <c r="IB208" s="53"/>
      <c r="IC208" s="53"/>
      <c r="ID208" s="53"/>
      <c r="IE208" s="53"/>
      <c r="IF208" s="53"/>
      <c r="IG208" s="53"/>
    </row>
    <row r="209" spans="1:241" s="25" customFormat="1" ht="36" customHeight="1">
      <c r="A209" s="8" t="s">
        <v>232</v>
      </c>
      <c r="B209" s="6"/>
      <c r="C209" s="6"/>
      <c r="D209" s="7"/>
      <c r="E209" s="7">
        <v>1428571.42857</v>
      </c>
      <c r="F209" s="7"/>
      <c r="G209" s="7"/>
      <c r="H209" s="7">
        <v>1428571.42857</v>
      </c>
      <c r="I209" s="7"/>
      <c r="J209" s="7"/>
      <c r="K209" s="7"/>
      <c r="L209" s="7"/>
      <c r="M209" s="7"/>
      <c r="N209" s="7"/>
      <c r="O209" s="7">
        <v>1428571.42857</v>
      </c>
      <c r="P209" s="7"/>
      <c r="IB209" s="53"/>
      <c r="IC209" s="53"/>
      <c r="ID209" s="53"/>
      <c r="IE209" s="53"/>
      <c r="IF209" s="53"/>
      <c r="IG209" s="53"/>
    </row>
    <row r="210" spans="1:241" s="25" customFormat="1" ht="42" customHeight="1">
      <c r="A210" s="8" t="s">
        <v>228</v>
      </c>
      <c r="B210" s="6"/>
      <c r="C210" s="6"/>
      <c r="D210" s="7"/>
      <c r="E210" s="7">
        <v>1800000</v>
      </c>
      <c r="F210" s="7"/>
      <c r="G210" s="7"/>
      <c r="H210" s="7">
        <v>3600000</v>
      </c>
      <c r="I210" s="7"/>
      <c r="J210" s="7"/>
      <c r="K210" s="7"/>
      <c r="L210" s="7"/>
      <c r="M210" s="7"/>
      <c r="N210" s="7"/>
      <c r="O210" s="7">
        <v>1800000</v>
      </c>
      <c r="P210" s="7"/>
      <c r="IB210" s="53"/>
      <c r="IC210" s="53"/>
      <c r="ID210" s="53"/>
      <c r="IE210" s="53"/>
      <c r="IF210" s="53"/>
      <c r="IG210" s="53"/>
    </row>
    <row r="211" spans="1:241" s="25" customFormat="1" ht="11.25">
      <c r="A211" s="5" t="s">
        <v>6</v>
      </c>
      <c r="B211" s="37"/>
      <c r="C211" s="37"/>
      <c r="D211" s="30"/>
      <c r="E211" s="30"/>
      <c r="F211" s="7"/>
      <c r="G211" s="30"/>
      <c r="H211" s="30"/>
      <c r="I211" s="30"/>
      <c r="J211" s="7"/>
      <c r="K211" s="7"/>
      <c r="L211" s="7"/>
      <c r="M211" s="7"/>
      <c r="N211" s="30"/>
      <c r="O211" s="30"/>
      <c r="P211" s="7"/>
      <c r="IB211" s="53"/>
      <c r="IC211" s="53"/>
      <c r="ID211" s="53"/>
      <c r="IE211" s="53"/>
      <c r="IF211" s="53"/>
      <c r="IG211" s="53"/>
    </row>
    <row r="212" spans="1:241" s="25" customFormat="1" ht="39" customHeight="1">
      <c r="A212" s="8" t="s">
        <v>98</v>
      </c>
      <c r="B212" s="6"/>
      <c r="C212" s="6"/>
      <c r="D212" s="7">
        <f>D183/D170*100</f>
        <v>100</v>
      </c>
      <c r="E212" s="7"/>
      <c r="F212" s="7">
        <f aca="true" t="shared" si="25" ref="F212:G214">F183/F170*100</f>
        <v>100</v>
      </c>
      <c r="G212" s="7">
        <f t="shared" si="25"/>
        <v>100</v>
      </c>
      <c r="H212" s="7"/>
      <c r="I212" s="7"/>
      <c r="J212" s="7">
        <f aca="true" t="shared" si="26" ref="J212:N214">J183/J170*100</f>
        <v>100</v>
      </c>
      <c r="K212" s="7" t="e">
        <f t="shared" si="26"/>
        <v>#DIV/0!</v>
      </c>
      <c r="L212" s="7" t="e">
        <f t="shared" si="26"/>
        <v>#DIV/0!</v>
      </c>
      <c r="M212" s="7" t="e">
        <f t="shared" si="26"/>
        <v>#DIV/0!</v>
      </c>
      <c r="N212" s="7">
        <f t="shared" si="26"/>
        <v>100</v>
      </c>
      <c r="O212" s="7"/>
      <c r="P212" s="7">
        <f>P183/P170*100</f>
        <v>100</v>
      </c>
      <c r="IB212" s="53"/>
      <c r="IC212" s="53"/>
      <c r="ID212" s="53"/>
      <c r="IE212" s="53"/>
      <c r="IF212" s="53"/>
      <c r="IG212" s="53"/>
    </row>
    <row r="213" spans="1:241" s="25" customFormat="1" ht="41.25" customHeight="1">
      <c r="A213" s="8" t="s">
        <v>99</v>
      </c>
      <c r="B213" s="6"/>
      <c r="C213" s="6"/>
      <c r="D213" s="7">
        <f>D184/D171*100</f>
        <v>18.969072164948454</v>
      </c>
      <c r="E213" s="7"/>
      <c r="F213" s="7">
        <f t="shared" si="25"/>
        <v>18.969072164948454</v>
      </c>
      <c r="G213" s="7">
        <f t="shared" si="25"/>
        <v>18.969072164948454</v>
      </c>
      <c r="H213" s="7"/>
      <c r="I213" s="7"/>
      <c r="J213" s="7">
        <f t="shared" si="26"/>
        <v>18.969072164948454</v>
      </c>
      <c r="K213" s="7" t="e">
        <f t="shared" si="26"/>
        <v>#DIV/0!</v>
      </c>
      <c r="L213" s="7" t="e">
        <f t="shared" si="26"/>
        <v>#DIV/0!</v>
      </c>
      <c r="M213" s="7" t="e">
        <f t="shared" si="26"/>
        <v>#DIV/0!</v>
      </c>
      <c r="N213" s="7">
        <f t="shared" si="26"/>
        <v>18.969072164948454</v>
      </c>
      <c r="O213" s="7"/>
      <c r="P213" s="7">
        <f>P184/P171*100</f>
        <v>18.969072164948454</v>
      </c>
      <c r="IB213" s="53"/>
      <c r="IC213" s="53"/>
      <c r="ID213" s="53"/>
      <c r="IE213" s="53"/>
      <c r="IF213" s="53"/>
      <c r="IG213" s="53"/>
    </row>
    <row r="214" spans="1:241" s="25" customFormat="1" ht="35.25" customHeight="1">
      <c r="A214" s="8" t="s">
        <v>100</v>
      </c>
      <c r="B214" s="6"/>
      <c r="C214" s="6"/>
      <c r="D214" s="7">
        <f>D185/D172*100</f>
        <v>9.744214372716199</v>
      </c>
      <c r="E214" s="7"/>
      <c r="F214" s="7">
        <f t="shared" si="25"/>
        <v>9.744214372716199</v>
      </c>
      <c r="G214" s="7">
        <f t="shared" si="25"/>
        <v>9.744214372716199</v>
      </c>
      <c r="H214" s="7"/>
      <c r="I214" s="7"/>
      <c r="J214" s="7">
        <f t="shared" si="26"/>
        <v>9.744214372716199</v>
      </c>
      <c r="K214" s="7" t="e">
        <f t="shared" si="26"/>
        <v>#DIV/0!</v>
      </c>
      <c r="L214" s="7" t="e">
        <f t="shared" si="26"/>
        <v>#DIV/0!</v>
      </c>
      <c r="M214" s="7" t="e">
        <f t="shared" si="26"/>
        <v>#DIV/0!</v>
      </c>
      <c r="N214" s="7">
        <f t="shared" si="26"/>
        <v>9.744214372716199</v>
      </c>
      <c r="O214" s="7"/>
      <c r="P214" s="7">
        <f>P185/P172*100</f>
        <v>9.744214372716199</v>
      </c>
      <c r="IB214" s="53"/>
      <c r="IC214" s="53"/>
      <c r="ID214" s="53"/>
      <c r="IE214" s="53"/>
      <c r="IF214" s="53"/>
      <c r="IG214" s="53"/>
    </row>
    <row r="215" spans="1:241" s="25" customFormat="1" ht="27.75" customHeight="1">
      <c r="A215" s="34" t="s">
        <v>375</v>
      </c>
      <c r="B215" s="20"/>
      <c r="C215" s="20"/>
      <c r="D215" s="43"/>
      <c r="E215" s="57">
        <f>SUM(E217)</f>
        <v>138333</v>
      </c>
      <c r="F215" s="57">
        <f>SUM(E215)</f>
        <v>138333</v>
      </c>
      <c r="G215" s="45"/>
      <c r="H215" s="45">
        <f>H217</f>
        <v>700000</v>
      </c>
      <c r="I215" s="45"/>
      <c r="J215" s="45">
        <f>H215</f>
        <v>700000</v>
      </c>
      <c r="K215" s="45">
        <f>I215</f>
        <v>0</v>
      </c>
      <c r="L215" s="45">
        <f>J215</f>
        <v>700000</v>
      </c>
      <c r="M215" s="45">
        <f>K215</f>
        <v>0</v>
      </c>
      <c r="N215" s="45"/>
      <c r="O215" s="45">
        <f>O217</f>
        <v>40999.99999999999</v>
      </c>
      <c r="P215" s="45">
        <f>P217</f>
        <v>40999.99999999999</v>
      </c>
      <c r="IB215" s="53"/>
      <c r="IC215" s="53"/>
      <c r="ID215" s="53"/>
      <c r="IE215" s="53"/>
      <c r="IF215" s="53"/>
      <c r="IG215" s="53"/>
    </row>
    <row r="216" spans="1:241" s="25" customFormat="1" ht="9.75" customHeight="1">
      <c r="A216" s="13" t="s">
        <v>4</v>
      </c>
      <c r="B216" s="20"/>
      <c r="C216" s="20"/>
      <c r="D216" s="43"/>
      <c r="E216" s="44"/>
      <c r="F216" s="44"/>
      <c r="G216" s="44"/>
      <c r="H216" s="44"/>
      <c r="I216" s="44"/>
      <c r="J216" s="44">
        <f aca="true" t="shared" si="27" ref="J216:J221">H216</f>
        <v>0</v>
      </c>
      <c r="K216" s="44"/>
      <c r="L216" s="44"/>
      <c r="M216" s="44"/>
      <c r="N216" s="44"/>
      <c r="O216" s="44"/>
      <c r="P216" s="44"/>
      <c r="IB216" s="53"/>
      <c r="IC216" s="53"/>
      <c r="ID216" s="53"/>
      <c r="IE216" s="53"/>
      <c r="IF216" s="53"/>
      <c r="IG216" s="53"/>
    </row>
    <row r="217" spans="1:241" s="25" customFormat="1" ht="18.75" customHeight="1">
      <c r="A217" s="16" t="s">
        <v>196</v>
      </c>
      <c r="B217" s="46"/>
      <c r="C217" s="46"/>
      <c r="D217" s="47"/>
      <c r="E217" s="48">
        <v>138333</v>
      </c>
      <c r="F217" s="48">
        <f>SUM(E217)</f>
        <v>138333</v>
      </c>
      <c r="G217" s="26"/>
      <c r="H217" s="48">
        <v>700000</v>
      </c>
      <c r="I217" s="26"/>
      <c r="J217" s="44">
        <f t="shared" si="27"/>
        <v>700000</v>
      </c>
      <c r="K217" s="48"/>
      <c r="L217" s="48"/>
      <c r="M217" s="48"/>
      <c r="N217" s="48"/>
      <c r="O217" s="48">
        <f>O219*O221+0.2</f>
        <v>40999.99999999999</v>
      </c>
      <c r="P217" s="48">
        <f>O217</f>
        <v>40999.99999999999</v>
      </c>
      <c r="IB217" s="53"/>
      <c r="IC217" s="53"/>
      <c r="ID217" s="53"/>
      <c r="IE217" s="53"/>
      <c r="IF217" s="53"/>
      <c r="IG217" s="53"/>
    </row>
    <row r="218" spans="1:241" s="25" customFormat="1" ht="15" customHeight="1">
      <c r="A218" s="5" t="s">
        <v>5</v>
      </c>
      <c r="B218" s="20"/>
      <c r="C218" s="20"/>
      <c r="D218" s="49"/>
      <c r="E218" s="44"/>
      <c r="F218" s="48">
        <f>SUM(E218)</f>
        <v>0</v>
      </c>
      <c r="G218" s="50"/>
      <c r="H218" s="44"/>
      <c r="I218" s="50"/>
      <c r="J218" s="44">
        <f t="shared" si="27"/>
        <v>0</v>
      </c>
      <c r="K218" s="44"/>
      <c r="L218" s="44"/>
      <c r="M218" s="44"/>
      <c r="N218" s="44"/>
      <c r="O218" s="44"/>
      <c r="P218" s="44"/>
      <c r="IB218" s="53"/>
      <c r="IC218" s="53"/>
      <c r="ID218" s="53"/>
      <c r="IE218" s="53"/>
      <c r="IF218" s="53"/>
      <c r="IG218" s="53"/>
    </row>
    <row r="219" spans="1:241" s="25" customFormat="1" ht="27.75" customHeight="1">
      <c r="A219" s="8" t="s">
        <v>340</v>
      </c>
      <c r="B219" s="20"/>
      <c r="C219" s="20"/>
      <c r="D219" s="49"/>
      <c r="E219" s="44">
        <v>260</v>
      </c>
      <c r="F219" s="48">
        <f>SUM(E219)</f>
        <v>260</v>
      </c>
      <c r="G219" s="50"/>
      <c r="H219" s="44">
        <v>780</v>
      </c>
      <c r="I219" s="50"/>
      <c r="J219" s="44">
        <f t="shared" si="27"/>
        <v>780</v>
      </c>
      <c r="K219" s="44"/>
      <c r="L219" s="44"/>
      <c r="M219" s="44"/>
      <c r="N219" s="44"/>
      <c r="O219" s="44">
        <v>115</v>
      </c>
      <c r="P219" s="44">
        <v>115</v>
      </c>
      <c r="IB219" s="53"/>
      <c r="IC219" s="53"/>
      <c r="ID219" s="53"/>
      <c r="IE219" s="53"/>
      <c r="IF219" s="53"/>
      <c r="IG219" s="53"/>
    </row>
    <row r="220" spans="1:241" s="25" customFormat="1" ht="12.75" customHeight="1">
      <c r="A220" s="19" t="s">
        <v>7</v>
      </c>
      <c r="B220" s="20"/>
      <c r="C220" s="20"/>
      <c r="D220" s="49"/>
      <c r="E220" s="44"/>
      <c r="F220" s="48">
        <f>SUM(E220)</f>
        <v>0</v>
      </c>
      <c r="G220" s="50"/>
      <c r="H220" s="44"/>
      <c r="I220" s="50"/>
      <c r="J220" s="44">
        <f t="shared" si="27"/>
        <v>0</v>
      </c>
      <c r="K220" s="44"/>
      <c r="L220" s="44"/>
      <c r="M220" s="44"/>
      <c r="N220" s="44"/>
      <c r="O220" s="44"/>
      <c r="P220" s="44"/>
      <c r="IB220" s="53"/>
      <c r="IC220" s="53"/>
      <c r="ID220" s="53"/>
      <c r="IE220" s="53"/>
      <c r="IF220" s="53"/>
      <c r="IG220" s="53"/>
    </row>
    <row r="221" spans="1:241" s="25" customFormat="1" ht="24.75" customHeight="1">
      <c r="A221" s="8" t="s">
        <v>341</v>
      </c>
      <c r="B221" s="6"/>
      <c r="C221" s="6"/>
      <c r="D221" s="7"/>
      <c r="E221" s="7">
        <f>SUM(E217)/E219</f>
        <v>532.05</v>
      </c>
      <c r="F221" s="48">
        <f>SUM(E221)</f>
        <v>532.05</v>
      </c>
      <c r="G221" s="7"/>
      <c r="H221" s="7">
        <f>H217/H219</f>
        <v>897.4358974358975</v>
      </c>
      <c r="I221" s="7"/>
      <c r="J221" s="44">
        <f t="shared" si="27"/>
        <v>897.4358974358975</v>
      </c>
      <c r="K221" s="7"/>
      <c r="L221" s="7"/>
      <c r="M221" s="7"/>
      <c r="N221" s="7"/>
      <c r="O221" s="7">
        <v>356.52</v>
      </c>
      <c r="P221" s="7">
        <v>356.52</v>
      </c>
      <c r="IB221" s="53"/>
      <c r="IC221" s="53"/>
      <c r="ID221" s="53"/>
      <c r="IE221" s="53"/>
      <c r="IF221" s="53"/>
      <c r="IG221" s="53"/>
    </row>
    <row r="222" spans="1:241" s="38" customFormat="1" ht="45">
      <c r="A222" s="34" t="s">
        <v>376</v>
      </c>
      <c r="B222" s="35"/>
      <c r="C222" s="35"/>
      <c r="D222" s="36">
        <f>D224+D225+D226+D228</f>
        <v>20696700</v>
      </c>
      <c r="E222" s="36">
        <f>E229</f>
        <v>1000000</v>
      </c>
      <c r="F222" s="36">
        <f>D222+E222</f>
        <v>21696700</v>
      </c>
      <c r="G222" s="36">
        <f>G224+G225+G226+G228+120000</f>
        <v>21211500</v>
      </c>
      <c r="H222" s="36">
        <f>H229</f>
        <v>1500000</v>
      </c>
      <c r="I222" s="36"/>
      <c r="J222" s="36">
        <f>G222+H222</f>
        <v>22711500</v>
      </c>
      <c r="K222" s="36" t="e">
        <f>(K224*K237)+(K232*K238)+(K233*K239)+(#REF!*#REF!)+11.5</f>
        <v>#REF!</v>
      </c>
      <c r="L222" s="36" t="e">
        <f>(L224*L237)+(L232*L238)+(L233*L239)+(#REF!*#REF!)+11.5</f>
        <v>#REF!</v>
      </c>
      <c r="M222" s="36" t="e">
        <f>(M224*M237)+(M232*M238)+(M233*M239)+(#REF!*#REF!)+11.5</f>
        <v>#REF!</v>
      </c>
      <c r="N222" s="36">
        <f>N224+N225+N226+N228+125000</f>
        <v>22835000</v>
      </c>
      <c r="O222" s="36">
        <f>O229</f>
        <v>2000000</v>
      </c>
      <c r="P222" s="36">
        <f>N222+O222</f>
        <v>24835000</v>
      </c>
      <c r="IB222" s="39"/>
      <c r="IC222" s="39"/>
      <c r="ID222" s="39"/>
      <c r="IE222" s="39"/>
      <c r="IF222" s="39"/>
      <c r="IG222" s="39"/>
    </row>
    <row r="223" spans="1:241" s="25" customFormat="1" ht="11.25">
      <c r="A223" s="5" t="s">
        <v>4</v>
      </c>
      <c r="B223" s="37"/>
      <c r="C223" s="37"/>
      <c r="D223" s="30"/>
      <c r="E223" s="30"/>
      <c r="F223" s="30"/>
      <c r="G223" s="30"/>
      <c r="H223" s="30"/>
      <c r="I223" s="30"/>
      <c r="J223" s="7"/>
      <c r="K223" s="7"/>
      <c r="L223" s="7"/>
      <c r="M223" s="7"/>
      <c r="N223" s="30"/>
      <c r="O223" s="30"/>
      <c r="P223" s="7"/>
      <c r="IB223" s="53"/>
      <c r="IC223" s="53"/>
      <c r="ID223" s="53"/>
      <c r="IE223" s="53"/>
      <c r="IF223" s="53"/>
      <c r="IG223" s="53"/>
    </row>
    <row r="224" spans="1:241" s="25" customFormat="1" ht="22.5">
      <c r="A224" s="8" t="s">
        <v>215</v>
      </c>
      <c r="B224" s="6"/>
      <c r="C224" s="6"/>
      <c r="D224" s="7">
        <f>15203900+116000</f>
        <v>15319900</v>
      </c>
      <c r="E224" s="7"/>
      <c r="F224" s="7">
        <f>D224+E224</f>
        <v>15319900</v>
      </c>
      <c r="G224" s="7">
        <f>15303500+98000</f>
        <v>15401500</v>
      </c>
      <c r="H224" s="7"/>
      <c r="I224" s="7"/>
      <c r="J224" s="7">
        <f>G224+H224</f>
        <v>15401500</v>
      </c>
      <c r="K224" s="7"/>
      <c r="L224" s="7"/>
      <c r="M224" s="7"/>
      <c r="N224" s="7">
        <f>15404000+1506000</f>
        <v>16910000</v>
      </c>
      <c r="O224" s="7"/>
      <c r="P224" s="7">
        <f>N224+O224</f>
        <v>16910000</v>
      </c>
      <c r="IB224" s="53"/>
      <c r="IC224" s="53"/>
      <c r="ID224" s="53"/>
      <c r="IE224" s="53"/>
      <c r="IF224" s="53"/>
      <c r="IG224" s="53"/>
    </row>
    <row r="225" spans="1:241" s="25" customFormat="1" ht="22.5">
      <c r="A225" s="8" t="s">
        <v>213</v>
      </c>
      <c r="B225" s="6"/>
      <c r="C225" s="6"/>
      <c r="D225" s="7">
        <v>4800200</v>
      </c>
      <c r="E225" s="7"/>
      <c r="F225" s="7">
        <f aca="true" t="shared" si="28" ref="F225:F245">D225+E225</f>
        <v>4800200</v>
      </c>
      <c r="G225" s="7">
        <f>G232*G238</f>
        <v>5100000</v>
      </c>
      <c r="H225" s="7"/>
      <c r="I225" s="7"/>
      <c r="J225" s="7">
        <f aca="true" t="shared" si="29" ref="J225:J245">G225+H225</f>
        <v>5100000</v>
      </c>
      <c r="K225" s="7"/>
      <c r="L225" s="7"/>
      <c r="M225" s="7"/>
      <c r="N225" s="7">
        <f>N232*N238</f>
        <v>5200000</v>
      </c>
      <c r="O225" s="7"/>
      <c r="P225" s="7">
        <f aca="true" t="shared" si="30" ref="P225:P245">N225+O225</f>
        <v>5200000</v>
      </c>
      <c r="IB225" s="53"/>
      <c r="IC225" s="53"/>
      <c r="ID225" s="53"/>
      <c r="IE225" s="53"/>
      <c r="IF225" s="53"/>
      <c r="IG225" s="53"/>
    </row>
    <row r="226" spans="1:241" s="25" customFormat="1" ht="31.5" customHeight="1">
      <c r="A226" s="8" t="s">
        <v>214</v>
      </c>
      <c r="B226" s="6"/>
      <c r="C226" s="6"/>
      <c r="D226" s="7">
        <v>401600</v>
      </c>
      <c r="E226" s="7"/>
      <c r="F226" s="7">
        <f t="shared" si="28"/>
        <v>401600</v>
      </c>
      <c r="G226" s="7">
        <f>G233*G239</f>
        <v>410000</v>
      </c>
      <c r="H226" s="7"/>
      <c r="I226" s="7"/>
      <c r="J226" s="7">
        <f t="shared" si="29"/>
        <v>410000</v>
      </c>
      <c r="K226" s="7"/>
      <c r="L226" s="7"/>
      <c r="M226" s="7"/>
      <c r="N226" s="7">
        <f>N233*N239</f>
        <v>415000</v>
      </c>
      <c r="O226" s="7"/>
      <c r="P226" s="7">
        <f t="shared" si="30"/>
        <v>415000</v>
      </c>
      <c r="IB226" s="53"/>
      <c r="IC226" s="53"/>
      <c r="ID226" s="53"/>
      <c r="IE226" s="53"/>
      <c r="IF226" s="53"/>
      <c r="IG226" s="53"/>
    </row>
    <row r="227" spans="1:241" s="25" customFormat="1" ht="22.5" hidden="1">
      <c r="A227" s="8" t="s">
        <v>172</v>
      </c>
      <c r="B227" s="6"/>
      <c r="C227" s="6"/>
      <c r="D227" s="7"/>
      <c r="E227" s="7"/>
      <c r="F227" s="7">
        <f t="shared" si="28"/>
        <v>0</v>
      </c>
      <c r="G227" s="7"/>
      <c r="H227" s="7">
        <v>1</v>
      </c>
      <c r="I227" s="7"/>
      <c r="J227" s="7">
        <f t="shared" si="29"/>
        <v>1</v>
      </c>
      <c r="K227" s="7"/>
      <c r="L227" s="7"/>
      <c r="M227" s="7"/>
      <c r="N227" s="7"/>
      <c r="O227" s="7"/>
      <c r="P227" s="7">
        <f t="shared" si="30"/>
        <v>0</v>
      </c>
      <c r="IB227" s="53"/>
      <c r="IC227" s="53"/>
      <c r="ID227" s="53"/>
      <c r="IE227" s="53"/>
      <c r="IF227" s="53"/>
      <c r="IG227" s="53"/>
    </row>
    <row r="228" spans="1:241" s="25" customFormat="1" ht="30.75" customHeight="1">
      <c r="A228" s="8" t="s">
        <v>216</v>
      </c>
      <c r="B228" s="6"/>
      <c r="C228" s="6"/>
      <c r="D228" s="7">
        <f>SUM(D235)*D240</f>
        <v>175000</v>
      </c>
      <c r="E228" s="7"/>
      <c r="F228" s="7">
        <f>D228+E228</f>
        <v>175000</v>
      </c>
      <c r="G228" s="7">
        <f>SUM(G235)*G240</f>
        <v>180000</v>
      </c>
      <c r="H228" s="7"/>
      <c r="I228" s="7"/>
      <c r="J228" s="7">
        <f>G228+H228</f>
        <v>180000</v>
      </c>
      <c r="K228" s="7"/>
      <c r="L228" s="7"/>
      <c r="M228" s="7"/>
      <c r="N228" s="7">
        <f>SUM(N235)*N240</f>
        <v>185000</v>
      </c>
      <c r="O228" s="7"/>
      <c r="P228" s="7">
        <f>N228+O228</f>
        <v>185000</v>
      </c>
      <c r="IB228" s="53"/>
      <c r="IC228" s="53"/>
      <c r="ID228" s="53"/>
      <c r="IE228" s="53"/>
      <c r="IF228" s="53"/>
      <c r="IG228" s="53"/>
    </row>
    <row r="229" spans="1:241" s="25" customFormat="1" ht="33.75">
      <c r="A229" s="8" t="s">
        <v>217</v>
      </c>
      <c r="B229" s="6"/>
      <c r="C229" s="6"/>
      <c r="D229" s="7"/>
      <c r="E229" s="7">
        <v>1000000</v>
      </c>
      <c r="F229" s="7">
        <f t="shared" si="28"/>
        <v>1000000</v>
      </c>
      <c r="G229" s="7"/>
      <c r="H229" s="7">
        <v>1500000</v>
      </c>
      <c r="I229" s="7"/>
      <c r="J229" s="7">
        <f t="shared" si="29"/>
        <v>1500000</v>
      </c>
      <c r="K229" s="7"/>
      <c r="L229" s="7"/>
      <c r="M229" s="7"/>
      <c r="N229" s="7"/>
      <c r="O229" s="7">
        <v>2000000</v>
      </c>
      <c r="P229" s="7">
        <f t="shared" si="30"/>
        <v>2000000</v>
      </c>
      <c r="IB229" s="53"/>
      <c r="IC229" s="53"/>
      <c r="ID229" s="53"/>
      <c r="IE229" s="53"/>
      <c r="IF229" s="53"/>
      <c r="IG229" s="53"/>
    </row>
    <row r="230" spans="1:241" s="25" customFormat="1" ht="11.25">
      <c r="A230" s="5" t="s">
        <v>5</v>
      </c>
      <c r="B230" s="37"/>
      <c r="C230" s="37"/>
      <c r="D230" s="30"/>
      <c r="E230" s="30"/>
      <c r="F230" s="7">
        <f t="shared" si="28"/>
        <v>0</v>
      </c>
      <c r="G230" s="30"/>
      <c r="H230" s="30"/>
      <c r="I230" s="30"/>
      <c r="J230" s="7">
        <f t="shared" si="29"/>
        <v>0</v>
      </c>
      <c r="K230" s="7"/>
      <c r="L230" s="7"/>
      <c r="M230" s="7"/>
      <c r="N230" s="30"/>
      <c r="O230" s="30"/>
      <c r="P230" s="7">
        <f t="shared" si="30"/>
        <v>0</v>
      </c>
      <c r="IB230" s="53"/>
      <c r="IC230" s="53"/>
      <c r="ID230" s="53"/>
      <c r="IE230" s="53"/>
      <c r="IF230" s="53"/>
      <c r="IG230" s="53"/>
    </row>
    <row r="231" spans="1:241" s="25" customFormat="1" ht="22.5">
      <c r="A231" s="8" t="s">
        <v>218</v>
      </c>
      <c r="B231" s="6"/>
      <c r="C231" s="6"/>
      <c r="D231" s="7">
        <v>13</v>
      </c>
      <c r="E231" s="7"/>
      <c r="F231" s="7">
        <f t="shared" si="28"/>
        <v>13</v>
      </c>
      <c r="G231" s="7">
        <v>13</v>
      </c>
      <c r="H231" s="7"/>
      <c r="I231" s="7"/>
      <c r="J231" s="7">
        <f t="shared" si="29"/>
        <v>13</v>
      </c>
      <c r="K231" s="7"/>
      <c r="L231" s="7"/>
      <c r="M231" s="7"/>
      <c r="N231" s="7">
        <v>13</v>
      </c>
      <c r="O231" s="7"/>
      <c r="P231" s="7">
        <f t="shared" si="30"/>
        <v>13</v>
      </c>
      <c r="IB231" s="53"/>
      <c r="IC231" s="53"/>
      <c r="ID231" s="53"/>
      <c r="IE231" s="53"/>
      <c r="IF231" s="53"/>
      <c r="IG231" s="53"/>
    </row>
    <row r="232" spans="1:241" s="25" customFormat="1" ht="22.5">
      <c r="A232" s="8" t="s">
        <v>183</v>
      </c>
      <c r="B232" s="6"/>
      <c r="C232" s="6"/>
      <c r="D232" s="7">
        <v>1600</v>
      </c>
      <c r="E232" s="7"/>
      <c r="F232" s="7">
        <f t="shared" si="28"/>
        <v>1600</v>
      </c>
      <c r="G232" s="7">
        <v>1600</v>
      </c>
      <c r="H232" s="7"/>
      <c r="I232" s="7"/>
      <c r="J232" s="7">
        <f t="shared" si="29"/>
        <v>1600</v>
      </c>
      <c r="K232" s="7"/>
      <c r="L232" s="7"/>
      <c r="M232" s="7"/>
      <c r="N232" s="7">
        <v>1600</v>
      </c>
      <c r="O232" s="7"/>
      <c r="P232" s="7">
        <f t="shared" si="30"/>
        <v>1600</v>
      </c>
      <c r="IB232" s="53"/>
      <c r="IC232" s="53"/>
      <c r="ID232" s="53"/>
      <c r="IE232" s="53"/>
      <c r="IF232" s="53"/>
      <c r="IG232" s="53"/>
    </row>
    <row r="233" spans="1:241" s="25" customFormat="1" ht="21.75" customHeight="1">
      <c r="A233" s="8" t="s">
        <v>103</v>
      </c>
      <c r="B233" s="6"/>
      <c r="C233" s="6"/>
      <c r="D233" s="7">
        <v>2</v>
      </c>
      <c r="E233" s="7"/>
      <c r="F233" s="7">
        <f t="shared" si="28"/>
        <v>2</v>
      </c>
      <c r="G233" s="7">
        <v>2</v>
      </c>
      <c r="H233" s="7"/>
      <c r="I233" s="7"/>
      <c r="J233" s="7">
        <f t="shared" si="29"/>
        <v>2</v>
      </c>
      <c r="K233" s="7"/>
      <c r="L233" s="7"/>
      <c r="M233" s="7"/>
      <c r="N233" s="7">
        <v>2</v>
      </c>
      <c r="O233" s="7"/>
      <c r="P233" s="7">
        <f t="shared" si="30"/>
        <v>2</v>
      </c>
      <c r="IB233" s="53"/>
      <c r="IC233" s="53"/>
      <c r="ID233" s="53"/>
      <c r="IE233" s="53"/>
      <c r="IF233" s="53"/>
      <c r="IG233" s="53"/>
    </row>
    <row r="234" spans="1:241" s="25" customFormat="1" ht="30.75" customHeight="1">
      <c r="A234" s="8" t="s">
        <v>172</v>
      </c>
      <c r="B234" s="6"/>
      <c r="C234" s="6"/>
      <c r="D234" s="7"/>
      <c r="E234" s="7">
        <v>1</v>
      </c>
      <c r="F234" s="7">
        <f t="shared" si="28"/>
        <v>1</v>
      </c>
      <c r="G234" s="7"/>
      <c r="H234" s="7">
        <v>1</v>
      </c>
      <c r="I234" s="7"/>
      <c r="J234" s="7">
        <f t="shared" si="29"/>
        <v>1</v>
      </c>
      <c r="K234" s="7"/>
      <c r="L234" s="7"/>
      <c r="M234" s="7"/>
      <c r="N234" s="7"/>
      <c r="O234" s="7">
        <v>1</v>
      </c>
      <c r="P234" s="7">
        <f t="shared" si="30"/>
        <v>1</v>
      </c>
      <c r="IB234" s="53"/>
      <c r="IC234" s="53"/>
      <c r="ID234" s="53"/>
      <c r="IE234" s="53"/>
      <c r="IF234" s="53"/>
      <c r="IG234" s="53"/>
    </row>
    <row r="235" spans="1:241" s="25" customFormat="1" ht="19.5" customHeight="1">
      <c r="A235" s="8" t="s">
        <v>342</v>
      </c>
      <c r="B235" s="6"/>
      <c r="C235" s="6"/>
      <c r="D235" s="7">
        <v>80</v>
      </c>
      <c r="E235" s="7"/>
      <c r="F235" s="7">
        <v>80</v>
      </c>
      <c r="G235" s="7">
        <v>80</v>
      </c>
      <c r="H235" s="7"/>
      <c r="I235" s="7"/>
      <c r="J235" s="7">
        <v>80</v>
      </c>
      <c r="K235" s="7"/>
      <c r="L235" s="7"/>
      <c r="M235" s="7"/>
      <c r="N235" s="7">
        <v>80</v>
      </c>
      <c r="O235" s="7"/>
      <c r="P235" s="7">
        <v>80</v>
      </c>
      <c r="IB235" s="53"/>
      <c r="IC235" s="53"/>
      <c r="ID235" s="53"/>
      <c r="IE235" s="53"/>
      <c r="IF235" s="53"/>
      <c r="IG235" s="53"/>
    </row>
    <row r="236" spans="1:241" s="25" customFormat="1" ht="11.25">
      <c r="A236" s="5" t="s">
        <v>7</v>
      </c>
      <c r="B236" s="37"/>
      <c r="C236" s="37"/>
      <c r="D236" s="30"/>
      <c r="E236" s="30"/>
      <c r="F236" s="7">
        <f t="shared" si="28"/>
        <v>0</v>
      </c>
      <c r="G236" s="30"/>
      <c r="H236" s="30"/>
      <c r="I236" s="30"/>
      <c r="J236" s="7">
        <f t="shared" si="29"/>
        <v>0</v>
      </c>
      <c r="K236" s="7"/>
      <c r="L236" s="7"/>
      <c r="M236" s="7"/>
      <c r="N236" s="30"/>
      <c r="O236" s="30"/>
      <c r="P236" s="7">
        <f t="shared" si="30"/>
        <v>0</v>
      </c>
      <c r="IB236" s="53"/>
      <c r="IC236" s="53"/>
      <c r="ID236" s="53"/>
      <c r="IE236" s="53"/>
      <c r="IF236" s="53"/>
      <c r="IG236" s="53"/>
    </row>
    <row r="237" spans="1:241" s="25" customFormat="1" ht="22.5">
      <c r="A237" s="8" t="s">
        <v>219</v>
      </c>
      <c r="B237" s="6"/>
      <c r="C237" s="6"/>
      <c r="D237" s="7">
        <f>(11555000+3000)/13</f>
        <v>889076.9230769231</v>
      </c>
      <c r="E237" s="7"/>
      <c r="F237" s="7">
        <f t="shared" si="28"/>
        <v>889076.9230769231</v>
      </c>
      <c r="G237" s="7">
        <f>(12000000+3500)/13</f>
        <v>923346.1538461539</v>
      </c>
      <c r="H237" s="7"/>
      <c r="I237" s="7"/>
      <c r="J237" s="7">
        <f t="shared" si="29"/>
        <v>923346.1538461539</v>
      </c>
      <c r="K237" s="7"/>
      <c r="L237" s="7"/>
      <c r="M237" s="7"/>
      <c r="N237" s="7">
        <f>(12200000+4000)/13</f>
        <v>938769.2307692308</v>
      </c>
      <c r="O237" s="7"/>
      <c r="P237" s="7">
        <f t="shared" si="30"/>
        <v>938769.2307692308</v>
      </c>
      <c r="IB237" s="53"/>
      <c r="IC237" s="53"/>
      <c r="ID237" s="53"/>
      <c r="IE237" s="53"/>
      <c r="IF237" s="53"/>
      <c r="IG237" s="53"/>
    </row>
    <row r="238" spans="1:241" s="25" customFormat="1" ht="24.75" customHeight="1">
      <c r="A238" s="8" t="s">
        <v>104</v>
      </c>
      <c r="B238" s="6"/>
      <c r="C238" s="6"/>
      <c r="D238" s="7">
        <v>3062.5</v>
      </c>
      <c r="E238" s="7"/>
      <c r="F238" s="7">
        <f t="shared" si="28"/>
        <v>3062.5</v>
      </c>
      <c r="G238" s="7">
        <v>3187.5</v>
      </c>
      <c r="H238" s="7"/>
      <c r="I238" s="7"/>
      <c r="J238" s="7">
        <f t="shared" si="29"/>
        <v>3187.5</v>
      </c>
      <c r="K238" s="7"/>
      <c r="L238" s="7"/>
      <c r="M238" s="7"/>
      <c r="N238" s="7">
        <v>3250</v>
      </c>
      <c r="O238" s="7"/>
      <c r="P238" s="7">
        <f t="shared" si="30"/>
        <v>3250</v>
      </c>
      <c r="IB238" s="53"/>
      <c r="IC238" s="53"/>
      <c r="ID238" s="53"/>
      <c r="IE238" s="53"/>
      <c r="IF238" s="53"/>
      <c r="IG238" s="53"/>
    </row>
    <row r="239" spans="1:241" s="25" customFormat="1" ht="22.5">
      <c r="A239" s="8" t="s">
        <v>105</v>
      </c>
      <c r="B239" s="6"/>
      <c r="C239" s="6"/>
      <c r="D239" s="7">
        <v>202000</v>
      </c>
      <c r="E239" s="7"/>
      <c r="F239" s="7">
        <f t="shared" si="28"/>
        <v>202000</v>
      </c>
      <c r="G239" s="7">
        <v>205000</v>
      </c>
      <c r="H239" s="7"/>
      <c r="I239" s="7"/>
      <c r="J239" s="7">
        <f t="shared" si="29"/>
        <v>205000</v>
      </c>
      <c r="K239" s="7"/>
      <c r="L239" s="7"/>
      <c r="M239" s="7"/>
      <c r="N239" s="7">
        <v>207500</v>
      </c>
      <c r="O239" s="7"/>
      <c r="P239" s="7">
        <f t="shared" si="30"/>
        <v>207500</v>
      </c>
      <c r="IB239" s="53"/>
      <c r="IC239" s="53"/>
      <c r="ID239" s="53"/>
      <c r="IE239" s="53"/>
      <c r="IF239" s="53"/>
      <c r="IG239" s="53"/>
    </row>
    <row r="240" spans="1:241" s="25" customFormat="1" ht="27.75" customHeight="1">
      <c r="A240" s="8" t="s">
        <v>190</v>
      </c>
      <c r="B240" s="6"/>
      <c r="C240" s="6"/>
      <c r="D240" s="7">
        <v>2187.5</v>
      </c>
      <c r="E240" s="7"/>
      <c r="F240" s="7">
        <f t="shared" si="28"/>
        <v>2187.5</v>
      </c>
      <c r="G240" s="7">
        <v>2250</v>
      </c>
      <c r="H240" s="7"/>
      <c r="I240" s="7"/>
      <c r="J240" s="7">
        <f t="shared" si="29"/>
        <v>2250</v>
      </c>
      <c r="K240" s="7"/>
      <c r="L240" s="7"/>
      <c r="M240" s="7"/>
      <c r="N240" s="7">
        <v>2312.5</v>
      </c>
      <c r="O240" s="7"/>
      <c r="P240" s="7">
        <f t="shared" si="30"/>
        <v>2312.5</v>
      </c>
      <c r="IB240" s="53"/>
      <c r="IC240" s="53"/>
      <c r="ID240" s="53"/>
      <c r="IE240" s="53"/>
      <c r="IF240" s="53"/>
      <c r="IG240" s="53"/>
    </row>
    <row r="241" spans="1:241" s="138" customFormat="1" ht="22.5">
      <c r="A241" s="135" t="s">
        <v>173</v>
      </c>
      <c r="B241" s="136"/>
      <c r="C241" s="136"/>
      <c r="D241" s="137"/>
      <c r="E241" s="137">
        <v>1000000</v>
      </c>
      <c r="F241" s="137">
        <f t="shared" si="28"/>
        <v>1000000</v>
      </c>
      <c r="G241" s="137"/>
      <c r="H241" s="137">
        <v>1500000</v>
      </c>
      <c r="I241" s="137"/>
      <c r="J241" s="137">
        <f t="shared" si="29"/>
        <v>1500000</v>
      </c>
      <c r="K241" s="137"/>
      <c r="L241" s="137"/>
      <c r="M241" s="137"/>
      <c r="N241" s="137"/>
      <c r="O241" s="137">
        <v>2000000</v>
      </c>
      <c r="P241" s="137">
        <f t="shared" si="30"/>
        <v>2000000</v>
      </c>
      <c r="IB241" s="139"/>
      <c r="IC241" s="139"/>
      <c r="ID241" s="139"/>
      <c r="IE241" s="139"/>
      <c r="IF241" s="139"/>
      <c r="IG241" s="139"/>
    </row>
    <row r="242" spans="1:241" s="25" customFormat="1" ht="12" customHeight="1">
      <c r="A242" s="5" t="s">
        <v>6</v>
      </c>
      <c r="B242" s="6"/>
      <c r="C242" s="6"/>
      <c r="D242" s="7"/>
      <c r="E242" s="7"/>
      <c r="F242" s="7">
        <f t="shared" si="28"/>
        <v>0</v>
      </c>
      <c r="G242" s="7"/>
      <c r="H242" s="7"/>
      <c r="I242" s="7"/>
      <c r="J242" s="7">
        <f t="shared" si="29"/>
        <v>0</v>
      </c>
      <c r="K242" s="7"/>
      <c r="L242" s="7"/>
      <c r="M242" s="7"/>
      <c r="N242" s="7"/>
      <c r="O242" s="7"/>
      <c r="P242" s="7">
        <f t="shared" si="30"/>
        <v>0</v>
      </c>
      <c r="IB242" s="53"/>
      <c r="IC242" s="53"/>
      <c r="ID242" s="53"/>
      <c r="IE242" s="53"/>
      <c r="IF242" s="53"/>
      <c r="IG242" s="53"/>
    </row>
    <row r="243" spans="1:241" s="25" customFormat="1" ht="33.75">
      <c r="A243" s="8" t="s">
        <v>107</v>
      </c>
      <c r="B243" s="6"/>
      <c r="C243" s="6"/>
      <c r="D243" s="7">
        <v>100</v>
      </c>
      <c r="E243" s="7"/>
      <c r="F243" s="7">
        <f t="shared" si="28"/>
        <v>100</v>
      </c>
      <c r="G243" s="7">
        <f>G231/G224*100</f>
        <v>8.440736291919618E-05</v>
      </c>
      <c r="H243" s="7"/>
      <c r="I243" s="7"/>
      <c r="J243" s="7">
        <f t="shared" si="29"/>
        <v>8.440736291919618E-05</v>
      </c>
      <c r="K243" s="7" t="e">
        <f>K231/K224*100</f>
        <v>#DIV/0!</v>
      </c>
      <c r="L243" s="7" t="e">
        <f>L231/L224*100</f>
        <v>#DIV/0!</v>
      </c>
      <c r="M243" s="7" t="e">
        <f>M231/M224*100</f>
        <v>#DIV/0!</v>
      </c>
      <c r="N243" s="7">
        <f>N231/N224*100</f>
        <v>7.68775872264932E-05</v>
      </c>
      <c r="O243" s="7"/>
      <c r="P243" s="7">
        <f t="shared" si="30"/>
        <v>7.68775872264932E-05</v>
      </c>
      <c r="IB243" s="53"/>
      <c r="IC243" s="53"/>
      <c r="ID243" s="53"/>
      <c r="IE243" s="53"/>
      <c r="IF243" s="53"/>
      <c r="IG243" s="53"/>
    </row>
    <row r="244" spans="1:241" s="25" customFormat="1" ht="29.25" customHeight="1">
      <c r="A244" s="8" t="s">
        <v>106</v>
      </c>
      <c r="B244" s="6"/>
      <c r="C244" s="6"/>
      <c r="D244" s="7"/>
      <c r="E244" s="7"/>
      <c r="F244" s="7">
        <f t="shared" si="28"/>
        <v>0</v>
      </c>
      <c r="G244" s="7">
        <f>G238/D238*100</f>
        <v>104.08163265306123</v>
      </c>
      <c r="H244" s="7"/>
      <c r="I244" s="7"/>
      <c r="J244" s="7">
        <f t="shared" si="29"/>
        <v>104.08163265306123</v>
      </c>
      <c r="K244" s="7"/>
      <c r="L244" s="7"/>
      <c r="M244" s="7"/>
      <c r="N244" s="7">
        <f>N238/G238*100</f>
        <v>101.96078431372548</v>
      </c>
      <c r="O244" s="7"/>
      <c r="P244" s="7">
        <f t="shared" si="30"/>
        <v>101.96078431372548</v>
      </c>
      <c r="IB244" s="53"/>
      <c r="IC244" s="53"/>
      <c r="ID244" s="53"/>
      <c r="IE244" s="53"/>
      <c r="IF244" s="53"/>
      <c r="IG244" s="53"/>
    </row>
    <row r="245" spans="1:241" s="25" customFormat="1" ht="38.25" customHeight="1">
      <c r="A245" s="8" t="s">
        <v>108</v>
      </c>
      <c r="B245" s="6"/>
      <c r="C245" s="6"/>
      <c r="D245" s="7"/>
      <c r="E245" s="7"/>
      <c r="F245" s="7">
        <f t="shared" si="28"/>
        <v>0</v>
      </c>
      <c r="G245" s="7">
        <f>G239/D239*100</f>
        <v>101.48514851485149</v>
      </c>
      <c r="H245" s="7"/>
      <c r="I245" s="7"/>
      <c r="J245" s="7">
        <f t="shared" si="29"/>
        <v>101.48514851485149</v>
      </c>
      <c r="K245" s="7"/>
      <c r="L245" s="7"/>
      <c r="M245" s="7"/>
      <c r="N245" s="7">
        <f>N239/G239*100</f>
        <v>101.21951219512195</v>
      </c>
      <c r="O245" s="7"/>
      <c r="P245" s="7">
        <f t="shared" si="30"/>
        <v>101.21951219512195</v>
      </c>
      <c r="IB245" s="53"/>
      <c r="IC245" s="53"/>
      <c r="ID245" s="53"/>
      <c r="IE245" s="53"/>
      <c r="IF245" s="53"/>
      <c r="IG245" s="53"/>
    </row>
    <row r="246" spans="1:241" s="38" customFormat="1" ht="22.5">
      <c r="A246" s="34" t="s">
        <v>377</v>
      </c>
      <c r="B246" s="35"/>
      <c r="C246" s="35"/>
      <c r="D246" s="36">
        <f>D248+D250+D251+D252</f>
        <v>5421400</v>
      </c>
      <c r="E246" s="36">
        <f>(E255*E260)+(E256*E261)+(E258*E263)</f>
        <v>0</v>
      </c>
      <c r="F246" s="36">
        <f aca="true" t="shared" si="31" ref="F246:F253">D246+E246</f>
        <v>5421400</v>
      </c>
      <c r="G246" s="36">
        <f>G248+G249+G250+G251+G252+G253+96000</f>
        <v>8611000</v>
      </c>
      <c r="H246" s="36">
        <f>(H255*H260)+(H256*H261)+(H258*H263)</f>
        <v>0</v>
      </c>
      <c r="I246" s="36">
        <f>(I255*I260)+(I256*I261)+(I258*I263)</f>
        <v>0</v>
      </c>
      <c r="J246" s="36">
        <f>G246+H246</f>
        <v>8611000</v>
      </c>
      <c r="K246" s="36">
        <f>(K255*K260)+(K256*K261)+(K258*K263)</f>
        <v>0</v>
      </c>
      <c r="L246" s="36">
        <f>(L255*L260)+(L256*L261)+(L258*L263)</f>
        <v>0</v>
      </c>
      <c r="M246" s="36">
        <f>(M255*M260)+(M256*M261)+(M258*M263)</f>
        <v>0</v>
      </c>
      <c r="N246" s="36">
        <f>N248+N250+N251+N252+N249</f>
        <v>9410000</v>
      </c>
      <c r="O246" s="36">
        <f>(O255*O260)+(O256*O261)+(O258*O263)</f>
        <v>0</v>
      </c>
      <c r="P246" s="36">
        <f aca="true" t="shared" si="32" ref="P246:P252">N246+O246</f>
        <v>9410000</v>
      </c>
      <c r="Q246" s="36">
        <f>(Q255*Q260)+(Q256*Q261)+(Q258*Q263)</f>
        <v>0</v>
      </c>
      <c r="IB246" s="39"/>
      <c r="IC246" s="39"/>
      <c r="ID246" s="39"/>
      <c r="IE246" s="39"/>
      <c r="IF246" s="39"/>
      <c r="IG246" s="39"/>
    </row>
    <row r="247" spans="1:241" s="38" customFormat="1" ht="11.25">
      <c r="A247" s="5" t="s">
        <v>4</v>
      </c>
      <c r="B247" s="35"/>
      <c r="C247" s="35"/>
      <c r="D247" s="36"/>
      <c r="E247" s="36"/>
      <c r="F247" s="7">
        <f t="shared" si="31"/>
        <v>0</v>
      </c>
      <c r="G247" s="7"/>
      <c r="H247" s="7"/>
      <c r="I247" s="7"/>
      <c r="J247" s="7">
        <f aca="true" t="shared" si="33" ref="J247:J253">G247+H247</f>
        <v>0</v>
      </c>
      <c r="K247" s="7"/>
      <c r="L247" s="7"/>
      <c r="M247" s="7"/>
      <c r="N247" s="7"/>
      <c r="O247" s="7"/>
      <c r="P247" s="7">
        <f t="shared" si="32"/>
        <v>0</v>
      </c>
      <c r="Q247" s="42"/>
      <c r="IB247" s="39"/>
      <c r="IC247" s="39"/>
      <c r="ID247" s="39"/>
      <c r="IE247" s="39"/>
      <c r="IF247" s="39"/>
      <c r="IG247" s="39"/>
    </row>
    <row r="248" spans="1:241" s="38" customFormat="1" ht="33.75">
      <c r="A248" s="8" t="s">
        <v>233</v>
      </c>
      <c r="B248" s="35"/>
      <c r="C248" s="35"/>
      <c r="D248" s="7">
        <v>2971400</v>
      </c>
      <c r="E248" s="36"/>
      <c r="F248" s="7">
        <f t="shared" si="31"/>
        <v>2971400</v>
      </c>
      <c r="G248" s="7">
        <v>2000000</v>
      </c>
      <c r="H248" s="7"/>
      <c r="I248" s="7"/>
      <c r="J248" s="7">
        <f t="shared" si="33"/>
        <v>2000000</v>
      </c>
      <c r="K248" s="7"/>
      <c r="L248" s="7"/>
      <c r="M248" s="7"/>
      <c r="N248" s="7">
        <v>3100000</v>
      </c>
      <c r="O248" s="7"/>
      <c r="P248" s="7">
        <f t="shared" si="32"/>
        <v>3100000</v>
      </c>
      <c r="Q248" s="42"/>
      <c r="IB248" s="39"/>
      <c r="IC248" s="39"/>
      <c r="ID248" s="39"/>
      <c r="IE248" s="39"/>
      <c r="IF248" s="39"/>
      <c r="IG248" s="39"/>
    </row>
    <row r="249" spans="1:241" s="38" customFormat="1" ht="33.75">
      <c r="A249" s="8" t="s">
        <v>400</v>
      </c>
      <c r="B249" s="35"/>
      <c r="C249" s="35"/>
      <c r="D249" s="7">
        <v>0</v>
      </c>
      <c r="E249" s="36">
        <v>0</v>
      </c>
      <c r="F249" s="7">
        <v>0</v>
      </c>
      <c r="G249" s="7">
        <v>4000000</v>
      </c>
      <c r="H249" s="7"/>
      <c r="I249" s="7"/>
      <c r="J249" s="7">
        <f t="shared" si="33"/>
        <v>4000000</v>
      </c>
      <c r="K249" s="7"/>
      <c r="L249" s="7"/>
      <c r="M249" s="7"/>
      <c r="N249" s="7">
        <v>3750000</v>
      </c>
      <c r="O249" s="7"/>
      <c r="P249" s="7">
        <f t="shared" si="32"/>
        <v>3750000</v>
      </c>
      <c r="Q249" s="42"/>
      <c r="IB249" s="39"/>
      <c r="IC249" s="39"/>
      <c r="ID249" s="39"/>
      <c r="IE249" s="39"/>
      <c r="IF249" s="39"/>
      <c r="IG249" s="39"/>
    </row>
    <row r="250" spans="1:241" s="38" customFormat="1" ht="11.25">
      <c r="A250" s="8" t="s">
        <v>234</v>
      </c>
      <c r="B250" s="35"/>
      <c r="C250" s="35"/>
      <c r="D250" s="7">
        <v>200000</v>
      </c>
      <c r="E250" s="36"/>
      <c r="F250" s="7">
        <f t="shared" si="31"/>
        <v>200000</v>
      </c>
      <c r="G250" s="7">
        <v>200000</v>
      </c>
      <c r="H250" s="7"/>
      <c r="I250" s="7"/>
      <c r="J250" s="7">
        <f t="shared" si="33"/>
        <v>200000</v>
      </c>
      <c r="K250" s="7"/>
      <c r="L250" s="7"/>
      <c r="M250" s="7"/>
      <c r="N250" s="7">
        <v>200000</v>
      </c>
      <c r="O250" s="7"/>
      <c r="P250" s="7">
        <f t="shared" si="32"/>
        <v>200000</v>
      </c>
      <c r="Q250" s="42"/>
      <c r="IB250" s="39"/>
      <c r="IC250" s="39"/>
      <c r="ID250" s="39"/>
      <c r="IE250" s="39"/>
      <c r="IF250" s="39"/>
      <c r="IG250" s="39"/>
    </row>
    <row r="251" spans="1:241" s="38" customFormat="1" ht="33.75">
      <c r="A251" s="8" t="s">
        <v>235</v>
      </c>
      <c r="B251" s="35"/>
      <c r="C251" s="35"/>
      <c r="D251" s="7">
        <v>350000</v>
      </c>
      <c r="E251" s="36"/>
      <c r="F251" s="7">
        <f t="shared" si="31"/>
        <v>350000</v>
      </c>
      <c r="G251" s="7">
        <v>400000</v>
      </c>
      <c r="H251" s="7"/>
      <c r="I251" s="7"/>
      <c r="J251" s="7">
        <f t="shared" si="33"/>
        <v>400000</v>
      </c>
      <c r="K251" s="7"/>
      <c r="L251" s="7"/>
      <c r="M251" s="7"/>
      <c r="N251" s="7">
        <v>460000</v>
      </c>
      <c r="O251" s="7"/>
      <c r="P251" s="7">
        <f t="shared" si="32"/>
        <v>460000</v>
      </c>
      <c r="Q251" s="42"/>
      <c r="IB251" s="39"/>
      <c r="IC251" s="39"/>
      <c r="ID251" s="39"/>
      <c r="IE251" s="39"/>
      <c r="IF251" s="39"/>
      <c r="IG251" s="39"/>
    </row>
    <row r="252" spans="1:241" s="38" customFormat="1" ht="33.75">
      <c r="A252" s="8" t="s">
        <v>236</v>
      </c>
      <c r="B252" s="35"/>
      <c r="C252" s="35"/>
      <c r="D252" s="7">
        <v>1900000</v>
      </c>
      <c r="E252" s="7"/>
      <c r="F252" s="7">
        <f t="shared" si="31"/>
        <v>1900000</v>
      </c>
      <c r="G252" s="7">
        <v>1900000</v>
      </c>
      <c r="H252" s="7"/>
      <c r="I252" s="7"/>
      <c r="J252" s="7">
        <f t="shared" si="33"/>
        <v>1900000</v>
      </c>
      <c r="K252" s="7"/>
      <c r="L252" s="7"/>
      <c r="M252" s="7"/>
      <c r="N252" s="7">
        <v>1900000</v>
      </c>
      <c r="O252" s="7"/>
      <c r="P252" s="7">
        <f t="shared" si="32"/>
        <v>1900000</v>
      </c>
      <c r="Q252" s="42"/>
      <c r="IB252" s="39"/>
      <c r="IC252" s="39"/>
      <c r="ID252" s="39"/>
      <c r="IE252" s="39"/>
      <c r="IF252" s="39"/>
      <c r="IG252" s="39"/>
    </row>
    <row r="253" spans="1:241" s="38" customFormat="1" ht="33.75">
      <c r="A253" s="8" t="s">
        <v>444</v>
      </c>
      <c r="B253" s="35"/>
      <c r="C253" s="35"/>
      <c r="D253" s="7">
        <v>0</v>
      </c>
      <c r="E253" s="7"/>
      <c r="F253" s="7">
        <f t="shared" si="31"/>
        <v>0</v>
      </c>
      <c r="G253" s="7">
        <v>15000</v>
      </c>
      <c r="H253" s="7"/>
      <c r="I253" s="7"/>
      <c r="J253" s="7">
        <f t="shared" si="33"/>
        <v>15000</v>
      </c>
      <c r="K253" s="7"/>
      <c r="L253" s="7"/>
      <c r="M253" s="7"/>
      <c r="N253" s="7"/>
      <c r="O253" s="7"/>
      <c r="P253" s="7"/>
      <c r="Q253" s="42"/>
      <c r="IB253" s="39"/>
      <c r="IC253" s="39"/>
      <c r="ID253" s="39"/>
      <c r="IE253" s="39"/>
      <c r="IF253" s="39"/>
      <c r="IG253" s="39"/>
    </row>
    <row r="254" spans="1:241" s="25" customFormat="1" ht="11.25">
      <c r="A254" s="5" t="s">
        <v>5</v>
      </c>
      <c r="B254" s="37"/>
      <c r="C254" s="37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IB254" s="53"/>
      <c r="IC254" s="53"/>
      <c r="ID254" s="53"/>
      <c r="IE254" s="53"/>
      <c r="IF254" s="53"/>
      <c r="IG254" s="53"/>
    </row>
    <row r="255" spans="1:241" s="25" customFormat="1" ht="35.25" customHeight="1">
      <c r="A255" s="8" t="s">
        <v>237</v>
      </c>
      <c r="B255" s="6"/>
      <c r="C255" s="6"/>
      <c r="D255" s="7">
        <v>155760</v>
      </c>
      <c r="E255" s="7"/>
      <c r="F255" s="7">
        <f>D255+E255</f>
        <v>155760</v>
      </c>
      <c r="G255" s="7">
        <f>F255</f>
        <v>155760</v>
      </c>
      <c r="H255" s="7"/>
      <c r="I255" s="7"/>
      <c r="J255" s="7">
        <f>G255+H255</f>
        <v>155760</v>
      </c>
      <c r="K255" s="7"/>
      <c r="L255" s="7"/>
      <c r="M255" s="7"/>
      <c r="N255" s="7">
        <f>G255</f>
        <v>155760</v>
      </c>
      <c r="O255" s="7"/>
      <c r="P255" s="7">
        <f>N255+O255</f>
        <v>155760</v>
      </c>
      <c r="IB255" s="53"/>
      <c r="IC255" s="53"/>
      <c r="ID255" s="53"/>
      <c r="IE255" s="53"/>
      <c r="IF255" s="53"/>
      <c r="IG255" s="53"/>
    </row>
    <row r="256" spans="1:241" s="25" customFormat="1" ht="22.5">
      <c r="A256" s="8" t="s">
        <v>110</v>
      </c>
      <c r="B256" s="6"/>
      <c r="C256" s="6"/>
      <c r="D256" s="7">
        <v>243</v>
      </c>
      <c r="E256" s="7"/>
      <c r="F256" s="7">
        <f aca="true" t="shared" si="34" ref="F256:F269">D256+E256</f>
        <v>243</v>
      </c>
      <c r="G256" s="7">
        <v>250</v>
      </c>
      <c r="H256" s="7"/>
      <c r="I256" s="7"/>
      <c r="J256" s="7">
        <f aca="true" t="shared" si="35" ref="J256:J269">G256+H256</f>
        <v>250</v>
      </c>
      <c r="K256" s="7"/>
      <c r="L256" s="7"/>
      <c r="M256" s="7"/>
      <c r="N256" s="7">
        <v>260</v>
      </c>
      <c r="O256" s="7"/>
      <c r="P256" s="7">
        <f aca="true" t="shared" si="36" ref="P256:P269">N256+O256</f>
        <v>260</v>
      </c>
      <c r="IB256" s="53"/>
      <c r="IC256" s="53"/>
      <c r="ID256" s="53"/>
      <c r="IE256" s="53"/>
      <c r="IF256" s="53"/>
      <c r="IG256" s="53"/>
    </row>
    <row r="257" spans="1:241" s="25" customFormat="1" ht="33.75">
      <c r="A257" s="8" t="s">
        <v>242</v>
      </c>
      <c r="B257" s="6"/>
      <c r="C257" s="6"/>
      <c r="D257" s="7">
        <v>11036.4</v>
      </c>
      <c r="E257" s="7"/>
      <c r="F257" s="7">
        <f t="shared" si="34"/>
        <v>11036.4</v>
      </c>
      <c r="G257" s="7">
        <f>E257+F257</f>
        <v>11036.4</v>
      </c>
      <c r="H257" s="7"/>
      <c r="I257" s="7">
        <f>G257+H257</f>
        <v>11036.4</v>
      </c>
      <c r="J257" s="7">
        <f>H257+I257</f>
        <v>11036.4</v>
      </c>
      <c r="K257" s="7">
        <f>I257+J257</f>
        <v>22072.8</v>
      </c>
      <c r="L257" s="7">
        <f>J257+K257</f>
        <v>33109.2</v>
      </c>
      <c r="M257" s="7">
        <f>K257+L257</f>
        <v>55182</v>
      </c>
      <c r="N257" s="7">
        <v>11036.4</v>
      </c>
      <c r="O257" s="7"/>
      <c r="P257" s="7">
        <f t="shared" si="36"/>
        <v>11036.4</v>
      </c>
      <c r="IB257" s="53"/>
      <c r="IC257" s="53"/>
      <c r="ID257" s="53"/>
      <c r="IE257" s="53"/>
      <c r="IF257" s="53"/>
      <c r="IG257" s="53"/>
    </row>
    <row r="258" spans="1:241" s="25" customFormat="1" ht="33" customHeight="1">
      <c r="A258" s="8" t="s">
        <v>239</v>
      </c>
      <c r="B258" s="6"/>
      <c r="C258" s="6"/>
      <c r="D258" s="7">
        <v>51.4</v>
      </c>
      <c r="E258" s="7"/>
      <c r="F258" s="7">
        <f t="shared" si="34"/>
        <v>51.4</v>
      </c>
      <c r="G258" s="7">
        <v>48</v>
      </c>
      <c r="H258" s="7"/>
      <c r="I258" s="7"/>
      <c r="J258" s="7">
        <f t="shared" si="35"/>
        <v>48</v>
      </c>
      <c r="K258" s="7"/>
      <c r="L258" s="7"/>
      <c r="M258" s="7"/>
      <c r="N258" s="7">
        <v>45</v>
      </c>
      <c r="O258" s="7"/>
      <c r="P258" s="7">
        <f t="shared" si="36"/>
        <v>45</v>
      </c>
      <c r="IB258" s="53"/>
      <c r="IC258" s="53"/>
      <c r="ID258" s="53"/>
      <c r="IE258" s="53"/>
      <c r="IF258" s="53"/>
      <c r="IG258" s="53"/>
    </row>
    <row r="259" spans="1:241" s="25" customFormat="1" ht="11.25">
      <c r="A259" s="5" t="s">
        <v>7</v>
      </c>
      <c r="B259" s="37"/>
      <c r="C259" s="37"/>
      <c r="D259" s="30"/>
      <c r="E259" s="30"/>
      <c r="F259" s="7">
        <f t="shared" si="34"/>
        <v>0</v>
      </c>
      <c r="G259" s="30"/>
      <c r="H259" s="30"/>
      <c r="I259" s="30"/>
      <c r="J259" s="7">
        <f t="shared" si="35"/>
        <v>0</v>
      </c>
      <c r="K259" s="7"/>
      <c r="L259" s="7"/>
      <c r="M259" s="7"/>
      <c r="N259" s="30"/>
      <c r="O259" s="30"/>
      <c r="P259" s="7">
        <f t="shared" si="36"/>
        <v>0</v>
      </c>
      <c r="IB259" s="53"/>
      <c r="IC259" s="53"/>
      <c r="ID259" s="53"/>
      <c r="IE259" s="53"/>
      <c r="IF259" s="53"/>
      <c r="IG259" s="53"/>
    </row>
    <row r="260" spans="1:241" s="25" customFormat="1" ht="48.75" customHeight="1">
      <c r="A260" s="8" t="s">
        <v>238</v>
      </c>
      <c r="B260" s="6"/>
      <c r="C260" s="6"/>
      <c r="D260" s="7">
        <f>D248/D255</f>
        <v>19.07678479712378</v>
      </c>
      <c r="E260" s="7"/>
      <c r="F260" s="7">
        <f t="shared" si="34"/>
        <v>19.07678479712378</v>
      </c>
      <c r="G260" s="7">
        <f>G248/G255</f>
        <v>12.840267077555213</v>
      </c>
      <c r="H260" s="7"/>
      <c r="I260" s="7"/>
      <c r="J260" s="7">
        <f t="shared" si="35"/>
        <v>12.840267077555213</v>
      </c>
      <c r="K260" s="7"/>
      <c r="L260" s="7"/>
      <c r="M260" s="7"/>
      <c r="N260" s="7">
        <f>N248/N255</f>
        <v>19.90241397021058</v>
      </c>
      <c r="O260" s="7"/>
      <c r="P260" s="7">
        <f t="shared" si="36"/>
        <v>19.90241397021058</v>
      </c>
      <c r="IB260" s="53"/>
      <c r="IC260" s="53"/>
      <c r="ID260" s="53"/>
      <c r="IE260" s="53"/>
      <c r="IF260" s="53"/>
      <c r="IG260" s="53"/>
    </row>
    <row r="261" spans="1:241" s="25" customFormat="1" ht="19.5" customHeight="1">
      <c r="A261" s="8" t="s">
        <v>111</v>
      </c>
      <c r="B261" s="6"/>
      <c r="C261" s="6"/>
      <c r="D261" s="7">
        <f>D250/D256</f>
        <v>823.0452674897119</v>
      </c>
      <c r="E261" s="7"/>
      <c r="F261" s="7">
        <f t="shared" si="34"/>
        <v>823.0452674897119</v>
      </c>
      <c r="G261" s="7">
        <f>G250/G256</f>
        <v>800</v>
      </c>
      <c r="H261" s="7"/>
      <c r="I261" s="7"/>
      <c r="J261" s="7">
        <f t="shared" si="35"/>
        <v>800</v>
      </c>
      <c r="K261" s="7"/>
      <c r="L261" s="7"/>
      <c r="M261" s="7"/>
      <c r="N261" s="7">
        <f>N250/N256</f>
        <v>769.2307692307693</v>
      </c>
      <c r="O261" s="7"/>
      <c r="P261" s="7">
        <f t="shared" si="36"/>
        <v>769.2307692307693</v>
      </c>
      <c r="IB261" s="53"/>
      <c r="IC261" s="53"/>
      <c r="ID261" s="53"/>
      <c r="IE261" s="53"/>
      <c r="IF261" s="53"/>
      <c r="IG261" s="53"/>
    </row>
    <row r="262" spans="1:241" s="25" customFormat="1" ht="28.5" customHeight="1">
      <c r="A262" s="8" t="s">
        <v>241</v>
      </c>
      <c r="B262" s="6"/>
      <c r="C262" s="6"/>
      <c r="D262" s="7">
        <f>D251/D257</f>
        <v>31.71323982458048</v>
      </c>
      <c r="E262" s="7"/>
      <c r="F262" s="7">
        <f t="shared" si="34"/>
        <v>31.71323982458048</v>
      </c>
      <c r="G262" s="7">
        <f>G251/G257</f>
        <v>36.24370265666341</v>
      </c>
      <c r="H262" s="7"/>
      <c r="I262" s="7"/>
      <c r="J262" s="7">
        <f t="shared" si="35"/>
        <v>36.24370265666341</v>
      </c>
      <c r="K262" s="7"/>
      <c r="L262" s="7"/>
      <c r="M262" s="7"/>
      <c r="N262" s="7">
        <f>N251/N257</f>
        <v>41.680258055162916</v>
      </c>
      <c r="O262" s="7"/>
      <c r="P262" s="7">
        <f t="shared" si="36"/>
        <v>41.680258055162916</v>
      </c>
      <c r="IB262" s="53"/>
      <c r="IC262" s="53"/>
      <c r="ID262" s="53"/>
      <c r="IE262" s="53"/>
      <c r="IF262" s="53"/>
      <c r="IG262" s="53"/>
    </row>
    <row r="263" spans="1:241" s="25" customFormat="1" ht="28.5" customHeight="1">
      <c r="A263" s="8" t="s">
        <v>240</v>
      </c>
      <c r="B263" s="6"/>
      <c r="C263" s="6"/>
      <c r="D263" s="7">
        <f>D252/D258</f>
        <v>36964.980544747086</v>
      </c>
      <c r="E263" s="7"/>
      <c r="F263" s="7">
        <f t="shared" si="34"/>
        <v>36964.980544747086</v>
      </c>
      <c r="G263" s="7">
        <f>G252/G258</f>
        <v>39583.333333333336</v>
      </c>
      <c r="H263" s="7"/>
      <c r="I263" s="7"/>
      <c r="J263" s="7">
        <f t="shared" si="35"/>
        <v>39583.333333333336</v>
      </c>
      <c r="K263" s="7"/>
      <c r="L263" s="7"/>
      <c r="M263" s="7"/>
      <c r="N263" s="7">
        <f>N252/N258</f>
        <v>42222.22222222222</v>
      </c>
      <c r="O263" s="7"/>
      <c r="P263" s="7">
        <f t="shared" si="36"/>
        <v>42222.22222222222</v>
      </c>
      <c r="IB263" s="53"/>
      <c r="IC263" s="53"/>
      <c r="ID263" s="53"/>
      <c r="IE263" s="53"/>
      <c r="IF263" s="53"/>
      <c r="IG263" s="53"/>
    </row>
    <row r="264" spans="1:241" s="25" customFormat="1" ht="45">
      <c r="A264" s="8" t="s">
        <v>220</v>
      </c>
      <c r="B264" s="6"/>
      <c r="C264" s="6"/>
      <c r="D264" s="7"/>
      <c r="E264" s="7"/>
      <c r="F264" s="7">
        <f t="shared" si="34"/>
        <v>0</v>
      </c>
      <c r="G264" s="7">
        <v>145.4502</v>
      </c>
      <c r="H264" s="7"/>
      <c r="I264" s="7"/>
      <c r="J264" s="7">
        <f t="shared" si="35"/>
        <v>145.4502</v>
      </c>
      <c r="K264" s="7"/>
      <c r="L264" s="7"/>
      <c r="M264" s="7"/>
      <c r="N264" s="7">
        <v>145.461241023</v>
      </c>
      <c r="O264" s="7"/>
      <c r="P264" s="7">
        <f t="shared" si="36"/>
        <v>145.461241023</v>
      </c>
      <c r="IB264" s="53"/>
      <c r="IC264" s="53"/>
      <c r="ID264" s="53"/>
      <c r="IE264" s="53"/>
      <c r="IF264" s="53"/>
      <c r="IG264" s="53"/>
    </row>
    <row r="265" spans="1:241" s="25" customFormat="1" ht="11.25">
      <c r="A265" s="5" t="s">
        <v>6</v>
      </c>
      <c r="B265" s="6"/>
      <c r="C265" s="6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IB265" s="53"/>
      <c r="IC265" s="53"/>
      <c r="ID265" s="53"/>
      <c r="IE265" s="53"/>
      <c r="IF265" s="53"/>
      <c r="IG265" s="53"/>
    </row>
    <row r="266" spans="1:241" s="25" customFormat="1" ht="36" customHeight="1">
      <c r="A266" s="8" t="s">
        <v>112</v>
      </c>
      <c r="B266" s="6"/>
      <c r="C266" s="6"/>
      <c r="D266" s="7"/>
      <c r="E266" s="7"/>
      <c r="F266" s="7">
        <f t="shared" si="34"/>
        <v>0</v>
      </c>
      <c r="G266" s="7">
        <f>G260/D260*100</f>
        <v>67.30833950326446</v>
      </c>
      <c r="H266" s="7"/>
      <c r="I266" s="7"/>
      <c r="J266" s="7">
        <f t="shared" si="35"/>
        <v>67.30833950326446</v>
      </c>
      <c r="K266" s="7"/>
      <c r="L266" s="7"/>
      <c r="M266" s="7"/>
      <c r="N266" s="7">
        <f>N260/G260*100</f>
        <v>155</v>
      </c>
      <c r="O266" s="7"/>
      <c r="P266" s="7">
        <f t="shared" si="36"/>
        <v>155</v>
      </c>
      <c r="IB266" s="53"/>
      <c r="IC266" s="53"/>
      <c r="ID266" s="53"/>
      <c r="IE266" s="53"/>
      <c r="IF266" s="53"/>
      <c r="IG266" s="53"/>
    </row>
    <row r="267" spans="1:241" s="25" customFormat="1" ht="36" customHeight="1">
      <c r="A267" s="8" t="s">
        <v>221</v>
      </c>
      <c r="B267" s="6"/>
      <c r="C267" s="6"/>
      <c r="D267" s="7"/>
      <c r="E267" s="7"/>
      <c r="F267" s="7">
        <f t="shared" si="34"/>
        <v>0</v>
      </c>
      <c r="G267" s="7">
        <f>G262/D262*100</f>
        <v>114.2857142857143</v>
      </c>
      <c r="H267" s="7"/>
      <c r="I267" s="7"/>
      <c r="J267" s="7">
        <f t="shared" si="35"/>
        <v>114.2857142857143</v>
      </c>
      <c r="K267" s="7"/>
      <c r="L267" s="7"/>
      <c r="M267" s="7"/>
      <c r="N267" s="7">
        <f>N261/G261*100</f>
        <v>96.15384615384616</v>
      </c>
      <c r="O267" s="7"/>
      <c r="P267" s="7">
        <f t="shared" si="36"/>
        <v>96.15384615384616</v>
      </c>
      <c r="IB267" s="53"/>
      <c r="IC267" s="53"/>
      <c r="ID267" s="53"/>
      <c r="IE267" s="53"/>
      <c r="IF267" s="53"/>
      <c r="IG267" s="53"/>
    </row>
    <row r="268" spans="1:241" s="25" customFormat="1" ht="36" customHeight="1">
      <c r="A268" s="8" t="s">
        <v>243</v>
      </c>
      <c r="B268" s="6"/>
      <c r="C268" s="6"/>
      <c r="D268" s="7"/>
      <c r="E268" s="7"/>
      <c r="F268" s="7">
        <f t="shared" si="34"/>
        <v>0</v>
      </c>
      <c r="G268" s="7">
        <f>G263/D263*100</f>
        <v>107.08333333333333</v>
      </c>
      <c r="H268" s="7"/>
      <c r="I268" s="7"/>
      <c r="J268" s="7">
        <f t="shared" si="35"/>
        <v>107.08333333333333</v>
      </c>
      <c r="K268" s="7"/>
      <c r="L268" s="7"/>
      <c r="M268" s="7"/>
      <c r="N268" s="7">
        <f>N262/G262*100</f>
        <v>114.99999999999999</v>
      </c>
      <c r="O268" s="7"/>
      <c r="P268" s="7">
        <f t="shared" si="36"/>
        <v>114.99999999999999</v>
      </c>
      <c r="IB268" s="53"/>
      <c r="IC268" s="53"/>
      <c r="ID268" s="53"/>
      <c r="IE268" s="53"/>
      <c r="IF268" s="53"/>
      <c r="IG268" s="53"/>
    </row>
    <row r="269" spans="1:241" s="25" customFormat="1" ht="33.75">
      <c r="A269" s="8" t="s">
        <v>244</v>
      </c>
      <c r="B269" s="6"/>
      <c r="C269" s="6"/>
      <c r="D269" s="7"/>
      <c r="E269" s="7"/>
      <c r="F269" s="7">
        <f t="shared" si="34"/>
        <v>0</v>
      </c>
      <c r="G269" s="7">
        <f>G263/D263*100</f>
        <v>107.08333333333333</v>
      </c>
      <c r="H269" s="7"/>
      <c r="I269" s="7"/>
      <c r="J269" s="7">
        <f t="shared" si="35"/>
        <v>107.08333333333333</v>
      </c>
      <c r="K269" s="7"/>
      <c r="L269" s="7"/>
      <c r="M269" s="7"/>
      <c r="N269" s="7">
        <f>N263/G263*100</f>
        <v>106.66666666666664</v>
      </c>
      <c r="O269" s="7"/>
      <c r="P269" s="7">
        <f t="shared" si="36"/>
        <v>106.66666666666664</v>
      </c>
      <c r="IB269" s="53"/>
      <c r="IC269" s="53"/>
      <c r="ID269" s="53"/>
      <c r="IE269" s="53"/>
      <c r="IF269" s="53"/>
      <c r="IG269" s="53"/>
    </row>
    <row r="270" spans="1:241" s="38" customFormat="1" ht="22.5">
      <c r="A270" s="34" t="s">
        <v>378</v>
      </c>
      <c r="B270" s="35"/>
      <c r="C270" s="35"/>
      <c r="D270" s="36">
        <f>(D271*D275)+(D272*D276)+(D273*D278)-1.78+25000</f>
        <v>20099999.999959998</v>
      </c>
      <c r="E270" s="36">
        <f>(E271*E275)+(E272*E276)+(E273*E278)</f>
        <v>0</v>
      </c>
      <c r="F270" s="36">
        <f>D270</f>
        <v>20099999.999959998</v>
      </c>
      <c r="G270" s="36">
        <f>(G271*G275)+(G272*G276)+(G273*G278)+2928700-3000000</f>
        <v>20183699.999900002</v>
      </c>
      <c r="H270" s="36">
        <f>(H271*H275)+(H272*H276)+(H273*H278)</f>
        <v>0</v>
      </c>
      <c r="I270" s="36">
        <v>0</v>
      </c>
      <c r="J270" s="36">
        <f>G270+H270</f>
        <v>20183699.999900002</v>
      </c>
      <c r="K270" s="36">
        <f>(K271*K275)+(K272*K276)+(K273*K278)</f>
        <v>0</v>
      </c>
      <c r="L270" s="36">
        <f>(L271*L275)+(L272*L276)+(L273*L278)</f>
        <v>0</v>
      </c>
      <c r="M270" s="36">
        <f>(M271*M275)+(M272*M276)+(M273*M278)</f>
        <v>0</v>
      </c>
      <c r="N270" s="36">
        <f>(N271*N275)+(N272*N276)+(N273*N278)+1000000</f>
        <v>22820000.00031</v>
      </c>
      <c r="O270" s="36">
        <f>(O271*O275)+(O272*O276)+(O273*O278)</f>
        <v>0</v>
      </c>
      <c r="P270" s="36">
        <f>N270+O270</f>
        <v>22820000.00031</v>
      </c>
      <c r="Q270" s="36">
        <f>(Q271*Q275)+(Q272*Q276)+(Q273*Q278)</f>
        <v>0</v>
      </c>
      <c r="IB270" s="39"/>
      <c r="IC270" s="39"/>
      <c r="ID270" s="39"/>
      <c r="IE270" s="39"/>
      <c r="IF270" s="39"/>
      <c r="IG270" s="39"/>
    </row>
    <row r="271" spans="1:241" s="25" customFormat="1" ht="22.5">
      <c r="A271" s="8" t="s">
        <v>113</v>
      </c>
      <c r="B271" s="6"/>
      <c r="C271" s="6"/>
      <c r="D271" s="7">
        <v>33</v>
      </c>
      <c r="E271" s="7"/>
      <c r="F271" s="7">
        <f>D271+E271</f>
        <v>33</v>
      </c>
      <c r="G271" s="7">
        <v>30</v>
      </c>
      <c r="H271" s="7"/>
      <c r="I271" s="7"/>
      <c r="J271" s="7">
        <f>G271+H271</f>
        <v>30</v>
      </c>
      <c r="K271" s="7"/>
      <c r="L271" s="7"/>
      <c r="M271" s="7"/>
      <c r="N271" s="7">
        <v>28</v>
      </c>
      <c r="O271" s="7"/>
      <c r="P271" s="7">
        <f>N271+O271</f>
        <v>28</v>
      </c>
      <c r="IB271" s="53"/>
      <c r="IC271" s="53"/>
      <c r="ID271" s="53"/>
      <c r="IE271" s="53"/>
      <c r="IF271" s="53"/>
      <c r="IG271" s="53"/>
    </row>
    <row r="272" spans="1:241" s="25" customFormat="1" ht="22.5" customHeight="1">
      <c r="A272" s="8" t="s">
        <v>114</v>
      </c>
      <c r="B272" s="6"/>
      <c r="C272" s="6"/>
      <c r="D272" s="7">
        <v>6</v>
      </c>
      <c r="E272" s="7"/>
      <c r="F272" s="7">
        <f aca="true" t="shared" si="37" ref="F272:F282">D272+E272</f>
        <v>6</v>
      </c>
      <c r="G272" s="7">
        <f>D272</f>
        <v>6</v>
      </c>
      <c r="H272" s="7"/>
      <c r="I272" s="7"/>
      <c r="J272" s="7">
        <f aca="true" t="shared" si="38" ref="J272:J282">G272+H272</f>
        <v>6</v>
      </c>
      <c r="K272" s="7"/>
      <c r="L272" s="7"/>
      <c r="M272" s="7"/>
      <c r="N272" s="7">
        <v>7</v>
      </c>
      <c r="O272" s="7"/>
      <c r="P272" s="7">
        <f aca="true" t="shared" si="39" ref="P272:P282">N272+O272</f>
        <v>7</v>
      </c>
      <c r="IB272" s="53"/>
      <c r="IC272" s="53"/>
      <c r="ID272" s="53"/>
      <c r="IE272" s="53"/>
      <c r="IF272" s="53"/>
      <c r="IG272" s="53"/>
    </row>
    <row r="273" spans="1:241" s="25" customFormat="1" ht="22.5" customHeight="1">
      <c r="A273" s="8" t="s">
        <v>160</v>
      </c>
      <c r="B273" s="6"/>
      <c r="C273" s="6"/>
      <c r="D273" s="7">
        <v>77</v>
      </c>
      <c r="E273" s="7"/>
      <c r="F273" s="7">
        <f t="shared" si="37"/>
        <v>77</v>
      </c>
      <c r="G273" s="7">
        <v>80</v>
      </c>
      <c r="H273" s="7"/>
      <c r="I273" s="7"/>
      <c r="J273" s="7">
        <f t="shared" si="38"/>
        <v>80</v>
      </c>
      <c r="K273" s="7"/>
      <c r="L273" s="7"/>
      <c r="M273" s="7"/>
      <c r="N273" s="7">
        <v>90</v>
      </c>
      <c r="O273" s="7"/>
      <c r="P273" s="7">
        <f t="shared" si="39"/>
        <v>90</v>
      </c>
      <c r="IB273" s="53"/>
      <c r="IC273" s="53"/>
      <c r="ID273" s="53"/>
      <c r="IE273" s="53"/>
      <c r="IF273" s="53"/>
      <c r="IG273" s="53"/>
    </row>
    <row r="274" spans="1:241" s="25" customFormat="1" ht="12" customHeight="1">
      <c r="A274" s="5" t="s">
        <v>7</v>
      </c>
      <c r="B274" s="37"/>
      <c r="C274" s="37"/>
      <c r="D274" s="30"/>
      <c r="E274" s="30"/>
      <c r="F274" s="7"/>
      <c r="G274" s="30"/>
      <c r="H274" s="30"/>
      <c r="I274" s="7"/>
      <c r="J274" s="7"/>
      <c r="K274" s="7"/>
      <c r="L274" s="7"/>
      <c r="M274" s="7"/>
      <c r="N274" s="30"/>
      <c r="O274" s="30"/>
      <c r="P274" s="7"/>
      <c r="IB274" s="53"/>
      <c r="IC274" s="53"/>
      <c r="ID274" s="53"/>
      <c r="IE274" s="53"/>
      <c r="IF274" s="53"/>
      <c r="IG274" s="53"/>
    </row>
    <row r="275" spans="1:241" s="25" customFormat="1" ht="22.5" customHeight="1">
      <c r="A275" s="8" t="s">
        <v>115</v>
      </c>
      <c r="B275" s="6"/>
      <c r="C275" s="6"/>
      <c r="D275" s="7">
        <v>506060.66</v>
      </c>
      <c r="E275" s="7"/>
      <c r="F275" s="7">
        <f t="shared" si="37"/>
        <v>506060.66</v>
      </c>
      <c r="G275" s="7">
        <v>593333.33333</v>
      </c>
      <c r="H275" s="7"/>
      <c r="I275" s="7"/>
      <c r="J275" s="7">
        <f t="shared" si="38"/>
        <v>593333.33333</v>
      </c>
      <c r="K275" s="7"/>
      <c r="L275" s="7"/>
      <c r="M275" s="7"/>
      <c r="N275" s="7">
        <v>675000</v>
      </c>
      <c r="O275" s="7"/>
      <c r="P275" s="7">
        <f t="shared" si="39"/>
        <v>675000</v>
      </c>
      <c r="IB275" s="53"/>
      <c r="IC275" s="53"/>
      <c r="ID275" s="53"/>
      <c r="IE275" s="53"/>
      <c r="IF275" s="53"/>
      <c r="IG275" s="53"/>
    </row>
    <row r="276" spans="1:241" s="25" customFormat="1" ht="22.5" customHeight="1">
      <c r="A276" s="8" t="s">
        <v>116</v>
      </c>
      <c r="B276" s="6"/>
      <c r="C276" s="6"/>
      <c r="D276" s="7">
        <v>529166.66666</v>
      </c>
      <c r="E276" s="7"/>
      <c r="F276" s="7">
        <f t="shared" si="37"/>
        <v>529166.66666</v>
      </c>
      <c r="G276" s="7">
        <v>367500</v>
      </c>
      <c r="H276" s="7"/>
      <c r="I276" s="7"/>
      <c r="J276" s="7">
        <f t="shared" si="38"/>
        <v>367500</v>
      </c>
      <c r="K276" s="7"/>
      <c r="L276" s="7"/>
      <c r="M276" s="7"/>
      <c r="N276" s="7">
        <f>395833.33333-21547.619</f>
        <v>374285.71433</v>
      </c>
      <c r="O276" s="7"/>
      <c r="P276" s="7">
        <f t="shared" si="39"/>
        <v>374285.71433</v>
      </c>
      <c r="IB276" s="53"/>
      <c r="IC276" s="53"/>
      <c r="ID276" s="53"/>
      <c r="IE276" s="53"/>
      <c r="IF276" s="53"/>
      <c r="IG276" s="53"/>
    </row>
    <row r="277" spans="1:241" s="25" customFormat="1" ht="12" customHeight="1">
      <c r="A277" s="5" t="s">
        <v>6</v>
      </c>
      <c r="B277" s="37"/>
      <c r="C277" s="37"/>
      <c r="D277" s="30"/>
      <c r="E277" s="30"/>
      <c r="F277" s="7"/>
      <c r="G277" s="30"/>
      <c r="H277" s="30"/>
      <c r="I277" s="7"/>
      <c r="J277" s="7"/>
      <c r="K277" s="7"/>
      <c r="L277" s="7"/>
      <c r="M277" s="7"/>
      <c r="N277" s="30"/>
      <c r="O277" s="30"/>
      <c r="P277" s="7"/>
      <c r="IB277" s="53"/>
      <c r="IC277" s="53"/>
      <c r="ID277" s="53"/>
      <c r="IE277" s="53"/>
      <c r="IF277" s="53"/>
      <c r="IG277" s="53"/>
    </row>
    <row r="278" spans="1:241" s="25" customFormat="1" ht="32.25" customHeight="1">
      <c r="A278" s="8" t="s">
        <v>184</v>
      </c>
      <c r="B278" s="6"/>
      <c r="C278" s="6"/>
      <c r="D278" s="7">
        <f>200000/77</f>
        <v>2597.4025974025976</v>
      </c>
      <c r="E278" s="7"/>
      <c r="F278" s="7">
        <f t="shared" si="37"/>
        <v>2597.4025974025976</v>
      </c>
      <c r="G278" s="7">
        <v>3125</v>
      </c>
      <c r="H278" s="7"/>
      <c r="I278" s="7"/>
      <c r="J278" s="7">
        <f t="shared" si="38"/>
        <v>3125</v>
      </c>
      <c r="K278" s="7"/>
      <c r="L278" s="7"/>
      <c r="M278" s="7"/>
      <c r="N278" s="7">
        <f>300000/90</f>
        <v>3333.3333333333335</v>
      </c>
      <c r="O278" s="7"/>
      <c r="P278" s="7">
        <f t="shared" si="39"/>
        <v>3333.3333333333335</v>
      </c>
      <c r="IB278" s="53"/>
      <c r="IC278" s="53"/>
      <c r="ID278" s="53"/>
      <c r="IE278" s="53"/>
      <c r="IF278" s="53"/>
      <c r="IG278" s="53"/>
    </row>
    <row r="279" spans="1:241" s="25" customFormat="1" ht="11.25">
      <c r="A279" s="5" t="s">
        <v>6</v>
      </c>
      <c r="B279" s="6"/>
      <c r="C279" s="6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IB279" s="53"/>
      <c r="IC279" s="53"/>
      <c r="ID279" s="53"/>
      <c r="IE279" s="53"/>
      <c r="IF279" s="53"/>
      <c r="IG279" s="53"/>
    </row>
    <row r="280" spans="1:241" s="25" customFormat="1" ht="33.75">
      <c r="A280" s="8" t="s">
        <v>117</v>
      </c>
      <c r="B280" s="6"/>
      <c r="C280" s="6"/>
      <c r="D280" s="7"/>
      <c r="E280" s="7"/>
      <c r="F280" s="7">
        <f t="shared" si="37"/>
        <v>0</v>
      </c>
      <c r="G280" s="7">
        <f>G275/F275*100</f>
        <v>117.2454964845519</v>
      </c>
      <c r="H280" s="7"/>
      <c r="I280" s="7"/>
      <c r="J280" s="7">
        <f t="shared" si="38"/>
        <v>117.2454964845519</v>
      </c>
      <c r="K280" s="7"/>
      <c r="L280" s="7"/>
      <c r="M280" s="7"/>
      <c r="N280" s="7">
        <f>N275/J275*100</f>
        <v>113.76404494445933</v>
      </c>
      <c r="O280" s="7"/>
      <c r="P280" s="7">
        <f t="shared" si="39"/>
        <v>113.76404494445933</v>
      </c>
      <c r="IB280" s="53"/>
      <c r="IC280" s="53"/>
      <c r="ID280" s="53"/>
      <c r="IE280" s="53"/>
      <c r="IF280" s="53"/>
      <c r="IG280" s="53"/>
    </row>
    <row r="281" spans="1:241" s="25" customFormat="1" ht="33.75">
      <c r="A281" s="8" t="s">
        <v>118</v>
      </c>
      <c r="B281" s="6"/>
      <c r="C281" s="6"/>
      <c r="D281" s="7"/>
      <c r="E281" s="7"/>
      <c r="F281" s="7">
        <f t="shared" si="37"/>
        <v>0</v>
      </c>
      <c r="G281" s="7">
        <f>G276/D276*100</f>
        <v>69.44881889851274</v>
      </c>
      <c r="H281" s="7"/>
      <c r="I281" s="7"/>
      <c r="J281" s="7">
        <f t="shared" si="38"/>
        <v>69.44881889851274</v>
      </c>
      <c r="K281" s="7"/>
      <c r="L281" s="7"/>
      <c r="M281" s="7"/>
      <c r="N281" s="7">
        <f>N276/G276*100</f>
        <v>101.84645287891156</v>
      </c>
      <c r="O281" s="7"/>
      <c r="P281" s="7">
        <f t="shared" si="39"/>
        <v>101.84645287891156</v>
      </c>
      <c r="IB281" s="53"/>
      <c r="IC281" s="53"/>
      <c r="ID281" s="53"/>
      <c r="IE281" s="53"/>
      <c r="IF281" s="53"/>
      <c r="IG281" s="53"/>
    </row>
    <row r="282" spans="1:241" s="25" customFormat="1" ht="27" customHeight="1">
      <c r="A282" s="8" t="s">
        <v>222</v>
      </c>
      <c r="B282" s="6"/>
      <c r="C282" s="6"/>
      <c r="D282" s="7"/>
      <c r="E282" s="7"/>
      <c r="F282" s="7">
        <f t="shared" si="37"/>
        <v>0</v>
      </c>
      <c r="G282" s="7">
        <f>G278/D278*100</f>
        <v>120.3125</v>
      </c>
      <c r="H282" s="7"/>
      <c r="I282" s="7"/>
      <c r="J282" s="7">
        <f t="shared" si="38"/>
        <v>120.3125</v>
      </c>
      <c r="K282" s="7"/>
      <c r="L282" s="7"/>
      <c r="M282" s="7"/>
      <c r="N282" s="7">
        <f>N278/G278*100</f>
        <v>106.66666666666667</v>
      </c>
      <c r="O282" s="7"/>
      <c r="P282" s="7">
        <f t="shared" si="39"/>
        <v>106.66666666666667</v>
      </c>
      <c r="IB282" s="53"/>
      <c r="IC282" s="53"/>
      <c r="ID282" s="53"/>
      <c r="IE282" s="53"/>
      <c r="IF282" s="53"/>
      <c r="IG282" s="53"/>
    </row>
    <row r="283" spans="1:241" s="38" customFormat="1" ht="24" customHeight="1">
      <c r="A283" s="34" t="s">
        <v>379</v>
      </c>
      <c r="B283" s="35"/>
      <c r="C283" s="35"/>
      <c r="D283" s="36">
        <v>1000000</v>
      </c>
      <c r="E283" s="36"/>
      <c r="F283" s="36">
        <f>D283</f>
        <v>1000000</v>
      </c>
      <c r="G283" s="36">
        <v>1200000</v>
      </c>
      <c r="H283" s="36"/>
      <c r="I283" s="36"/>
      <c r="J283" s="36">
        <f>G283</f>
        <v>1200000</v>
      </c>
      <c r="K283" s="36">
        <f>(K285*K287)</f>
        <v>0</v>
      </c>
      <c r="L283" s="36">
        <f>(L285*L287)</f>
        <v>0</v>
      </c>
      <c r="M283" s="36">
        <f>(M285*M287)</f>
        <v>0</v>
      </c>
      <c r="N283" s="36">
        <v>1400000</v>
      </c>
      <c r="O283" s="36">
        <f>(O285*O287)</f>
        <v>0</v>
      </c>
      <c r="P283" s="36">
        <f>N283</f>
        <v>1400000</v>
      </c>
      <c r="IB283" s="39"/>
      <c r="IC283" s="39"/>
      <c r="ID283" s="39"/>
      <c r="IE283" s="39"/>
      <c r="IF283" s="39"/>
      <c r="IG283" s="39"/>
    </row>
    <row r="284" spans="1:241" s="25" customFormat="1" ht="11.25">
      <c r="A284" s="5" t="s">
        <v>5</v>
      </c>
      <c r="B284" s="6"/>
      <c r="C284" s="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IB284" s="53"/>
      <c r="IC284" s="53"/>
      <c r="ID284" s="53"/>
      <c r="IE284" s="53"/>
      <c r="IF284" s="53"/>
      <c r="IG284" s="53"/>
    </row>
    <row r="285" spans="1:241" s="25" customFormat="1" ht="33.75">
      <c r="A285" s="8" t="s">
        <v>245</v>
      </c>
      <c r="B285" s="6"/>
      <c r="C285" s="6"/>
      <c r="D285" s="7">
        <v>750</v>
      </c>
      <c r="E285" s="7"/>
      <c r="F285" s="7">
        <f>D285</f>
        <v>750</v>
      </c>
      <c r="G285" s="7">
        <v>700</v>
      </c>
      <c r="H285" s="7"/>
      <c r="I285" s="7"/>
      <c r="J285" s="7">
        <f>G285</f>
        <v>700</v>
      </c>
      <c r="K285" s="7"/>
      <c r="L285" s="7"/>
      <c r="M285" s="7"/>
      <c r="N285" s="7">
        <v>650</v>
      </c>
      <c r="O285" s="7"/>
      <c r="P285" s="7">
        <f>N285</f>
        <v>650</v>
      </c>
      <c r="IB285" s="53"/>
      <c r="IC285" s="53"/>
      <c r="ID285" s="53"/>
      <c r="IE285" s="53"/>
      <c r="IF285" s="53"/>
      <c r="IG285" s="53"/>
    </row>
    <row r="286" spans="1:241" s="25" customFormat="1" ht="11.25">
      <c r="A286" s="5" t="s">
        <v>7</v>
      </c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IB286" s="53"/>
      <c r="IC286" s="53"/>
      <c r="ID286" s="53"/>
      <c r="IE286" s="53"/>
      <c r="IF286" s="53"/>
      <c r="IG286" s="53"/>
    </row>
    <row r="287" spans="1:241" s="25" customFormat="1" ht="22.5" customHeight="1">
      <c r="A287" s="8" t="s">
        <v>246</v>
      </c>
      <c r="B287" s="6"/>
      <c r="C287" s="6"/>
      <c r="D287" s="7">
        <f>D283/D285</f>
        <v>1333.3333333333333</v>
      </c>
      <c r="E287" s="7"/>
      <c r="F287" s="7">
        <f>D287</f>
        <v>1333.3333333333333</v>
      </c>
      <c r="G287" s="7">
        <f>G283/G285</f>
        <v>1714.2857142857142</v>
      </c>
      <c r="H287" s="7"/>
      <c r="I287" s="7"/>
      <c r="J287" s="7">
        <f>G287</f>
        <v>1714.2857142857142</v>
      </c>
      <c r="K287" s="7"/>
      <c r="L287" s="7"/>
      <c r="M287" s="7"/>
      <c r="N287" s="7">
        <f>1400000/750</f>
        <v>1866.6666666666667</v>
      </c>
      <c r="O287" s="7"/>
      <c r="P287" s="7">
        <f>N287</f>
        <v>1866.6666666666667</v>
      </c>
      <c r="IB287" s="53"/>
      <c r="IC287" s="53"/>
      <c r="ID287" s="53"/>
      <c r="IE287" s="53"/>
      <c r="IF287" s="53"/>
      <c r="IG287" s="53"/>
    </row>
    <row r="288" spans="1:241" s="25" customFormat="1" ht="11.25">
      <c r="A288" s="5" t="s">
        <v>6</v>
      </c>
      <c r="B288" s="6"/>
      <c r="C288" s="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IB288" s="53"/>
      <c r="IC288" s="53"/>
      <c r="ID288" s="53"/>
      <c r="IE288" s="53"/>
      <c r="IF288" s="53"/>
      <c r="IG288" s="53"/>
    </row>
    <row r="289" spans="1:241" s="25" customFormat="1" ht="24" customHeight="1">
      <c r="A289" s="8" t="s">
        <v>178</v>
      </c>
      <c r="B289" s="6"/>
      <c r="C289" s="6"/>
      <c r="D289" s="7"/>
      <c r="E289" s="7"/>
      <c r="F289" s="7"/>
      <c r="G289" s="7">
        <f>G285/D285*100</f>
        <v>93.33333333333333</v>
      </c>
      <c r="H289" s="7"/>
      <c r="I289" s="7"/>
      <c r="J289" s="7">
        <f>G289</f>
        <v>93.33333333333333</v>
      </c>
      <c r="K289" s="7"/>
      <c r="L289" s="7"/>
      <c r="M289" s="7"/>
      <c r="N289" s="7">
        <f>N285/G285*100</f>
        <v>92.85714285714286</v>
      </c>
      <c r="O289" s="7"/>
      <c r="P289" s="7">
        <f>N289</f>
        <v>92.85714285714286</v>
      </c>
      <c r="IB289" s="53"/>
      <c r="IC289" s="53"/>
      <c r="ID289" s="53"/>
      <c r="IE289" s="53"/>
      <c r="IF289" s="53"/>
      <c r="IG289" s="53"/>
    </row>
    <row r="290" spans="1:241" s="25" customFormat="1" ht="31.5" customHeight="1">
      <c r="A290" s="8" t="s">
        <v>179</v>
      </c>
      <c r="B290" s="6"/>
      <c r="C290" s="6"/>
      <c r="D290" s="7"/>
      <c r="E290" s="7"/>
      <c r="F290" s="7"/>
      <c r="G290" s="7">
        <f>G287/D287*100</f>
        <v>128.57142857142858</v>
      </c>
      <c r="H290" s="7"/>
      <c r="I290" s="7"/>
      <c r="J290" s="7">
        <f>G290</f>
        <v>128.57142857142858</v>
      </c>
      <c r="K290" s="7"/>
      <c r="L290" s="7"/>
      <c r="M290" s="7"/>
      <c r="N290" s="7">
        <f>N287/G287*100</f>
        <v>108.8888888888889</v>
      </c>
      <c r="O290" s="7"/>
      <c r="P290" s="7">
        <f>N290</f>
        <v>108.8888888888889</v>
      </c>
      <c r="IB290" s="53"/>
      <c r="IC290" s="53"/>
      <c r="ID290" s="53"/>
      <c r="IE290" s="53"/>
      <c r="IF290" s="53"/>
      <c r="IG290" s="53"/>
    </row>
    <row r="291" spans="1:241" s="38" customFormat="1" ht="22.5" customHeight="1">
      <c r="A291" s="34" t="s">
        <v>380</v>
      </c>
      <c r="B291" s="35"/>
      <c r="C291" s="35"/>
      <c r="D291" s="36"/>
      <c r="E291" s="36">
        <f>11780000+5075000+152250</f>
        <v>17007250</v>
      </c>
      <c r="F291" s="36">
        <f>E291</f>
        <v>17007250</v>
      </c>
      <c r="G291" s="36">
        <f>G293*G295</f>
        <v>0</v>
      </c>
      <c r="H291" s="36">
        <f>12000000+6097000+185000+6401000+20000+500000+636000+670000</f>
        <v>26509000</v>
      </c>
      <c r="I291" s="36">
        <f>I293*I295</f>
        <v>0</v>
      </c>
      <c r="J291" s="36">
        <f>G291+H291</f>
        <v>26509000</v>
      </c>
      <c r="K291" s="36">
        <f>K293*K295</f>
        <v>0</v>
      </c>
      <c r="L291" s="36">
        <f>L293*L295</f>
        <v>0</v>
      </c>
      <c r="M291" s="36">
        <f>M293*M295</f>
        <v>0</v>
      </c>
      <c r="N291" s="36">
        <f>N293*N295</f>
        <v>0</v>
      </c>
      <c r="O291" s="36">
        <f>12100000-18000+O299+O300+O298</f>
        <v>24384783.759999998</v>
      </c>
      <c r="P291" s="36">
        <f>N291+O291</f>
        <v>24384783.759999998</v>
      </c>
      <c r="IB291" s="39"/>
      <c r="IC291" s="39"/>
      <c r="ID291" s="39"/>
      <c r="IE291" s="39"/>
      <c r="IF291" s="39"/>
      <c r="IG291" s="39"/>
    </row>
    <row r="292" spans="1:241" s="25" customFormat="1" ht="11.25">
      <c r="A292" s="5" t="s">
        <v>5</v>
      </c>
      <c r="B292" s="37"/>
      <c r="C292" s="37"/>
      <c r="D292" s="30"/>
      <c r="E292" s="30"/>
      <c r="F292" s="7"/>
      <c r="G292" s="30"/>
      <c r="H292" s="30"/>
      <c r="I292" s="30"/>
      <c r="J292" s="7"/>
      <c r="K292" s="7"/>
      <c r="L292" s="7"/>
      <c r="M292" s="7"/>
      <c r="N292" s="30"/>
      <c r="O292" s="30"/>
      <c r="P292" s="7"/>
      <c r="IB292" s="53"/>
      <c r="IC292" s="53"/>
      <c r="ID292" s="53"/>
      <c r="IE292" s="53"/>
      <c r="IF292" s="53"/>
      <c r="IG292" s="53"/>
    </row>
    <row r="293" spans="1:241" s="25" customFormat="1" ht="21.75" customHeight="1">
      <c r="A293" s="8" t="s">
        <v>119</v>
      </c>
      <c r="B293" s="6"/>
      <c r="C293" s="6"/>
      <c r="D293" s="7"/>
      <c r="E293" s="7">
        <f>20+6</f>
        <v>26</v>
      </c>
      <c r="F293" s="7">
        <f>E293</f>
        <v>26</v>
      </c>
      <c r="G293" s="7"/>
      <c r="H293" s="7">
        <v>18</v>
      </c>
      <c r="I293" s="7"/>
      <c r="J293" s="7">
        <f>G293+H293</f>
        <v>18</v>
      </c>
      <c r="K293" s="7"/>
      <c r="L293" s="7"/>
      <c r="M293" s="7"/>
      <c r="N293" s="7"/>
      <c r="O293" s="7">
        <v>15</v>
      </c>
      <c r="P293" s="7">
        <f>O293</f>
        <v>15</v>
      </c>
      <c r="IB293" s="53"/>
      <c r="IC293" s="53"/>
      <c r="ID293" s="53"/>
      <c r="IE293" s="53"/>
      <c r="IF293" s="53"/>
      <c r="IG293" s="53"/>
    </row>
    <row r="294" spans="1:241" s="25" customFormat="1" ht="11.25">
      <c r="A294" s="5" t="s">
        <v>7</v>
      </c>
      <c r="B294" s="37"/>
      <c r="C294" s="37"/>
      <c r="D294" s="30"/>
      <c r="E294" s="30"/>
      <c r="F294" s="7"/>
      <c r="G294" s="30"/>
      <c r="H294" s="30"/>
      <c r="I294" s="30"/>
      <c r="J294" s="7"/>
      <c r="K294" s="7"/>
      <c r="L294" s="7"/>
      <c r="M294" s="7"/>
      <c r="N294" s="30"/>
      <c r="O294" s="30"/>
      <c r="P294" s="7"/>
      <c r="IB294" s="53"/>
      <c r="IC294" s="53"/>
      <c r="ID294" s="53"/>
      <c r="IE294" s="53"/>
      <c r="IF294" s="53"/>
      <c r="IG294" s="53"/>
    </row>
    <row r="295" spans="1:241" s="25" customFormat="1" ht="23.25" customHeight="1">
      <c r="A295" s="8" t="s">
        <v>120</v>
      </c>
      <c r="B295" s="6"/>
      <c r="C295" s="6"/>
      <c r="D295" s="7"/>
      <c r="E295" s="7">
        <f>E291/E293</f>
        <v>654125</v>
      </c>
      <c r="F295" s="7">
        <f>E295</f>
        <v>654125</v>
      </c>
      <c r="G295" s="7"/>
      <c r="H295" s="7">
        <f>H291/H293</f>
        <v>1472722.2222222222</v>
      </c>
      <c r="I295" s="7"/>
      <c r="J295" s="7">
        <f>G295+H295</f>
        <v>1472722.2222222222</v>
      </c>
      <c r="K295" s="7"/>
      <c r="L295" s="7"/>
      <c r="M295" s="7"/>
      <c r="N295" s="7"/>
      <c r="O295" s="7">
        <f>O291/O293</f>
        <v>1625652.2506666665</v>
      </c>
      <c r="P295" s="7">
        <f>O295</f>
        <v>1625652.2506666665</v>
      </c>
      <c r="IB295" s="53"/>
      <c r="IC295" s="53"/>
      <c r="ID295" s="53"/>
      <c r="IE295" s="53"/>
      <c r="IF295" s="53"/>
      <c r="IG295" s="53"/>
    </row>
    <row r="296" spans="1:241" s="25" customFormat="1" ht="11.25">
      <c r="A296" s="5" t="s">
        <v>6</v>
      </c>
      <c r="B296" s="6"/>
      <c r="C296" s="6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IB296" s="53"/>
      <c r="IC296" s="53"/>
      <c r="ID296" s="53"/>
      <c r="IE296" s="53"/>
      <c r="IF296" s="53"/>
      <c r="IG296" s="53"/>
    </row>
    <row r="297" spans="1:241" s="25" customFormat="1" ht="35.25" customHeight="1">
      <c r="A297" s="8" t="s">
        <v>121</v>
      </c>
      <c r="B297" s="6"/>
      <c r="C297" s="6"/>
      <c r="D297" s="7"/>
      <c r="E297" s="7">
        <v>0</v>
      </c>
      <c r="F297" s="7">
        <v>0</v>
      </c>
      <c r="G297" s="7"/>
      <c r="H297" s="7">
        <f>H295/E295*100</f>
        <v>225.1438520500244</v>
      </c>
      <c r="I297" s="7"/>
      <c r="J297" s="7">
        <f>G297+H297</f>
        <v>225.1438520500244</v>
      </c>
      <c r="K297" s="7"/>
      <c r="L297" s="7"/>
      <c r="M297" s="7"/>
      <c r="N297" s="7"/>
      <c r="O297" s="7">
        <f>O295/H295*100</f>
        <v>110.38417334490171</v>
      </c>
      <c r="P297" s="7">
        <f>O297</f>
        <v>110.38417334490171</v>
      </c>
      <c r="IB297" s="53"/>
      <c r="IC297" s="53"/>
      <c r="ID297" s="53"/>
      <c r="IE297" s="53"/>
      <c r="IF297" s="53"/>
      <c r="IG297" s="53"/>
    </row>
    <row r="298" spans="1:241" s="25" customFormat="1" ht="22.5" customHeight="1">
      <c r="A298" s="8" t="s">
        <v>454</v>
      </c>
      <c r="B298" s="6"/>
      <c r="C298" s="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>
        <v>11500000</v>
      </c>
      <c r="P298" s="7">
        <v>11500000</v>
      </c>
      <c r="IB298" s="53"/>
      <c r="IC298" s="53"/>
      <c r="ID298" s="53"/>
      <c r="IE298" s="53"/>
      <c r="IF298" s="53"/>
      <c r="IG298" s="53"/>
    </row>
    <row r="299" spans="1:241" s="25" customFormat="1" ht="17.25" customHeight="1">
      <c r="A299" s="8" t="s">
        <v>393</v>
      </c>
      <c r="B299" s="6"/>
      <c r="C299" s="6"/>
      <c r="D299" s="7"/>
      <c r="E299" s="7">
        <v>5075000</v>
      </c>
      <c r="F299" s="7">
        <f>E299</f>
        <v>5075000</v>
      </c>
      <c r="G299" s="7"/>
      <c r="H299" s="7">
        <f>0+6097000+6401000+20000+500000+636000+670000</f>
        <v>14324000</v>
      </c>
      <c r="I299" s="7"/>
      <c r="J299" s="7">
        <f>H299</f>
        <v>14324000</v>
      </c>
      <c r="K299" s="7"/>
      <c r="L299" s="7"/>
      <c r="M299" s="7"/>
      <c r="N299" s="7"/>
      <c r="O299" s="7">
        <v>784783.76</v>
      </c>
      <c r="P299" s="7">
        <f>N299+O299</f>
        <v>784783.76</v>
      </c>
      <c r="IB299" s="53"/>
      <c r="IC299" s="53"/>
      <c r="ID299" s="53"/>
      <c r="IE299" s="53"/>
      <c r="IF299" s="53"/>
      <c r="IG299" s="53"/>
    </row>
    <row r="300" spans="1:241" s="25" customFormat="1" ht="20.25" customHeight="1">
      <c r="A300" s="8" t="s">
        <v>394</v>
      </c>
      <c r="B300" s="6"/>
      <c r="C300" s="6"/>
      <c r="D300" s="7"/>
      <c r="E300" s="7">
        <v>152250</v>
      </c>
      <c r="F300" s="7">
        <f>E300</f>
        <v>152250</v>
      </c>
      <c r="G300" s="7"/>
      <c r="H300" s="7">
        <f>0+185000+15000</f>
        <v>200000</v>
      </c>
      <c r="I300" s="7"/>
      <c r="J300" s="7">
        <f>H300</f>
        <v>200000</v>
      </c>
      <c r="K300" s="7"/>
      <c r="L300" s="7"/>
      <c r="M300" s="7"/>
      <c r="N300" s="7"/>
      <c r="O300" s="7">
        <v>18000</v>
      </c>
      <c r="P300" s="7">
        <f>N300+O300</f>
        <v>18000</v>
      </c>
      <c r="IB300" s="53"/>
      <c r="IC300" s="53"/>
      <c r="ID300" s="53"/>
      <c r="IE300" s="53"/>
      <c r="IF300" s="53"/>
      <c r="IG300" s="53"/>
    </row>
    <row r="301" spans="1:16" ht="15" customHeight="1">
      <c r="A301" s="37" t="s">
        <v>352</v>
      </c>
      <c r="B301" s="37"/>
      <c r="C301" s="37"/>
      <c r="D301" s="30"/>
      <c r="E301" s="30">
        <f aca="true" t="shared" si="40" ref="E301:N301">E303+E317+E332</f>
        <v>76757323</v>
      </c>
      <c r="F301" s="30">
        <f t="shared" si="40"/>
        <v>76757323</v>
      </c>
      <c r="G301" s="30">
        <f t="shared" si="40"/>
        <v>0</v>
      </c>
      <c r="H301" s="30">
        <f>H303+H317+H332</f>
        <v>83062199.9975</v>
      </c>
      <c r="I301" s="30">
        <f t="shared" si="40"/>
        <v>742600</v>
      </c>
      <c r="J301" s="30">
        <f t="shared" si="40"/>
        <v>83062199.9975</v>
      </c>
      <c r="K301" s="30">
        <f t="shared" si="40"/>
        <v>10668.66666388889</v>
      </c>
      <c r="L301" s="30">
        <f t="shared" si="40"/>
        <v>2</v>
      </c>
      <c r="M301" s="30">
        <f t="shared" si="40"/>
        <v>2</v>
      </c>
      <c r="N301" s="30">
        <f>N303+N317+N332+N339</f>
        <v>2000000</v>
      </c>
      <c r="O301" s="30">
        <f>O303+O317+O332+O315+O316-O332</f>
        <v>70152636.62200001</v>
      </c>
      <c r="P301" s="30">
        <f>P303+P317+P332+P315+P316-P332+P339</f>
        <v>72152636.62200001</v>
      </c>
    </row>
    <row r="302" spans="1:16" ht="56.25" customHeight="1">
      <c r="A302" s="34" t="s">
        <v>122</v>
      </c>
      <c r="B302" s="6"/>
      <c r="C302" s="6"/>
      <c r="D302" s="7"/>
      <c r="E302" s="36"/>
      <c r="F302" s="36"/>
      <c r="G302" s="7"/>
      <c r="H302" s="36"/>
      <c r="I302" s="36"/>
      <c r="J302" s="36"/>
      <c r="K302" s="7" t="e">
        <f>H302/E302*100</f>
        <v>#DIV/0!</v>
      </c>
      <c r="L302" s="36"/>
      <c r="M302" s="36"/>
      <c r="N302" s="7"/>
      <c r="O302" s="36"/>
      <c r="P302" s="36"/>
    </row>
    <row r="303" spans="1:16" ht="22.5" customHeight="1">
      <c r="A303" s="34" t="s">
        <v>127</v>
      </c>
      <c r="B303" s="6"/>
      <c r="C303" s="6"/>
      <c r="D303" s="7"/>
      <c r="E303" s="36">
        <f>E304</f>
        <v>55957320</v>
      </c>
      <c r="F303" s="36">
        <f>D303+E303</f>
        <v>55957320</v>
      </c>
      <c r="G303" s="36"/>
      <c r="H303" s="36">
        <f>H304</f>
        <v>62659599.997499995</v>
      </c>
      <c r="I303" s="36"/>
      <c r="J303" s="36">
        <f>G303+H303</f>
        <v>62659599.997499995</v>
      </c>
      <c r="K303" s="36">
        <f>K304+K318+K325</f>
        <v>10667.66666388889</v>
      </c>
      <c r="L303" s="36">
        <f>L304+L318+L325</f>
        <v>1</v>
      </c>
      <c r="M303" s="36">
        <f>M304+M318+M325</f>
        <v>1</v>
      </c>
      <c r="N303" s="36"/>
      <c r="O303" s="36">
        <f>O304</f>
        <v>49999233.691999994</v>
      </c>
      <c r="P303" s="36">
        <f>N303+O303</f>
        <v>49999233.691999994</v>
      </c>
    </row>
    <row r="304" spans="1:235" s="39" customFormat="1" ht="22.5">
      <c r="A304" s="34" t="s">
        <v>381</v>
      </c>
      <c r="B304" s="35"/>
      <c r="C304" s="35"/>
      <c r="D304" s="36"/>
      <c r="E304" s="145">
        <f>(E308*E310)+E314+E315+E316</f>
        <v>55957320</v>
      </c>
      <c r="F304" s="36">
        <f>E304</f>
        <v>55957320</v>
      </c>
      <c r="G304" s="36"/>
      <c r="H304" s="36">
        <f>H308*H310+0.01+5339300+4663300+4487000+990000+295000-1115000</f>
        <v>62659599.997499995</v>
      </c>
      <c r="I304" s="36"/>
      <c r="J304" s="36">
        <f>H304</f>
        <v>62659599.997499995</v>
      </c>
      <c r="K304" s="36">
        <f>K308*K310</f>
        <v>10666.66666388889</v>
      </c>
      <c r="L304" s="36">
        <f>L308*L310</f>
        <v>0</v>
      </c>
      <c r="M304" s="36">
        <f>M308*M310</f>
        <v>0</v>
      </c>
      <c r="N304" s="36"/>
      <c r="O304" s="36">
        <f>O308*O310+0.01-766.31</f>
        <v>49999233.691999994</v>
      </c>
      <c r="P304" s="36">
        <f>N304+O304</f>
        <v>49999233.691999994</v>
      </c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  <c r="CS304" s="38"/>
      <c r="CT304" s="38"/>
      <c r="CU304" s="38"/>
      <c r="CV304" s="38"/>
      <c r="CW304" s="38"/>
      <c r="CX304" s="38"/>
      <c r="CY304" s="38"/>
      <c r="CZ304" s="38"/>
      <c r="DA304" s="38"/>
      <c r="DB304" s="38"/>
      <c r="DC304" s="38"/>
      <c r="DD304" s="38"/>
      <c r="DE304" s="38"/>
      <c r="DF304" s="38"/>
      <c r="DG304" s="38"/>
      <c r="DH304" s="38"/>
      <c r="DI304" s="38"/>
      <c r="DJ304" s="38"/>
      <c r="DK304" s="38"/>
      <c r="DL304" s="38"/>
      <c r="DM304" s="38"/>
      <c r="DN304" s="38"/>
      <c r="DO304" s="38"/>
      <c r="DP304" s="38"/>
      <c r="DQ304" s="38"/>
      <c r="DR304" s="38"/>
      <c r="DS304" s="38"/>
      <c r="DT304" s="38"/>
      <c r="DU304" s="38"/>
      <c r="DV304" s="38"/>
      <c r="DW304" s="38"/>
      <c r="DX304" s="38"/>
      <c r="DY304" s="38"/>
      <c r="DZ304" s="38"/>
      <c r="EA304" s="38"/>
      <c r="EB304" s="38"/>
      <c r="EC304" s="38"/>
      <c r="ED304" s="38"/>
      <c r="EE304" s="38"/>
      <c r="EF304" s="38"/>
      <c r="EG304" s="38"/>
      <c r="EH304" s="38"/>
      <c r="EI304" s="38"/>
      <c r="EJ304" s="38"/>
      <c r="EK304" s="38"/>
      <c r="EL304" s="38"/>
      <c r="EM304" s="38"/>
      <c r="EN304" s="38"/>
      <c r="EO304" s="38"/>
      <c r="EP304" s="38"/>
      <c r="EQ304" s="38"/>
      <c r="ER304" s="38"/>
      <c r="ES304" s="38"/>
      <c r="ET304" s="38"/>
      <c r="EU304" s="38"/>
      <c r="EV304" s="38"/>
      <c r="EW304" s="38"/>
      <c r="EX304" s="38"/>
      <c r="EY304" s="38"/>
      <c r="EZ304" s="38"/>
      <c r="FA304" s="38"/>
      <c r="FB304" s="38"/>
      <c r="FC304" s="38"/>
      <c r="FD304" s="38"/>
      <c r="FE304" s="38"/>
      <c r="FF304" s="38"/>
      <c r="FG304" s="38"/>
      <c r="FH304" s="38"/>
      <c r="FI304" s="38"/>
      <c r="FJ304" s="38"/>
      <c r="FK304" s="38"/>
      <c r="FL304" s="38"/>
      <c r="FM304" s="38"/>
      <c r="FN304" s="38"/>
      <c r="FO304" s="38"/>
      <c r="FP304" s="38"/>
      <c r="FQ304" s="38"/>
      <c r="FR304" s="38"/>
      <c r="FS304" s="38"/>
      <c r="FT304" s="38"/>
      <c r="FU304" s="38"/>
      <c r="FV304" s="38"/>
      <c r="FW304" s="38"/>
      <c r="FX304" s="38"/>
      <c r="FY304" s="38"/>
      <c r="FZ304" s="38"/>
      <c r="GA304" s="38"/>
      <c r="GB304" s="38"/>
      <c r="GC304" s="38"/>
      <c r="GD304" s="38"/>
      <c r="GE304" s="38"/>
      <c r="GF304" s="38"/>
      <c r="GG304" s="38"/>
      <c r="GH304" s="38"/>
      <c r="GI304" s="38"/>
      <c r="GJ304" s="38"/>
      <c r="GK304" s="38"/>
      <c r="GL304" s="38"/>
      <c r="GM304" s="38"/>
      <c r="GN304" s="38"/>
      <c r="GO304" s="38"/>
      <c r="GP304" s="38"/>
      <c r="GQ304" s="38"/>
      <c r="GR304" s="38"/>
      <c r="GS304" s="38"/>
      <c r="GT304" s="38"/>
      <c r="GU304" s="38"/>
      <c r="GV304" s="38"/>
      <c r="GW304" s="38"/>
      <c r="GX304" s="38"/>
      <c r="GY304" s="38"/>
      <c r="GZ304" s="38"/>
      <c r="HA304" s="38"/>
      <c r="HB304" s="38"/>
      <c r="HC304" s="38"/>
      <c r="HD304" s="38"/>
      <c r="HE304" s="38"/>
      <c r="HF304" s="38"/>
      <c r="HG304" s="38"/>
      <c r="HH304" s="38"/>
      <c r="HI304" s="38"/>
      <c r="HJ304" s="38"/>
      <c r="HK304" s="38"/>
      <c r="HL304" s="38"/>
      <c r="HM304" s="38"/>
      <c r="HN304" s="38"/>
      <c r="HO304" s="38"/>
      <c r="HP304" s="38"/>
      <c r="HQ304" s="38"/>
      <c r="HR304" s="38"/>
      <c r="HS304" s="38"/>
      <c r="HT304" s="38"/>
      <c r="HU304" s="38"/>
      <c r="HV304" s="38"/>
      <c r="HW304" s="38"/>
      <c r="HX304" s="38"/>
      <c r="HY304" s="38"/>
      <c r="HZ304" s="38"/>
      <c r="IA304" s="38"/>
    </row>
    <row r="305" spans="1:16" ht="11.25">
      <c r="A305" s="5" t="s">
        <v>4</v>
      </c>
      <c r="B305" s="37"/>
      <c r="C305" s="37"/>
      <c r="D305" s="7"/>
      <c r="E305" s="36"/>
      <c r="F305" s="36"/>
      <c r="G305" s="7"/>
      <c r="H305" s="36"/>
      <c r="I305" s="36"/>
      <c r="J305" s="36"/>
      <c r="K305" s="7"/>
      <c r="L305" s="36"/>
      <c r="M305" s="36"/>
      <c r="N305" s="7"/>
      <c r="O305" s="36"/>
      <c r="P305" s="36"/>
    </row>
    <row r="306" spans="1:16" ht="22.5">
      <c r="A306" s="8" t="s">
        <v>123</v>
      </c>
      <c r="B306" s="6"/>
      <c r="C306" s="6"/>
      <c r="D306" s="7"/>
      <c r="E306" s="7">
        <v>1072</v>
      </c>
      <c r="F306" s="7">
        <f>E306</f>
        <v>1072</v>
      </c>
      <c r="G306" s="7"/>
      <c r="H306" s="7">
        <v>892</v>
      </c>
      <c r="I306" s="7"/>
      <c r="J306" s="7">
        <f>H306</f>
        <v>892</v>
      </c>
      <c r="K306" s="7"/>
      <c r="L306" s="36"/>
      <c r="M306" s="36"/>
      <c r="N306" s="7"/>
      <c r="O306" s="7">
        <v>617</v>
      </c>
      <c r="P306" s="7">
        <f>O306</f>
        <v>617</v>
      </c>
    </row>
    <row r="307" spans="1:16" ht="11.25">
      <c r="A307" s="5" t="s">
        <v>5</v>
      </c>
      <c r="B307" s="37"/>
      <c r="C307" s="37"/>
      <c r="D307" s="7"/>
      <c r="E307" s="30"/>
      <c r="F307" s="30"/>
      <c r="G307" s="7"/>
      <c r="H307" s="30"/>
      <c r="I307" s="30"/>
      <c r="J307" s="30"/>
      <c r="K307" s="7" t="e">
        <f>H307/E307*100</f>
        <v>#DIV/0!</v>
      </c>
      <c r="L307" s="30"/>
      <c r="M307" s="30"/>
      <c r="N307" s="7"/>
      <c r="O307" s="30"/>
      <c r="P307" s="30"/>
    </row>
    <row r="308" spans="1:16" ht="22.5">
      <c r="A308" s="8" t="s">
        <v>124</v>
      </c>
      <c r="B308" s="6"/>
      <c r="C308" s="6"/>
      <c r="D308" s="7"/>
      <c r="E308" s="7">
        <v>180</v>
      </c>
      <c r="F308" s="7">
        <f>E308</f>
        <v>180</v>
      </c>
      <c r="G308" s="7"/>
      <c r="H308" s="7">
        <v>275</v>
      </c>
      <c r="I308" s="7"/>
      <c r="J308" s="7">
        <f>H308</f>
        <v>275</v>
      </c>
      <c r="K308" s="7">
        <f>H308/E308*100</f>
        <v>152.77777777777777</v>
      </c>
      <c r="L308" s="7"/>
      <c r="M308" s="7"/>
      <c r="N308" s="7"/>
      <c r="O308" s="7">
        <v>240</v>
      </c>
      <c r="P308" s="7">
        <f>O308</f>
        <v>240</v>
      </c>
    </row>
    <row r="309" spans="1:16" ht="11.25">
      <c r="A309" s="5" t="s">
        <v>7</v>
      </c>
      <c r="B309" s="37"/>
      <c r="C309" s="37"/>
      <c r="D309" s="7"/>
      <c r="E309" s="30"/>
      <c r="F309" s="30"/>
      <c r="G309" s="7"/>
      <c r="H309" s="30"/>
      <c r="I309" s="30"/>
      <c r="J309" s="30"/>
      <c r="K309" s="7" t="e">
        <f>H309/E309*100</f>
        <v>#DIV/0!</v>
      </c>
      <c r="L309" s="30"/>
      <c r="M309" s="30"/>
      <c r="N309" s="7"/>
      <c r="O309" s="30"/>
      <c r="P309" s="30"/>
    </row>
    <row r="310" spans="1:16" ht="24" customHeight="1">
      <c r="A310" s="8" t="s">
        <v>125</v>
      </c>
      <c r="B310" s="6"/>
      <c r="C310" s="6"/>
      <c r="D310" s="7"/>
      <c r="E310" s="7">
        <v>250000</v>
      </c>
      <c r="F310" s="7">
        <f>E310</f>
        <v>250000</v>
      </c>
      <c r="G310" s="7"/>
      <c r="H310" s="7">
        <v>174545.4545</v>
      </c>
      <c r="I310" s="7"/>
      <c r="J310" s="7">
        <f>H310</f>
        <v>174545.4545</v>
      </c>
      <c r="K310" s="7">
        <f>H310/E310*100</f>
        <v>69.8181818</v>
      </c>
      <c r="L310" s="7"/>
      <c r="M310" s="7"/>
      <c r="N310" s="7"/>
      <c r="O310" s="7">
        <v>208333.3333</v>
      </c>
      <c r="P310" s="7">
        <f>O310</f>
        <v>208333.3333</v>
      </c>
    </row>
    <row r="311" spans="1:16" ht="11.25">
      <c r="A311" s="5" t="s">
        <v>6</v>
      </c>
      <c r="B311" s="37"/>
      <c r="C311" s="3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50.25" customHeight="1">
      <c r="A312" s="8" t="s">
        <v>126</v>
      </c>
      <c r="B312" s="6"/>
      <c r="C312" s="6"/>
      <c r="D312" s="7"/>
      <c r="E312" s="7">
        <f>E308/E306*100</f>
        <v>16.791044776119403</v>
      </c>
      <c r="F312" s="7">
        <f>D312+E312</f>
        <v>16.791044776119403</v>
      </c>
      <c r="G312" s="7"/>
      <c r="H312" s="7">
        <f>H308/H306*100</f>
        <v>30.829596412556054</v>
      </c>
      <c r="I312" s="7"/>
      <c r="J312" s="7">
        <f>J308/J306*100</f>
        <v>30.829596412556054</v>
      </c>
      <c r="K312" s="7" t="e">
        <f>K308/K306*100</f>
        <v>#DIV/0!</v>
      </c>
      <c r="L312" s="7" t="e">
        <f>L308/L306*100</f>
        <v>#DIV/0!</v>
      </c>
      <c r="M312" s="7" t="e">
        <f>M308/M306*100</f>
        <v>#DIV/0!</v>
      </c>
      <c r="N312" s="7"/>
      <c r="O312" s="7">
        <f>O308/O306*100</f>
        <v>38.897893030794165</v>
      </c>
      <c r="P312" s="7">
        <f>P308/P306*100</f>
        <v>38.897893030794165</v>
      </c>
    </row>
    <row r="313" spans="1:16" ht="11.25">
      <c r="A313" s="5" t="s">
        <v>5</v>
      </c>
      <c r="B313" s="35"/>
      <c r="C313" s="35"/>
      <c r="D313" s="7"/>
      <c r="E313" s="36"/>
      <c r="F313" s="36"/>
      <c r="G313" s="7"/>
      <c r="H313" s="36"/>
      <c r="I313" s="36"/>
      <c r="J313" s="36"/>
      <c r="K313" s="36"/>
      <c r="L313" s="36"/>
      <c r="M313" s="36"/>
      <c r="N313" s="7"/>
      <c r="O313" s="36"/>
      <c r="P313" s="36"/>
    </row>
    <row r="314" spans="1:16" ht="33.75">
      <c r="A314" s="8" t="s">
        <v>276</v>
      </c>
      <c r="B314" s="37"/>
      <c r="C314" s="37"/>
      <c r="D314" s="30"/>
      <c r="E314" s="7">
        <v>160000</v>
      </c>
      <c r="F314" s="7">
        <v>160000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11.25">
      <c r="A315" s="8" t="s">
        <v>353</v>
      </c>
      <c r="B315" s="37"/>
      <c r="C315" s="37"/>
      <c r="D315" s="30"/>
      <c r="E315" s="7">
        <f>1522000+8354000</f>
        <v>9876000</v>
      </c>
      <c r="F315" s="7">
        <f>E315</f>
        <v>9876000</v>
      </c>
      <c r="G315" s="7"/>
      <c r="H315" s="7">
        <f>0+5339300+4663300+4487000+990000+295000</f>
        <v>15774600</v>
      </c>
      <c r="I315" s="7"/>
      <c r="J315" s="7">
        <f>G315+H315</f>
        <v>15774600</v>
      </c>
      <c r="K315" s="7"/>
      <c r="L315" s="7"/>
      <c r="M315" s="7"/>
      <c r="N315" s="7"/>
      <c r="O315" s="7">
        <v>152636.62</v>
      </c>
      <c r="P315" s="7">
        <f>N315+O315</f>
        <v>152636.62</v>
      </c>
    </row>
    <row r="316" spans="1:16" ht="22.5">
      <c r="A316" s="8" t="s">
        <v>364</v>
      </c>
      <c r="B316" s="37"/>
      <c r="C316" s="37"/>
      <c r="D316" s="30"/>
      <c r="E316" s="7">
        <f>245700+675620</f>
        <v>921320</v>
      </c>
      <c r="F316" s="7">
        <f>E316</f>
        <v>921320</v>
      </c>
      <c r="G316" s="7"/>
      <c r="H316" s="7">
        <f>0+192200</f>
        <v>192200</v>
      </c>
      <c r="I316" s="7"/>
      <c r="J316" s="7">
        <f>G316+H316</f>
        <v>192200</v>
      </c>
      <c r="K316" s="7"/>
      <c r="L316" s="7"/>
      <c r="M316" s="7"/>
      <c r="N316" s="7"/>
      <c r="O316" s="7">
        <v>766.31</v>
      </c>
      <c r="P316" s="7">
        <f>N316+O316</f>
        <v>766.31</v>
      </c>
    </row>
    <row r="317" spans="1:235" s="39" customFormat="1" ht="36" customHeight="1">
      <c r="A317" s="34" t="s">
        <v>338</v>
      </c>
      <c r="B317" s="35"/>
      <c r="C317" s="35"/>
      <c r="D317" s="36"/>
      <c r="E317" s="36">
        <f>SUM(E318)+E325</f>
        <v>20000000</v>
      </c>
      <c r="F317" s="36">
        <f aca="true" t="shared" si="41" ref="F317:P317">SUM(F318)+F325</f>
        <v>20000000</v>
      </c>
      <c r="G317" s="36">
        <f t="shared" si="41"/>
        <v>0</v>
      </c>
      <c r="H317" s="36">
        <f>SUM(H318)+H325</f>
        <v>19660000</v>
      </c>
      <c r="I317" s="36">
        <f t="shared" si="41"/>
        <v>0</v>
      </c>
      <c r="J317" s="36">
        <f t="shared" si="41"/>
        <v>19660000</v>
      </c>
      <c r="K317" s="36">
        <f t="shared" si="41"/>
        <v>1</v>
      </c>
      <c r="L317" s="36">
        <f t="shared" si="41"/>
        <v>1</v>
      </c>
      <c r="M317" s="36">
        <f t="shared" si="41"/>
        <v>1</v>
      </c>
      <c r="N317" s="36">
        <f t="shared" si="41"/>
        <v>0</v>
      </c>
      <c r="O317" s="36">
        <f t="shared" si="41"/>
        <v>20000000</v>
      </c>
      <c r="P317" s="36">
        <f t="shared" si="41"/>
        <v>20000000</v>
      </c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  <c r="FH317" s="38"/>
      <c r="FI317" s="38"/>
      <c r="FJ317" s="38"/>
      <c r="FK317" s="38"/>
      <c r="FL317" s="38"/>
      <c r="FM317" s="38"/>
      <c r="FN317" s="38"/>
      <c r="FO317" s="38"/>
      <c r="FP317" s="38"/>
      <c r="FQ317" s="38"/>
      <c r="FR317" s="38"/>
      <c r="FS317" s="38"/>
      <c r="FT317" s="38"/>
      <c r="FU317" s="38"/>
      <c r="FV317" s="38"/>
      <c r="FW317" s="38"/>
      <c r="FX317" s="38"/>
      <c r="FY317" s="38"/>
      <c r="FZ317" s="38"/>
      <c r="GA317" s="38"/>
      <c r="GB317" s="38"/>
      <c r="GC317" s="38"/>
      <c r="GD317" s="38"/>
      <c r="GE317" s="38"/>
      <c r="GF317" s="38"/>
      <c r="GG317" s="38"/>
      <c r="GH317" s="38"/>
      <c r="GI317" s="38"/>
      <c r="GJ317" s="38"/>
      <c r="GK317" s="38"/>
      <c r="GL317" s="38"/>
      <c r="GM317" s="38"/>
      <c r="GN317" s="38"/>
      <c r="GO317" s="38"/>
      <c r="GP317" s="38"/>
      <c r="GQ317" s="38"/>
      <c r="GR317" s="38"/>
      <c r="GS317" s="38"/>
      <c r="GT317" s="38"/>
      <c r="GU317" s="38"/>
      <c r="GV317" s="38"/>
      <c r="GW317" s="38"/>
      <c r="GX317" s="38"/>
      <c r="GY317" s="38"/>
      <c r="GZ317" s="38"/>
      <c r="HA317" s="38"/>
      <c r="HB317" s="38"/>
      <c r="HC317" s="38"/>
      <c r="HD317" s="38"/>
      <c r="HE317" s="38"/>
      <c r="HF317" s="38"/>
      <c r="HG317" s="38"/>
      <c r="HH317" s="38"/>
      <c r="HI317" s="38"/>
      <c r="HJ317" s="38"/>
      <c r="HK317" s="38"/>
      <c r="HL317" s="38"/>
      <c r="HM317" s="38"/>
      <c r="HN317" s="38"/>
      <c r="HO317" s="38"/>
      <c r="HP317" s="38"/>
      <c r="HQ317" s="38"/>
      <c r="HR317" s="38"/>
      <c r="HS317" s="38"/>
      <c r="HT317" s="38"/>
      <c r="HU317" s="38"/>
      <c r="HV317" s="38"/>
      <c r="HW317" s="38"/>
      <c r="HX317" s="38"/>
      <c r="HY317" s="38"/>
      <c r="HZ317" s="38"/>
      <c r="IA317" s="38"/>
    </row>
    <row r="318" spans="1:235" s="39" customFormat="1" ht="41.25" customHeight="1">
      <c r="A318" s="34" t="s">
        <v>382</v>
      </c>
      <c r="B318" s="35"/>
      <c r="C318" s="35"/>
      <c r="D318" s="36"/>
      <c r="E318" s="36">
        <f>E322*E324</f>
        <v>14999999.999999998</v>
      </c>
      <c r="F318" s="36">
        <f>F322*F324</f>
        <v>14999999.999999998</v>
      </c>
      <c r="G318" s="36"/>
      <c r="H318" s="36">
        <f>H322*H324</f>
        <v>14000000</v>
      </c>
      <c r="I318" s="36"/>
      <c r="J318" s="36">
        <f>H318</f>
        <v>14000000</v>
      </c>
      <c r="K318" s="36">
        <f>K322*K324+1</f>
        <v>1</v>
      </c>
      <c r="L318" s="36">
        <f>L322*L324+1</f>
        <v>1</v>
      </c>
      <c r="M318" s="36">
        <f>M322*M324+1</f>
        <v>1</v>
      </c>
      <c r="N318" s="36"/>
      <c r="O318" s="36">
        <f>O320</f>
        <v>13000000</v>
      </c>
      <c r="P318" s="36">
        <f>O318</f>
        <v>13000000</v>
      </c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  <c r="CW318" s="38"/>
      <c r="CX318" s="38"/>
      <c r="CY318" s="38"/>
      <c r="CZ318" s="38"/>
      <c r="DA318" s="38"/>
      <c r="DB318" s="38"/>
      <c r="DC318" s="38"/>
      <c r="DD318" s="38"/>
      <c r="DE318" s="38"/>
      <c r="DF318" s="38"/>
      <c r="DG318" s="38"/>
      <c r="DH318" s="38"/>
      <c r="DI318" s="38"/>
      <c r="DJ318" s="38"/>
      <c r="DK318" s="38"/>
      <c r="DL318" s="38"/>
      <c r="DM318" s="38"/>
      <c r="DN318" s="38"/>
      <c r="DO318" s="38"/>
      <c r="DP318" s="38"/>
      <c r="DQ318" s="38"/>
      <c r="DR318" s="38"/>
      <c r="DS318" s="38"/>
      <c r="DT318" s="38"/>
      <c r="DU318" s="38"/>
      <c r="DV318" s="38"/>
      <c r="DW318" s="38"/>
      <c r="DX318" s="38"/>
      <c r="DY318" s="38"/>
      <c r="DZ318" s="38"/>
      <c r="EA318" s="38"/>
      <c r="EB318" s="38"/>
      <c r="EC318" s="38"/>
      <c r="ED318" s="38"/>
      <c r="EE318" s="38"/>
      <c r="EF318" s="38"/>
      <c r="EG318" s="38"/>
      <c r="EH318" s="38"/>
      <c r="EI318" s="38"/>
      <c r="EJ318" s="38"/>
      <c r="EK318" s="38"/>
      <c r="EL318" s="38"/>
      <c r="EM318" s="38"/>
      <c r="EN318" s="38"/>
      <c r="EO318" s="38"/>
      <c r="EP318" s="38"/>
      <c r="EQ318" s="38"/>
      <c r="ER318" s="38"/>
      <c r="ES318" s="38"/>
      <c r="ET318" s="38"/>
      <c r="EU318" s="38"/>
      <c r="EV318" s="38"/>
      <c r="EW318" s="38"/>
      <c r="EX318" s="38"/>
      <c r="EY318" s="38"/>
      <c r="EZ318" s="38"/>
      <c r="FA318" s="38"/>
      <c r="FB318" s="38"/>
      <c r="FC318" s="38"/>
      <c r="FD318" s="38"/>
      <c r="FE318" s="38"/>
      <c r="FF318" s="38"/>
      <c r="FG318" s="38"/>
      <c r="FH318" s="38"/>
      <c r="FI318" s="38"/>
      <c r="FJ318" s="38"/>
      <c r="FK318" s="38"/>
      <c r="FL318" s="38"/>
      <c r="FM318" s="38"/>
      <c r="FN318" s="38"/>
      <c r="FO318" s="38"/>
      <c r="FP318" s="38"/>
      <c r="FQ318" s="38"/>
      <c r="FR318" s="38"/>
      <c r="FS318" s="38"/>
      <c r="FT318" s="38"/>
      <c r="FU318" s="38"/>
      <c r="FV318" s="38"/>
      <c r="FW318" s="38"/>
      <c r="FX318" s="38"/>
      <c r="FY318" s="38"/>
      <c r="FZ318" s="38"/>
      <c r="GA318" s="38"/>
      <c r="GB318" s="38"/>
      <c r="GC318" s="38"/>
      <c r="GD318" s="38"/>
      <c r="GE318" s="38"/>
      <c r="GF318" s="38"/>
      <c r="GG318" s="38"/>
      <c r="GH318" s="38"/>
      <c r="GI318" s="38"/>
      <c r="GJ318" s="38"/>
      <c r="GK318" s="38"/>
      <c r="GL318" s="38"/>
      <c r="GM318" s="38"/>
      <c r="GN318" s="38"/>
      <c r="GO318" s="38"/>
      <c r="GP318" s="38"/>
      <c r="GQ318" s="38"/>
      <c r="GR318" s="38"/>
      <c r="GS318" s="38"/>
      <c r="GT318" s="38"/>
      <c r="GU318" s="38"/>
      <c r="GV318" s="38"/>
      <c r="GW318" s="38"/>
      <c r="GX318" s="38"/>
      <c r="GY318" s="38"/>
      <c r="GZ318" s="38"/>
      <c r="HA318" s="38"/>
      <c r="HB318" s="38"/>
      <c r="HC318" s="38"/>
      <c r="HD318" s="38"/>
      <c r="HE318" s="38"/>
      <c r="HF318" s="38"/>
      <c r="HG318" s="38"/>
      <c r="HH318" s="38"/>
      <c r="HI318" s="38"/>
      <c r="HJ318" s="38"/>
      <c r="HK318" s="38"/>
      <c r="HL318" s="38"/>
      <c r="HM318" s="38"/>
      <c r="HN318" s="38"/>
      <c r="HO318" s="38"/>
      <c r="HP318" s="38"/>
      <c r="HQ318" s="38"/>
      <c r="HR318" s="38"/>
      <c r="HS318" s="38"/>
      <c r="HT318" s="38"/>
      <c r="HU318" s="38"/>
      <c r="HV318" s="38"/>
      <c r="HW318" s="38"/>
      <c r="HX318" s="38"/>
      <c r="HY318" s="38"/>
      <c r="HZ318" s="38"/>
      <c r="IA318" s="38"/>
    </row>
    <row r="319" spans="1:16" ht="11.25">
      <c r="A319" s="5" t="s">
        <v>4</v>
      </c>
      <c r="B319" s="6"/>
      <c r="C319" s="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22.5">
      <c r="A320" s="8" t="s">
        <v>192</v>
      </c>
      <c r="B320" s="6"/>
      <c r="C320" s="6"/>
      <c r="D320" s="7"/>
      <c r="E320" s="7">
        <f>E322*E324</f>
        <v>14999999.999999998</v>
      </c>
      <c r="F320" s="7">
        <f>E320</f>
        <v>14999999.999999998</v>
      </c>
      <c r="G320" s="7"/>
      <c r="H320" s="7">
        <f>H322*H324</f>
        <v>14000000</v>
      </c>
      <c r="I320" s="7"/>
      <c r="J320" s="7">
        <f>H320</f>
        <v>14000000</v>
      </c>
      <c r="K320" s="7"/>
      <c r="L320" s="7"/>
      <c r="M320" s="7"/>
      <c r="N320" s="7"/>
      <c r="O320" s="7">
        <f>O322*O324</f>
        <v>13000000</v>
      </c>
      <c r="P320" s="7">
        <f>O320</f>
        <v>13000000</v>
      </c>
    </row>
    <row r="321" spans="1:16" ht="11.25">
      <c r="A321" s="5" t="s">
        <v>5</v>
      </c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22.5">
      <c r="A322" s="8" t="s">
        <v>191</v>
      </c>
      <c r="B322" s="6"/>
      <c r="C322" s="6"/>
      <c r="D322" s="7"/>
      <c r="E322" s="7">
        <v>43</v>
      </c>
      <c r="F322" s="7">
        <f>E322</f>
        <v>43</v>
      </c>
      <c r="G322" s="7"/>
      <c r="H322" s="7">
        <v>40</v>
      </c>
      <c r="I322" s="7"/>
      <c r="J322" s="7">
        <f>H322</f>
        <v>40</v>
      </c>
      <c r="K322" s="7"/>
      <c r="L322" s="7"/>
      <c r="M322" s="7"/>
      <c r="N322" s="7"/>
      <c r="O322" s="7">
        <v>36</v>
      </c>
      <c r="P322" s="7">
        <f>O322</f>
        <v>36</v>
      </c>
    </row>
    <row r="323" spans="1:16" ht="11.25">
      <c r="A323" s="5" t="s">
        <v>7</v>
      </c>
      <c r="B323" s="6"/>
      <c r="C323" s="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22.5">
      <c r="A324" s="8" t="s">
        <v>125</v>
      </c>
      <c r="B324" s="6"/>
      <c r="C324" s="6"/>
      <c r="D324" s="7"/>
      <c r="E324" s="7">
        <f>15000000/43</f>
        <v>348837.20930232556</v>
      </c>
      <c r="F324" s="7">
        <f>E324</f>
        <v>348837.20930232556</v>
      </c>
      <c r="G324" s="7"/>
      <c r="H324" s="7">
        <f>14000000/40</f>
        <v>350000</v>
      </c>
      <c r="I324" s="7"/>
      <c r="J324" s="7">
        <f>H324</f>
        <v>350000</v>
      </c>
      <c r="K324" s="7"/>
      <c r="L324" s="7"/>
      <c r="M324" s="7"/>
      <c r="N324" s="7"/>
      <c r="O324" s="7">
        <f>13000000/36</f>
        <v>361111.1111111111</v>
      </c>
      <c r="P324" s="7">
        <f>O324</f>
        <v>361111.1111111111</v>
      </c>
    </row>
    <row r="325" spans="1:16" ht="40.5" customHeight="1">
      <c r="A325" s="34" t="s">
        <v>383</v>
      </c>
      <c r="B325" s="37"/>
      <c r="C325" s="37"/>
      <c r="D325" s="30">
        <f>D327</f>
        <v>0</v>
      </c>
      <c r="E325" s="30">
        <f>E327</f>
        <v>5000000</v>
      </c>
      <c r="F325" s="30">
        <f>D325+E325</f>
        <v>5000000</v>
      </c>
      <c r="G325" s="30"/>
      <c r="H325" s="30">
        <f>H327</f>
        <v>5660000</v>
      </c>
      <c r="I325" s="30">
        <f aca="true" t="shared" si="42" ref="I325:P325">I327</f>
        <v>0</v>
      </c>
      <c r="J325" s="30">
        <f t="shared" si="42"/>
        <v>5660000</v>
      </c>
      <c r="K325" s="30">
        <f t="shared" si="42"/>
        <v>0</v>
      </c>
      <c r="L325" s="30">
        <f t="shared" si="42"/>
        <v>0</v>
      </c>
      <c r="M325" s="30">
        <f t="shared" si="42"/>
        <v>0</v>
      </c>
      <c r="N325" s="30">
        <f t="shared" si="42"/>
        <v>0</v>
      </c>
      <c r="O325" s="30">
        <f>O327</f>
        <v>7000000</v>
      </c>
      <c r="P325" s="30">
        <f t="shared" si="42"/>
        <v>7000000</v>
      </c>
    </row>
    <row r="326" spans="1:16" ht="17.25" customHeight="1">
      <c r="A326" s="5" t="s">
        <v>4</v>
      </c>
      <c r="B326" s="37"/>
      <c r="C326" s="37"/>
      <c r="D326" s="30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30.75" customHeight="1">
      <c r="A327" s="8" t="s">
        <v>193</v>
      </c>
      <c r="B327" s="37"/>
      <c r="C327" s="37"/>
      <c r="D327" s="30"/>
      <c r="E327" s="7">
        <f>E329*E331</f>
        <v>5000000</v>
      </c>
      <c r="F327" s="7">
        <f>D327+E327</f>
        <v>5000000</v>
      </c>
      <c r="G327" s="7"/>
      <c r="H327" s="7">
        <f>H329*H331-170000</f>
        <v>5660000</v>
      </c>
      <c r="I327" s="7"/>
      <c r="J327" s="7">
        <f>H327</f>
        <v>5660000</v>
      </c>
      <c r="K327" s="7"/>
      <c r="L327" s="7"/>
      <c r="M327" s="7"/>
      <c r="N327" s="7"/>
      <c r="O327" s="7">
        <f>O329*O331</f>
        <v>7000000</v>
      </c>
      <c r="P327" s="7">
        <f>O327</f>
        <v>7000000</v>
      </c>
    </row>
    <row r="328" spans="1:16" ht="15.75" customHeight="1">
      <c r="A328" s="5" t="s">
        <v>5</v>
      </c>
      <c r="B328" s="37"/>
      <c r="C328" s="37"/>
      <c r="D328" s="30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25.5" customHeight="1">
      <c r="A329" s="8" t="s">
        <v>124</v>
      </c>
      <c r="B329" s="37"/>
      <c r="C329" s="37"/>
      <c r="D329" s="30"/>
      <c r="E329" s="7">
        <v>16</v>
      </c>
      <c r="F329" s="7">
        <f>D329+E329</f>
        <v>16</v>
      </c>
      <c r="G329" s="7"/>
      <c r="H329" s="7">
        <v>16</v>
      </c>
      <c r="I329" s="7"/>
      <c r="J329" s="7">
        <f>H329</f>
        <v>16</v>
      </c>
      <c r="K329" s="7"/>
      <c r="L329" s="7"/>
      <c r="M329" s="7"/>
      <c r="N329" s="7"/>
      <c r="O329" s="7">
        <v>16</v>
      </c>
      <c r="P329" s="7">
        <v>16</v>
      </c>
    </row>
    <row r="330" spans="1:16" ht="15.75" customHeight="1">
      <c r="A330" s="5" t="s">
        <v>7</v>
      </c>
      <c r="B330" s="37"/>
      <c r="C330" s="37"/>
      <c r="D330" s="30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37.5" customHeight="1">
      <c r="A331" s="8" t="s">
        <v>194</v>
      </c>
      <c r="B331" s="37"/>
      <c r="C331" s="37"/>
      <c r="D331" s="30"/>
      <c r="E331" s="7">
        <v>312500</v>
      </c>
      <c r="F331" s="7">
        <f>D331+E331</f>
        <v>312500</v>
      </c>
      <c r="G331" s="7"/>
      <c r="H331" s="7">
        <v>364375</v>
      </c>
      <c r="I331" s="7"/>
      <c r="J331" s="7">
        <f>H331</f>
        <v>364375</v>
      </c>
      <c r="K331" s="7"/>
      <c r="L331" s="7"/>
      <c r="M331" s="7"/>
      <c r="N331" s="7"/>
      <c r="O331" s="7">
        <v>437500</v>
      </c>
      <c r="P331" s="7">
        <f>O331</f>
        <v>437500</v>
      </c>
    </row>
    <row r="332" spans="1:235" s="52" customFormat="1" ht="37.5" customHeight="1">
      <c r="A332" s="5" t="s">
        <v>384</v>
      </c>
      <c r="B332" s="37"/>
      <c r="C332" s="37"/>
      <c r="D332" s="30"/>
      <c r="E332" s="30">
        <f aca="true" t="shared" si="43" ref="E332:P332">SUM(E334)</f>
        <v>800003</v>
      </c>
      <c r="F332" s="30">
        <f t="shared" si="43"/>
        <v>800003</v>
      </c>
      <c r="G332" s="30">
        <f t="shared" si="43"/>
        <v>0</v>
      </c>
      <c r="H332" s="30">
        <f t="shared" si="43"/>
        <v>742600</v>
      </c>
      <c r="I332" s="30">
        <f t="shared" si="43"/>
        <v>742600</v>
      </c>
      <c r="J332" s="30">
        <f t="shared" si="43"/>
        <v>742600</v>
      </c>
      <c r="K332" s="30">
        <f t="shared" si="43"/>
        <v>0</v>
      </c>
      <c r="L332" s="30">
        <f t="shared" si="43"/>
        <v>0</v>
      </c>
      <c r="M332" s="30">
        <f t="shared" si="43"/>
        <v>0</v>
      </c>
      <c r="N332" s="30">
        <f t="shared" si="43"/>
        <v>0</v>
      </c>
      <c r="O332" s="30">
        <f t="shared" si="43"/>
        <v>133200</v>
      </c>
      <c r="P332" s="30">
        <f t="shared" si="43"/>
        <v>133200</v>
      </c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  <c r="CW332" s="51"/>
      <c r="CX332" s="51"/>
      <c r="CY332" s="51"/>
      <c r="CZ332" s="51"/>
      <c r="DA332" s="51"/>
      <c r="DB332" s="51"/>
      <c r="DC332" s="51"/>
      <c r="DD332" s="51"/>
      <c r="DE332" s="51"/>
      <c r="DF332" s="51"/>
      <c r="DG332" s="51"/>
      <c r="DH332" s="51"/>
      <c r="DI332" s="51"/>
      <c r="DJ332" s="51"/>
      <c r="DK332" s="51"/>
      <c r="DL332" s="51"/>
      <c r="DM332" s="51"/>
      <c r="DN332" s="51"/>
      <c r="DO332" s="51"/>
      <c r="DP332" s="51"/>
      <c r="DQ332" s="51"/>
      <c r="DR332" s="51"/>
      <c r="DS332" s="51"/>
      <c r="DT332" s="51"/>
      <c r="DU332" s="51"/>
      <c r="DV332" s="51"/>
      <c r="DW332" s="51"/>
      <c r="DX332" s="51"/>
      <c r="DY332" s="51"/>
      <c r="DZ332" s="51"/>
      <c r="EA332" s="51"/>
      <c r="EB332" s="51"/>
      <c r="EC332" s="51"/>
      <c r="ED332" s="51"/>
      <c r="EE332" s="51"/>
      <c r="EF332" s="51"/>
      <c r="EG332" s="51"/>
      <c r="EH332" s="51"/>
      <c r="EI332" s="51"/>
      <c r="EJ332" s="51"/>
      <c r="EK332" s="51"/>
      <c r="EL332" s="51"/>
      <c r="EM332" s="51"/>
      <c r="EN332" s="51"/>
      <c r="EO332" s="51"/>
      <c r="EP332" s="51"/>
      <c r="EQ332" s="51"/>
      <c r="ER332" s="51"/>
      <c r="ES332" s="51"/>
      <c r="ET332" s="51"/>
      <c r="EU332" s="51"/>
      <c r="EV332" s="51"/>
      <c r="EW332" s="51"/>
      <c r="EX332" s="51"/>
      <c r="EY332" s="51"/>
      <c r="EZ332" s="51"/>
      <c r="FA332" s="51"/>
      <c r="FB332" s="51"/>
      <c r="FC332" s="51"/>
      <c r="FD332" s="51"/>
      <c r="FE332" s="51"/>
      <c r="FF332" s="51"/>
      <c r="FG332" s="51"/>
      <c r="FH332" s="51"/>
      <c r="FI332" s="51"/>
      <c r="FJ332" s="51"/>
      <c r="FK332" s="51"/>
      <c r="FL332" s="51"/>
      <c r="FM332" s="51"/>
      <c r="FN332" s="51"/>
      <c r="FO332" s="51"/>
      <c r="FP332" s="51"/>
      <c r="FQ332" s="51"/>
      <c r="FR332" s="51"/>
      <c r="FS332" s="51"/>
      <c r="FT332" s="51"/>
      <c r="FU332" s="51"/>
      <c r="FV332" s="51"/>
      <c r="FW332" s="51"/>
      <c r="FX332" s="51"/>
      <c r="FY332" s="51"/>
      <c r="FZ332" s="51"/>
      <c r="GA332" s="51"/>
      <c r="GB332" s="51"/>
      <c r="GC332" s="51"/>
      <c r="GD332" s="51"/>
      <c r="GE332" s="51"/>
      <c r="GF332" s="51"/>
      <c r="GG332" s="51"/>
      <c r="GH332" s="51"/>
      <c r="GI332" s="51"/>
      <c r="GJ332" s="51"/>
      <c r="GK332" s="51"/>
      <c r="GL332" s="51"/>
      <c r="GM332" s="51"/>
      <c r="GN332" s="51"/>
      <c r="GO332" s="51"/>
      <c r="GP332" s="51"/>
      <c r="GQ332" s="51"/>
      <c r="GR332" s="51"/>
      <c r="GS332" s="51"/>
      <c r="GT332" s="51"/>
      <c r="GU332" s="51"/>
      <c r="GV332" s="51"/>
      <c r="GW332" s="51"/>
      <c r="GX332" s="51"/>
      <c r="GY332" s="51"/>
      <c r="GZ332" s="51"/>
      <c r="HA332" s="51"/>
      <c r="HB332" s="51"/>
      <c r="HC332" s="51"/>
      <c r="HD332" s="51"/>
      <c r="HE332" s="51"/>
      <c r="HF332" s="51"/>
      <c r="HG332" s="51"/>
      <c r="HH332" s="51"/>
      <c r="HI332" s="51"/>
      <c r="HJ332" s="51"/>
      <c r="HK332" s="51"/>
      <c r="HL332" s="51"/>
      <c r="HM332" s="51"/>
      <c r="HN332" s="51"/>
      <c r="HO332" s="51"/>
      <c r="HP332" s="51"/>
      <c r="HQ332" s="51"/>
      <c r="HR332" s="51"/>
      <c r="HS332" s="51"/>
      <c r="HT332" s="51"/>
      <c r="HU332" s="51"/>
      <c r="HV332" s="51"/>
      <c r="HW332" s="51"/>
      <c r="HX332" s="51"/>
      <c r="HY332" s="51"/>
      <c r="HZ332" s="51"/>
      <c r="IA332" s="51"/>
    </row>
    <row r="333" spans="1:16" ht="10.5" customHeight="1">
      <c r="A333" s="5" t="s">
        <v>4</v>
      </c>
      <c r="B333" s="37"/>
      <c r="C333" s="37"/>
      <c r="D333" s="30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1:16" ht="32.25" customHeight="1">
      <c r="A334" s="8" t="s">
        <v>336</v>
      </c>
      <c r="B334" s="37"/>
      <c r="C334" s="37"/>
      <c r="D334" s="30"/>
      <c r="E334" s="7">
        <v>800003</v>
      </c>
      <c r="F334" s="7">
        <v>800003</v>
      </c>
      <c r="G334" s="7"/>
      <c r="H334" s="7">
        <v>742600</v>
      </c>
      <c r="I334" s="7">
        <v>742600</v>
      </c>
      <c r="J334" s="7">
        <v>742600</v>
      </c>
      <c r="K334" s="7"/>
      <c r="L334" s="7"/>
      <c r="M334" s="7"/>
      <c r="N334" s="7"/>
      <c r="O334" s="7">
        <f>O336*O338</f>
        <v>133200</v>
      </c>
      <c r="P334" s="7">
        <f>P336*P338</f>
        <v>133200</v>
      </c>
    </row>
    <row r="335" spans="1:16" ht="16.5" customHeight="1">
      <c r="A335" s="5" t="s">
        <v>5</v>
      </c>
      <c r="B335" s="37"/>
      <c r="C335" s="37"/>
      <c r="D335" s="30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26.25" customHeight="1">
      <c r="A336" s="8" t="s">
        <v>124</v>
      </c>
      <c r="B336" s="37"/>
      <c r="C336" s="37"/>
      <c r="D336" s="30"/>
      <c r="E336" s="7">
        <v>10</v>
      </c>
      <c r="F336" s="7">
        <v>10</v>
      </c>
      <c r="G336" s="7"/>
      <c r="H336" s="7">
        <v>10</v>
      </c>
      <c r="I336" s="7">
        <v>10</v>
      </c>
      <c r="J336" s="7">
        <v>10</v>
      </c>
      <c r="K336" s="7"/>
      <c r="L336" s="7"/>
      <c r="M336" s="7"/>
      <c r="N336" s="7"/>
      <c r="O336" s="7">
        <v>10</v>
      </c>
      <c r="P336" s="7">
        <v>10</v>
      </c>
    </row>
    <row r="337" spans="1:235" s="52" customFormat="1" ht="18" customHeight="1">
      <c r="A337" s="5" t="s">
        <v>7</v>
      </c>
      <c r="B337" s="37"/>
      <c r="C337" s="37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  <c r="CZ337" s="51"/>
      <c r="DA337" s="51"/>
      <c r="DB337" s="51"/>
      <c r="DC337" s="51"/>
      <c r="DD337" s="51"/>
      <c r="DE337" s="51"/>
      <c r="DF337" s="51"/>
      <c r="DG337" s="51"/>
      <c r="DH337" s="51"/>
      <c r="DI337" s="51"/>
      <c r="DJ337" s="51"/>
      <c r="DK337" s="51"/>
      <c r="DL337" s="51"/>
      <c r="DM337" s="51"/>
      <c r="DN337" s="51"/>
      <c r="DO337" s="51"/>
      <c r="DP337" s="51"/>
      <c r="DQ337" s="51"/>
      <c r="DR337" s="51"/>
      <c r="DS337" s="51"/>
      <c r="DT337" s="51"/>
      <c r="DU337" s="51"/>
      <c r="DV337" s="51"/>
      <c r="DW337" s="51"/>
      <c r="DX337" s="51"/>
      <c r="DY337" s="51"/>
      <c r="DZ337" s="51"/>
      <c r="EA337" s="51"/>
      <c r="EB337" s="51"/>
      <c r="EC337" s="51"/>
      <c r="ED337" s="51"/>
      <c r="EE337" s="51"/>
      <c r="EF337" s="51"/>
      <c r="EG337" s="51"/>
      <c r="EH337" s="51"/>
      <c r="EI337" s="51"/>
      <c r="EJ337" s="51"/>
      <c r="EK337" s="51"/>
      <c r="EL337" s="51"/>
      <c r="EM337" s="51"/>
      <c r="EN337" s="51"/>
      <c r="EO337" s="51"/>
      <c r="EP337" s="51"/>
      <c r="EQ337" s="51"/>
      <c r="ER337" s="51"/>
      <c r="ES337" s="51"/>
      <c r="ET337" s="51"/>
      <c r="EU337" s="51"/>
      <c r="EV337" s="51"/>
      <c r="EW337" s="51"/>
      <c r="EX337" s="51"/>
      <c r="EY337" s="51"/>
      <c r="EZ337" s="51"/>
      <c r="FA337" s="51"/>
      <c r="FB337" s="51"/>
      <c r="FC337" s="51"/>
      <c r="FD337" s="51"/>
      <c r="FE337" s="51"/>
      <c r="FF337" s="51"/>
      <c r="FG337" s="51"/>
      <c r="FH337" s="51"/>
      <c r="FI337" s="51"/>
      <c r="FJ337" s="51"/>
      <c r="FK337" s="51"/>
      <c r="FL337" s="51"/>
      <c r="FM337" s="51"/>
      <c r="FN337" s="51"/>
      <c r="FO337" s="51"/>
      <c r="FP337" s="51"/>
      <c r="FQ337" s="51"/>
      <c r="FR337" s="51"/>
      <c r="FS337" s="51"/>
      <c r="FT337" s="51"/>
      <c r="FU337" s="51"/>
      <c r="FV337" s="51"/>
      <c r="FW337" s="51"/>
      <c r="FX337" s="51"/>
      <c r="FY337" s="51"/>
      <c r="FZ337" s="51"/>
      <c r="GA337" s="51"/>
      <c r="GB337" s="51"/>
      <c r="GC337" s="51"/>
      <c r="GD337" s="51"/>
      <c r="GE337" s="51"/>
      <c r="GF337" s="51"/>
      <c r="GG337" s="51"/>
      <c r="GH337" s="51"/>
      <c r="GI337" s="51"/>
      <c r="GJ337" s="51"/>
      <c r="GK337" s="51"/>
      <c r="GL337" s="51"/>
      <c r="GM337" s="51"/>
      <c r="GN337" s="51"/>
      <c r="GO337" s="51"/>
      <c r="GP337" s="51"/>
      <c r="GQ337" s="51"/>
      <c r="GR337" s="51"/>
      <c r="GS337" s="51"/>
      <c r="GT337" s="51"/>
      <c r="GU337" s="51"/>
      <c r="GV337" s="51"/>
      <c r="GW337" s="51"/>
      <c r="GX337" s="51"/>
      <c r="GY337" s="51"/>
      <c r="GZ337" s="51"/>
      <c r="HA337" s="51"/>
      <c r="HB337" s="51"/>
      <c r="HC337" s="51"/>
      <c r="HD337" s="51"/>
      <c r="HE337" s="51"/>
      <c r="HF337" s="51"/>
      <c r="HG337" s="51"/>
      <c r="HH337" s="51"/>
      <c r="HI337" s="51"/>
      <c r="HJ337" s="51"/>
      <c r="HK337" s="51"/>
      <c r="HL337" s="51"/>
      <c r="HM337" s="51"/>
      <c r="HN337" s="51"/>
      <c r="HO337" s="51"/>
      <c r="HP337" s="51"/>
      <c r="HQ337" s="51"/>
      <c r="HR337" s="51"/>
      <c r="HS337" s="51"/>
      <c r="HT337" s="51"/>
      <c r="HU337" s="51"/>
      <c r="HV337" s="51"/>
      <c r="HW337" s="51"/>
      <c r="HX337" s="51"/>
      <c r="HY337" s="51"/>
      <c r="HZ337" s="51"/>
      <c r="IA337" s="51"/>
    </row>
    <row r="338" spans="1:16" ht="37.5" customHeight="1">
      <c r="A338" s="8" t="s">
        <v>337</v>
      </c>
      <c r="B338" s="37"/>
      <c r="C338" s="37"/>
      <c r="D338" s="30"/>
      <c r="E338" s="7">
        <f>SUM(E334)/E336</f>
        <v>80000.3</v>
      </c>
      <c r="F338" s="7">
        <f>SUM(F334)/F336</f>
        <v>80000.3</v>
      </c>
      <c r="G338" s="7"/>
      <c r="H338" s="7">
        <f>H334/H336</f>
        <v>74260</v>
      </c>
      <c r="I338" s="7">
        <f>I334/I336</f>
        <v>74260</v>
      </c>
      <c r="J338" s="7">
        <f>J334/J336</f>
        <v>74260</v>
      </c>
      <c r="K338" s="7"/>
      <c r="L338" s="7"/>
      <c r="M338" s="7"/>
      <c r="N338" s="7"/>
      <c r="O338" s="7">
        <v>13320</v>
      </c>
      <c r="P338" s="7">
        <v>13320</v>
      </c>
    </row>
    <row r="339" spans="1:16" ht="24" customHeight="1">
      <c r="A339" s="8" t="s">
        <v>469</v>
      </c>
      <c r="B339" s="37"/>
      <c r="C339" s="37"/>
      <c r="D339" s="30"/>
      <c r="E339" s="7"/>
      <c r="F339" s="7"/>
      <c r="G339" s="7"/>
      <c r="H339" s="7"/>
      <c r="I339" s="7"/>
      <c r="J339" s="7"/>
      <c r="K339" s="7"/>
      <c r="L339" s="7"/>
      <c r="M339" s="7"/>
      <c r="N339" s="7">
        <v>2000000</v>
      </c>
      <c r="O339" s="7"/>
      <c r="P339" s="7">
        <v>2000000</v>
      </c>
    </row>
    <row r="340" spans="1:16" ht="16.5" customHeight="1">
      <c r="A340" s="37" t="s">
        <v>358</v>
      </c>
      <c r="B340" s="37"/>
      <c r="C340" s="37"/>
      <c r="D340" s="30">
        <f>D341+D342</f>
        <v>3794380.0029998</v>
      </c>
      <c r="E340" s="30">
        <f>E341+E342</f>
        <v>692840</v>
      </c>
      <c r="F340" s="30">
        <f>D340+E340</f>
        <v>4487220.002999799</v>
      </c>
      <c r="G340" s="30">
        <f>G341+G342</f>
        <v>4506475</v>
      </c>
      <c r="H340" s="30">
        <f>H341+H342</f>
        <v>763900</v>
      </c>
      <c r="I340" s="30">
        <f>I341+I342</f>
        <v>0</v>
      </c>
      <c r="J340" s="30">
        <f>G340+H340</f>
        <v>5270375</v>
      </c>
      <c r="K340" s="30" t="e">
        <f>K341+K342</f>
        <v>#REF!</v>
      </c>
      <c r="L340" s="30">
        <f>L341+L342</f>
        <v>0</v>
      </c>
      <c r="M340" s="30">
        <f>M341+M342</f>
        <v>0</v>
      </c>
      <c r="N340" s="30">
        <f>N341+N342</f>
        <v>4825761.99999968</v>
      </c>
      <c r="O340" s="30">
        <f>O341+O342</f>
        <v>787532</v>
      </c>
      <c r="P340" s="30">
        <f>N340+O340</f>
        <v>5613293.99999968</v>
      </c>
    </row>
    <row r="341" spans="1:16" ht="13.5" customHeight="1">
      <c r="A341" s="37" t="s">
        <v>54</v>
      </c>
      <c r="B341" s="37"/>
      <c r="C341" s="37"/>
      <c r="D341" s="30">
        <f>D344+D351+D429+D434</f>
        <v>3331999.9999997998</v>
      </c>
      <c r="E341" s="30">
        <f>E344+E351+E429+E434</f>
        <v>0</v>
      </c>
      <c r="F341" s="30">
        <f>D341+E341</f>
        <v>3331999.9999997998</v>
      </c>
      <c r="G341" s="30">
        <f>G344+G351+G429+G434+G361</f>
        <v>4062700</v>
      </c>
      <c r="H341" s="30">
        <f>H344+H351+H429+H434</f>
        <v>0</v>
      </c>
      <c r="I341" s="30">
        <f>I344+I351+I429+I434</f>
        <v>0</v>
      </c>
      <c r="J341" s="30">
        <f>G341+H341</f>
        <v>4062700</v>
      </c>
      <c r="K341" s="30" t="e">
        <f>K344+K351+K429+K434</f>
        <v>#REF!</v>
      </c>
      <c r="L341" s="30">
        <f>L344+L351+L429+L434</f>
        <v>0</v>
      </c>
      <c r="M341" s="30">
        <f>M344+M351+M429+M434</f>
        <v>0</v>
      </c>
      <c r="N341" s="30">
        <f>N344+N351+N429+N434</f>
        <v>4473241.99999968</v>
      </c>
      <c r="O341" s="30">
        <f>O344+O351+O429+O434</f>
        <v>0</v>
      </c>
      <c r="P341" s="30">
        <f>N341+O341</f>
        <v>4473241.99999968</v>
      </c>
    </row>
    <row r="342" spans="1:235" s="139" customFormat="1" ht="11.25">
      <c r="A342" s="152" t="s">
        <v>188</v>
      </c>
      <c r="B342" s="152"/>
      <c r="C342" s="152"/>
      <c r="D342" s="153">
        <f>D370+D461</f>
        <v>462380.003</v>
      </c>
      <c r="E342" s="153">
        <f>E404</f>
        <v>692840</v>
      </c>
      <c r="F342" s="153">
        <f>D342+E342</f>
        <v>1155220.003</v>
      </c>
      <c r="G342" s="153">
        <f>G370+G461</f>
        <v>443775</v>
      </c>
      <c r="H342" s="153">
        <f>H404</f>
        <v>763900</v>
      </c>
      <c r="I342" s="153">
        <f>I372+I382</f>
        <v>0</v>
      </c>
      <c r="J342" s="153">
        <f>G342+H342</f>
        <v>1207675</v>
      </c>
      <c r="K342" s="153">
        <f>K372+K382</f>
        <v>0</v>
      </c>
      <c r="L342" s="153">
        <f>L372+L382</f>
        <v>0</v>
      </c>
      <c r="M342" s="153">
        <f>M372+M382</f>
        <v>0</v>
      </c>
      <c r="N342" s="153">
        <f>N370</f>
        <v>352520</v>
      </c>
      <c r="O342" s="153">
        <f>O404</f>
        <v>787532</v>
      </c>
      <c r="P342" s="153">
        <f>N342+O342</f>
        <v>1140052</v>
      </c>
      <c r="Q342" s="138"/>
      <c r="R342" s="138"/>
      <c r="S342" s="138"/>
      <c r="T342" s="138"/>
      <c r="U342" s="138"/>
      <c r="V342" s="138"/>
      <c r="W342" s="138"/>
      <c r="X342" s="138"/>
      <c r="Y342" s="138"/>
      <c r="Z342" s="138"/>
      <c r="AA342" s="138"/>
      <c r="AB342" s="138"/>
      <c r="AC342" s="138"/>
      <c r="AD342" s="138"/>
      <c r="AE342" s="138"/>
      <c r="AF342" s="138"/>
      <c r="AG342" s="138"/>
      <c r="AH342" s="138"/>
      <c r="AI342" s="138"/>
      <c r="AJ342" s="138"/>
      <c r="AK342" s="138"/>
      <c r="AL342" s="138"/>
      <c r="AM342" s="138"/>
      <c r="AN342" s="138"/>
      <c r="AO342" s="138"/>
      <c r="AP342" s="138"/>
      <c r="AQ342" s="138"/>
      <c r="AR342" s="138"/>
      <c r="AS342" s="138"/>
      <c r="AT342" s="138"/>
      <c r="AU342" s="138"/>
      <c r="AV342" s="138"/>
      <c r="AW342" s="138"/>
      <c r="AX342" s="138"/>
      <c r="AY342" s="138"/>
      <c r="AZ342" s="138"/>
      <c r="BA342" s="138"/>
      <c r="BB342" s="138"/>
      <c r="BC342" s="138"/>
      <c r="BD342" s="138"/>
      <c r="BE342" s="138"/>
      <c r="BF342" s="138"/>
      <c r="BG342" s="138"/>
      <c r="BH342" s="138"/>
      <c r="BI342" s="138"/>
      <c r="BJ342" s="138"/>
      <c r="BK342" s="138"/>
      <c r="BL342" s="138"/>
      <c r="BM342" s="138"/>
      <c r="BN342" s="138"/>
      <c r="BO342" s="138"/>
      <c r="BP342" s="138"/>
      <c r="BQ342" s="138"/>
      <c r="BR342" s="138"/>
      <c r="BS342" s="138"/>
      <c r="BT342" s="138"/>
      <c r="BU342" s="138"/>
      <c r="BV342" s="138"/>
      <c r="BW342" s="138"/>
      <c r="BX342" s="138"/>
      <c r="BY342" s="138"/>
      <c r="BZ342" s="138"/>
      <c r="CA342" s="138"/>
      <c r="CB342" s="138"/>
      <c r="CC342" s="138"/>
      <c r="CD342" s="138"/>
      <c r="CE342" s="138"/>
      <c r="CF342" s="138"/>
      <c r="CG342" s="138"/>
      <c r="CH342" s="138"/>
      <c r="CI342" s="138"/>
      <c r="CJ342" s="138"/>
      <c r="CK342" s="138"/>
      <c r="CL342" s="138"/>
      <c r="CM342" s="138"/>
      <c r="CN342" s="138"/>
      <c r="CO342" s="138"/>
      <c r="CP342" s="138"/>
      <c r="CQ342" s="138"/>
      <c r="CR342" s="138"/>
      <c r="CS342" s="138"/>
      <c r="CT342" s="138"/>
      <c r="CU342" s="138"/>
      <c r="CV342" s="138"/>
      <c r="CW342" s="138"/>
      <c r="CX342" s="138"/>
      <c r="CY342" s="138"/>
      <c r="CZ342" s="138"/>
      <c r="DA342" s="138"/>
      <c r="DB342" s="138"/>
      <c r="DC342" s="138"/>
      <c r="DD342" s="138"/>
      <c r="DE342" s="138"/>
      <c r="DF342" s="138"/>
      <c r="DG342" s="138"/>
      <c r="DH342" s="138"/>
      <c r="DI342" s="138"/>
      <c r="DJ342" s="138"/>
      <c r="DK342" s="138"/>
      <c r="DL342" s="138"/>
      <c r="DM342" s="138"/>
      <c r="DN342" s="138"/>
      <c r="DO342" s="138"/>
      <c r="DP342" s="138"/>
      <c r="DQ342" s="138"/>
      <c r="DR342" s="138"/>
      <c r="DS342" s="138"/>
      <c r="DT342" s="138"/>
      <c r="DU342" s="138"/>
      <c r="DV342" s="138"/>
      <c r="DW342" s="138"/>
      <c r="DX342" s="138"/>
      <c r="DY342" s="138"/>
      <c r="DZ342" s="138"/>
      <c r="EA342" s="138"/>
      <c r="EB342" s="138"/>
      <c r="EC342" s="138"/>
      <c r="ED342" s="138"/>
      <c r="EE342" s="138"/>
      <c r="EF342" s="138"/>
      <c r="EG342" s="138"/>
      <c r="EH342" s="138"/>
      <c r="EI342" s="138"/>
      <c r="EJ342" s="138"/>
      <c r="EK342" s="138"/>
      <c r="EL342" s="138"/>
      <c r="EM342" s="138"/>
      <c r="EN342" s="138"/>
      <c r="EO342" s="138"/>
      <c r="EP342" s="138"/>
      <c r="EQ342" s="138"/>
      <c r="ER342" s="138"/>
      <c r="ES342" s="138"/>
      <c r="ET342" s="138"/>
      <c r="EU342" s="138"/>
      <c r="EV342" s="138"/>
      <c r="EW342" s="138"/>
      <c r="EX342" s="138"/>
      <c r="EY342" s="138"/>
      <c r="EZ342" s="138"/>
      <c r="FA342" s="138"/>
      <c r="FB342" s="138"/>
      <c r="FC342" s="138"/>
      <c r="FD342" s="138"/>
      <c r="FE342" s="138"/>
      <c r="FF342" s="138"/>
      <c r="FG342" s="138"/>
      <c r="FH342" s="138"/>
      <c r="FI342" s="138"/>
      <c r="FJ342" s="138"/>
      <c r="FK342" s="138"/>
      <c r="FL342" s="138"/>
      <c r="FM342" s="138"/>
      <c r="FN342" s="138"/>
      <c r="FO342" s="138"/>
      <c r="FP342" s="138"/>
      <c r="FQ342" s="138"/>
      <c r="FR342" s="138"/>
      <c r="FS342" s="138"/>
      <c r="FT342" s="138"/>
      <c r="FU342" s="138"/>
      <c r="FV342" s="138"/>
      <c r="FW342" s="138"/>
      <c r="FX342" s="138"/>
      <c r="FY342" s="138"/>
      <c r="FZ342" s="138"/>
      <c r="GA342" s="138"/>
      <c r="GB342" s="138"/>
      <c r="GC342" s="138"/>
      <c r="GD342" s="138"/>
      <c r="GE342" s="138"/>
      <c r="GF342" s="138"/>
      <c r="GG342" s="138"/>
      <c r="GH342" s="138"/>
      <c r="GI342" s="138"/>
      <c r="GJ342" s="138"/>
      <c r="GK342" s="138"/>
      <c r="GL342" s="138"/>
      <c r="GM342" s="138"/>
      <c r="GN342" s="138"/>
      <c r="GO342" s="138"/>
      <c r="GP342" s="138"/>
      <c r="GQ342" s="138"/>
      <c r="GR342" s="138"/>
      <c r="GS342" s="138"/>
      <c r="GT342" s="138"/>
      <c r="GU342" s="138"/>
      <c r="GV342" s="138"/>
      <c r="GW342" s="138"/>
      <c r="GX342" s="138"/>
      <c r="GY342" s="138"/>
      <c r="GZ342" s="138"/>
      <c r="HA342" s="138"/>
      <c r="HB342" s="138"/>
      <c r="HC342" s="138"/>
      <c r="HD342" s="138"/>
      <c r="HE342" s="138"/>
      <c r="HF342" s="138"/>
      <c r="HG342" s="138"/>
      <c r="HH342" s="138"/>
      <c r="HI342" s="138"/>
      <c r="HJ342" s="138"/>
      <c r="HK342" s="138"/>
      <c r="HL342" s="138"/>
      <c r="HM342" s="138"/>
      <c r="HN342" s="138"/>
      <c r="HO342" s="138"/>
      <c r="HP342" s="138"/>
      <c r="HQ342" s="138"/>
      <c r="HR342" s="138"/>
      <c r="HS342" s="138"/>
      <c r="HT342" s="138"/>
      <c r="HU342" s="138"/>
      <c r="HV342" s="138"/>
      <c r="HW342" s="138"/>
      <c r="HX342" s="138"/>
      <c r="HY342" s="138"/>
      <c r="HZ342" s="138"/>
      <c r="IA342" s="138"/>
    </row>
    <row r="343" spans="1:16" ht="36" customHeight="1">
      <c r="A343" s="8" t="s">
        <v>128</v>
      </c>
      <c r="B343" s="6"/>
      <c r="C343" s="6"/>
      <c r="D343" s="36"/>
      <c r="E343" s="36"/>
      <c r="F343" s="36"/>
      <c r="G343" s="36"/>
      <c r="H343" s="36"/>
      <c r="I343" s="36"/>
      <c r="J343" s="36"/>
      <c r="K343" s="7"/>
      <c r="L343" s="36"/>
      <c r="M343" s="36"/>
      <c r="N343" s="36"/>
      <c r="O343" s="36"/>
      <c r="P343" s="36"/>
    </row>
    <row r="344" spans="1:235" s="39" customFormat="1" ht="22.5">
      <c r="A344" s="34" t="s">
        <v>385</v>
      </c>
      <c r="B344" s="35"/>
      <c r="C344" s="35"/>
      <c r="D344" s="36">
        <f>D346</f>
        <v>2700000</v>
      </c>
      <c r="E344" s="36"/>
      <c r="F344" s="36">
        <f>F346</f>
        <v>2700000</v>
      </c>
      <c r="G344" s="36">
        <f>G348*G350+800000-2000-220000-11090</f>
        <v>2566910</v>
      </c>
      <c r="H344" s="36"/>
      <c r="I344" s="36"/>
      <c r="J344" s="36">
        <f>J346</f>
        <v>2578000</v>
      </c>
      <c r="K344" s="36"/>
      <c r="L344" s="36"/>
      <c r="M344" s="36"/>
      <c r="N344" s="36">
        <f>N346</f>
        <v>2934892</v>
      </c>
      <c r="O344" s="36"/>
      <c r="P344" s="36">
        <f>N344</f>
        <v>2934892</v>
      </c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8"/>
      <c r="CM344" s="38"/>
      <c r="CN344" s="38"/>
      <c r="CO344" s="38"/>
      <c r="CP344" s="38"/>
      <c r="CQ344" s="38"/>
      <c r="CR344" s="38"/>
      <c r="CS344" s="38"/>
      <c r="CT344" s="38"/>
      <c r="CU344" s="38"/>
      <c r="CV344" s="38"/>
      <c r="CW344" s="38"/>
      <c r="CX344" s="38"/>
      <c r="CY344" s="38"/>
      <c r="CZ344" s="38"/>
      <c r="DA344" s="38"/>
      <c r="DB344" s="38"/>
      <c r="DC344" s="38"/>
      <c r="DD344" s="38"/>
      <c r="DE344" s="38"/>
      <c r="DF344" s="38"/>
      <c r="DG344" s="38"/>
      <c r="DH344" s="38"/>
      <c r="DI344" s="38"/>
      <c r="DJ344" s="38"/>
      <c r="DK344" s="38"/>
      <c r="DL344" s="38"/>
      <c r="DM344" s="38"/>
      <c r="DN344" s="38"/>
      <c r="DO344" s="38"/>
      <c r="DP344" s="38"/>
      <c r="DQ344" s="38"/>
      <c r="DR344" s="38"/>
      <c r="DS344" s="38"/>
      <c r="DT344" s="38"/>
      <c r="DU344" s="38"/>
      <c r="DV344" s="38"/>
      <c r="DW344" s="38"/>
      <c r="DX344" s="38"/>
      <c r="DY344" s="38"/>
      <c r="DZ344" s="38"/>
      <c r="EA344" s="38"/>
      <c r="EB344" s="38"/>
      <c r="EC344" s="38"/>
      <c r="ED344" s="38"/>
      <c r="EE344" s="38"/>
      <c r="EF344" s="38"/>
      <c r="EG344" s="38"/>
      <c r="EH344" s="38"/>
      <c r="EI344" s="38"/>
      <c r="EJ344" s="38"/>
      <c r="EK344" s="38"/>
      <c r="EL344" s="38"/>
      <c r="EM344" s="38"/>
      <c r="EN344" s="38"/>
      <c r="EO344" s="38"/>
      <c r="EP344" s="38"/>
      <c r="EQ344" s="38"/>
      <c r="ER344" s="38"/>
      <c r="ES344" s="38"/>
      <c r="ET344" s="38"/>
      <c r="EU344" s="38"/>
      <c r="EV344" s="38"/>
      <c r="EW344" s="38"/>
      <c r="EX344" s="38"/>
      <c r="EY344" s="38"/>
      <c r="EZ344" s="38"/>
      <c r="FA344" s="38"/>
      <c r="FB344" s="38"/>
      <c r="FC344" s="38"/>
      <c r="FD344" s="38"/>
      <c r="FE344" s="38"/>
      <c r="FF344" s="38"/>
      <c r="FG344" s="38"/>
      <c r="FH344" s="38"/>
      <c r="FI344" s="38"/>
      <c r="FJ344" s="38"/>
      <c r="FK344" s="38"/>
      <c r="FL344" s="38"/>
      <c r="FM344" s="38"/>
      <c r="FN344" s="38"/>
      <c r="FO344" s="38"/>
      <c r="FP344" s="38"/>
      <c r="FQ344" s="38"/>
      <c r="FR344" s="38"/>
      <c r="FS344" s="38"/>
      <c r="FT344" s="38"/>
      <c r="FU344" s="38"/>
      <c r="FV344" s="38"/>
      <c r="FW344" s="38"/>
      <c r="FX344" s="38"/>
      <c r="FY344" s="38"/>
      <c r="FZ344" s="38"/>
      <c r="GA344" s="38"/>
      <c r="GB344" s="38"/>
      <c r="GC344" s="38"/>
      <c r="GD344" s="38"/>
      <c r="GE344" s="38"/>
      <c r="GF344" s="38"/>
      <c r="GG344" s="38"/>
      <c r="GH344" s="38"/>
      <c r="GI344" s="38"/>
      <c r="GJ344" s="38"/>
      <c r="GK344" s="38"/>
      <c r="GL344" s="38"/>
      <c r="GM344" s="38"/>
      <c r="GN344" s="38"/>
      <c r="GO344" s="38"/>
      <c r="GP344" s="38"/>
      <c r="GQ344" s="38"/>
      <c r="GR344" s="38"/>
      <c r="GS344" s="38"/>
      <c r="GT344" s="38"/>
      <c r="GU344" s="38"/>
      <c r="GV344" s="38"/>
      <c r="GW344" s="38"/>
      <c r="GX344" s="38"/>
      <c r="GY344" s="38"/>
      <c r="GZ344" s="38"/>
      <c r="HA344" s="38"/>
      <c r="HB344" s="38"/>
      <c r="HC344" s="38"/>
      <c r="HD344" s="38"/>
      <c r="HE344" s="38"/>
      <c r="HF344" s="38"/>
      <c r="HG344" s="38"/>
      <c r="HH344" s="38"/>
      <c r="HI344" s="38"/>
      <c r="HJ344" s="38"/>
      <c r="HK344" s="38"/>
      <c r="HL344" s="38"/>
      <c r="HM344" s="38"/>
      <c r="HN344" s="38"/>
      <c r="HO344" s="38"/>
      <c r="HP344" s="38"/>
      <c r="HQ344" s="38"/>
      <c r="HR344" s="38"/>
      <c r="HS344" s="38"/>
      <c r="HT344" s="38"/>
      <c r="HU344" s="38"/>
      <c r="HV344" s="38"/>
      <c r="HW344" s="38"/>
      <c r="HX344" s="38"/>
      <c r="HY344" s="38"/>
      <c r="HZ344" s="38"/>
      <c r="IA344" s="38"/>
    </row>
    <row r="345" spans="1:16" ht="11.25">
      <c r="A345" s="5" t="s">
        <v>38</v>
      </c>
      <c r="B345" s="37"/>
      <c r="C345" s="37"/>
      <c r="D345" s="30"/>
      <c r="E345" s="30"/>
      <c r="F345" s="30"/>
      <c r="G345" s="30"/>
      <c r="H345" s="30"/>
      <c r="I345" s="30"/>
      <c r="J345" s="30"/>
      <c r="K345" s="7"/>
      <c r="L345" s="30"/>
      <c r="M345" s="30"/>
      <c r="N345" s="30"/>
      <c r="O345" s="30"/>
      <c r="P345" s="30"/>
    </row>
    <row r="346" spans="1:16" ht="23.25" customHeight="1">
      <c r="A346" s="8" t="s">
        <v>268</v>
      </c>
      <c r="B346" s="6"/>
      <c r="C346" s="6"/>
      <c r="D346" s="7">
        <f>(D348*D350)+280000+700000</f>
        <v>2700000</v>
      </c>
      <c r="E346" s="7"/>
      <c r="F346" s="7">
        <f>D346</f>
        <v>2700000</v>
      </c>
      <c r="G346" s="7">
        <f>G348*G350+800000-2000-220000</f>
        <v>2578000</v>
      </c>
      <c r="H346" s="7"/>
      <c r="I346" s="7"/>
      <c r="J346" s="7">
        <f>G346</f>
        <v>2578000</v>
      </c>
      <c r="K346" s="7">
        <f>G346/D346*100</f>
        <v>95.48148148148148</v>
      </c>
      <c r="L346" s="7"/>
      <c r="M346" s="7"/>
      <c r="N346" s="7">
        <f>N348*N350+700000+34892</f>
        <v>2934892</v>
      </c>
      <c r="O346" s="7"/>
      <c r="P346" s="7">
        <f>N346</f>
        <v>2934892</v>
      </c>
    </row>
    <row r="347" spans="1:16" ht="11.25">
      <c r="A347" s="5" t="s">
        <v>5</v>
      </c>
      <c r="B347" s="37"/>
      <c r="C347" s="37"/>
      <c r="D347" s="30"/>
      <c r="E347" s="30"/>
      <c r="F347" s="7"/>
      <c r="G347" s="30"/>
      <c r="H347" s="30"/>
      <c r="I347" s="30"/>
      <c r="J347" s="7"/>
      <c r="K347" s="7"/>
      <c r="L347" s="30"/>
      <c r="M347" s="30"/>
      <c r="N347" s="30"/>
      <c r="O347" s="30"/>
      <c r="P347" s="7"/>
    </row>
    <row r="348" spans="1:16" ht="22.5">
      <c r="A348" s="8" t="s">
        <v>267</v>
      </c>
      <c r="B348" s="6"/>
      <c r="C348" s="6"/>
      <c r="D348" s="7">
        <v>8</v>
      </c>
      <c r="E348" s="7"/>
      <c r="F348" s="7">
        <f>D348</f>
        <v>8</v>
      </c>
      <c r="G348" s="7">
        <v>8</v>
      </c>
      <c r="H348" s="7"/>
      <c r="I348" s="7"/>
      <c r="J348" s="7">
        <f>G348</f>
        <v>8</v>
      </c>
      <c r="K348" s="7">
        <f>G348/D348*100</f>
        <v>100</v>
      </c>
      <c r="L348" s="7"/>
      <c r="M348" s="7"/>
      <c r="N348" s="7">
        <v>8</v>
      </c>
      <c r="O348" s="7"/>
      <c r="P348" s="7">
        <f>N348</f>
        <v>8</v>
      </c>
    </row>
    <row r="349" spans="1:16" ht="11.25">
      <c r="A349" s="5" t="s">
        <v>7</v>
      </c>
      <c r="B349" s="37"/>
      <c r="C349" s="37"/>
      <c r="D349" s="30"/>
      <c r="E349" s="30"/>
      <c r="F349" s="7"/>
      <c r="G349" s="30"/>
      <c r="H349" s="30"/>
      <c r="I349" s="30"/>
      <c r="J349" s="7"/>
      <c r="K349" s="7"/>
      <c r="L349" s="30"/>
      <c r="M349" s="30"/>
      <c r="N349" s="30"/>
      <c r="O349" s="30"/>
      <c r="P349" s="7"/>
    </row>
    <row r="350" spans="1:16" ht="22.5">
      <c r="A350" s="8" t="s">
        <v>269</v>
      </c>
      <c r="B350" s="6"/>
      <c r="C350" s="6"/>
      <c r="D350" s="7">
        <v>215000</v>
      </c>
      <c r="E350" s="7"/>
      <c r="F350" s="7">
        <f>D350</f>
        <v>215000</v>
      </c>
      <c r="G350" s="7">
        <v>250000</v>
      </c>
      <c r="H350" s="7"/>
      <c r="I350" s="7"/>
      <c r="J350" s="7">
        <f>G350</f>
        <v>250000</v>
      </c>
      <c r="K350" s="7">
        <f>G350/D350*100</f>
        <v>116.27906976744187</v>
      </c>
      <c r="L350" s="7"/>
      <c r="M350" s="7"/>
      <c r="N350" s="7">
        <v>275000</v>
      </c>
      <c r="O350" s="7"/>
      <c r="P350" s="7">
        <f>N350</f>
        <v>275000</v>
      </c>
    </row>
    <row r="351" spans="1:235" s="39" customFormat="1" ht="36" customHeight="1">
      <c r="A351" s="34" t="s">
        <v>386</v>
      </c>
      <c r="B351" s="35"/>
      <c r="C351" s="35"/>
      <c r="D351" s="45">
        <f>D355*D358</f>
        <v>163000</v>
      </c>
      <c r="E351" s="45"/>
      <c r="F351" s="45">
        <f>D351+E351</f>
        <v>163000</v>
      </c>
      <c r="G351" s="45">
        <f>G355*G358</f>
        <v>300000</v>
      </c>
      <c r="H351" s="45"/>
      <c r="I351" s="45"/>
      <c r="J351" s="45">
        <f>J355*J358</f>
        <v>300000</v>
      </c>
      <c r="K351" s="45" t="e">
        <f>K355*K358</f>
        <v>#REF!</v>
      </c>
      <c r="L351" s="45">
        <f>L355*L358</f>
        <v>0</v>
      </c>
      <c r="M351" s="45">
        <f>M355*M358</f>
        <v>0</v>
      </c>
      <c r="N351" s="45">
        <f>N355*N358</f>
        <v>350000</v>
      </c>
      <c r="O351" s="45"/>
      <c r="P351" s="45">
        <f>P355*P358+P356</f>
        <v>350005</v>
      </c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8"/>
      <c r="CM351" s="38"/>
      <c r="CN351" s="38"/>
      <c r="CO351" s="38"/>
      <c r="CP351" s="38"/>
      <c r="CQ351" s="38"/>
      <c r="CR351" s="38"/>
      <c r="CS351" s="38"/>
      <c r="CT351" s="38"/>
      <c r="CU351" s="38"/>
      <c r="CV351" s="38"/>
      <c r="CW351" s="38"/>
      <c r="CX351" s="38"/>
      <c r="CY351" s="38"/>
      <c r="CZ351" s="38"/>
      <c r="DA351" s="38"/>
      <c r="DB351" s="38"/>
      <c r="DC351" s="38"/>
      <c r="DD351" s="38"/>
      <c r="DE351" s="38"/>
      <c r="DF351" s="38"/>
      <c r="DG351" s="38"/>
      <c r="DH351" s="38"/>
      <c r="DI351" s="38"/>
      <c r="DJ351" s="38"/>
      <c r="DK351" s="38"/>
      <c r="DL351" s="38"/>
      <c r="DM351" s="38"/>
      <c r="DN351" s="38"/>
      <c r="DO351" s="38"/>
      <c r="DP351" s="38"/>
      <c r="DQ351" s="38"/>
      <c r="DR351" s="38"/>
      <c r="DS351" s="38"/>
      <c r="DT351" s="38"/>
      <c r="DU351" s="38"/>
      <c r="DV351" s="38"/>
      <c r="DW351" s="38"/>
      <c r="DX351" s="38"/>
      <c r="DY351" s="38"/>
      <c r="DZ351" s="38"/>
      <c r="EA351" s="38"/>
      <c r="EB351" s="38"/>
      <c r="EC351" s="38"/>
      <c r="ED351" s="38"/>
      <c r="EE351" s="38"/>
      <c r="EF351" s="38"/>
      <c r="EG351" s="38"/>
      <c r="EH351" s="38"/>
      <c r="EI351" s="38"/>
      <c r="EJ351" s="38"/>
      <c r="EK351" s="38"/>
      <c r="EL351" s="38"/>
      <c r="EM351" s="38"/>
      <c r="EN351" s="38"/>
      <c r="EO351" s="38"/>
      <c r="EP351" s="38"/>
      <c r="EQ351" s="38"/>
      <c r="ER351" s="38"/>
      <c r="ES351" s="38"/>
      <c r="ET351" s="38"/>
      <c r="EU351" s="38"/>
      <c r="EV351" s="38"/>
      <c r="EW351" s="38"/>
      <c r="EX351" s="38"/>
      <c r="EY351" s="38"/>
      <c r="EZ351" s="38"/>
      <c r="FA351" s="38"/>
      <c r="FB351" s="38"/>
      <c r="FC351" s="38"/>
      <c r="FD351" s="38"/>
      <c r="FE351" s="38"/>
      <c r="FF351" s="38"/>
      <c r="FG351" s="38"/>
      <c r="FH351" s="38"/>
      <c r="FI351" s="38"/>
      <c r="FJ351" s="38"/>
      <c r="FK351" s="38"/>
      <c r="FL351" s="38"/>
      <c r="FM351" s="38"/>
      <c r="FN351" s="38"/>
      <c r="FO351" s="38"/>
      <c r="FP351" s="38"/>
      <c r="FQ351" s="38"/>
      <c r="FR351" s="38"/>
      <c r="FS351" s="38"/>
      <c r="FT351" s="38"/>
      <c r="FU351" s="38"/>
      <c r="FV351" s="38"/>
      <c r="FW351" s="38"/>
      <c r="FX351" s="38"/>
      <c r="FY351" s="38"/>
      <c r="FZ351" s="38"/>
      <c r="GA351" s="38"/>
      <c r="GB351" s="38"/>
      <c r="GC351" s="38"/>
      <c r="GD351" s="38"/>
      <c r="GE351" s="38"/>
      <c r="GF351" s="38"/>
      <c r="GG351" s="38"/>
      <c r="GH351" s="38"/>
      <c r="GI351" s="38"/>
      <c r="GJ351" s="38"/>
      <c r="GK351" s="38"/>
      <c r="GL351" s="38"/>
      <c r="GM351" s="38"/>
      <c r="GN351" s="38"/>
      <c r="GO351" s="38"/>
      <c r="GP351" s="38"/>
      <c r="GQ351" s="38"/>
      <c r="GR351" s="38"/>
      <c r="GS351" s="38"/>
      <c r="GT351" s="38"/>
      <c r="GU351" s="38"/>
      <c r="GV351" s="38"/>
      <c r="GW351" s="38"/>
      <c r="GX351" s="38"/>
      <c r="GY351" s="38"/>
      <c r="GZ351" s="38"/>
      <c r="HA351" s="38"/>
      <c r="HB351" s="38"/>
      <c r="HC351" s="38"/>
      <c r="HD351" s="38"/>
      <c r="HE351" s="38"/>
      <c r="HF351" s="38"/>
      <c r="HG351" s="38"/>
      <c r="HH351" s="38"/>
      <c r="HI351" s="38"/>
      <c r="HJ351" s="38"/>
      <c r="HK351" s="38"/>
      <c r="HL351" s="38"/>
      <c r="HM351" s="38"/>
      <c r="HN351" s="38"/>
      <c r="HO351" s="38"/>
      <c r="HP351" s="38"/>
      <c r="HQ351" s="38"/>
      <c r="HR351" s="38"/>
      <c r="HS351" s="38"/>
      <c r="HT351" s="38"/>
      <c r="HU351" s="38"/>
      <c r="HV351" s="38"/>
      <c r="HW351" s="38"/>
      <c r="HX351" s="38"/>
      <c r="HY351" s="38"/>
      <c r="HZ351" s="38"/>
      <c r="IA351" s="38"/>
    </row>
    <row r="352" spans="1:16" ht="11.25">
      <c r="A352" s="5" t="s">
        <v>38</v>
      </c>
      <c r="B352" s="37"/>
      <c r="C352" s="37"/>
      <c r="D352" s="44"/>
      <c r="E352" s="44"/>
      <c r="F352" s="44"/>
      <c r="G352" s="30"/>
      <c r="H352" s="30"/>
      <c r="I352" s="30"/>
      <c r="J352" s="30"/>
      <c r="K352" s="7"/>
      <c r="L352" s="30"/>
      <c r="M352" s="30"/>
      <c r="N352" s="30"/>
      <c r="O352" s="30"/>
      <c r="P352" s="30"/>
    </row>
    <row r="353" spans="1:16" ht="23.25" customHeight="1">
      <c r="A353" s="8" t="s">
        <v>131</v>
      </c>
      <c r="B353" s="6"/>
      <c r="C353" s="6"/>
      <c r="D353" s="44">
        <v>2752</v>
      </c>
      <c r="E353" s="44"/>
      <c r="F353" s="44">
        <f>D353</f>
        <v>2752</v>
      </c>
      <c r="G353" s="44">
        <v>1752</v>
      </c>
      <c r="H353" s="44"/>
      <c r="I353" s="44"/>
      <c r="J353" s="44">
        <f>G353</f>
        <v>1752</v>
      </c>
      <c r="K353" s="7" t="e">
        <f>#REF!/G353*100</f>
        <v>#REF!</v>
      </c>
      <c r="L353" s="7"/>
      <c r="M353" s="7"/>
      <c r="N353" s="44">
        <v>952</v>
      </c>
      <c r="O353" s="44"/>
      <c r="P353" s="44">
        <f>N353</f>
        <v>952</v>
      </c>
    </row>
    <row r="354" spans="1:16" ht="11.25">
      <c r="A354" s="5" t="s">
        <v>5</v>
      </c>
      <c r="B354" s="37"/>
      <c r="C354" s="37"/>
      <c r="D354" s="44"/>
      <c r="E354" s="44"/>
      <c r="F354" s="44"/>
      <c r="G354" s="30"/>
      <c r="H354" s="30"/>
      <c r="I354" s="30"/>
      <c r="J354" s="7"/>
      <c r="K354" s="7"/>
      <c r="L354" s="30"/>
      <c r="M354" s="30"/>
      <c r="N354" s="30"/>
      <c r="O354" s="30"/>
      <c r="P354" s="7"/>
    </row>
    <row r="355" spans="1:16" ht="24" customHeight="1">
      <c r="A355" s="8" t="s">
        <v>129</v>
      </c>
      <c r="B355" s="6"/>
      <c r="C355" s="6"/>
      <c r="D355" s="44">
        <v>1000</v>
      </c>
      <c r="E355" s="44"/>
      <c r="F355" s="44">
        <f>D355</f>
        <v>1000</v>
      </c>
      <c r="G355" s="44">
        <v>800</v>
      </c>
      <c r="H355" s="44"/>
      <c r="I355" s="44"/>
      <c r="J355" s="44">
        <f>G355</f>
        <v>800</v>
      </c>
      <c r="K355" s="7" t="e">
        <f>#REF!/G355*100</f>
        <v>#REF!</v>
      </c>
      <c r="L355" s="7"/>
      <c r="M355" s="7"/>
      <c r="N355" s="44">
        <v>875</v>
      </c>
      <c r="O355" s="44"/>
      <c r="P355" s="44">
        <f>N355</f>
        <v>875</v>
      </c>
    </row>
    <row r="356" spans="1:16" ht="33.75" customHeight="1">
      <c r="A356" s="8" t="s">
        <v>201</v>
      </c>
      <c r="B356" s="6"/>
      <c r="C356" s="6"/>
      <c r="D356" s="44"/>
      <c r="E356" s="44"/>
      <c r="F356" s="44"/>
      <c r="G356" s="44">
        <v>0</v>
      </c>
      <c r="H356" s="44"/>
      <c r="I356" s="44"/>
      <c r="J356" s="44"/>
      <c r="K356" s="7"/>
      <c r="L356" s="7"/>
      <c r="M356" s="7"/>
      <c r="N356" s="44">
        <v>5</v>
      </c>
      <c r="O356" s="44"/>
      <c r="P356" s="44">
        <f>N356</f>
        <v>5</v>
      </c>
    </row>
    <row r="357" spans="1:16" ht="11.25">
      <c r="A357" s="5" t="s">
        <v>7</v>
      </c>
      <c r="B357" s="37"/>
      <c r="C357" s="37"/>
      <c r="D357" s="44"/>
      <c r="E357" s="44"/>
      <c r="F357" s="44"/>
      <c r="G357" s="44"/>
      <c r="H357" s="44"/>
      <c r="I357" s="44"/>
      <c r="J357" s="44"/>
      <c r="K357" s="7"/>
      <c r="L357" s="30"/>
      <c r="M357" s="30"/>
      <c r="N357" s="44"/>
      <c r="O357" s="44"/>
      <c r="P357" s="44"/>
    </row>
    <row r="358" spans="1:16" ht="24" customHeight="1">
      <c r="A358" s="8" t="s">
        <v>40</v>
      </c>
      <c r="B358" s="6"/>
      <c r="C358" s="6"/>
      <c r="D358" s="44">
        <v>163</v>
      </c>
      <c r="E358" s="44"/>
      <c r="F358" s="44">
        <f>D358</f>
        <v>163</v>
      </c>
      <c r="G358" s="44">
        <v>375</v>
      </c>
      <c r="H358" s="44"/>
      <c r="I358" s="44"/>
      <c r="J358" s="44">
        <f>G358</f>
        <v>375</v>
      </c>
      <c r="K358" s="7" t="e">
        <f>#REF!/G358*100</f>
        <v>#REF!</v>
      </c>
      <c r="L358" s="7"/>
      <c r="M358" s="7"/>
      <c r="N358" s="44">
        <v>400</v>
      </c>
      <c r="O358" s="44"/>
      <c r="P358" s="44">
        <f>N358</f>
        <v>400</v>
      </c>
    </row>
    <row r="359" spans="1:16" ht="11.25">
      <c r="A359" s="54" t="s">
        <v>6</v>
      </c>
      <c r="B359" s="55"/>
      <c r="C359" s="55"/>
      <c r="D359" s="48"/>
      <c r="E359" s="48"/>
      <c r="F359" s="48"/>
      <c r="G359" s="23"/>
      <c r="H359" s="23"/>
      <c r="I359" s="23"/>
      <c r="J359" s="23"/>
      <c r="K359" s="23"/>
      <c r="L359" s="23"/>
      <c r="M359" s="23"/>
      <c r="N359" s="23"/>
      <c r="O359" s="23"/>
      <c r="P359" s="23"/>
    </row>
    <row r="360" spans="1:235" s="22" customFormat="1" ht="39" customHeight="1">
      <c r="A360" s="8" t="s">
        <v>130</v>
      </c>
      <c r="B360" s="6"/>
      <c r="C360" s="6"/>
      <c r="D360" s="44">
        <f>D355/D353*100</f>
        <v>36.337209302325576</v>
      </c>
      <c r="E360" s="44"/>
      <c r="F360" s="44">
        <f>D360</f>
        <v>36.337209302325576</v>
      </c>
      <c r="G360" s="44">
        <f>G355/G353*100</f>
        <v>45.662100456621005</v>
      </c>
      <c r="H360" s="44"/>
      <c r="I360" s="44"/>
      <c r="J360" s="44">
        <f>G360</f>
        <v>45.662100456621005</v>
      </c>
      <c r="K360" s="7"/>
      <c r="L360" s="7"/>
      <c r="M360" s="7"/>
      <c r="N360" s="44">
        <f>N355/N353*100</f>
        <v>91.91176470588235</v>
      </c>
      <c r="O360" s="44"/>
      <c r="P360" s="44">
        <f>N360</f>
        <v>91.91176470588235</v>
      </c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  <c r="HK360" s="56"/>
      <c r="HL360" s="56"/>
      <c r="HM360" s="56"/>
      <c r="HN360" s="56"/>
      <c r="HO360" s="56"/>
      <c r="HP360" s="56"/>
      <c r="HQ360" s="56"/>
      <c r="HR360" s="56"/>
      <c r="HS360" s="56"/>
      <c r="HT360" s="56"/>
      <c r="HU360" s="56"/>
      <c r="HV360" s="56"/>
      <c r="HW360" s="56"/>
      <c r="HX360" s="56"/>
      <c r="HY360" s="56"/>
      <c r="HZ360" s="56"/>
      <c r="IA360" s="56"/>
    </row>
    <row r="361" spans="1:235" s="22" customFormat="1" ht="45.75" customHeight="1">
      <c r="A361" s="34" t="s">
        <v>395</v>
      </c>
      <c r="B361" s="6"/>
      <c r="C361" s="6"/>
      <c r="D361" s="44"/>
      <c r="E361" s="44"/>
      <c r="F361" s="44"/>
      <c r="G361" s="57">
        <f>G363</f>
        <v>250000</v>
      </c>
      <c r="H361" s="44"/>
      <c r="I361" s="44"/>
      <c r="J361" s="44">
        <f>G361</f>
        <v>250000</v>
      </c>
      <c r="K361" s="7"/>
      <c r="L361" s="7"/>
      <c r="M361" s="7"/>
      <c r="N361" s="44"/>
      <c r="O361" s="44"/>
      <c r="P361" s="44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  <c r="HF361" s="56"/>
      <c r="HG361" s="56"/>
      <c r="HH361" s="56"/>
      <c r="HI361" s="56"/>
      <c r="HJ361" s="56"/>
      <c r="HK361" s="56"/>
      <c r="HL361" s="56"/>
      <c r="HM361" s="56"/>
      <c r="HN361" s="56"/>
      <c r="HO361" s="56"/>
      <c r="HP361" s="56"/>
      <c r="HQ361" s="56"/>
      <c r="HR361" s="56"/>
      <c r="HS361" s="56"/>
      <c r="HT361" s="56"/>
      <c r="HU361" s="56"/>
      <c r="HV361" s="56"/>
      <c r="HW361" s="56"/>
      <c r="HX361" s="56"/>
      <c r="HY361" s="56"/>
      <c r="HZ361" s="56"/>
      <c r="IA361" s="56"/>
    </row>
    <row r="362" spans="1:235" s="22" customFormat="1" ht="15" customHeight="1">
      <c r="A362" s="5" t="s">
        <v>38</v>
      </c>
      <c r="B362" s="6"/>
      <c r="C362" s="6"/>
      <c r="D362" s="44"/>
      <c r="E362" s="44"/>
      <c r="F362" s="44"/>
      <c r="G362" s="44"/>
      <c r="H362" s="44"/>
      <c r="I362" s="44"/>
      <c r="J362" s="44"/>
      <c r="K362" s="7"/>
      <c r="L362" s="7"/>
      <c r="M362" s="7"/>
      <c r="N362" s="44"/>
      <c r="O362" s="44"/>
      <c r="P362" s="44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  <c r="HF362" s="56"/>
      <c r="HG362" s="56"/>
      <c r="HH362" s="56"/>
      <c r="HI362" s="56"/>
      <c r="HJ362" s="56"/>
      <c r="HK362" s="56"/>
      <c r="HL362" s="56"/>
      <c r="HM362" s="56"/>
      <c r="HN362" s="56"/>
      <c r="HO362" s="56"/>
      <c r="HP362" s="56"/>
      <c r="HQ362" s="56"/>
      <c r="HR362" s="56"/>
      <c r="HS362" s="56"/>
      <c r="HT362" s="56"/>
      <c r="HU362" s="56"/>
      <c r="HV362" s="56"/>
      <c r="HW362" s="56"/>
      <c r="HX362" s="56"/>
      <c r="HY362" s="56"/>
      <c r="HZ362" s="56"/>
      <c r="IA362" s="56"/>
    </row>
    <row r="363" spans="1:235" s="22" customFormat="1" ht="22.5" customHeight="1">
      <c r="A363" s="8" t="s">
        <v>398</v>
      </c>
      <c r="B363" s="6"/>
      <c r="C363" s="6"/>
      <c r="D363" s="44"/>
      <c r="E363" s="44"/>
      <c r="F363" s="44"/>
      <c r="G363" s="44">
        <f>G365*G367</f>
        <v>250000</v>
      </c>
      <c r="H363" s="44"/>
      <c r="I363" s="44"/>
      <c r="J363" s="44">
        <f>G363</f>
        <v>250000</v>
      </c>
      <c r="K363" s="7"/>
      <c r="L363" s="7"/>
      <c r="M363" s="7"/>
      <c r="N363" s="44"/>
      <c r="O363" s="44"/>
      <c r="P363" s="44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  <c r="HF363" s="56"/>
      <c r="HG363" s="56"/>
      <c r="HH363" s="56"/>
      <c r="HI363" s="56"/>
      <c r="HJ363" s="56"/>
      <c r="HK363" s="56"/>
      <c r="HL363" s="56"/>
      <c r="HM363" s="56"/>
      <c r="HN363" s="56"/>
      <c r="HO363" s="56"/>
      <c r="HP363" s="56"/>
      <c r="HQ363" s="56"/>
      <c r="HR363" s="56"/>
      <c r="HS363" s="56"/>
      <c r="HT363" s="56"/>
      <c r="HU363" s="56"/>
      <c r="HV363" s="56"/>
      <c r="HW363" s="56"/>
      <c r="HX363" s="56"/>
      <c r="HY363" s="56"/>
      <c r="HZ363" s="56"/>
      <c r="IA363" s="56"/>
    </row>
    <row r="364" spans="1:235" s="22" customFormat="1" ht="15.75" customHeight="1">
      <c r="A364" s="5" t="s">
        <v>5</v>
      </c>
      <c r="B364" s="6"/>
      <c r="C364" s="6"/>
      <c r="D364" s="44"/>
      <c r="E364" s="44"/>
      <c r="F364" s="44"/>
      <c r="G364" s="44"/>
      <c r="H364" s="44"/>
      <c r="I364" s="44"/>
      <c r="J364" s="44"/>
      <c r="K364" s="7"/>
      <c r="L364" s="7"/>
      <c r="M364" s="7"/>
      <c r="N364" s="44"/>
      <c r="O364" s="44"/>
      <c r="P364" s="44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</row>
    <row r="365" spans="1:235" s="22" customFormat="1" ht="22.5" customHeight="1">
      <c r="A365" s="8" t="s">
        <v>396</v>
      </c>
      <c r="B365" s="6"/>
      <c r="C365" s="6"/>
      <c r="D365" s="44"/>
      <c r="E365" s="44"/>
      <c r="F365" s="44"/>
      <c r="G365" s="44">
        <v>5000</v>
      </c>
      <c r="H365" s="44"/>
      <c r="I365" s="44"/>
      <c r="J365" s="44">
        <f>G365</f>
        <v>5000</v>
      </c>
      <c r="K365" s="7"/>
      <c r="L365" s="7"/>
      <c r="M365" s="7"/>
      <c r="N365" s="44"/>
      <c r="O365" s="44"/>
      <c r="P365" s="44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  <c r="HF365" s="56"/>
      <c r="HG365" s="56"/>
      <c r="HH365" s="56"/>
      <c r="HI365" s="56"/>
      <c r="HJ365" s="56"/>
      <c r="HK365" s="56"/>
      <c r="HL365" s="56"/>
      <c r="HM365" s="56"/>
      <c r="HN365" s="56"/>
      <c r="HO365" s="56"/>
      <c r="HP365" s="56"/>
      <c r="HQ365" s="56"/>
      <c r="HR365" s="56"/>
      <c r="HS365" s="56"/>
      <c r="HT365" s="56"/>
      <c r="HU365" s="56"/>
      <c r="HV365" s="56"/>
      <c r="HW365" s="56"/>
      <c r="HX365" s="56"/>
      <c r="HY365" s="56"/>
      <c r="HZ365" s="56"/>
      <c r="IA365" s="56"/>
    </row>
    <row r="366" spans="1:235" s="22" customFormat="1" ht="22.5" customHeight="1">
      <c r="A366" s="5" t="s">
        <v>7</v>
      </c>
      <c r="B366" s="6"/>
      <c r="C366" s="6"/>
      <c r="D366" s="44"/>
      <c r="E366" s="44"/>
      <c r="F366" s="44"/>
      <c r="G366" s="44"/>
      <c r="H366" s="44"/>
      <c r="I366" s="44"/>
      <c r="J366" s="44"/>
      <c r="K366" s="7"/>
      <c r="L366" s="7"/>
      <c r="M366" s="7"/>
      <c r="N366" s="44"/>
      <c r="O366" s="44"/>
      <c r="P366" s="44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  <c r="HF366" s="56"/>
      <c r="HG366" s="56"/>
      <c r="HH366" s="56"/>
      <c r="HI366" s="56"/>
      <c r="HJ366" s="56"/>
      <c r="HK366" s="56"/>
      <c r="HL366" s="56"/>
      <c r="HM366" s="56"/>
      <c r="HN366" s="56"/>
      <c r="HO366" s="56"/>
      <c r="HP366" s="56"/>
      <c r="HQ366" s="56"/>
      <c r="HR366" s="56"/>
      <c r="HS366" s="56"/>
      <c r="HT366" s="56"/>
      <c r="HU366" s="56"/>
      <c r="HV366" s="56"/>
      <c r="HW366" s="56"/>
      <c r="HX366" s="56"/>
      <c r="HY366" s="56"/>
      <c r="HZ366" s="56"/>
      <c r="IA366" s="56"/>
    </row>
    <row r="367" spans="1:235" s="22" customFormat="1" ht="22.5" customHeight="1">
      <c r="A367" s="8" t="s">
        <v>397</v>
      </c>
      <c r="B367" s="6"/>
      <c r="C367" s="6"/>
      <c r="D367" s="44"/>
      <c r="E367" s="44"/>
      <c r="F367" s="44"/>
      <c r="G367" s="44">
        <v>50</v>
      </c>
      <c r="H367" s="44"/>
      <c r="I367" s="44"/>
      <c r="J367" s="44">
        <f>G367</f>
        <v>50</v>
      </c>
      <c r="K367" s="7"/>
      <c r="L367" s="7"/>
      <c r="M367" s="7"/>
      <c r="N367" s="44"/>
      <c r="O367" s="44"/>
      <c r="P367" s="44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</row>
    <row r="368" spans="1:235" s="22" customFormat="1" ht="16.5" customHeight="1">
      <c r="A368" s="54" t="s">
        <v>6</v>
      </c>
      <c r="B368" s="6"/>
      <c r="C368" s="6"/>
      <c r="D368" s="44"/>
      <c r="E368" s="44"/>
      <c r="F368" s="44"/>
      <c r="G368" s="44"/>
      <c r="H368" s="44"/>
      <c r="I368" s="44"/>
      <c r="J368" s="44"/>
      <c r="K368" s="7"/>
      <c r="L368" s="7"/>
      <c r="M368" s="7"/>
      <c r="N368" s="44"/>
      <c r="O368" s="44"/>
      <c r="P368" s="44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DT368" s="56"/>
      <c r="DU368" s="56"/>
      <c r="DV368" s="56"/>
      <c r="DW368" s="56"/>
      <c r="DX368" s="56"/>
      <c r="DY368" s="56"/>
      <c r="DZ368" s="56"/>
      <c r="EA368" s="56"/>
      <c r="EB368" s="56"/>
      <c r="EC368" s="56"/>
      <c r="ED368" s="56"/>
      <c r="EE368" s="56"/>
      <c r="EF368" s="56"/>
      <c r="EG368" s="56"/>
      <c r="EH368" s="56"/>
      <c r="EI368" s="56"/>
      <c r="EJ368" s="56"/>
      <c r="EK368" s="56"/>
      <c r="EL368" s="56"/>
      <c r="EM368" s="56"/>
      <c r="EN368" s="56"/>
      <c r="EO368" s="56"/>
      <c r="EP368" s="56"/>
      <c r="EQ368" s="56"/>
      <c r="ER368" s="56"/>
      <c r="ES368" s="56"/>
      <c r="ET368" s="56"/>
      <c r="EU368" s="56"/>
      <c r="EV368" s="56"/>
      <c r="EW368" s="56"/>
      <c r="EX368" s="56"/>
      <c r="EY368" s="56"/>
      <c r="EZ368" s="56"/>
      <c r="FA368" s="56"/>
      <c r="FB368" s="56"/>
      <c r="FC368" s="56"/>
      <c r="FD368" s="56"/>
      <c r="FE368" s="56"/>
      <c r="FF368" s="56"/>
      <c r="FG368" s="56"/>
      <c r="FH368" s="56"/>
      <c r="FI368" s="56"/>
      <c r="FJ368" s="56"/>
      <c r="FK368" s="56"/>
      <c r="FL368" s="56"/>
      <c r="FM368" s="56"/>
      <c r="FN368" s="56"/>
      <c r="FO368" s="56"/>
      <c r="FP368" s="56"/>
      <c r="FQ368" s="56"/>
      <c r="FR368" s="56"/>
      <c r="FS368" s="56"/>
      <c r="FT368" s="56"/>
      <c r="FU368" s="56"/>
      <c r="FV368" s="56"/>
      <c r="FW368" s="56"/>
      <c r="FX368" s="56"/>
      <c r="FY368" s="56"/>
      <c r="FZ368" s="56"/>
      <c r="GA368" s="56"/>
      <c r="GB368" s="56"/>
      <c r="GC368" s="56"/>
      <c r="GD368" s="56"/>
      <c r="GE368" s="56"/>
      <c r="GF368" s="56"/>
      <c r="GG368" s="56"/>
      <c r="GH368" s="56"/>
      <c r="GI368" s="56"/>
      <c r="GJ368" s="56"/>
      <c r="GK368" s="56"/>
      <c r="GL368" s="56"/>
      <c r="GM368" s="56"/>
      <c r="GN368" s="56"/>
      <c r="GO368" s="56"/>
      <c r="GP368" s="56"/>
      <c r="GQ368" s="56"/>
      <c r="GR368" s="56"/>
      <c r="GS368" s="56"/>
      <c r="GT368" s="56"/>
      <c r="GU368" s="56"/>
      <c r="GV368" s="56"/>
      <c r="GW368" s="56"/>
      <c r="GX368" s="56"/>
      <c r="GY368" s="56"/>
      <c r="GZ368" s="56"/>
      <c r="HA368" s="56"/>
      <c r="HB368" s="56"/>
      <c r="HC368" s="56"/>
      <c r="HD368" s="56"/>
      <c r="HE368" s="56"/>
      <c r="HF368" s="56"/>
      <c r="HG368" s="56"/>
      <c r="HH368" s="56"/>
      <c r="HI368" s="56"/>
      <c r="HJ368" s="56"/>
      <c r="HK368" s="56"/>
      <c r="HL368" s="56"/>
      <c r="HM368" s="56"/>
      <c r="HN368" s="56"/>
      <c r="HO368" s="56"/>
      <c r="HP368" s="56"/>
      <c r="HQ368" s="56"/>
      <c r="HR368" s="56"/>
      <c r="HS368" s="56"/>
      <c r="HT368" s="56"/>
      <c r="HU368" s="56"/>
      <c r="HV368" s="56"/>
      <c r="HW368" s="56"/>
      <c r="HX368" s="56"/>
      <c r="HY368" s="56"/>
      <c r="HZ368" s="56"/>
      <c r="IA368" s="56"/>
    </row>
    <row r="369" spans="1:235" s="22" customFormat="1" ht="22.5" customHeight="1">
      <c r="A369" s="8" t="s">
        <v>130</v>
      </c>
      <c r="B369" s="6"/>
      <c r="C369" s="6"/>
      <c r="D369" s="44"/>
      <c r="E369" s="44"/>
      <c r="F369" s="44"/>
      <c r="G369" s="44"/>
      <c r="H369" s="44"/>
      <c r="I369" s="44"/>
      <c r="J369" s="44"/>
      <c r="K369" s="7"/>
      <c r="L369" s="7"/>
      <c r="M369" s="7"/>
      <c r="N369" s="44"/>
      <c r="O369" s="44"/>
      <c r="P369" s="44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56"/>
      <c r="BZ369" s="56"/>
      <c r="CA369" s="56"/>
      <c r="CB369" s="56"/>
      <c r="CC369" s="56"/>
      <c r="CD369" s="56"/>
      <c r="CE369" s="56"/>
      <c r="CF369" s="56"/>
      <c r="CG369" s="56"/>
      <c r="CH369" s="56"/>
      <c r="CI369" s="56"/>
      <c r="CJ369" s="56"/>
      <c r="CK369" s="56"/>
      <c r="CL369" s="56"/>
      <c r="CM369" s="56"/>
      <c r="CN369" s="56"/>
      <c r="CO369" s="56"/>
      <c r="CP369" s="56"/>
      <c r="CQ369" s="56"/>
      <c r="CR369" s="56"/>
      <c r="CS369" s="56"/>
      <c r="CT369" s="56"/>
      <c r="CU369" s="56"/>
      <c r="CV369" s="56"/>
      <c r="CW369" s="56"/>
      <c r="CX369" s="56"/>
      <c r="CY369" s="56"/>
      <c r="CZ369" s="56"/>
      <c r="DA369" s="56"/>
      <c r="DB369" s="56"/>
      <c r="DC369" s="56"/>
      <c r="DD369" s="56"/>
      <c r="DE369" s="56"/>
      <c r="DF369" s="56"/>
      <c r="DG369" s="56"/>
      <c r="DH369" s="56"/>
      <c r="DI369" s="56"/>
      <c r="DJ369" s="56"/>
      <c r="DK369" s="56"/>
      <c r="DL369" s="56"/>
      <c r="DM369" s="56"/>
      <c r="DN369" s="56"/>
      <c r="DO369" s="56"/>
      <c r="DP369" s="56"/>
      <c r="DQ369" s="56"/>
      <c r="DR369" s="56"/>
      <c r="DS369" s="56"/>
      <c r="DT369" s="56"/>
      <c r="DU369" s="56"/>
      <c r="DV369" s="56"/>
      <c r="DW369" s="56"/>
      <c r="DX369" s="56"/>
      <c r="DY369" s="56"/>
      <c r="DZ369" s="56"/>
      <c r="EA369" s="56"/>
      <c r="EB369" s="56"/>
      <c r="EC369" s="56"/>
      <c r="ED369" s="56"/>
      <c r="EE369" s="56"/>
      <c r="EF369" s="56"/>
      <c r="EG369" s="56"/>
      <c r="EH369" s="56"/>
      <c r="EI369" s="56"/>
      <c r="EJ369" s="56"/>
      <c r="EK369" s="56"/>
      <c r="EL369" s="56"/>
      <c r="EM369" s="56"/>
      <c r="EN369" s="56"/>
      <c r="EO369" s="56"/>
      <c r="EP369" s="56"/>
      <c r="EQ369" s="56"/>
      <c r="ER369" s="56"/>
      <c r="ES369" s="56"/>
      <c r="ET369" s="56"/>
      <c r="EU369" s="56"/>
      <c r="EV369" s="56"/>
      <c r="EW369" s="56"/>
      <c r="EX369" s="56"/>
      <c r="EY369" s="56"/>
      <c r="EZ369" s="56"/>
      <c r="FA369" s="56"/>
      <c r="FB369" s="56"/>
      <c r="FC369" s="56"/>
      <c r="FD369" s="56"/>
      <c r="FE369" s="56"/>
      <c r="FF369" s="56"/>
      <c r="FG369" s="56"/>
      <c r="FH369" s="56"/>
      <c r="FI369" s="56"/>
      <c r="FJ369" s="56"/>
      <c r="FK369" s="56"/>
      <c r="FL369" s="56"/>
      <c r="FM369" s="56"/>
      <c r="FN369" s="56"/>
      <c r="FO369" s="56"/>
      <c r="FP369" s="56"/>
      <c r="FQ369" s="56"/>
      <c r="FR369" s="56"/>
      <c r="FS369" s="56"/>
      <c r="FT369" s="56"/>
      <c r="FU369" s="56"/>
      <c r="FV369" s="56"/>
      <c r="FW369" s="56"/>
      <c r="FX369" s="56"/>
      <c r="FY369" s="56"/>
      <c r="FZ369" s="56"/>
      <c r="GA369" s="56"/>
      <c r="GB369" s="56"/>
      <c r="GC369" s="56"/>
      <c r="GD369" s="56"/>
      <c r="GE369" s="56"/>
      <c r="GF369" s="56"/>
      <c r="GG369" s="56"/>
      <c r="GH369" s="56"/>
      <c r="GI369" s="56"/>
      <c r="GJ369" s="56"/>
      <c r="GK369" s="56"/>
      <c r="GL369" s="56"/>
      <c r="GM369" s="56"/>
      <c r="GN369" s="56"/>
      <c r="GO369" s="56"/>
      <c r="GP369" s="56"/>
      <c r="GQ369" s="56"/>
      <c r="GR369" s="56"/>
      <c r="GS369" s="56"/>
      <c r="GT369" s="56"/>
      <c r="GU369" s="56"/>
      <c r="GV369" s="56"/>
      <c r="GW369" s="56"/>
      <c r="GX369" s="56"/>
      <c r="GY369" s="56"/>
      <c r="GZ369" s="56"/>
      <c r="HA369" s="56"/>
      <c r="HB369" s="56"/>
      <c r="HC369" s="56"/>
      <c r="HD369" s="56"/>
      <c r="HE369" s="56"/>
      <c r="HF369" s="56"/>
      <c r="HG369" s="56"/>
      <c r="HH369" s="56"/>
      <c r="HI369" s="56"/>
      <c r="HJ369" s="56"/>
      <c r="HK369" s="56"/>
      <c r="HL369" s="56"/>
      <c r="HM369" s="56"/>
      <c r="HN369" s="56"/>
      <c r="HO369" s="56"/>
      <c r="HP369" s="56"/>
      <c r="HQ369" s="56"/>
      <c r="HR369" s="56"/>
      <c r="HS369" s="56"/>
      <c r="HT369" s="56"/>
      <c r="HU369" s="56"/>
      <c r="HV369" s="56"/>
      <c r="HW369" s="56"/>
      <c r="HX369" s="56"/>
      <c r="HY369" s="56"/>
      <c r="HZ369" s="56"/>
      <c r="IA369" s="56"/>
    </row>
    <row r="370" spans="1:235" s="22" customFormat="1" ht="24" customHeight="1">
      <c r="A370" s="37" t="s">
        <v>301</v>
      </c>
      <c r="B370" s="20"/>
      <c r="C370" s="20"/>
      <c r="D370" s="57">
        <f>D372+D382</f>
        <v>312380.003</v>
      </c>
      <c r="E370" s="57"/>
      <c r="F370" s="57">
        <f>F372+F382</f>
        <v>312380.003</v>
      </c>
      <c r="G370" s="57">
        <f>G372+G382</f>
        <v>343775</v>
      </c>
      <c r="H370" s="57"/>
      <c r="I370" s="57"/>
      <c r="J370" s="57">
        <f>J372+J382</f>
        <v>343775</v>
      </c>
      <c r="K370" s="57"/>
      <c r="L370" s="57"/>
      <c r="M370" s="57"/>
      <c r="N370" s="57">
        <f>N372+N382</f>
        <v>352520</v>
      </c>
      <c r="O370" s="57"/>
      <c r="P370" s="57">
        <f>P372+P382</f>
        <v>352520</v>
      </c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56"/>
      <c r="BZ370" s="56"/>
      <c r="CA370" s="56"/>
      <c r="CB370" s="56"/>
      <c r="CC370" s="56"/>
      <c r="CD370" s="56"/>
      <c r="CE370" s="56"/>
      <c r="CF370" s="56"/>
      <c r="CG370" s="56"/>
      <c r="CH370" s="56"/>
      <c r="CI370" s="56"/>
      <c r="CJ370" s="56"/>
      <c r="CK370" s="56"/>
      <c r="CL370" s="56"/>
      <c r="CM370" s="56"/>
      <c r="CN370" s="56"/>
      <c r="CO370" s="56"/>
      <c r="CP370" s="56"/>
      <c r="CQ370" s="56"/>
      <c r="CR370" s="56"/>
      <c r="CS370" s="56"/>
      <c r="CT370" s="56"/>
      <c r="CU370" s="56"/>
      <c r="CV370" s="56"/>
      <c r="CW370" s="56"/>
      <c r="CX370" s="56"/>
      <c r="CY370" s="56"/>
      <c r="CZ370" s="56"/>
      <c r="DA370" s="56"/>
      <c r="DB370" s="56"/>
      <c r="DC370" s="56"/>
      <c r="DD370" s="56"/>
      <c r="DE370" s="56"/>
      <c r="DF370" s="56"/>
      <c r="DG370" s="56"/>
      <c r="DH370" s="56"/>
      <c r="DI370" s="56"/>
      <c r="DJ370" s="56"/>
      <c r="DK370" s="56"/>
      <c r="DL370" s="56"/>
      <c r="DM370" s="56"/>
      <c r="DN370" s="56"/>
      <c r="DO370" s="56"/>
      <c r="DP370" s="56"/>
      <c r="DQ370" s="56"/>
      <c r="DR370" s="56"/>
      <c r="DS370" s="56"/>
      <c r="DT370" s="56"/>
      <c r="DU370" s="56"/>
      <c r="DV370" s="56"/>
      <c r="DW370" s="56"/>
      <c r="DX370" s="56"/>
      <c r="DY370" s="56"/>
      <c r="DZ370" s="56"/>
      <c r="EA370" s="56"/>
      <c r="EB370" s="56"/>
      <c r="EC370" s="56"/>
      <c r="ED370" s="56"/>
      <c r="EE370" s="56"/>
      <c r="EF370" s="56"/>
      <c r="EG370" s="56"/>
      <c r="EH370" s="56"/>
      <c r="EI370" s="56"/>
      <c r="EJ370" s="56"/>
      <c r="EK370" s="56"/>
      <c r="EL370" s="56"/>
      <c r="EM370" s="56"/>
      <c r="EN370" s="56"/>
      <c r="EO370" s="56"/>
      <c r="EP370" s="56"/>
      <c r="EQ370" s="56"/>
      <c r="ER370" s="56"/>
      <c r="ES370" s="56"/>
      <c r="ET370" s="56"/>
      <c r="EU370" s="56"/>
      <c r="EV370" s="56"/>
      <c r="EW370" s="56"/>
      <c r="EX370" s="56"/>
      <c r="EY370" s="56"/>
      <c r="EZ370" s="56"/>
      <c r="FA370" s="56"/>
      <c r="FB370" s="56"/>
      <c r="FC370" s="56"/>
      <c r="FD370" s="56"/>
      <c r="FE370" s="56"/>
      <c r="FF370" s="56"/>
      <c r="FG370" s="56"/>
      <c r="FH370" s="56"/>
      <c r="FI370" s="56"/>
      <c r="FJ370" s="56"/>
      <c r="FK370" s="56"/>
      <c r="FL370" s="56"/>
      <c r="FM370" s="56"/>
      <c r="FN370" s="56"/>
      <c r="FO370" s="56"/>
      <c r="FP370" s="56"/>
      <c r="FQ370" s="56"/>
      <c r="FR370" s="56"/>
      <c r="FS370" s="56"/>
      <c r="FT370" s="56"/>
      <c r="FU370" s="56"/>
      <c r="FV370" s="56"/>
      <c r="FW370" s="56"/>
      <c r="FX370" s="56"/>
      <c r="FY370" s="56"/>
      <c r="FZ370" s="56"/>
      <c r="GA370" s="56"/>
      <c r="GB370" s="56"/>
      <c r="GC370" s="56"/>
      <c r="GD370" s="56"/>
      <c r="GE370" s="56"/>
      <c r="GF370" s="56"/>
      <c r="GG370" s="56"/>
      <c r="GH370" s="56"/>
      <c r="GI370" s="56"/>
      <c r="GJ370" s="56"/>
      <c r="GK370" s="56"/>
      <c r="GL370" s="56"/>
      <c r="GM370" s="56"/>
      <c r="GN370" s="56"/>
      <c r="GO370" s="56"/>
      <c r="GP370" s="56"/>
      <c r="GQ370" s="56"/>
      <c r="GR370" s="56"/>
      <c r="GS370" s="56"/>
      <c r="GT370" s="56"/>
      <c r="GU370" s="56"/>
      <c r="GV370" s="56"/>
      <c r="GW370" s="56"/>
      <c r="GX370" s="56"/>
      <c r="GY370" s="56"/>
      <c r="GZ370" s="56"/>
      <c r="HA370" s="56"/>
      <c r="HB370" s="56"/>
      <c r="HC370" s="56"/>
      <c r="HD370" s="56"/>
      <c r="HE370" s="56"/>
      <c r="HF370" s="56"/>
      <c r="HG370" s="56"/>
      <c r="HH370" s="56"/>
      <c r="HI370" s="56"/>
      <c r="HJ370" s="56"/>
      <c r="HK370" s="56"/>
      <c r="HL370" s="56"/>
      <c r="HM370" s="56"/>
      <c r="HN370" s="56"/>
      <c r="HO370" s="56"/>
      <c r="HP370" s="56"/>
      <c r="HQ370" s="56"/>
      <c r="HR370" s="56"/>
      <c r="HS370" s="56"/>
      <c r="HT370" s="56"/>
      <c r="HU370" s="56"/>
      <c r="HV370" s="56"/>
      <c r="HW370" s="56"/>
      <c r="HX370" s="56"/>
      <c r="HY370" s="56"/>
      <c r="HZ370" s="56"/>
      <c r="IA370" s="56"/>
    </row>
    <row r="371" spans="1:235" s="22" customFormat="1" ht="24" customHeight="1">
      <c r="A371" s="8" t="s">
        <v>278</v>
      </c>
      <c r="B371" s="20"/>
      <c r="C371" s="20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6"/>
      <c r="BW371" s="56"/>
      <c r="BX371" s="56"/>
      <c r="BY371" s="56"/>
      <c r="BZ371" s="56"/>
      <c r="CA371" s="56"/>
      <c r="CB371" s="56"/>
      <c r="CC371" s="56"/>
      <c r="CD371" s="56"/>
      <c r="CE371" s="56"/>
      <c r="CF371" s="56"/>
      <c r="CG371" s="56"/>
      <c r="CH371" s="56"/>
      <c r="CI371" s="56"/>
      <c r="CJ371" s="56"/>
      <c r="CK371" s="56"/>
      <c r="CL371" s="56"/>
      <c r="CM371" s="56"/>
      <c r="CN371" s="56"/>
      <c r="CO371" s="56"/>
      <c r="CP371" s="56"/>
      <c r="CQ371" s="56"/>
      <c r="CR371" s="56"/>
      <c r="CS371" s="56"/>
      <c r="CT371" s="56"/>
      <c r="CU371" s="56"/>
      <c r="CV371" s="56"/>
      <c r="CW371" s="56"/>
      <c r="CX371" s="56"/>
      <c r="CY371" s="56"/>
      <c r="CZ371" s="56"/>
      <c r="DA371" s="56"/>
      <c r="DB371" s="56"/>
      <c r="DC371" s="56"/>
      <c r="DD371" s="56"/>
      <c r="DE371" s="56"/>
      <c r="DF371" s="56"/>
      <c r="DG371" s="56"/>
      <c r="DH371" s="56"/>
      <c r="DI371" s="56"/>
      <c r="DJ371" s="56"/>
      <c r="DK371" s="56"/>
      <c r="DL371" s="56"/>
      <c r="DM371" s="56"/>
      <c r="DN371" s="56"/>
      <c r="DO371" s="56"/>
      <c r="DP371" s="56"/>
      <c r="DQ371" s="56"/>
      <c r="DR371" s="56"/>
      <c r="DS371" s="56"/>
      <c r="DT371" s="56"/>
      <c r="DU371" s="56"/>
      <c r="DV371" s="56"/>
      <c r="DW371" s="56"/>
      <c r="DX371" s="56"/>
      <c r="DY371" s="56"/>
      <c r="DZ371" s="56"/>
      <c r="EA371" s="56"/>
      <c r="EB371" s="56"/>
      <c r="EC371" s="56"/>
      <c r="ED371" s="56"/>
      <c r="EE371" s="56"/>
      <c r="EF371" s="56"/>
      <c r="EG371" s="56"/>
      <c r="EH371" s="56"/>
      <c r="EI371" s="56"/>
      <c r="EJ371" s="56"/>
      <c r="EK371" s="56"/>
      <c r="EL371" s="56"/>
      <c r="EM371" s="56"/>
      <c r="EN371" s="56"/>
      <c r="EO371" s="56"/>
      <c r="EP371" s="56"/>
      <c r="EQ371" s="56"/>
      <c r="ER371" s="56"/>
      <c r="ES371" s="56"/>
      <c r="ET371" s="56"/>
      <c r="EU371" s="56"/>
      <c r="EV371" s="56"/>
      <c r="EW371" s="56"/>
      <c r="EX371" s="56"/>
      <c r="EY371" s="56"/>
      <c r="EZ371" s="56"/>
      <c r="FA371" s="56"/>
      <c r="FB371" s="56"/>
      <c r="FC371" s="56"/>
      <c r="FD371" s="56"/>
      <c r="FE371" s="56"/>
      <c r="FF371" s="56"/>
      <c r="FG371" s="56"/>
      <c r="FH371" s="56"/>
      <c r="FI371" s="56"/>
      <c r="FJ371" s="56"/>
      <c r="FK371" s="56"/>
      <c r="FL371" s="56"/>
      <c r="FM371" s="56"/>
      <c r="FN371" s="56"/>
      <c r="FO371" s="56"/>
      <c r="FP371" s="56"/>
      <c r="FQ371" s="56"/>
      <c r="FR371" s="56"/>
      <c r="FS371" s="56"/>
      <c r="FT371" s="56"/>
      <c r="FU371" s="56"/>
      <c r="FV371" s="56"/>
      <c r="FW371" s="56"/>
      <c r="FX371" s="56"/>
      <c r="FY371" s="56"/>
      <c r="FZ371" s="56"/>
      <c r="GA371" s="56"/>
      <c r="GB371" s="56"/>
      <c r="GC371" s="56"/>
      <c r="GD371" s="56"/>
      <c r="GE371" s="56"/>
      <c r="GF371" s="56"/>
      <c r="GG371" s="56"/>
      <c r="GH371" s="56"/>
      <c r="GI371" s="56"/>
      <c r="GJ371" s="56"/>
      <c r="GK371" s="56"/>
      <c r="GL371" s="56"/>
      <c r="GM371" s="56"/>
      <c r="GN371" s="56"/>
      <c r="GO371" s="56"/>
      <c r="GP371" s="56"/>
      <c r="GQ371" s="56"/>
      <c r="GR371" s="56"/>
      <c r="GS371" s="56"/>
      <c r="GT371" s="56"/>
      <c r="GU371" s="56"/>
      <c r="GV371" s="56"/>
      <c r="GW371" s="56"/>
      <c r="GX371" s="56"/>
      <c r="GY371" s="56"/>
      <c r="GZ371" s="56"/>
      <c r="HA371" s="56"/>
      <c r="HB371" s="56"/>
      <c r="HC371" s="56"/>
      <c r="HD371" s="56"/>
      <c r="HE371" s="56"/>
      <c r="HF371" s="56"/>
      <c r="HG371" s="56"/>
      <c r="HH371" s="56"/>
      <c r="HI371" s="56"/>
      <c r="HJ371" s="56"/>
      <c r="HK371" s="56"/>
      <c r="HL371" s="56"/>
      <c r="HM371" s="56"/>
      <c r="HN371" s="56"/>
      <c r="HO371" s="56"/>
      <c r="HP371" s="56"/>
      <c r="HQ371" s="56"/>
      <c r="HR371" s="56"/>
      <c r="HS371" s="56"/>
      <c r="HT371" s="56"/>
      <c r="HU371" s="56"/>
      <c r="HV371" s="56"/>
      <c r="HW371" s="56"/>
      <c r="HX371" s="56"/>
      <c r="HY371" s="56"/>
      <c r="HZ371" s="56"/>
      <c r="IA371" s="56"/>
    </row>
    <row r="372" spans="1:235" s="60" customFormat="1" ht="44.25" customHeight="1">
      <c r="A372" s="58" t="s">
        <v>402</v>
      </c>
      <c r="B372" s="58"/>
      <c r="C372" s="58"/>
      <c r="D372" s="45">
        <f>D374+D375</f>
        <v>209000.003</v>
      </c>
      <c r="E372" s="45"/>
      <c r="F372" s="45">
        <f>F374+F375</f>
        <v>209000.003</v>
      </c>
      <c r="G372" s="45">
        <f>G374+G375</f>
        <v>224075</v>
      </c>
      <c r="H372" s="45"/>
      <c r="I372" s="45"/>
      <c r="J372" s="45">
        <f>J374+J375</f>
        <v>224075</v>
      </c>
      <c r="K372" s="45"/>
      <c r="L372" s="45"/>
      <c r="M372" s="45"/>
      <c r="N372" s="45">
        <f>N374+N375</f>
        <v>237530</v>
      </c>
      <c r="O372" s="45"/>
      <c r="P372" s="45">
        <f>P374+P375</f>
        <v>237530</v>
      </c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  <c r="DB372" s="59"/>
      <c r="DC372" s="59"/>
      <c r="DD372" s="59"/>
      <c r="DE372" s="59"/>
      <c r="DF372" s="59"/>
      <c r="DG372" s="59"/>
      <c r="DH372" s="59"/>
      <c r="DI372" s="59"/>
      <c r="DJ372" s="59"/>
      <c r="DK372" s="59"/>
      <c r="DL372" s="59"/>
      <c r="DM372" s="59"/>
      <c r="DN372" s="59"/>
      <c r="DO372" s="59"/>
      <c r="DP372" s="59"/>
      <c r="DQ372" s="59"/>
      <c r="DR372" s="59"/>
      <c r="DS372" s="59"/>
      <c r="DT372" s="59"/>
      <c r="DU372" s="59"/>
      <c r="DV372" s="59"/>
      <c r="DW372" s="59"/>
      <c r="DX372" s="59"/>
      <c r="DY372" s="59"/>
      <c r="DZ372" s="59"/>
      <c r="EA372" s="59"/>
      <c r="EB372" s="59"/>
      <c r="EC372" s="59"/>
      <c r="ED372" s="59"/>
      <c r="EE372" s="59"/>
      <c r="EF372" s="59"/>
      <c r="EG372" s="59"/>
      <c r="EH372" s="59"/>
      <c r="EI372" s="59"/>
      <c r="EJ372" s="59"/>
      <c r="EK372" s="59"/>
      <c r="EL372" s="59"/>
      <c r="EM372" s="59"/>
      <c r="EN372" s="59"/>
      <c r="EO372" s="59"/>
      <c r="EP372" s="59"/>
      <c r="EQ372" s="59"/>
      <c r="ER372" s="59"/>
      <c r="ES372" s="59"/>
      <c r="ET372" s="59"/>
      <c r="EU372" s="59"/>
      <c r="EV372" s="59"/>
      <c r="EW372" s="59"/>
      <c r="EX372" s="59"/>
      <c r="EY372" s="59"/>
      <c r="EZ372" s="59"/>
      <c r="FA372" s="59"/>
      <c r="FB372" s="59"/>
      <c r="FC372" s="59"/>
      <c r="FD372" s="59"/>
      <c r="FE372" s="59"/>
      <c r="FF372" s="59"/>
      <c r="FG372" s="59"/>
      <c r="FH372" s="59"/>
      <c r="FI372" s="59"/>
      <c r="FJ372" s="59"/>
      <c r="FK372" s="59"/>
      <c r="FL372" s="59"/>
      <c r="FM372" s="59"/>
      <c r="FN372" s="59"/>
      <c r="FO372" s="59"/>
      <c r="FP372" s="59"/>
      <c r="FQ372" s="59"/>
      <c r="FR372" s="59"/>
      <c r="FS372" s="59"/>
      <c r="FT372" s="59"/>
      <c r="FU372" s="59"/>
      <c r="FV372" s="59"/>
      <c r="FW372" s="59"/>
      <c r="FX372" s="59"/>
      <c r="FY372" s="59"/>
      <c r="FZ372" s="59"/>
      <c r="GA372" s="59"/>
      <c r="GB372" s="59"/>
      <c r="GC372" s="59"/>
      <c r="GD372" s="59"/>
      <c r="GE372" s="59"/>
      <c r="GF372" s="59"/>
      <c r="GG372" s="59"/>
      <c r="GH372" s="59"/>
      <c r="GI372" s="59"/>
      <c r="GJ372" s="59"/>
      <c r="GK372" s="59"/>
      <c r="GL372" s="59"/>
      <c r="GM372" s="59"/>
      <c r="GN372" s="59"/>
      <c r="GO372" s="59"/>
      <c r="GP372" s="59"/>
      <c r="GQ372" s="59"/>
      <c r="GR372" s="59"/>
      <c r="GS372" s="59"/>
      <c r="GT372" s="59"/>
      <c r="GU372" s="59"/>
      <c r="GV372" s="59"/>
      <c r="GW372" s="59"/>
      <c r="GX372" s="59"/>
      <c r="GY372" s="59"/>
      <c r="GZ372" s="59"/>
      <c r="HA372" s="59"/>
      <c r="HB372" s="59"/>
      <c r="HC372" s="59"/>
      <c r="HD372" s="59"/>
      <c r="HE372" s="59"/>
      <c r="HF372" s="59"/>
      <c r="HG372" s="59"/>
      <c r="HH372" s="59"/>
      <c r="HI372" s="59"/>
      <c r="HJ372" s="59"/>
      <c r="HK372" s="59"/>
      <c r="HL372" s="59"/>
      <c r="HM372" s="59"/>
      <c r="HN372" s="59"/>
      <c r="HO372" s="59"/>
      <c r="HP372" s="59"/>
      <c r="HQ372" s="59"/>
      <c r="HR372" s="59"/>
      <c r="HS372" s="59"/>
      <c r="HT372" s="59"/>
      <c r="HU372" s="59"/>
      <c r="HV372" s="59"/>
      <c r="HW372" s="59"/>
      <c r="HX372" s="59"/>
      <c r="HY372" s="59"/>
      <c r="HZ372" s="59"/>
      <c r="IA372" s="59"/>
    </row>
    <row r="373" spans="1:16" ht="11.25">
      <c r="A373" s="61" t="s">
        <v>4</v>
      </c>
      <c r="B373" s="61"/>
      <c r="C373" s="61"/>
      <c r="D373" s="62"/>
      <c r="E373" s="62"/>
      <c r="F373" s="62"/>
      <c r="G373" s="62"/>
      <c r="H373" s="62"/>
      <c r="I373" s="62"/>
      <c r="J373" s="62"/>
      <c r="K373" s="63"/>
      <c r="L373" s="62"/>
      <c r="M373" s="62"/>
      <c r="N373" s="62"/>
      <c r="O373" s="62"/>
      <c r="P373" s="62"/>
    </row>
    <row r="374" spans="1:16" ht="33.75">
      <c r="A374" s="11" t="s">
        <v>390</v>
      </c>
      <c r="B374" s="11"/>
      <c r="C374" s="11"/>
      <c r="D374" s="43">
        <f>D377*D380</f>
        <v>132000.003</v>
      </c>
      <c r="E374" s="43"/>
      <c r="F374" s="43">
        <f>F377*F380</f>
        <v>132000.003</v>
      </c>
      <c r="G374" s="43">
        <f>G377*G380</f>
        <v>141525</v>
      </c>
      <c r="H374" s="43"/>
      <c r="I374" s="43"/>
      <c r="J374" s="43">
        <f>J377*J380</f>
        <v>141525</v>
      </c>
      <c r="K374" s="43">
        <f>G374/D374*100</f>
        <v>107.21590665418394</v>
      </c>
      <c r="L374" s="43"/>
      <c r="M374" s="43"/>
      <c r="N374" s="43">
        <f>N377*N380</f>
        <v>150030</v>
      </c>
      <c r="O374" s="43"/>
      <c r="P374" s="43">
        <f>P377*P380</f>
        <v>150030</v>
      </c>
    </row>
    <row r="375" spans="1:16" ht="36.75" customHeight="1">
      <c r="A375" s="11" t="s">
        <v>391</v>
      </c>
      <c r="B375" s="11"/>
      <c r="C375" s="11"/>
      <c r="D375" s="43">
        <f>D378*D381</f>
        <v>77000</v>
      </c>
      <c r="E375" s="43"/>
      <c r="F375" s="43">
        <f>F378*F381</f>
        <v>77000</v>
      </c>
      <c r="G375" s="43">
        <f>G378*G381</f>
        <v>82550</v>
      </c>
      <c r="H375" s="43"/>
      <c r="I375" s="43"/>
      <c r="J375" s="43">
        <f>J378*J381</f>
        <v>82550</v>
      </c>
      <c r="K375" s="43"/>
      <c r="L375" s="43"/>
      <c r="M375" s="43"/>
      <c r="N375" s="43">
        <f>N378*N381</f>
        <v>87500</v>
      </c>
      <c r="O375" s="43"/>
      <c r="P375" s="43">
        <f>P378*P381</f>
        <v>87500</v>
      </c>
    </row>
    <row r="376" spans="1:16" ht="11.25">
      <c r="A376" s="13" t="s">
        <v>5</v>
      </c>
      <c r="B376" s="13"/>
      <c r="C376" s="13"/>
      <c r="D376" s="10"/>
      <c r="E376" s="10"/>
      <c r="F376" s="43"/>
      <c r="G376" s="10"/>
      <c r="H376" s="10"/>
      <c r="I376" s="10"/>
      <c r="J376" s="43"/>
      <c r="K376" s="43"/>
      <c r="L376" s="10"/>
      <c r="M376" s="10"/>
      <c r="N376" s="10"/>
      <c r="O376" s="10"/>
      <c r="P376" s="43"/>
    </row>
    <row r="377" spans="1:16" ht="25.5" customHeight="1">
      <c r="A377" s="11" t="s">
        <v>280</v>
      </c>
      <c r="B377" s="11"/>
      <c r="C377" s="11"/>
      <c r="D377" s="43">
        <v>9</v>
      </c>
      <c r="E377" s="43"/>
      <c r="F377" s="43">
        <f>D377</f>
        <v>9</v>
      </c>
      <c r="G377" s="43">
        <v>9</v>
      </c>
      <c r="H377" s="43"/>
      <c r="I377" s="43"/>
      <c r="J377" s="43">
        <f>G377+H377</f>
        <v>9</v>
      </c>
      <c r="K377" s="43">
        <f>G377/D377*100</f>
        <v>100</v>
      </c>
      <c r="L377" s="43"/>
      <c r="M377" s="43"/>
      <c r="N377" s="43">
        <v>9</v>
      </c>
      <c r="O377" s="43"/>
      <c r="P377" s="43">
        <f>N377</f>
        <v>9</v>
      </c>
    </row>
    <row r="378" spans="1:16" ht="25.5" customHeight="1">
      <c r="A378" s="11" t="s">
        <v>279</v>
      </c>
      <c r="B378" s="11"/>
      <c r="C378" s="11"/>
      <c r="D378" s="43">
        <v>10</v>
      </c>
      <c r="E378" s="43"/>
      <c r="F378" s="43">
        <v>10</v>
      </c>
      <c r="G378" s="43">
        <v>10</v>
      </c>
      <c r="H378" s="43"/>
      <c r="I378" s="43"/>
      <c r="J378" s="43">
        <v>10</v>
      </c>
      <c r="K378" s="43"/>
      <c r="L378" s="43"/>
      <c r="M378" s="43"/>
      <c r="N378" s="43">
        <v>10</v>
      </c>
      <c r="O378" s="43"/>
      <c r="P378" s="43">
        <v>10</v>
      </c>
    </row>
    <row r="379" spans="1:16" ht="11.25">
      <c r="A379" s="13" t="s">
        <v>7</v>
      </c>
      <c r="B379" s="13"/>
      <c r="C379" s="13"/>
      <c r="D379" s="64"/>
      <c r="E379" s="64"/>
      <c r="F379" s="65"/>
      <c r="G379" s="64"/>
      <c r="H379" s="64"/>
      <c r="I379" s="64"/>
      <c r="J379" s="65"/>
      <c r="K379" s="65"/>
      <c r="L379" s="64"/>
      <c r="M379" s="64"/>
      <c r="N379" s="64"/>
      <c r="O379" s="64"/>
      <c r="P379" s="65"/>
    </row>
    <row r="380" spans="1:16" ht="33.75">
      <c r="A380" s="11" t="s">
        <v>281</v>
      </c>
      <c r="B380" s="11"/>
      <c r="C380" s="11"/>
      <c r="D380" s="65">
        <v>14666.667</v>
      </c>
      <c r="E380" s="65"/>
      <c r="F380" s="65">
        <f>D380</f>
        <v>14666.667</v>
      </c>
      <c r="G380" s="65">
        <v>15725</v>
      </c>
      <c r="H380" s="65"/>
      <c r="I380" s="65"/>
      <c r="J380" s="65">
        <f>G380</f>
        <v>15725</v>
      </c>
      <c r="K380" s="65">
        <f>G380/D380*100</f>
        <v>107.21590665418394</v>
      </c>
      <c r="L380" s="65"/>
      <c r="M380" s="65"/>
      <c r="N380" s="65">
        <v>16670</v>
      </c>
      <c r="O380" s="65"/>
      <c r="P380" s="65">
        <f>N380</f>
        <v>16670</v>
      </c>
    </row>
    <row r="381" spans="1:16" ht="24" customHeight="1">
      <c r="A381" s="11" t="s">
        <v>282</v>
      </c>
      <c r="B381" s="11"/>
      <c r="C381" s="11"/>
      <c r="D381" s="43">
        <v>7700</v>
      </c>
      <c r="E381" s="43"/>
      <c r="F381" s="43">
        <v>7700</v>
      </c>
      <c r="G381" s="43">
        <v>8255</v>
      </c>
      <c r="H381" s="43"/>
      <c r="I381" s="43"/>
      <c r="J381" s="43">
        <v>8255</v>
      </c>
      <c r="K381" s="65"/>
      <c r="L381" s="65"/>
      <c r="M381" s="65"/>
      <c r="N381" s="43">
        <v>8750</v>
      </c>
      <c r="O381" s="43"/>
      <c r="P381" s="43">
        <v>8750</v>
      </c>
    </row>
    <row r="382" spans="1:235" s="39" customFormat="1" ht="33.75">
      <c r="A382" s="9" t="s">
        <v>403</v>
      </c>
      <c r="B382" s="9"/>
      <c r="C382" s="9"/>
      <c r="D382" s="10">
        <f>D384+D385+D386+D387+D388+D389</f>
        <v>103380</v>
      </c>
      <c r="E382" s="10"/>
      <c r="F382" s="10">
        <f>D382+E382</f>
        <v>103380</v>
      </c>
      <c r="G382" s="10">
        <f>G384+G385+G386+G387+G388+G389</f>
        <v>119700</v>
      </c>
      <c r="H382" s="10"/>
      <c r="I382" s="10"/>
      <c r="J382" s="10">
        <f>G382+H382</f>
        <v>119700</v>
      </c>
      <c r="K382" s="10"/>
      <c r="L382" s="10"/>
      <c r="M382" s="10"/>
      <c r="N382" s="10">
        <f>N384+N385+N386+N387+N388+N389</f>
        <v>114990</v>
      </c>
      <c r="O382" s="10"/>
      <c r="P382" s="10">
        <f>N382</f>
        <v>114990</v>
      </c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ET382" s="38"/>
      <c r="EU382" s="38"/>
      <c r="EV382" s="38"/>
      <c r="EW382" s="38"/>
      <c r="EX382" s="38"/>
      <c r="EY382" s="38"/>
      <c r="EZ382" s="38"/>
      <c r="FA382" s="38"/>
      <c r="FB382" s="38"/>
      <c r="FC382" s="38"/>
      <c r="FD382" s="38"/>
      <c r="FE382" s="38"/>
      <c r="FF382" s="38"/>
      <c r="FG382" s="38"/>
      <c r="FH382" s="38"/>
      <c r="FI382" s="38"/>
      <c r="FJ382" s="38"/>
      <c r="FK382" s="38"/>
      <c r="FL382" s="38"/>
      <c r="FM382" s="38"/>
      <c r="FN382" s="38"/>
      <c r="FO382" s="38"/>
      <c r="FP382" s="38"/>
      <c r="FQ382" s="38"/>
      <c r="FR382" s="38"/>
      <c r="FS382" s="38"/>
      <c r="FT382" s="38"/>
      <c r="FU382" s="38"/>
      <c r="FV382" s="38"/>
      <c r="FW382" s="38"/>
      <c r="FX382" s="38"/>
      <c r="FY382" s="38"/>
      <c r="FZ382" s="38"/>
      <c r="GA382" s="38"/>
      <c r="GB382" s="38"/>
      <c r="GC382" s="38"/>
      <c r="GD382" s="38"/>
      <c r="GE382" s="38"/>
      <c r="GF382" s="38"/>
      <c r="GG382" s="38"/>
      <c r="GH382" s="38"/>
      <c r="GI382" s="38"/>
      <c r="GJ382" s="38"/>
      <c r="GK382" s="38"/>
      <c r="GL382" s="38"/>
      <c r="GM382" s="38"/>
      <c r="GN382" s="38"/>
      <c r="GO382" s="38"/>
      <c r="GP382" s="38"/>
      <c r="GQ382" s="38"/>
      <c r="GR382" s="38"/>
      <c r="GS382" s="38"/>
      <c r="GT382" s="38"/>
      <c r="GU382" s="38"/>
      <c r="GV382" s="38"/>
      <c r="GW382" s="38"/>
      <c r="GX382" s="38"/>
      <c r="GY382" s="38"/>
      <c r="GZ382" s="38"/>
      <c r="HA382" s="38"/>
      <c r="HB382" s="38"/>
      <c r="HC382" s="38"/>
      <c r="HD382" s="38"/>
      <c r="HE382" s="38"/>
      <c r="HF382" s="38"/>
      <c r="HG382" s="38"/>
      <c r="HH382" s="38"/>
      <c r="HI382" s="38"/>
      <c r="HJ382" s="38"/>
      <c r="HK382" s="38"/>
      <c r="HL382" s="38"/>
      <c r="HM382" s="38"/>
      <c r="HN382" s="38"/>
      <c r="HO382" s="38"/>
      <c r="HP382" s="38"/>
      <c r="HQ382" s="38"/>
      <c r="HR382" s="38"/>
      <c r="HS382" s="38"/>
      <c r="HT382" s="38"/>
      <c r="HU382" s="38"/>
      <c r="HV382" s="38"/>
      <c r="HW382" s="38"/>
      <c r="HX382" s="38"/>
      <c r="HY382" s="38"/>
      <c r="HZ382" s="38"/>
      <c r="IA382" s="38"/>
    </row>
    <row r="383" spans="1:235" s="39" customFormat="1" ht="11.25">
      <c r="A383" s="61" t="s">
        <v>4</v>
      </c>
      <c r="B383" s="9"/>
      <c r="C383" s="9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  <c r="HZ383" s="38"/>
      <c r="IA383" s="38"/>
    </row>
    <row r="384" spans="1:235" s="39" customFormat="1" ht="32.25" customHeight="1">
      <c r="A384" s="9" t="s">
        <v>283</v>
      </c>
      <c r="B384" s="9"/>
      <c r="C384" s="9"/>
      <c r="D384" s="10">
        <f>D391*D398</f>
        <v>7200</v>
      </c>
      <c r="E384" s="10"/>
      <c r="F384" s="10">
        <f aca="true" t="shared" si="44" ref="F384:F389">D384+E384</f>
        <v>7200</v>
      </c>
      <c r="G384" s="10">
        <f>G391*G398</f>
        <v>7800</v>
      </c>
      <c r="H384" s="10"/>
      <c r="I384" s="10"/>
      <c r="J384" s="10">
        <f aca="true" t="shared" si="45" ref="J384:J389">G384+H384</f>
        <v>7800</v>
      </c>
      <c r="K384" s="10"/>
      <c r="L384" s="10"/>
      <c r="M384" s="10"/>
      <c r="N384" s="10">
        <f>N391*N398</f>
        <v>8250</v>
      </c>
      <c r="O384" s="10"/>
      <c r="P384" s="10">
        <f aca="true" t="shared" si="46" ref="P384:P389">N384+O384</f>
        <v>8250</v>
      </c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ET384" s="38"/>
      <c r="EU384" s="38"/>
      <c r="EV384" s="38"/>
      <c r="EW384" s="38"/>
      <c r="EX384" s="38"/>
      <c r="EY384" s="38"/>
      <c r="EZ384" s="38"/>
      <c r="FA384" s="38"/>
      <c r="FB384" s="38"/>
      <c r="FC384" s="38"/>
      <c r="FD384" s="38"/>
      <c r="FE384" s="38"/>
      <c r="FF384" s="38"/>
      <c r="FG384" s="38"/>
      <c r="FH384" s="38"/>
      <c r="FI384" s="38"/>
      <c r="FJ384" s="38"/>
      <c r="FK384" s="38"/>
      <c r="FL384" s="38"/>
      <c r="FM384" s="38"/>
      <c r="FN384" s="38"/>
      <c r="FO384" s="38"/>
      <c r="FP384" s="38"/>
      <c r="FQ384" s="38"/>
      <c r="FR384" s="38"/>
      <c r="FS384" s="38"/>
      <c r="FT384" s="38"/>
      <c r="FU384" s="38"/>
      <c r="FV384" s="38"/>
      <c r="FW384" s="38"/>
      <c r="FX384" s="38"/>
      <c r="FY384" s="38"/>
      <c r="FZ384" s="38"/>
      <c r="GA384" s="38"/>
      <c r="GB384" s="38"/>
      <c r="GC384" s="38"/>
      <c r="GD384" s="38"/>
      <c r="GE384" s="38"/>
      <c r="GF384" s="38"/>
      <c r="GG384" s="38"/>
      <c r="GH384" s="38"/>
      <c r="GI384" s="38"/>
      <c r="GJ384" s="38"/>
      <c r="GK384" s="38"/>
      <c r="GL384" s="38"/>
      <c r="GM384" s="38"/>
      <c r="GN384" s="38"/>
      <c r="GO384" s="38"/>
      <c r="GP384" s="38"/>
      <c r="GQ384" s="38"/>
      <c r="GR384" s="38"/>
      <c r="GS384" s="38"/>
      <c r="GT384" s="38"/>
      <c r="GU384" s="38"/>
      <c r="GV384" s="38"/>
      <c r="GW384" s="38"/>
      <c r="GX384" s="38"/>
      <c r="GY384" s="38"/>
      <c r="GZ384" s="38"/>
      <c r="HA384" s="38"/>
      <c r="HB384" s="38"/>
      <c r="HC384" s="38"/>
      <c r="HD384" s="38"/>
      <c r="HE384" s="38"/>
      <c r="HF384" s="38"/>
      <c r="HG384" s="38"/>
      <c r="HH384" s="38"/>
      <c r="HI384" s="38"/>
      <c r="HJ384" s="38"/>
      <c r="HK384" s="38"/>
      <c r="HL384" s="38"/>
      <c r="HM384" s="38"/>
      <c r="HN384" s="38"/>
      <c r="HO384" s="38"/>
      <c r="HP384" s="38"/>
      <c r="HQ384" s="38"/>
      <c r="HR384" s="38"/>
      <c r="HS384" s="38"/>
      <c r="HT384" s="38"/>
      <c r="HU384" s="38"/>
      <c r="HV384" s="38"/>
      <c r="HW384" s="38"/>
      <c r="HX384" s="38"/>
      <c r="HY384" s="38"/>
      <c r="HZ384" s="38"/>
      <c r="IA384" s="38"/>
    </row>
    <row r="385" spans="1:235" s="39" customFormat="1" ht="33.75">
      <c r="A385" s="9" t="s">
        <v>284</v>
      </c>
      <c r="B385" s="9"/>
      <c r="C385" s="9"/>
      <c r="D385" s="10">
        <f>D399*D392</f>
        <v>22800</v>
      </c>
      <c r="E385" s="10"/>
      <c r="F385" s="10">
        <f t="shared" si="44"/>
        <v>22800</v>
      </c>
      <c r="G385" s="10">
        <f>G399*G392</f>
        <v>24600</v>
      </c>
      <c r="H385" s="10"/>
      <c r="I385" s="10"/>
      <c r="J385" s="10">
        <f t="shared" si="45"/>
        <v>24600</v>
      </c>
      <c r="K385" s="10"/>
      <c r="L385" s="10"/>
      <c r="M385" s="10"/>
      <c r="N385" s="10">
        <f>N399*N392</f>
        <v>26100</v>
      </c>
      <c r="O385" s="10"/>
      <c r="P385" s="10">
        <f t="shared" si="46"/>
        <v>26100</v>
      </c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  <c r="DN385" s="38"/>
      <c r="DO385" s="38"/>
      <c r="DP385" s="38"/>
      <c r="DQ385" s="38"/>
      <c r="DR385" s="38"/>
      <c r="DS385" s="38"/>
      <c r="DT385" s="38"/>
      <c r="DU385" s="38"/>
      <c r="DV385" s="38"/>
      <c r="DW385" s="38"/>
      <c r="DX385" s="38"/>
      <c r="DY385" s="38"/>
      <c r="DZ385" s="38"/>
      <c r="EA385" s="38"/>
      <c r="EB385" s="38"/>
      <c r="EC385" s="38"/>
      <c r="ED385" s="38"/>
      <c r="EE385" s="38"/>
      <c r="EF385" s="38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ET385" s="38"/>
      <c r="EU385" s="38"/>
      <c r="EV385" s="38"/>
      <c r="EW385" s="38"/>
      <c r="EX385" s="38"/>
      <c r="EY385" s="38"/>
      <c r="EZ385" s="38"/>
      <c r="FA385" s="38"/>
      <c r="FB385" s="38"/>
      <c r="FC385" s="38"/>
      <c r="FD385" s="38"/>
      <c r="FE385" s="38"/>
      <c r="FF385" s="38"/>
      <c r="FG385" s="38"/>
      <c r="FH385" s="38"/>
      <c r="FI385" s="38"/>
      <c r="FJ385" s="38"/>
      <c r="FK385" s="38"/>
      <c r="FL385" s="38"/>
      <c r="FM385" s="38"/>
      <c r="FN385" s="38"/>
      <c r="FO385" s="38"/>
      <c r="FP385" s="38"/>
      <c r="FQ385" s="38"/>
      <c r="FR385" s="38"/>
      <c r="FS385" s="38"/>
      <c r="FT385" s="38"/>
      <c r="FU385" s="38"/>
      <c r="FV385" s="38"/>
      <c r="FW385" s="38"/>
      <c r="FX385" s="38"/>
      <c r="FY385" s="38"/>
      <c r="FZ385" s="38"/>
      <c r="GA385" s="38"/>
      <c r="GB385" s="38"/>
      <c r="GC385" s="38"/>
      <c r="GD385" s="38"/>
      <c r="GE385" s="38"/>
      <c r="GF385" s="38"/>
      <c r="GG385" s="38"/>
      <c r="GH385" s="38"/>
      <c r="GI385" s="38"/>
      <c r="GJ385" s="38"/>
      <c r="GK385" s="38"/>
      <c r="GL385" s="38"/>
      <c r="GM385" s="38"/>
      <c r="GN385" s="38"/>
      <c r="GO385" s="38"/>
      <c r="GP385" s="38"/>
      <c r="GQ385" s="38"/>
      <c r="GR385" s="38"/>
      <c r="GS385" s="38"/>
      <c r="GT385" s="38"/>
      <c r="GU385" s="38"/>
      <c r="GV385" s="38"/>
      <c r="GW385" s="38"/>
      <c r="GX385" s="38"/>
      <c r="GY385" s="38"/>
      <c r="GZ385" s="38"/>
      <c r="HA385" s="38"/>
      <c r="HB385" s="38"/>
      <c r="HC385" s="38"/>
      <c r="HD385" s="38"/>
      <c r="HE385" s="38"/>
      <c r="HF385" s="38"/>
      <c r="HG385" s="38"/>
      <c r="HH385" s="38"/>
      <c r="HI385" s="38"/>
      <c r="HJ385" s="38"/>
      <c r="HK385" s="38"/>
      <c r="HL385" s="38"/>
      <c r="HM385" s="38"/>
      <c r="HN385" s="38"/>
      <c r="HO385" s="38"/>
      <c r="HP385" s="38"/>
      <c r="HQ385" s="38"/>
      <c r="HR385" s="38"/>
      <c r="HS385" s="38"/>
      <c r="HT385" s="38"/>
      <c r="HU385" s="38"/>
      <c r="HV385" s="38"/>
      <c r="HW385" s="38"/>
      <c r="HX385" s="38"/>
      <c r="HY385" s="38"/>
      <c r="HZ385" s="38"/>
      <c r="IA385" s="38"/>
    </row>
    <row r="386" spans="1:235" s="39" customFormat="1" ht="33.75">
      <c r="A386" s="9" t="s">
        <v>285</v>
      </c>
      <c r="B386" s="9"/>
      <c r="C386" s="9"/>
      <c r="D386" s="10">
        <f>D393*D400</f>
        <v>40500</v>
      </c>
      <c r="E386" s="10"/>
      <c r="F386" s="10">
        <f t="shared" si="44"/>
        <v>40500</v>
      </c>
      <c r="G386" s="10">
        <f>G393*G400</f>
        <v>43500</v>
      </c>
      <c r="H386" s="10"/>
      <c r="I386" s="10"/>
      <c r="J386" s="10">
        <f t="shared" si="45"/>
        <v>43500</v>
      </c>
      <c r="K386" s="10"/>
      <c r="L386" s="10"/>
      <c r="M386" s="10"/>
      <c r="N386" s="10">
        <f>N393*N400</f>
        <v>46200</v>
      </c>
      <c r="O386" s="10"/>
      <c r="P386" s="10">
        <f t="shared" si="46"/>
        <v>46200</v>
      </c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  <c r="CS386" s="38"/>
      <c r="CT386" s="38"/>
      <c r="CU386" s="38"/>
      <c r="CV386" s="38"/>
      <c r="CW386" s="38"/>
      <c r="CX386" s="38"/>
      <c r="CY386" s="38"/>
      <c r="CZ386" s="38"/>
      <c r="DA386" s="38"/>
      <c r="DB386" s="38"/>
      <c r="DC386" s="38"/>
      <c r="DD386" s="38"/>
      <c r="DE386" s="38"/>
      <c r="DF386" s="38"/>
      <c r="DG386" s="38"/>
      <c r="DH386" s="38"/>
      <c r="DI386" s="38"/>
      <c r="DJ386" s="38"/>
      <c r="DK386" s="38"/>
      <c r="DL386" s="38"/>
      <c r="DM386" s="38"/>
      <c r="DN386" s="38"/>
      <c r="DO386" s="38"/>
      <c r="DP386" s="38"/>
      <c r="DQ386" s="38"/>
      <c r="DR386" s="38"/>
      <c r="DS386" s="38"/>
      <c r="DT386" s="38"/>
      <c r="DU386" s="38"/>
      <c r="DV386" s="38"/>
      <c r="DW386" s="38"/>
      <c r="DX386" s="38"/>
      <c r="DY386" s="38"/>
      <c r="DZ386" s="38"/>
      <c r="EA386" s="38"/>
      <c r="EB386" s="38"/>
      <c r="EC386" s="38"/>
      <c r="ED386" s="38"/>
      <c r="EE386" s="38"/>
      <c r="EF386" s="38"/>
      <c r="EG386" s="38"/>
      <c r="EH386" s="38"/>
      <c r="EI386" s="38"/>
      <c r="EJ386" s="38"/>
      <c r="EK386" s="38"/>
      <c r="EL386" s="38"/>
      <c r="EM386" s="38"/>
      <c r="EN386" s="38"/>
      <c r="EO386" s="38"/>
      <c r="EP386" s="38"/>
      <c r="EQ386" s="38"/>
      <c r="ER386" s="38"/>
      <c r="ES386" s="38"/>
      <c r="ET386" s="38"/>
      <c r="EU386" s="38"/>
      <c r="EV386" s="38"/>
      <c r="EW386" s="38"/>
      <c r="EX386" s="38"/>
      <c r="EY386" s="38"/>
      <c r="EZ386" s="38"/>
      <c r="FA386" s="38"/>
      <c r="FB386" s="38"/>
      <c r="FC386" s="38"/>
      <c r="FD386" s="38"/>
      <c r="FE386" s="38"/>
      <c r="FF386" s="38"/>
      <c r="FG386" s="38"/>
      <c r="FH386" s="38"/>
      <c r="FI386" s="38"/>
      <c r="FJ386" s="38"/>
      <c r="FK386" s="38"/>
      <c r="FL386" s="38"/>
      <c r="FM386" s="38"/>
      <c r="FN386" s="38"/>
      <c r="FO386" s="38"/>
      <c r="FP386" s="38"/>
      <c r="FQ386" s="38"/>
      <c r="FR386" s="38"/>
      <c r="FS386" s="38"/>
      <c r="FT386" s="38"/>
      <c r="FU386" s="38"/>
      <c r="FV386" s="38"/>
      <c r="FW386" s="38"/>
      <c r="FX386" s="38"/>
      <c r="FY386" s="38"/>
      <c r="FZ386" s="38"/>
      <c r="GA386" s="38"/>
      <c r="GB386" s="38"/>
      <c r="GC386" s="38"/>
      <c r="GD386" s="38"/>
      <c r="GE386" s="38"/>
      <c r="GF386" s="38"/>
      <c r="GG386" s="38"/>
      <c r="GH386" s="38"/>
      <c r="GI386" s="38"/>
      <c r="GJ386" s="38"/>
      <c r="GK386" s="38"/>
      <c r="GL386" s="38"/>
      <c r="GM386" s="38"/>
      <c r="GN386" s="38"/>
      <c r="GO386" s="38"/>
      <c r="GP386" s="38"/>
      <c r="GQ386" s="38"/>
      <c r="GR386" s="38"/>
      <c r="GS386" s="38"/>
      <c r="GT386" s="38"/>
      <c r="GU386" s="38"/>
      <c r="GV386" s="38"/>
      <c r="GW386" s="38"/>
      <c r="GX386" s="38"/>
      <c r="GY386" s="38"/>
      <c r="GZ386" s="38"/>
      <c r="HA386" s="38"/>
      <c r="HB386" s="38"/>
      <c r="HC386" s="38"/>
      <c r="HD386" s="38"/>
      <c r="HE386" s="38"/>
      <c r="HF386" s="38"/>
      <c r="HG386" s="38"/>
      <c r="HH386" s="38"/>
      <c r="HI386" s="38"/>
      <c r="HJ386" s="38"/>
      <c r="HK386" s="38"/>
      <c r="HL386" s="38"/>
      <c r="HM386" s="38"/>
      <c r="HN386" s="38"/>
      <c r="HO386" s="38"/>
      <c r="HP386" s="38"/>
      <c r="HQ386" s="38"/>
      <c r="HR386" s="38"/>
      <c r="HS386" s="38"/>
      <c r="HT386" s="38"/>
      <c r="HU386" s="38"/>
      <c r="HV386" s="38"/>
      <c r="HW386" s="38"/>
      <c r="HX386" s="38"/>
      <c r="HY386" s="38"/>
      <c r="HZ386" s="38"/>
      <c r="IA386" s="38"/>
    </row>
    <row r="387" spans="1:235" s="39" customFormat="1" ht="33.75">
      <c r="A387" s="9" t="s">
        <v>286</v>
      </c>
      <c r="B387" s="9"/>
      <c r="C387" s="9"/>
      <c r="D387" s="10">
        <f>D401*D394</f>
        <v>25200</v>
      </c>
      <c r="E387" s="10"/>
      <c r="F387" s="10">
        <f t="shared" si="44"/>
        <v>25200</v>
      </c>
      <c r="G387" s="10">
        <f>G394*G401</f>
        <v>27000</v>
      </c>
      <c r="H387" s="10"/>
      <c r="I387" s="10"/>
      <c r="J387" s="10">
        <f t="shared" si="45"/>
        <v>27000</v>
      </c>
      <c r="K387" s="10"/>
      <c r="L387" s="10"/>
      <c r="M387" s="10"/>
      <c r="N387" s="10">
        <f>N401*N394</f>
        <v>28800</v>
      </c>
      <c r="O387" s="10"/>
      <c r="P387" s="10">
        <f t="shared" si="46"/>
        <v>28800</v>
      </c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  <c r="CP387" s="38"/>
      <c r="CQ387" s="38"/>
      <c r="CR387" s="38"/>
      <c r="CS387" s="38"/>
      <c r="CT387" s="38"/>
      <c r="CU387" s="38"/>
      <c r="CV387" s="38"/>
      <c r="CW387" s="38"/>
      <c r="CX387" s="38"/>
      <c r="CY387" s="38"/>
      <c r="CZ387" s="38"/>
      <c r="DA387" s="38"/>
      <c r="DB387" s="38"/>
      <c r="DC387" s="38"/>
      <c r="DD387" s="38"/>
      <c r="DE387" s="38"/>
      <c r="DF387" s="38"/>
      <c r="DG387" s="38"/>
      <c r="DH387" s="38"/>
      <c r="DI387" s="38"/>
      <c r="DJ387" s="38"/>
      <c r="DK387" s="38"/>
      <c r="DL387" s="38"/>
      <c r="DM387" s="38"/>
      <c r="DN387" s="38"/>
      <c r="DO387" s="38"/>
      <c r="DP387" s="38"/>
      <c r="DQ387" s="38"/>
      <c r="DR387" s="38"/>
      <c r="DS387" s="38"/>
      <c r="DT387" s="38"/>
      <c r="DU387" s="38"/>
      <c r="DV387" s="38"/>
      <c r="DW387" s="38"/>
      <c r="DX387" s="38"/>
      <c r="DY387" s="38"/>
      <c r="DZ387" s="38"/>
      <c r="EA387" s="38"/>
      <c r="EB387" s="38"/>
      <c r="EC387" s="38"/>
      <c r="ED387" s="38"/>
      <c r="EE387" s="38"/>
      <c r="EF387" s="38"/>
      <c r="EG387" s="38"/>
      <c r="EH387" s="38"/>
      <c r="EI387" s="38"/>
      <c r="EJ387" s="38"/>
      <c r="EK387" s="38"/>
      <c r="EL387" s="38"/>
      <c r="EM387" s="38"/>
      <c r="EN387" s="38"/>
      <c r="EO387" s="38"/>
      <c r="EP387" s="38"/>
      <c r="EQ387" s="38"/>
      <c r="ER387" s="38"/>
      <c r="ES387" s="38"/>
      <c r="ET387" s="38"/>
      <c r="EU387" s="38"/>
      <c r="EV387" s="38"/>
      <c r="EW387" s="38"/>
      <c r="EX387" s="38"/>
      <c r="EY387" s="38"/>
      <c r="EZ387" s="38"/>
      <c r="FA387" s="38"/>
      <c r="FB387" s="38"/>
      <c r="FC387" s="38"/>
      <c r="FD387" s="38"/>
      <c r="FE387" s="38"/>
      <c r="FF387" s="38"/>
      <c r="FG387" s="38"/>
      <c r="FH387" s="38"/>
      <c r="FI387" s="38"/>
      <c r="FJ387" s="38"/>
      <c r="FK387" s="38"/>
      <c r="FL387" s="38"/>
      <c r="FM387" s="38"/>
      <c r="FN387" s="38"/>
      <c r="FO387" s="38"/>
      <c r="FP387" s="38"/>
      <c r="FQ387" s="38"/>
      <c r="FR387" s="38"/>
      <c r="FS387" s="38"/>
      <c r="FT387" s="38"/>
      <c r="FU387" s="38"/>
      <c r="FV387" s="38"/>
      <c r="FW387" s="38"/>
      <c r="FX387" s="38"/>
      <c r="FY387" s="38"/>
      <c r="FZ387" s="38"/>
      <c r="GA387" s="38"/>
      <c r="GB387" s="38"/>
      <c r="GC387" s="38"/>
      <c r="GD387" s="38"/>
      <c r="GE387" s="38"/>
      <c r="GF387" s="38"/>
      <c r="GG387" s="38"/>
      <c r="GH387" s="38"/>
      <c r="GI387" s="38"/>
      <c r="GJ387" s="38"/>
      <c r="GK387" s="38"/>
      <c r="GL387" s="38"/>
      <c r="GM387" s="38"/>
      <c r="GN387" s="38"/>
      <c r="GO387" s="38"/>
      <c r="GP387" s="38"/>
      <c r="GQ387" s="38"/>
      <c r="GR387" s="38"/>
      <c r="GS387" s="38"/>
      <c r="GT387" s="38"/>
      <c r="GU387" s="38"/>
      <c r="GV387" s="38"/>
      <c r="GW387" s="38"/>
      <c r="GX387" s="38"/>
      <c r="GY387" s="38"/>
      <c r="GZ387" s="38"/>
      <c r="HA387" s="38"/>
      <c r="HB387" s="38"/>
      <c r="HC387" s="38"/>
      <c r="HD387" s="38"/>
      <c r="HE387" s="38"/>
      <c r="HF387" s="38"/>
      <c r="HG387" s="38"/>
      <c r="HH387" s="38"/>
      <c r="HI387" s="38"/>
      <c r="HJ387" s="38"/>
      <c r="HK387" s="38"/>
      <c r="HL387" s="38"/>
      <c r="HM387" s="38"/>
      <c r="HN387" s="38"/>
      <c r="HO387" s="38"/>
      <c r="HP387" s="38"/>
      <c r="HQ387" s="38"/>
      <c r="HR387" s="38"/>
      <c r="HS387" s="38"/>
      <c r="HT387" s="38"/>
      <c r="HU387" s="38"/>
      <c r="HV387" s="38"/>
      <c r="HW387" s="38"/>
      <c r="HX387" s="38"/>
      <c r="HY387" s="38"/>
      <c r="HZ387" s="38"/>
      <c r="IA387" s="38"/>
    </row>
    <row r="388" spans="1:235" s="39" customFormat="1" ht="22.5">
      <c r="A388" s="9" t="s">
        <v>287</v>
      </c>
      <c r="B388" s="9"/>
      <c r="C388" s="9"/>
      <c r="D388" s="10">
        <f>D395*D402</f>
        <v>6120</v>
      </c>
      <c r="E388" s="10"/>
      <c r="F388" s="10">
        <f t="shared" si="44"/>
        <v>6120</v>
      </c>
      <c r="G388" s="10">
        <f>G395*G402</f>
        <v>6600</v>
      </c>
      <c r="H388" s="10"/>
      <c r="I388" s="10"/>
      <c r="J388" s="10">
        <f t="shared" si="45"/>
        <v>6600</v>
      </c>
      <c r="K388" s="10"/>
      <c r="L388" s="10"/>
      <c r="M388" s="10"/>
      <c r="N388" s="10">
        <f>N395*N401</f>
        <v>3840</v>
      </c>
      <c r="O388" s="10"/>
      <c r="P388" s="10">
        <f t="shared" si="46"/>
        <v>3840</v>
      </c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  <c r="CP388" s="38"/>
      <c r="CQ388" s="38"/>
      <c r="CR388" s="38"/>
      <c r="CS388" s="38"/>
      <c r="CT388" s="38"/>
      <c r="CU388" s="38"/>
      <c r="CV388" s="38"/>
      <c r="CW388" s="38"/>
      <c r="CX388" s="38"/>
      <c r="CY388" s="38"/>
      <c r="CZ388" s="38"/>
      <c r="DA388" s="38"/>
      <c r="DB388" s="38"/>
      <c r="DC388" s="38"/>
      <c r="DD388" s="38"/>
      <c r="DE388" s="38"/>
      <c r="DF388" s="38"/>
      <c r="DG388" s="38"/>
      <c r="DH388" s="38"/>
      <c r="DI388" s="38"/>
      <c r="DJ388" s="38"/>
      <c r="DK388" s="38"/>
      <c r="DL388" s="38"/>
      <c r="DM388" s="38"/>
      <c r="DN388" s="38"/>
      <c r="DO388" s="38"/>
      <c r="DP388" s="38"/>
      <c r="DQ388" s="38"/>
      <c r="DR388" s="38"/>
      <c r="DS388" s="38"/>
      <c r="DT388" s="38"/>
      <c r="DU388" s="38"/>
      <c r="DV388" s="38"/>
      <c r="DW388" s="38"/>
      <c r="DX388" s="38"/>
      <c r="DY388" s="38"/>
      <c r="DZ388" s="38"/>
      <c r="EA388" s="38"/>
      <c r="EB388" s="38"/>
      <c r="EC388" s="38"/>
      <c r="ED388" s="38"/>
      <c r="EE388" s="38"/>
      <c r="EF388" s="38"/>
      <c r="EG388" s="38"/>
      <c r="EH388" s="38"/>
      <c r="EI388" s="38"/>
      <c r="EJ388" s="38"/>
      <c r="EK388" s="38"/>
      <c r="EL388" s="38"/>
      <c r="EM388" s="38"/>
      <c r="EN388" s="38"/>
      <c r="EO388" s="38"/>
      <c r="EP388" s="38"/>
      <c r="EQ388" s="38"/>
      <c r="ER388" s="38"/>
      <c r="ES388" s="38"/>
      <c r="ET388" s="38"/>
      <c r="EU388" s="38"/>
      <c r="EV388" s="38"/>
      <c r="EW388" s="38"/>
      <c r="EX388" s="38"/>
      <c r="EY388" s="38"/>
      <c r="EZ388" s="38"/>
      <c r="FA388" s="38"/>
      <c r="FB388" s="38"/>
      <c r="FC388" s="38"/>
      <c r="FD388" s="38"/>
      <c r="FE388" s="38"/>
      <c r="FF388" s="38"/>
      <c r="FG388" s="38"/>
      <c r="FH388" s="38"/>
      <c r="FI388" s="38"/>
      <c r="FJ388" s="38"/>
      <c r="FK388" s="38"/>
      <c r="FL388" s="38"/>
      <c r="FM388" s="38"/>
      <c r="FN388" s="38"/>
      <c r="FO388" s="38"/>
      <c r="FP388" s="38"/>
      <c r="FQ388" s="38"/>
      <c r="FR388" s="38"/>
      <c r="FS388" s="38"/>
      <c r="FT388" s="38"/>
      <c r="FU388" s="38"/>
      <c r="FV388" s="38"/>
      <c r="FW388" s="38"/>
      <c r="FX388" s="38"/>
      <c r="FY388" s="38"/>
      <c r="FZ388" s="38"/>
      <c r="GA388" s="38"/>
      <c r="GB388" s="38"/>
      <c r="GC388" s="38"/>
      <c r="GD388" s="38"/>
      <c r="GE388" s="38"/>
      <c r="GF388" s="38"/>
      <c r="GG388" s="38"/>
      <c r="GH388" s="38"/>
      <c r="GI388" s="38"/>
      <c r="GJ388" s="38"/>
      <c r="GK388" s="38"/>
      <c r="GL388" s="38"/>
      <c r="GM388" s="38"/>
      <c r="GN388" s="38"/>
      <c r="GO388" s="38"/>
      <c r="GP388" s="38"/>
      <c r="GQ388" s="38"/>
      <c r="GR388" s="38"/>
      <c r="GS388" s="38"/>
      <c r="GT388" s="38"/>
      <c r="GU388" s="38"/>
      <c r="GV388" s="38"/>
      <c r="GW388" s="38"/>
      <c r="GX388" s="38"/>
      <c r="GY388" s="38"/>
      <c r="GZ388" s="38"/>
      <c r="HA388" s="38"/>
      <c r="HB388" s="38"/>
      <c r="HC388" s="38"/>
      <c r="HD388" s="38"/>
      <c r="HE388" s="38"/>
      <c r="HF388" s="38"/>
      <c r="HG388" s="38"/>
      <c r="HH388" s="38"/>
      <c r="HI388" s="38"/>
      <c r="HJ388" s="38"/>
      <c r="HK388" s="38"/>
      <c r="HL388" s="38"/>
      <c r="HM388" s="38"/>
      <c r="HN388" s="38"/>
      <c r="HO388" s="38"/>
      <c r="HP388" s="38"/>
      <c r="HQ388" s="38"/>
      <c r="HR388" s="38"/>
      <c r="HS388" s="38"/>
      <c r="HT388" s="38"/>
      <c r="HU388" s="38"/>
      <c r="HV388" s="38"/>
      <c r="HW388" s="38"/>
      <c r="HX388" s="38"/>
      <c r="HY388" s="38"/>
      <c r="HZ388" s="38"/>
      <c r="IA388" s="38"/>
    </row>
    <row r="389" spans="1:235" s="39" customFormat="1" ht="33.75">
      <c r="A389" s="9" t="s">
        <v>288</v>
      </c>
      <c r="B389" s="9"/>
      <c r="C389" s="9"/>
      <c r="D389" s="10">
        <f>D396*D403</f>
        <v>1560</v>
      </c>
      <c r="E389" s="10"/>
      <c r="F389" s="10">
        <f t="shared" si="44"/>
        <v>1560</v>
      </c>
      <c r="G389" s="10">
        <v>10200</v>
      </c>
      <c r="H389" s="10"/>
      <c r="I389" s="10"/>
      <c r="J389" s="10">
        <f t="shared" si="45"/>
        <v>10200</v>
      </c>
      <c r="K389" s="10"/>
      <c r="L389" s="10"/>
      <c r="M389" s="10"/>
      <c r="N389" s="10">
        <f>N396*N403</f>
        <v>1800</v>
      </c>
      <c r="O389" s="10"/>
      <c r="P389" s="10">
        <f t="shared" si="46"/>
        <v>1800</v>
      </c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  <c r="CP389" s="38"/>
      <c r="CQ389" s="38"/>
      <c r="CR389" s="38"/>
      <c r="CS389" s="38"/>
      <c r="CT389" s="38"/>
      <c r="CU389" s="38"/>
      <c r="CV389" s="38"/>
      <c r="CW389" s="38"/>
      <c r="CX389" s="38"/>
      <c r="CY389" s="38"/>
      <c r="CZ389" s="38"/>
      <c r="DA389" s="38"/>
      <c r="DB389" s="38"/>
      <c r="DC389" s="38"/>
      <c r="DD389" s="38"/>
      <c r="DE389" s="38"/>
      <c r="DF389" s="38"/>
      <c r="DG389" s="38"/>
      <c r="DH389" s="38"/>
      <c r="DI389" s="38"/>
      <c r="DJ389" s="38"/>
      <c r="DK389" s="38"/>
      <c r="DL389" s="38"/>
      <c r="DM389" s="38"/>
      <c r="DN389" s="38"/>
      <c r="DO389" s="38"/>
      <c r="DP389" s="38"/>
      <c r="DQ389" s="38"/>
      <c r="DR389" s="38"/>
      <c r="DS389" s="38"/>
      <c r="DT389" s="38"/>
      <c r="DU389" s="38"/>
      <c r="DV389" s="38"/>
      <c r="DW389" s="38"/>
      <c r="DX389" s="38"/>
      <c r="DY389" s="38"/>
      <c r="DZ389" s="38"/>
      <c r="EA389" s="38"/>
      <c r="EB389" s="38"/>
      <c r="EC389" s="38"/>
      <c r="ED389" s="38"/>
      <c r="EE389" s="38"/>
      <c r="EF389" s="38"/>
      <c r="EG389" s="38"/>
      <c r="EH389" s="38"/>
      <c r="EI389" s="38"/>
      <c r="EJ389" s="38"/>
      <c r="EK389" s="38"/>
      <c r="EL389" s="38"/>
      <c r="EM389" s="38"/>
      <c r="EN389" s="38"/>
      <c r="EO389" s="38"/>
      <c r="EP389" s="38"/>
      <c r="EQ389" s="38"/>
      <c r="ER389" s="38"/>
      <c r="ES389" s="38"/>
      <c r="ET389" s="38"/>
      <c r="EU389" s="38"/>
      <c r="EV389" s="38"/>
      <c r="EW389" s="38"/>
      <c r="EX389" s="38"/>
      <c r="EY389" s="38"/>
      <c r="EZ389" s="38"/>
      <c r="FA389" s="38"/>
      <c r="FB389" s="38"/>
      <c r="FC389" s="38"/>
      <c r="FD389" s="38"/>
      <c r="FE389" s="38"/>
      <c r="FF389" s="38"/>
      <c r="FG389" s="38"/>
      <c r="FH389" s="38"/>
      <c r="FI389" s="38"/>
      <c r="FJ389" s="38"/>
      <c r="FK389" s="38"/>
      <c r="FL389" s="38"/>
      <c r="FM389" s="38"/>
      <c r="FN389" s="38"/>
      <c r="FO389" s="38"/>
      <c r="FP389" s="38"/>
      <c r="FQ389" s="38"/>
      <c r="FR389" s="38"/>
      <c r="FS389" s="38"/>
      <c r="FT389" s="38"/>
      <c r="FU389" s="38"/>
      <c r="FV389" s="38"/>
      <c r="FW389" s="38"/>
      <c r="FX389" s="38"/>
      <c r="FY389" s="38"/>
      <c r="FZ389" s="38"/>
      <c r="GA389" s="38"/>
      <c r="GB389" s="38"/>
      <c r="GC389" s="38"/>
      <c r="GD389" s="38"/>
      <c r="GE389" s="38"/>
      <c r="GF389" s="38"/>
      <c r="GG389" s="38"/>
      <c r="GH389" s="38"/>
      <c r="GI389" s="38"/>
      <c r="GJ389" s="38"/>
      <c r="GK389" s="38"/>
      <c r="GL389" s="38"/>
      <c r="GM389" s="38"/>
      <c r="GN389" s="38"/>
      <c r="GO389" s="38"/>
      <c r="GP389" s="38"/>
      <c r="GQ389" s="38"/>
      <c r="GR389" s="38"/>
      <c r="GS389" s="38"/>
      <c r="GT389" s="38"/>
      <c r="GU389" s="38"/>
      <c r="GV389" s="38"/>
      <c r="GW389" s="38"/>
      <c r="GX389" s="38"/>
      <c r="GY389" s="38"/>
      <c r="GZ389" s="38"/>
      <c r="HA389" s="38"/>
      <c r="HB389" s="38"/>
      <c r="HC389" s="38"/>
      <c r="HD389" s="38"/>
      <c r="HE389" s="38"/>
      <c r="HF389" s="38"/>
      <c r="HG389" s="38"/>
      <c r="HH389" s="38"/>
      <c r="HI389" s="38"/>
      <c r="HJ389" s="38"/>
      <c r="HK389" s="38"/>
      <c r="HL389" s="38"/>
      <c r="HM389" s="38"/>
      <c r="HN389" s="38"/>
      <c r="HO389" s="38"/>
      <c r="HP389" s="38"/>
      <c r="HQ389" s="38"/>
      <c r="HR389" s="38"/>
      <c r="HS389" s="38"/>
      <c r="HT389" s="38"/>
      <c r="HU389" s="38"/>
      <c r="HV389" s="38"/>
      <c r="HW389" s="38"/>
      <c r="HX389" s="38"/>
      <c r="HY389" s="38"/>
      <c r="HZ389" s="38"/>
      <c r="IA389" s="38"/>
    </row>
    <row r="390" spans="1:16" ht="11.25">
      <c r="A390" s="13" t="s">
        <v>5</v>
      </c>
      <c r="B390" s="13"/>
      <c r="C390" s="13"/>
      <c r="D390" s="64"/>
      <c r="E390" s="64"/>
      <c r="F390" s="65"/>
      <c r="G390" s="64"/>
      <c r="H390" s="64"/>
      <c r="I390" s="64"/>
      <c r="J390" s="65"/>
      <c r="K390" s="65"/>
      <c r="L390" s="64"/>
      <c r="M390" s="64"/>
      <c r="N390" s="64"/>
      <c r="O390" s="64"/>
      <c r="P390" s="65"/>
    </row>
    <row r="391" spans="1:16" ht="33.75" customHeight="1">
      <c r="A391" s="11" t="s">
        <v>289</v>
      </c>
      <c r="B391" s="11"/>
      <c r="C391" s="11"/>
      <c r="D391" s="66">
        <v>30</v>
      </c>
      <c r="E391" s="66"/>
      <c r="F391" s="66">
        <f aca="true" t="shared" si="47" ref="F391:F396">D391+E391</f>
        <v>30</v>
      </c>
      <c r="G391" s="66">
        <v>30</v>
      </c>
      <c r="H391" s="66"/>
      <c r="I391" s="66"/>
      <c r="J391" s="66">
        <f aca="true" t="shared" si="48" ref="J391:J396">G391+H391</f>
        <v>30</v>
      </c>
      <c r="K391" s="66">
        <f aca="true" t="shared" si="49" ref="K391:K396">G391/D391*100</f>
        <v>100</v>
      </c>
      <c r="L391" s="66"/>
      <c r="M391" s="66"/>
      <c r="N391" s="66">
        <v>30</v>
      </c>
      <c r="O391" s="66"/>
      <c r="P391" s="66">
        <f>N391+O391</f>
        <v>30</v>
      </c>
    </row>
    <row r="392" spans="1:16" ht="39" customHeight="1">
      <c r="A392" s="11" t="s">
        <v>290</v>
      </c>
      <c r="B392" s="11"/>
      <c r="C392" s="11"/>
      <c r="D392" s="66">
        <v>30</v>
      </c>
      <c r="E392" s="66"/>
      <c r="F392" s="66">
        <f t="shared" si="47"/>
        <v>30</v>
      </c>
      <c r="G392" s="66">
        <v>30</v>
      </c>
      <c r="H392" s="66"/>
      <c r="I392" s="66"/>
      <c r="J392" s="66">
        <f t="shared" si="48"/>
        <v>30</v>
      </c>
      <c r="K392" s="66">
        <f t="shared" si="49"/>
        <v>100</v>
      </c>
      <c r="L392" s="66"/>
      <c r="M392" s="66"/>
      <c r="N392" s="66">
        <v>30</v>
      </c>
      <c r="O392" s="66"/>
      <c r="P392" s="66">
        <f>N392+O392</f>
        <v>30</v>
      </c>
    </row>
    <row r="393" spans="1:16" ht="33.75" customHeight="1">
      <c r="A393" s="11" t="s">
        <v>291</v>
      </c>
      <c r="B393" s="11"/>
      <c r="C393" s="11"/>
      <c r="D393" s="66">
        <v>30</v>
      </c>
      <c r="E393" s="66"/>
      <c r="F393" s="66">
        <f t="shared" si="47"/>
        <v>30</v>
      </c>
      <c r="G393" s="66">
        <v>30</v>
      </c>
      <c r="H393" s="66"/>
      <c r="I393" s="66"/>
      <c r="J393" s="66">
        <f t="shared" si="48"/>
        <v>30</v>
      </c>
      <c r="K393" s="66">
        <f t="shared" si="49"/>
        <v>100</v>
      </c>
      <c r="L393" s="66"/>
      <c r="M393" s="66"/>
      <c r="N393" s="66">
        <v>30</v>
      </c>
      <c r="O393" s="66"/>
      <c r="P393" s="66">
        <f>N393+O393</f>
        <v>30</v>
      </c>
    </row>
    <row r="394" spans="1:16" ht="39" customHeight="1">
      <c r="A394" s="11" t="s">
        <v>292</v>
      </c>
      <c r="B394" s="11"/>
      <c r="C394" s="11"/>
      <c r="D394" s="66">
        <v>90</v>
      </c>
      <c r="E394" s="66"/>
      <c r="F394" s="66">
        <f t="shared" si="47"/>
        <v>90</v>
      </c>
      <c r="G394" s="66">
        <v>90</v>
      </c>
      <c r="H394" s="66"/>
      <c r="I394" s="66"/>
      <c r="J394" s="66">
        <f t="shared" si="48"/>
        <v>90</v>
      </c>
      <c r="K394" s="66">
        <f t="shared" si="49"/>
        <v>100</v>
      </c>
      <c r="L394" s="66"/>
      <c r="M394" s="66"/>
      <c r="N394" s="66">
        <v>90</v>
      </c>
      <c r="O394" s="66"/>
      <c r="P394" s="66">
        <f>N394+O394</f>
        <v>90</v>
      </c>
    </row>
    <row r="395" spans="1:16" ht="22.5">
      <c r="A395" s="11" t="s">
        <v>293</v>
      </c>
      <c r="B395" s="11"/>
      <c r="C395" s="11"/>
      <c r="D395" s="66">
        <v>12</v>
      </c>
      <c r="E395" s="66"/>
      <c r="F395" s="66">
        <f t="shared" si="47"/>
        <v>12</v>
      </c>
      <c r="G395" s="66">
        <v>12</v>
      </c>
      <c r="H395" s="66"/>
      <c r="I395" s="66"/>
      <c r="J395" s="66">
        <f t="shared" si="48"/>
        <v>12</v>
      </c>
      <c r="K395" s="66">
        <f t="shared" si="49"/>
        <v>100</v>
      </c>
      <c r="L395" s="66"/>
      <c r="M395" s="66"/>
      <c r="N395" s="66">
        <v>12</v>
      </c>
      <c r="O395" s="66"/>
      <c r="P395" s="66">
        <f>N395</f>
        <v>12</v>
      </c>
    </row>
    <row r="396" spans="1:16" ht="22.5">
      <c r="A396" s="11" t="s">
        <v>294</v>
      </c>
      <c r="B396" s="11"/>
      <c r="C396" s="11"/>
      <c r="D396" s="66">
        <v>12</v>
      </c>
      <c r="E396" s="66"/>
      <c r="F396" s="66">
        <f t="shared" si="47"/>
        <v>12</v>
      </c>
      <c r="G396" s="66">
        <v>12</v>
      </c>
      <c r="H396" s="66"/>
      <c r="I396" s="66"/>
      <c r="J396" s="66">
        <f t="shared" si="48"/>
        <v>12</v>
      </c>
      <c r="K396" s="66">
        <f t="shared" si="49"/>
        <v>100</v>
      </c>
      <c r="L396" s="66"/>
      <c r="M396" s="66"/>
      <c r="N396" s="66">
        <v>12</v>
      </c>
      <c r="O396" s="66"/>
      <c r="P396" s="66">
        <f>N396</f>
        <v>12</v>
      </c>
    </row>
    <row r="397" spans="1:16" ht="11.25">
      <c r="A397" s="13" t="s">
        <v>7</v>
      </c>
      <c r="B397" s="13"/>
      <c r="C397" s="13"/>
      <c r="D397" s="10"/>
      <c r="E397" s="10"/>
      <c r="F397" s="43"/>
      <c r="G397" s="10"/>
      <c r="H397" s="10"/>
      <c r="I397" s="10"/>
      <c r="J397" s="43"/>
      <c r="K397" s="43"/>
      <c r="L397" s="10"/>
      <c r="M397" s="10"/>
      <c r="N397" s="10"/>
      <c r="O397" s="10"/>
      <c r="P397" s="43"/>
    </row>
    <row r="398" spans="1:16" ht="41.25" customHeight="1">
      <c r="A398" s="11" t="s">
        <v>295</v>
      </c>
      <c r="B398" s="11"/>
      <c r="C398" s="11"/>
      <c r="D398" s="43">
        <v>240</v>
      </c>
      <c r="E398" s="43"/>
      <c r="F398" s="43">
        <f aca="true" t="shared" si="50" ref="F398:F403">D398+E398</f>
        <v>240</v>
      </c>
      <c r="G398" s="43">
        <v>260</v>
      </c>
      <c r="H398" s="43"/>
      <c r="I398" s="43"/>
      <c r="J398" s="43">
        <f aca="true" t="shared" si="51" ref="J398:J403">G398+H398</f>
        <v>260</v>
      </c>
      <c r="K398" s="43">
        <f>G398/D398*100</f>
        <v>108.33333333333333</v>
      </c>
      <c r="L398" s="43"/>
      <c r="M398" s="43"/>
      <c r="N398" s="43">
        <v>275</v>
      </c>
      <c r="O398" s="43"/>
      <c r="P398" s="43">
        <f>N398+O398</f>
        <v>275</v>
      </c>
    </row>
    <row r="399" spans="1:16" ht="33.75">
      <c r="A399" s="11" t="s">
        <v>296</v>
      </c>
      <c r="B399" s="11"/>
      <c r="C399" s="11"/>
      <c r="D399" s="65">
        <v>760</v>
      </c>
      <c r="E399" s="65"/>
      <c r="F399" s="65">
        <f t="shared" si="50"/>
        <v>760</v>
      </c>
      <c r="G399" s="65">
        <v>820</v>
      </c>
      <c r="H399" s="65"/>
      <c r="I399" s="65"/>
      <c r="J399" s="65">
        <f t="shared" si="51"/>
        <v>820</v>
      </c>
      <c r="K399" s="65">
        <f>G399/D399*100</f>
        <v>107.89473684210526</v>
      </c>
      <c r="L399" s="65"/>
      <c r="M399" s="65"/>
      <c r="N399" s="65">
        <v>870</v>
      </c>
      <c r="O399" s="65"/>
      <c r="P399" s="65">
        <f>N399+O399</f>
        <v>870</v>
      </c>
    </row>
    <row r="400" spans="1:16" ht="33.75" customHeight="1">
      <c r="A400" s="11" t="s">
        <v>297</v>
      </c>
      <c r="B400" s="11"/>
      <c r="C400" s="11"/>
      <c r="D400" s="43">
        <v>1350</v>
      </c>
      <c r="E400" s="43"/>
      <c r="F400" s="43">
        <f t="shared" si="50"/>
        <v>1350</v>
      </c>
      <c r="G400" s="43">
        <v>1450</v>
      </c>
      <c r="H400" s="43"/>
      <c r="I400" s="43"/>
      <c r="J400" s="43">
        <f t="shared" si="51"/>
        <v>1450</v>
      </c>
      <c r="K400" s="65"/>
      <c r="L400" s="65"/>
      <c r="M400" s="65"/>
      <c r="N400" s="43">
        <v>1540</v>
      </c>
      <c r="O400" s="43"/>
      <c r="P400" s="43">
        <f>N400</f>
        <v>1540</v>
      </c>
    </row>
    <row r="401" spans="1:16" ht="38.25" customHeight="1">
      <c r="A401" s="11" t="s">
        <v>298</v>
      </c>
      <c r="B401" s="11"/>
      <c r="C401" s="11"/>
      <c r="D401" s="43">
        <v>280</v>
      </c>
      <c r="E401" s="43"/>
      <c r="F401" s="43">
        <f t="shared" si="50"/>
        <v>280</v>
      </c>
      <c r="G401" s="43">
        <v>300</v>
      </c>
      <c r="H401" s="43"/>
      <c r="I401" s="43"/>
      <c r="J401" s="43">
        <f t="shared" si="51"/>
        <v>300</v>
      </c>
      <c r="K401" s="65"/>
      <c r="L401" s="65"/>
      <c r="M401" s="65"/>
      <c r="N401" s="43">
        <v>320</v>
      </c>
      <c r="O401" s="43"/>
      <c r="P401" s="43">
        <f>N401</f>
        <v>320</v>
      </c>
    </row>
    <row r="402" spans="1:16" ht="22.5">
      <c r="A402" s="11" t="s">
        <v>299</v>
      </c>
      <c r="B402" s="11"/>
      <c r="C402" s="11"/>
      <c r="D402" s="43">
        <v>510</v>
      </c>
      <c r="E402" s="43"/>
      <c r="F402" s="43">
        <f t="shared" si="50"/>
        <v>510</v>
      </c>
      <c r="G402" s="43">
        <v>550</v>
      </c>
      <c r="H402" s="43"/>
      <c r="I402" s="43"/>
      <c r="J402" s="43">
        <f t="shared" si="51"/>
        <v>550</v>
      </c>
      <c r="K402" s="65"/>
      <c r="L402" s="65"/>
      <c r="M402" s="65"/>
      <c r="N402" s="43">
        <v>585</v>
      </c>
      <c r="O402" s="43"/>
      <c r="P402" s="43">
        <f>N402</f>
        <v>585</v>
      </c>
    </row>
    <row r="403" spans="1:16" ht="22.5">
      <c r="A403" s="11" t="s">
        <v>300</v>
      </c>
      <c r="B403" s="11"/>
      <c r="C403" s="11"/>
      <c r="D403" s="43">
        <v>130</v>
      </c>
      <c r="E403" s="43"/>
      <c r="F403" s="43">
        <f t="shared" si="50"/>
        <v>130</v>
      </c>
      <c r="G403" s="43">
        <v>850</v>
      </c>
      <c r="H403" s="43"/>
      <c r="I403" s="43"/>
      <c r="J403" s="43">
        <f t="shared" si="51"/>
        <v>850</v>
      </c>
      <c r="K403" s="65"/>
      <c r="L403" s="65"/>
      <c r="M403" s="65"/>
      <c r="N403" s="43">
        <v>150</v>
      </c>
      <c r="O403" s="43"/>
      <c r="P403" s="43">
        <f>N403+O403</f>
        <v>150</v>
      </c>
    </row>
    <row r="404" spans="1:16" ht="11.25">
      <c r="A404" s="125" t="s">
        <v>422</v>
      </c>
      <c r="B404" s="13"/>
      <c r="C404" s="13"/>
      <c r="D404" s="10"/>
      <c r="E404" s="10">
        <f>E406+E422</f>
        <v>692840</v>
      </c>
      <c r="F404" s="10">
        <f>F406+F422</f>
        <v>692840</v>
      </c>
      <c r="G404" s="10"/>
      <c r="H404" s="10">
        <f>H406+H422</f>
        <v>763900</v>
      </c>
      <c r="I404" s="10"/>
      <c r="J404" s="10">
        <f>J406+J422</f>
        <v>763900</v>
      </c>
      <c r="K404" s="64"/>
      <c r="L404" s="64"/>
      <c r="M404" s="64"/>
      <c r="N404" s="10"/>
      <c r="O404" s="10">
        <f>O406+O422</f>
        <v>787532</v>
      </c>
      <c r="P404" s="10">
        <f>P406+P422</f>
        <v>787532</v>
      </c>
    </row>
    <row r="405" spans="1:16" ht="101.25">
      <c r="A405" s="12" t="s">
        <v>303</v>
      </c>
      <c r="B405" s="11"/>
      <c r="C405" s="11"/>
      <c r="D405" s="43"/>
      <c r="E405" s="43"/>
      <c r="F405" s="43"/>
      <c r="G405" s="43"/>
      <c r="H405" s="43"/>
      <c r="I405" s="43"/>
      <c r="J405" s="43"/>
      <c r="K405" s="65"/>
      <c r="L405" s="65"/>
      <c r="M405" s="65"/>
      <c r="N405" s="43"/>
      <c r="O405" s="43"/>
      <c r="P405" s="43"/>
    </row>
    <row r="406" spans="1:16" ht="66.75" customHeight="1">
      <c r="A406" s="67" t="s">
        <v>404</v>
      </c>
      <c r="B406" s="11"/>
      <c r="C406" s="11"/>
      <c r="D406" s="43"/>
      <c r="E406" s="43">
        <f>E408+E409+E410+E411</f>
        <v>428840</v>
      </c>
      <c r="F406" s="43">
        <f>D406+E406</f>
        <v>428840</v>
      </c>
      <c r="G406" s="43"/>
      <c r="H406" s="43">
        <f>H408+H409+H410+H411</f>
        <v>480700</v>
      </c>
      <c r="I406" s="43"/>
      <c r="J406" s="43">
        <f>J408+J409+J410+J411</f>
        <v>480700</v>
      </c>
      <c r="K406" s="65"/>
      <c r="L406" s="65"/>
      <c r="M406" s="65"/>
      <c r="N406" s="43"/>
      <c r="O406" s="43">
        <f>O408+O409+O410+O411</f>
        <v>487340</v>
      </c>
      <c r="P406" s="43">
        <f>P408+P409+P410+P411</f>
        <v>487340</v>
      </c>
    </row>
    <row r="407" spans="1:16" ht="11.25">
      <c r="A407" s="13" t="s">
        <v>4</v>
      </c>
      <c r="B407" s="11"/>
      <c r="C407" s="11"/>
      <c r="D407" s="43"/>
      <c r="E407" s="43"/>
      <c r="F407" s="43"/>
      <c r="G407" s="43"/>
      <c r="H407" s="43"/>
      <c r="I407" s="43"/>
      <c r="J407" s="43"/>
      <c r="K407" s="65"/>
      <c r="L407" s="65"/>
      <c r="M407" s="65"/>
      <c r="N407" s="43"/>
      <c r="O407" s="43"/>
      <c r="P407" s="43"/>
    </row>
    <row r="408" spans="1:16" ht="33.75">
      <c r="A408" s="8" t="s">
        <v>305</v>
      </c>
      <c r="B408" s="11"/>
      <c r="C408" s="11"/>
      <c r="D408" s="43"/>
      <c r="E408" s="43">
        <f>E413*E418</f>
        <v>387500</v>
      </c>
      <c r="F408" s="43">
        <f>D408+E408</f>
        <v>387500</v>
      </c>
      <c r="G408" s="43"/>
      <c r="H408" s="43">
        <f>H413*H418</f>
        <v>415000</v>
      </c>
      <c r="I408" s="43"/>
      <c r="J408" s="43">
        <f>G408+H408</f>
        <v>415000</v>
      </c>
      <c r="K408" s="65"/>
      <c r="L408" s="65"/>
      <c r="M408" s="65"/>
      <c r="N408" s="43"/>
      <c r="O408" s="43">
        <f>O413*O418</f>
        <v>440000</v>
      </c>
      <c r="P408" s="43">
        <f>N408+O408</f>
        <v>440000</v>
      </c>
    </row>
    <row r="409" spans="1:16" ht="22.5">
      <c r="A409" s="8" t="s">
        <v>304</v>
      </c>
      <c r="B409" s="11"/>
      <c r="C409" s="11"/>
      <c r="D409" s="43"/>
      <c r="E409" s="43">
        <f>E414*E419</f>
        <v>12240</v>
      </c>
      <c r="F409" s="43">
        <f>D409+E409</f>
        <v>12240</v>
      </c>
      <c r="G409" s="43"/>
      <c r="H409" s="43">
        <f>H414*H419</f>
        <v>13200</v>
      </c>
      <c r="I409" s="43"/>
      <c r="J409" s="43">
        <f>G409+H409</f>
        <v>13200</v>
      </c>
      <c r="K409" s="65"/>
      <c r="L409" s="65"/>
      <c r="M409" s="65"/>
      <c r="N409" s="43"/>
      <c r="O409" s="43">
        <f>O414*O419</f>
        <v>14040</v>
      </c>
      <c r="P409" s="43">
        <f>N409+O409</f>
        <v>14040</v>
      </c>
    </row>
    <row r="410" spans="1:16" ht="33.75">
      <c r="A410" s="8" t="s">
        <v>306</v>
      </c>
      <c r="B410" s="11"/>
      <c r="C410" s="11"/>
      <c r="D410" s="43"/>
      <c r="E410" s="43">
        <f>E415*E420</f>
        <v>25200</v>
      </c>
      <c r="F410" s="43">
        <f>D410+E410</f>
        <v>25200</v>
      </c>
      <c r="G410" s="43"/>
      <c r="H410" s="43">
        <f>H415*H420</f>
        <v>27000</v>
      </c>
      <c r="I410" s="43"/>
      <c r="J410" s="43">
        <f>G410+H410</f>
        <v>27000</v>
      </c>
      <c r="K410" s="65"/>
      <c r="L410" s="65"/>
      <c r="M410" s="65"/>
      <c r="N410" s="43"/>
      <c r="O410" s="43">
        <f>O415*O420</f>
        <v>28800</v>
      </c>
      <c r="P410" s="43">
        <f>N410+O410</f>
        <v>28800</v>
      </c>
    </row>
    <row r="411" spans="1:16" ht="33.75">
      <c r="A411" s="8" t="s">
        <v>307</v>
      </c>
      <c r="B411" s="11"/>
      <c r="C411" s="11"/>
      <c r="D411" s="43"/>
      <c r="E411" s="43">
        <f>E416*E421</f>
        <v>3900</v>
      </c>
      <c r="F411" s="43">
        <f>D411+E411</f>
        <v>3900</v>
      </c>
      <c r="G411" s="43"/>
      <c r="H411" s="43">
        <v>25500</v>
      </c>
      <c r="I411" s="43"/>
      <c r="J411" s="43">
        <f>G411+H411</f>
        <v>25500</v>
      </c>
      <c r="K411" s="65"/>
      <c r="L411" s="65"/>
      <c r="M411" s="65"/>
      <c r="N411" s="43"/>
      <c r="O411" s="43">
        <f>O416*O421</f>
        <v>4500</v>
      </c>
      <c r="P411" s="43">
        <f>N411+O411</f>
        <v>4500</v>
      </c>
    </row>
    <row r="412" spans="1:16" ht="11.25">
      <c r="A412" s="13" t="s">
        <v>5</v>
      </c>
      <c r="B412" s="11"/>
      <c r="C412" s="11"/>
      <c r="D412" s="43"/>
      <c r="E412" s="43"/>
      <c r="F412" s="43"/>
      <c r="G412" s="43"/>
      <c r="H412" s="43"/>
      <c r="I412" s="43"/>
      <c r="J412" s="43"/>
      <c r="K412" s="65"/>
      <c r="L412" s="65"/>
      <c r="M412" s="65"/>
      <c r="N412" s="43"/>
      <c r="O412" s="43"/>
      <c r="P412" s="43"/>
    </row>
    <row r="413" spans="1:16" ht="30.75" customHeight="1">
      <c r="A413" s="8" t="s">
        <v>308</v>
      </c>
      <c r="B413" s="11"/>
      <c r="C413" s="11"/>
      <c r="D413" s="43"/>
      <c r="E413" s="14">
        <f>60+160+30</f>
        <v>250</v>
      </c>
      <c r="F413" s="43">
        <f aca="true" t="shared" si="52" ref="F413:F421">D413+E413</f>
        <v>250</v>
      </c>
      <c r="G413" s="43"/>
      <c r="H413" s="14">
        <f>60+160+30</f>
        <v>250</v>
      </c>
      <c r="I413" s="43"/>
      <c r="J413" s="43">
        <f aca="true" t="shared" si="53" ref="J413:J421">G413+H413</f>
        <v>250</v>
      </c>
      <c r="K413" s="65"/>
      <c r="L413" s="65"/>
      <c r="M413" s="65"/>
      <c r="N413" s="43"/>
      <c r="O413" s="14">
        <f>60+160+30</f>
        <v>250</v>
      </c>
      <c r="P413" s="43">
        <f aca="true" t="shared" si="54" ref="P413:P421">N413+O413</f>
        <v>250</v>
      </c>
    </row>
    <row r="414" spans="1:16" ht="28.5" customHeight="1">
      <c r="A414" s="8" t="s">
        <v>309</v>
      </c>
      <c r="B414" s="11"/>
      <c r="C414" s="11"/>
      <c r="D414" s="43"/>
      <c r="E414" s="14">
        <v>24</v>
      </c>
      <c r="F414" s="43">
        <f t="shared" si="52"/>
        <v>24</v>
      </c>
      <c r="G414" s="43"/>
      <c r="H414" s="14">
        <v>24</v>
      </c>
      <c r="I414" s="43"/>
      <c r="J414" s="43">
        <f t="shared" si="53"/>
        <v>24</v>
      </c>
      <c r="K414" s="65"/>
      <c r="L414" s="65"/>
      <c r="M414" s="65"/>
      <c r="N414" s="43"/>
      <c r="O414" s="14">
        <v>24</v>
      </c>
      <c r="P414" s="43">
        <f t="shared" si="54"/>
        <v>24</v>
      </c>
    </row>
    <row r="415" spans="1:16" ht="33.75">
      <c r="A415" s="8" t="s">
        <v>310</v>
      </c>
      <c r="B415" s="11"/>
      <c r="C415" s="11"/>
      <c r="D415" s="43"/>
      <c r="E415" s="14">
        <v>90</v>
      </c>
      <c r="F415" s="43">
        <f t="shared" si="52"/>
        <v>90</v>
      </c>
      <c r="G415" s="43"/>
      <c r="H415" s="14">
        <v>90</v>
      </c>
      <c r="I415" s="43"/>
      <c r="J415" s="43">
        <f t="shared" si="53"/>
        <v>90</v>
      </c>
      <c r="K415" s="65"/>
      <c r="L415" s="65"/>
      <c r="M415" s="65"/>
      <c r="N415" s="43"/>
      <c r="O415" s="14">
        <v>90</v>
      </c>
      <c r="P415" s="43">
        <f t="shared" si="54"/>
        <v>90</v>
      </c>
    </row>
    <row r="416" spans="1:16" ht="22.5">
      <c r="A416" s="8" t="s">
        <v>311</v>
      </c>
      <c r="B416" s="11"/>
      <c r="C416" s="11"/>
      <c r="D416" s="43"/>
      <c r="E416" s="14">
        <v>30</v>
      </c>
      <c r="F416" s="43">
        <f t="shared" si="52"/>
        <v>30</v>
      </c>
      <c r="G416" s="43"/>
      <c r="H416" s="14">
        <v>30</v>
      </c>
      <c r="I416" s="43"/>
      <c r="J416" s="43">
        <f t="shared" si="53"/>
        <v>30</v>
      </c>
      <c r="K416" s="65"/>
      <c r="L416" s="65"/>
      <c r="M416" s="65"/>
      <c r="N416" s="43"/>
      <c r="O416" s="14">
        <v>30</v>
      </c>
      <c r="P416" s="43">
        <f t="shared" si="54"/>
        <v>30</v>
      </c>
    </row>
    <row r="417" spans="1:16" ht="11.25">
      <c r="A417" s="13" t="s">
        <v>7</v>
      </c>
      <c r="B417" s="68"/>
      <c r="C417" s="11"/>
      <c r="D417" s="43"/>
      <c r="E417" s="15">
        <f>E418+E419+E420+E421</f>
        <v>2470</v>
      </c>
      <c r="F417" s="43">
        <f t="shared" si="52"/>
        <v>2470</v>
      </c>
      <c r="G417" s="43"/>
      <c r="H417" s="15">
        <f>H418+H419+H420+H421</f>
        <v>3360</v>
      </c>
      <c r="I417" s="43"/>
      <c r="J417" s="43">
        <f t="shared" si="53"/>
        <v>3360</v>
      </c>
      <c r="K417" s="65"/>
      <c r="L417" s="65"/>
      <c r="M417" s="65"/>
      <c r="N417" s="43"/>
      <c r="O417" s="15">
        <f>O418+O419+O420+O421</f>
        <v>2815</v>
      </c>
      <c r="P417" s="43">
        <f t="shared" si="54"/>
        <v>2815</v>
      </c>
    </row>
    <row r="418" spans="1:16" ht="30" customHeight="1">
      <c r="A418" s="11" t="s">
        <v>312</v>
      </c>
      <c r="B418" s="68"/>
      <c r="C418" s="11"/>
      <c r="D418" s="43"/>
      <c r="E418" s="15">
        <v>1550</v>
      </c>
      <c r="F418" s="43">
        <f t="shared" si="52"/>
        <v>1550</v>
      </c>
      <c r="G418" s="43"/>
      <c r="H418" s="15">
        <v>1660</v>
      </c>
      <c r="I418" s="43"/>
      <c r="J418" s="43">
        <f t="shared" si="53"/>
        <v>1660</v>
      </c>
      <c r="K418" s="65"/>
      <c r="L418" s="65"/>
      <c r="M418" s="65"/>
      <c r="N418" s="43"/>
      <c r="O418" s="15">
        <v>1760</v>
      </c>
      <c r="P418" s="43">
        <f t="shared" si="54"/>
        <v>1760</v>
      </c>
    </row>
    <row r="419" spans="1:16" ht="20.25" customHeight="1">
      <c r="A419" s="11" t="s">
        <v>313</v>
      </c>
      <c r="B419" s="68"/>
      <c r="C419" s="11"/>
      <c r="D419" s="43"/>
      <c r="E419" s="15">
        <v>510</v>
      </c>
      <c r="F419" s="43">
        <f t="shared" si="52"/>
        <v>510</v>
      </c>
      <c r="G419" s="43"/>
      <c r="H419" s="15">
        <v>550</v>
      </c>
      <c r="I419" s="43"/>
      <c r="J419" s="43">
        <f t="shared" si="53"/>
        <v>550</v>
      </c>
      <c r="K419" s="65"/>
      <c r="L419" s="65"/>
      <c r="M419" s="65"/>
      <c r="N419" s="43"/>
      <c r="O419" s="15">
        <v>585</v>
      </c>
      <c r="P419" s="43">
        <f t="shared" si="54"/>
        <v>585</v>
      </c>
    </row>
    <row r="420" spans="1:16" ht="33.75">
      <c r="A420" s="11" t="s">
        <v>314</v>
      </c>
      <c r="B420" s="11"/>
      <c r="C420" s="11"/>
      <c r="D420" s="43"/>
      <c r="E420" s="15">
        <v>280</v>
      </c>
      <c r="F420" s="43">
        <f t="shared" si="52"/>
        <v>280</v>
      </c>
      <c r="G420" s="43"/>
      <c r="H420" s="15">
        <v>300</v>
      </c>
      <c r="I420" s="43"/>
      <c r="J420" s="43">
        <f t="shared" si="53"/>
        <v>300</v>
      </c>
      <c r="K420" s="65"/>
      <c r="L420" s="65"/>
      <c r="M420" s="65"/>
      <c r="N420" s="43"/>
      <c r="O420" s="15">
        <v>320</v>
      </c>
      <c r="P420" s="43">
        <f t="shared" si="54"/>
        <v>320</v>
      </c>
    </row>
    <row r="421" spans="1:16" ht="22.5">
      <c r="A421" s="16" t="s">
        <v>315</v>
      </c>
      <c r="B421" s="11"/>
      <c r="C421" s="11"/>
      <c r="D421" s="43"/>
      <c r="E421" s="17">
        <v>130</v>
      </c>
      <c r="F421" s="43">
        <f t="shared" si="52"/>
        <v>130</v>
      </c>
      <c r="G421" s="43"/>
      <c r="H421" s="17">
        <v>850</v>
      </c>
      <c r="I421" s="43"/>
      <c r="J421" s="43">
        <f t="shared" si="53"/>
        <v>850</v>
      </c>
      <c r="K421" s="65"/>
      <c r="L421" s="65"/>
      <c r="M421" s="65"/>
      <c r="N421" s="43"/>
      <c r="O421" s="18">
        <v>150</v>
      </c>
      <c r="P421" s="43">
        <f t="shared" si="54"/>
        <v>150</v>
      </c>
    </row>
    <row r="422" spans="1:16" ht="45">
      <c r="A422" s="58" t="s">
        <v>405</v>
      </c>
      <c r="B422" s="11"/>
      <c r="C422" s="11"/>
      <c r="D422" s="43">
        <f>D424</f>
        <v>0</v>
      </c>
      <c r="E422" s="43">
        <f>E424</f>
        <v>264000</v>
      </c>
      <c r="F422" s="43">
        <f>F424</f>
        <v>264000</v>
      </c>
      <c r="G422" s="43"/>
      <c r="H422" s="43">
        <f>H424</f>
        <v>283200</v>
      </c>
      <c r="I422" s="43"/>
      <c r="J422" s="43">
        <f>J424</f>
        <v>283200</v>
      </c>
      <c r="K422" s="65"/>
      <c r="L422" s="65"/>
      <c r="M422" s="65"/>
      <c r="N422" s="43"/>
      <c r="O422" s="43">
        <f>O424</f>
        <v>300192</v>
      </c>
      <c r="P422" s="43">
        <f>P424</f>
        <v>300192</v>
      </c>
    </row>
    <row r="423" spans="1:16" ht="11.25">
      <c r="A423" s="19" t="s">
        <v>4</v>
      </c>
      <c r="B423" s="11"/>
      <c r="C423" s="11"/>
      <c r="D423" s="43"/>
      <c r="E423" s="17"/>
      <c r="F423" s="43"/>
      <c r="G423" s="43"/>
      <c r="H423" s="17"/>
      <c r="I423" s="43"/>
      <c r="J423" s="43"/>
      <c r="K423" s="65"/>
      <c r="L423" s="65"/>
      <c r="M423" s="65"/>
      <c r="N423" s="43"/>
      <c r="O423" s="18"/>
      <c r="P423" s="43"/>
    </row>
    <row r="424" spans="1:16" ht="22.5">
      <c r="A424" s="8" t="s">
        <v>316</v>
      </c>
      <c r="B424" s="11"/>
      <c r="C424" s="11"/>
      <c r="D424" s="43"/>
      <c r="E424" s="17">
        <v>264000</v>
      </c>
      <c r="F424" s="43">
        <f>D424+E424</f>
        <v>264000</v>
      </c>
      <c r="G424" s="43"/>
      <c r="H424" s="17">
        <f>H426*H428</f>
        <v>283200</v>
      </c>
      <c r="I424" s="43"/>
      <c r="J424" s="43">
        <f>G424+H424</f>
        <v>283200</v>
      </c>
      <c r="K424" s="65"/>
      <c r="L424" s="65"/>
      <c r="M424" s="65"/>
      <c r="N424" s="43"/>
      <c r="O424" s="18">
        <f>O426*O428</f>
        <v>300192</v>
      </c>
      <c r="P424" s="43">
        <f>N424+O424</f>
        <v>300192</v>
      </c>
    </row>
    <row r="425" spans="1:16" ht="11.25">
      <c r="A425" s="19" t="s">
        <v>5</v>
      </c>
      <c r="B425" s="11"/>
      <c r="C425" s="11"/>
      <c r="D425" s="43"/>
      <c r="E425" s="17"/>
      <c r="F425" s="43"/>
      <c r="G425" s="43"/>
      <c r="H425" s="17"/>
      <c r="I425" s="43"/>
      <c r="J425" s="43"/>
      <c r="K425" s="65"/>
      <c r="L425" s="65"/>
      <c r="M425" s="65"/>
      <c r="N425" s="43"/>
      <c r="O425" s="18"/>
      <c r="P425" s="43"/>
    </row>
    <row r="426" spans="1:16" ht="22.5">
      <c r="A426" s="20" t="s">
        <v>317</v>
      </c>
      <c r="B426" s="11"/>
      <c r="C426" s="11"/>
      <c r="D426" s="43"/>
      <c r="E426" s="21">
        <v>236</v>
      </c>
      <c r="F426" s="69">
        <f>D426+E426</f>
        <v>236</v>
      </c>
      <c r="G426" s="69"/>
      <c r="H426" s="21">
        <v>236</v>
      </c>
      <c r="I426" s="69"/>
      <c r="J426" s="69">
        <f>G426+H426</f>
        <v>236</v>
      </c>
      <c r="K426" s="70"/>
      <c r="L426" s="70"/>
      <c r="M426" s="70"/>
      <c r="N426" s="69"/>
      <c r="O426" s="21">
        <v>236</v>
      </c>
      <c r="P426" s="69">
        <f>N426+O426</f>
        <v>236</v>
      </c>
    </row>
    <row r="427" spans="1:16" ht="11.25">
      <c r="A427" s="19" t="s">
        <v>7</v>
      </c>
      <c r="B427" s="11"/>
      <c r="C427" s="11"/>
      <c r="D427" s="43"/>
      <c r="E427" s="17"/>
      <c r="F427" s="43"/>
      <c r="G427" s="43"/>
      <c r="H427" s="17"/>
      <c r="I427" s="43"/>
      <c r="J427" s="43"/>
      <c r="K427" s="65"/>
      <c r="L427" s="65"/>
      <c r="M427" s="65"/>
      <c r="N427" s="43"/>
      <c r="O427" s="18"/>
      <c r="P427" s="43"/>
    </row>
    <row r="428" spans="1:16" ht="22.5">
      <c r="A428" s="20" t="s">
        <v>318</v>
      </c>
      <c r="B428" s="11"/>
      <c r="C428" s="11"/>
      <c r="D428" s="43"/>
      <c r="E428" s="43">
        <v>1118.64</v>
      </c>
      <c r="F428" s="43">
        <f>D428+E428</f>
        <v>1118.64</v>
      </c>
      <c r="G428" s="43"/>
      <c r="H428" s="43">
        <v>1200</v>
      </c>
      <c r="I428" s="43"/>
      <c r="J428" s="43">
        <f>G428+H428</f>
        <v>1200</v>
      </c>
      <c r="K428" s="65"/>
      <c r="L428" s="65"/>
      <c r="M428" s="65"/>
      <c r="N428" s="43"/>
      <c r="O428" s="43">
        <v>1272</v>
      </c>
      <c r="P428" s="43">
        <f>N428+O428</f>
        <v>1272</v>
      </c>
    </row>
    <row r="429" spans="1:235" s="39" customFormat="1" ht="21" customHeight="1">
      <c r="A429" s="9" t="s">
        <v>406</v>
      </c>
      <c r="B429" s="9"/>
      <c r="C429" s="9"/>
      <c r="D429" s="10">
        <f>(D431*D433)</f>
        <v>64999.9999998</v>
      </c>
      <c r="E429" s="10"/>
      <c r="F429" s="10">
        <f>D429</f>
        <v>64999.9999998</v>
      </c>
      <c r="G429" s="10">
        <f>G431*G433</f>
        <v>58000</v>
      </c>
      <c r="H429" s="10"/>
      <c r="I429" s="10"/>
      <c r="J429" s="10">
        <f>G429</f>
        <v>58000</v>
      </c>
      <c r="K429" s="10"/>
      <c r="L429" s="10"/>
      <c r="M429" s="10"/>
      <c r="N429" s="10">
        <f>N431*N433</f>
        <v>74999.99999968</v>
      </c>
      <c r="O429" s="10"/>
      <c r="P429" s="10">
        <f>N429</f>
        <v>74999.99999968</v>
      </c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38"/>
      <c r="CC429" s="38"/>
      <c r="CD429" s="38"/>
      <c r="CE429" s="38"/>
      <c r="CF429" s="38"/>
      <c r="CG429" s="38"/>
      <c r="CH429" s="38"/>
      <c r="CI429" s="38"/>
      <c r="CJ429" s="38"/>
      <c r="CK429" s="38"/>
      <c r="CL429" s="38"/>
      <c r="CM429" s="38"/>
      <c r="CN429" s="38"/>
      <c r="CO429" s="38"/>
      <c r="CP429" s="38"/>
      <c r="CQ429" s="38"/>
      <c r="CR429" s="38"/>
      <c r="CS429" s="38"/>
      <c r="CT429" s="38"/>
      <c r="CU429" s="38"/>
      <c r="CV429" s="38"/>
      <c r="CW429" s="38"/>
      <c r="CX429" s="38"/>
      <c r="CY429" s="38"/>
      <c r="CZ429" s="38"/>
      <c r="DA429" s="38"/>
      <c r="DB429" s="38"/>
      <c r="DC429" s="38"/>
      <c r="DD429" s="38"/>
      <c r="DE429" s="38"/>
      <c r="DF429" s="38"/>
      <c r="DG429" s="38"/>
      <c r="DH429" s="38"/>
      <c r="DI429" s="38"/>
      <c r="DJ429" s="38"/>
      <c r="DK429" s="38"/>
      <c r="DL429" s="38"/>
      <c r="DM429" s="38"/>
      <c r="DN429" s="38"/>
      <c r="DO429" s="38"/>
      <c r="DP429" s="38"/>
      <c r="DQ429" s="38"/>
      <c r="DR429" s="38"/>
      <c r="DS429" s="38"/>
      <c r="DT429" s="38"/>
      <c r="DU429" s="38"/>
      <c r="DV429" s="38"/>
      <c r="DW429" s="38"/>
      <c r="DX429" s="38"/>
      <c r="DY429" s="38"/>
      <c r="DZ429" s="38"/>
      <c r="EA429" s="38"/>
      <c r="EB429" s="38"/>
      <c r="EC429" s="38"/>
      <c r="ED429" s="38"/>
      <c r="EE429" s="38"/>
      <c r="EF429" s="38"/>
      <c r="EG429" s="38"/>
      <c r="EH429" s="38"/>
      <c r="EI429" s="38"/>
      <c r="EJ429" s="38"/>
      <c r="EK429" s="38"/>
      <c r="EL429" s="38"/>
      <c r="EM429" s="38"/>
      <c r="EN429" s="38"/>
      <c r="EO429" s="38"/>
      <c r="EP429" s="38"/>
      <c r="EQ429" s="38"/>
      <c r="ER429" s="38"/>
      <c r="ES429" s="38"/>
      <c r="ET429" s="38"/>
      <c r="EU429" s="38"/>
      <c r="EV429" s="38"/>
      <c r="EW429" s="38"/>
      <c r="EX429" s="38"/>
      <c r="EY429" s="38"/>
      <c r="EZ429" s="38"/>
      <c r="FA429" s="38"/>
      <c r="FB429" s="38"/>
      <c r="FC429" s="38"/>
      <c r="FD429" s="38"/>
      <c r="FE429" s="38"/>
      <c r="FF429" s="38"/>
      <c r="FG429" s="38"/>
      <c r="FH429" s="38"/>
      <c r="FI429" s="38"/>
      <c r="FJ429" s="38"/>
      <c r="FK429" s="38"/>
      <c r="FL429" s="38"/>
      <c r="FM429" s="38"/>
      <c r="FN429" s="38"/>
      <c r="FO429" s="38"/>
      <c r="FP429" s="38"/>
      <c r="FQ429" s="38"/>
      <c r="FR429" s="38"/>
      <c r="FS429" s="38"/>
      <c r="FT429" s="38"/>
      <c r="FU429" s="38"/>
      <c r="FV429" s="38"/>
      <c r="FW429" s="38"/>
      <c r="FX429" s="38"/>
      <c r="FY429" s="38"/>
      <c r="FZ429" s="38"/>
      <c r="GA429" s="38"/>
      <c r="GB429" s="38"/>
      <c r="GC429" s="38"/>
      <c r="GD429" s="38"/>
      <c r="GE429" s="38"/>
      <c r="GF429" s="38"/>
      <c r="GG429" s="38"/>
      <c r="GH429" s="38"/>
      <c r="GI429" s="38"/>
      <c r="GJ429" s="38"/>
      <c r="GK429" s="38"/>
      <c r="GL429" s="38"/>
      <c r="GM429" s="38"/>
      <c r="GN429" s="38"/>
      <c r="GO429" s="38"/>
      <c r="GP429" s="38"/>
      <c r="GQ429" s="38"/>
      <c r="GR429" s="38"/>
      <c r="GS429" s="38"/>
      <c r="GT429" s="38"/>
      <c r="GU429" s="38"/>
      <c r="GV429" s="38"/>
      <c r="GW429" s="38"/>
      <c r="GX429" s="38"/>
      <c r="GY429" s="38"/>
      <c r="GZ429" s="38"/>
      <c r="HA429" s="38"/>
      <c r="HB429" s="38"/>
      <c r="HC429" s="38"/>
      <c r="HD429" s="38"/>
      <c r="HE429" s="38"/>
      <c r="HF429" s="38"/>
      <c r="HG429" s="38"/>
      <c r="HH429" s="38"/>
      <c r="HI429" s="38"/>
      <c r="HJ429" s="38"/>
      <c r="HK429" s="38"/>
      <c r="HL429" s="38"/>
      <c r="HM429" s="38"/>
      <c r="HN429" s="38"/>
      <c r="HO429" s="38"/>
      <c r="HP429" s="38"/>
      <c r="HQ429" s="38"/>
      <c r="HR429" s="38"/>
      <c r="HS429" s="38"/>
      <c r="HT429" s="38"/>
      <c r="HU429" s="38"/>
      <c r="HV429" s="38"/>
      <c r="HW429" s="38"/>
      <c r="HX429" s="38"/>
      <c r="HY429" s="38"/>
      <c r="HZ429" s="38"/>
      <c r="IA429" s="38"/>
    </row>
    <row r="430" spans="1:16" ht="12.75" customHeight="1">
      <c r="A430" s="13" t="s">
        <v>151</v>
      </c>
      <c r="B430" s="9"/>
      <c r="C430" s="9"/>
      <c r="D430" s="10"/>
      <c r="E430" s="10"/>
      <c r="F430" s="10"/>
      <c r="G430" s="10"/>
      <c r="H430" s="10"/>
      <c r="I430" s="10"/>
      <c r="J430" s="10"/>
      <c r="K430" s="65"/>
      <c r="L430" s="10"/>
      <c r="M430" s="10"/>
      <c r="N430" s="10"/>
      <c r="O430" s="10"/>
      <c r="P430" s="10"/>
    </row>
    <row r="431" spans="1:16" ht="24" customHeight="1">
      <c r="A431" s="8" t="s">
        <v>150</v>
      </c>
      <c r="B431" s="11"/>
      <c r="C431" s="11"/>
      <c r="D431" s="43">
        <v>5400</v>
      </c>
      <c r="E431" s="43"/>
      <c r="F431" s="43">
        <f>D431</f>
        <v>5400</v>
      </c>
      <c r="G431" s="43">
        <v>4640</v>
      </c>
      <c r="H431" s="43"/>
      <c r="I431" s="43"/>
      <c r="J431" s="43">
        <f>G431</f>
        <v>4640</v>
      </c>
      <c r="K431" s="65"/>
      <c r="L431" s="65"/>
      <c r="M431" s="65"/>
      <c r="N431" s="43">
        <v>5600</v>
      </c>
      <c r="O431" s="43"/>
      <c r="P431" s="43">
        <f>N431</f>
        <v>5600</v>
      </c>
    </row>
    <row r="432" spans="1:16" ht="11.25">
      <c r="A432" s="13" t="s">
        <v>7</v>
      </c>
      <c r="B432" s="11"/>
      <c r="C432" s="11"/>
      <c r="D432" s="43"/>
      <c r="E432" s="43"/>
      <c r="F432" s="43"/>
      <c r="G432" s="43"/>
      <c r="H432" s="43"/>
      <c r="I432" s="43"/>
      <c r="J432" s="43"/>
      <c r="K432" s="65"/>
      <c r="L432" s="65"/>
      <c r="M432" s="65"/>
      <c r="N432" s="43"/>
      <c r="O432" s="43"/>
      <c r="P432" s="43"/>
    </row>
    <row r="433" spans="1:16" ht="18.75" customHeight="1">
      <c r="A433" s="11" t="s">
        <v>152</v>
      </c>
      <c r="B433" s="11"/>
      <c r="C433" s="11"/>
      <c r="D433" s="43">
        <v>12.037037037</v>
      </c>
      <c r="E433" s="43"/>
      <c r="F433" s="43">
        <f>D433</f>
        <v>12.037037037</v>
      </c>
      <c r="G433" s="43">
        <v>12.5</v>
      </c>
      <c r="H433" s="43"/>
      <c r="I433" s="43"/>
      <c r="J433" s="43">
        <f>G433</f>
        <v>12.5</v>
      </c>
      <c r="K433" s="65"/>
      <c r="L433" s="65"/>
      <c r="M433" s="65"/>
      <c r="N433" s="43">
        <v>13.3928571428</v>
      </c>
      <c r="O433" s="43"/>
      <c r="P433" s="43">
        <f>N433</f>
        <v>13.3928571428</v>
      </c>
    </row>
    <row r="434" spans="1:235" s="39" customFormat="1" ht="236.25" customHeight="1">
      <c r="A434" s="67" t="s">
        <v>470</v>
      </c>
      <c r="B434" s="9"/>
      <c r="C434" s="9"/>
      <c r="D434" s="146">
        <f>D436*D449+D438*D451+D437*D450+D439*D452+D442*D454+D443*D455</f>
        <v>404000</v>
      </c>
      <c r="E434" s="10"/>
      <c r="F434" s="10">
        <f>F436*F449+F438*F451+F437*F450+F439*F452+F442*F454+F443*F455</f>
        <v>404000</v>
      </c>
      <c r="G434" s="10">
        <f>G436*G449+G438*G451+G437*G450+G439*G452+G442*G454+G443*G455+G444*G457+G441*G456+G440*G453+84000+11090</f>
        <v>887790</v>
      </c>
      <c r="H434" s="10"/>
      <c r="I434" s="10"/>
      <c r="J434" s="10">
        <f>G434</f>
        <v>887790</v>
      </c>
      <c r="K434" s="10"/>
      <c r="L434" s="10"/>
      <c r="M434" s="10"/>
      <c r="N434" s="10">
        <f>N438*N451+N436*N449+N443*N455+N445*N458+N446*N460+285000+60000+N447*N459+110000</f>
        <v>1113350</v>
      </c>
      <c r="O434" s="10"/>
      <c r="P434" s="10">
        <f>N434</f>
        <v>1113350</v>
      </c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38"/>
      <c r="CF434" s="38"/>
      <c r="CG434" s="38"/>
      <c r="CH434" s="38"/>
      <c r="CI434" s="38"/>
      <c r="CJ434" s="38"/>
      <c r="CK434" s="38"/>
      <c r="CL434" s="38"/>
      <c r="CM434" s="38"/>
      <c r="CN434" s="38"/>
      <c r="CO434" s="38"/>
      <c r="CP434" s="38"/>
      <c r="CQ434" s="38"/>
      <c r="CR434" s="38"/>
      <c r="CS434" s="38"/>
      <c r="CT434" s="38"/>
      <c r="CU434" s="38"/>
      <c r="CV434" s="38"/>
      <c r="CW434" s="38"/>
      <c r="CX434" s="38"/>
      <c r="CY434" s="38"/>
      <c r="CZ434" s="38"/>
      <c r="DA434" s="38"/>
      <c r="DB434" s="38"/>
      <c r="DC434" s="38"/>
      <c r="DD434" s="38"/>
      <c r="DE434" s="38"/>
      <c r="DF434" s="38"/>
      <c r="DG434" s="38"/>
      <c r="DH434" s="38"/>
      <c r="DI434" s="38"/>
      <c r="DJ434" s="38"/>
      <c r="DK434" s="38"/>
      <c r="DL434" s="38"/>
      <c r="DM434" s="38"/>
      <c r="DN434" s="38"/>
      <c r="DO434" s="38"/>
      <c r="DP434" s="38"/>
      <c r="DQ434" s="38"/>
      <c r="DR434" s="38"/>
      <c r="DS434" s="38"/>
      <c r="DT434" s="38"/>
      <c r="DU434" s="38"/>
      <c r="DV434" s="38"/>
      <c r="DW434" s="38"/>
      <c r="DX434" s="38"/>
      <c r="DY434" s="38"/>
      <c r="DZ434" s="38"/>
      <c r="EA434" s="38"/>
      <c r="EB434" s="38"/>
      <c r="EC434" s="38"/>
      <c r="ED434" s="38"/>
      <c r="EE434" s="38"/>
      <c r="EF434" s="38"/>
      <c r="EG434" s="38"/>
      <c r="EH434" s="38"/>
      <c r="EI434" s="38"/>
      <c r="EJ434" s="38"/>
      <c r="EK434" s="38"/>
      <c r="EL434" s="38"/>
      <c r="EM434" s="38"/>
      <c r="EN434" s="38"/>
      <c r="EO434" s="38"/>
      <c r="EP434" s="38"/>
      <c r="EQ434" s="38"/>
      <c r="ER434" s="38"/>
      <c r="ES434" s="38"/>
      <c r="ET434" s="38"/>
      <c r="EU434" s="38"/>
      <c r="EV434" s="38"/>
      <c r="EW434" s="38"/>
      <c r="EX434" s="38"/>
      <c r="EY434" s="38"/>
      <c r="EZ434" s="38"/>
      <c r="FA434" s="38"/>
      <c r="FB434" s="38"/>
      <c r="FC434" s="38"/>
      <c r="FD434" s="38"/>
      <c r="FE434" s="38"/>
      <c r="FF434" s="38"/>
      <c r="FG434" s="38"/>
      <c r="FH434" s="38"/>
      <c r="FI434" s="38"/>
      <c r="FJ434" s="38"/>
      <c r="FK434" s="38"/>
      <c r="FL434" s="38"/>
      <c r="FM434" s="38"/>
      <c r="FN434" s="38"/>
      <c r="FO434" s="38"/>
      <c r="FP434" s="38"/>
      <c r="FQ434" s="38"/>
      <c r="FR434" s="38"/>
      <c r="FS434" s="38"/>
      <c r="FT434" s="38"/>
      <c r="FU434" s="38"/>
      <c r="FV434" s="38"/>
      <c r="FW434" s="38"/>
      <c r="FX434" s="38"/>
      <c r="FY434" s="38"/>
      <c r="FZ434" s="38"/>
      <c r="GA434" s="38"/>
      <c r="GB434" s="38"/>
      <c r="GC434" s="38"/>
      <c r="GD434" s="38"/>
      <c r="GE434" s="38"/>
      <c r="GF434" s="38"/>
      <c r="GG434" s="38"/>
      <c r="GH434" s="38"/>
      <c r="GI434" s="38"/>
      <c r="GJ434" s="38"/>
      <c r="GK434" s="38"/>
      <c r="GL434" s="38"/>
      <c r="GM434" s="38"/>
      <c r="GN434" s="38"/>
      <c r="GO434" s="38"/>
      <c r="GP434" s="38"/>
      <c r="GQ434" s="38"/>
      <c r="GR434" s="38"/>
      <c r="GS434" s="38"/>
      <c r="GT434" s="38"/>
      <c r="GU434" s="38"/>
      <c r="GV434" s="38"/>
      <c r="GW434" s="38"/>
      <c r="GX434" s="38"/>
      <c r="GY434" s="38"/>
      <c r="GZ434" s="38"/>
      <c r="HA434" s="38"/>
      <c r="HB434" s="38"/>
      <c r="HC434" s="38"/>
      <c r="HD434" s="38"/>
      <c r="HE434" s="38"/>
      <c r="HF434" s="38"/>
      <c r="HG434" s="38"/>
      <c r="HH434" s="38"/>
      <c r="HI434" s="38"/>
      <c r="HJ434" s="38"/>
      <c r="HK434" s="38"/>
      <c r="HL434" s="38"/>
      <c r="HM434" s="38"/>
      <c r="HN434" s="38"/>
      <c r="HO434" s="38"/>
      <c r="HP434" s="38"/>
      <c r="HQ434" s="38"/>
      <c r="HR434" s="38"/>
      <c r="HS434" s="38"/>
      <c r="HT434" s="38"/>
      <c r="HU434" s="38"/>
      <c r="HV434" s="38"/>
      <c r="HW434" s="38"/>
      <c r="HX434" s="38"/>
      <c r="HY434" s="38"/>
      <c r="HZ434" s="38"/>
      <c r="IA434" s="38"/>
    </row>
    <row r="435" spans="1:16" ht="11.25">
      <c r="A435" s="13" t="s">
        <v>151</v>
      </c>
      <c r="B435" s="9"/>
      <c r="C435" s="9"/>
      <c r="D435" s="10"/>
      <c r="E435" s="10"/>
      <c r="F435" s="10"/>
      <c r="G435" s="10"/>
      <c r="H435" s="10"/>
      <c r="I435" s="10"/>
      <c r="J435" s="10"/>
      <c r="K435" s="65"/>
      <c r="L435" s="65"/>
      <c r="M435" s="65"/>
      <c r="N435" s="43"/>
      <c r="O435" s="43"/>
      <c r="P435" s="43"/>
    </row>
    <row r="436" spans="1:16" ht="23.25" customHeight="1">
      <c r="A436" s="8" t="s">
        <v>266</v>
      </c>
      <c r="B436" s="9"/>
      <c r="C436" s="9"/>
      <c r="D436" s="43">
        <v>5</v>
      </c>
      <c r="E436" s="10"/>
      <c r="F436" s="43">
        <f>D436+E436</f>
        <v>5</v>
      </c>
      <c r="G436" s="43">
        <v>5</v>
      </c>
      <c r="H436" s="10"/>
      <c r="I436" s="43"/>
      <c r="J436" s="43">
        <f aca="true" t="shared" si="55" ref="J436:J444">G436+H436</f>
        <v>5</v>
      </c>
      <c r="K436" s="65"/>
      <c r="L436" s="65"/>
      <c r="M436" s="65"/>
      <c r="N436" s="43">
        <v>5</v>
      </c>
      <c r="O436" s="43"/>
      <c r="P436" s="43">
        <f>N436</f>
        <v>5</v>
      </c>
    </row>
    <row r="437" spans="1:16" ht="21" customHeight="1">
      <c r="A437" s="8" t="s">
        <v>271</v>
      </c>
      <c r="B437" s="9"/>
      <c r="C437" s="9"/>
      <c r="D437" s="43">
        <v>1</v>
      </c>
      <c r="E437" s="10"/>
      <c r="F437" s="43">
        <v>1</v>
      </c>
      <c r="G437" s="43">
        <v>1</v>
      </c>
      <c r="H437" s="10"/>
      <c r="I437" s="43"/>
      <c r="J437" s="43">
        <f t="shared" si="55"/>
        <v>1</v>
      </c>
      <c r="K437" s="65"/>
      <c r="L437" s="65"/>
      <c r="M437" s="65"/>
      <c r="N437" s="43"/>
      <c r="O437" s="43"/>
      <c r="P437" s="43"/>
    </row>
    <row r="438" spans="1:16" ht="43.5" customHeight="1">
      <c r="A438" s="8" t="s">
        <v>223</v>
      </c>
      <c r="B438" s="11"/>
      <c r="C438" s="11"/>
      <c r="D438" s="43">
        <v>12</v>
      </c>
      <c r="E438" s="43"/>
      <c r="F438" s="43">
        <f>D438+E438</f>
        <v>12</v>
      </c>
      <c r="G438" s="43">
        <v>12</v>
      </c>
      <c r="H438" s="43"/>
      <c r="I438" s="43"/>
      <c r="J438" s="43">
        <f t="shared" si="55"/>
        <v>12</v>
      </c>
      <c r="K438" s="65"/>
      <c r="L438" s="65"/>
      <c r="M438" s="65"/>
      <c r="N438" s="43">
        <v>12</v>
      </c>
      <c r="O438" s="43"/>
      <c r="P438" s="43">
        <f>N438</f>
        <v>12</v>
      </c>
    </row>
    <row r="439" spans="1:16" ht="21.75" customHeight="1">
      <c r="A439" s="71" t="s">
        <v>322</v>
      </c>
      <c r="B439" s="11"/>
      <c r="C439" s="11"/>
      <c r="D439" s="43">
        <v>1</v>
      </c>
      <c r="E439" s="43"/>
      <c r="F439" s="43">
        <f>D439+E439</f>
        <v>1</v>
      </c>
      <c r="G439" s="43">
        <v>1</v>
      </c>
      <c r="H439" s="43"/>
      <c r="I439" s="43"/>
      <c r="J439" s="43">
        <f t="shared" si="55"/>
        <v>1</v>
      </c>
      <c r="K439" s="65"/>
      <c r="L439" s="65"/>
      <c r="M439" s="65"/>
      <c r="N439" s="43"/>
      <c r="O439" s="43"/>
      <c r="P439" s="43"/>
    </row>
    <row r="440" spans="1:16" ht="23.25" customHeight="1">
      <c r="A440" s="71" t="s">
        <v>447</v>
      </c>
      <c r="B440" s="11"/>
      <c r="C440" s="11"/>
      <c r="D440" s="43"/>
      <c r="E440" s="43"/>
      <c r="F440" s="43"/>
      <c r="G440" s="43">
        <v>1</v>
      </c>
      <c r="H440" s="43"/>
      <c r="I440" s="43"/>
      <c r="J440" s="43">
        <f t="shared" si="55"/>
        <v>1</v>
      </c>
      <c r="K440" s="65"/>
      <c r="L440" s="65"/>
      <c r="M440" s="65"/>
      <c r="N440" s="43"/>
      <c r="O440" s="43"/>
      <c r="P440" s="43"/>
    </row>
    <row r="441" spans="1:16" ht="29.25" customHeight="1">
      <c r="A441" s="71" t="s">
        <v>445</v>
      </c>
      <c r="B441" s="11"/>
      <c r="C441" s="11"/>
      <c r="D441" s="43"/>
      <c r="E441" s="43"/>
      <c r="F441" s="43"/>
      <c r="G441" s="43">
        <v>1</v>
      </c>
      <c r="H441" s="43"/>
      <c r="I441" s="43"/>
      <c r="J441" s="43">
        <f t="shared" si="55"/>
        <v>1</v>
      </c>
      <c r="K441" s="65"/>
      <c r="L441" s="65"/>
      <c r="M441" s="65"/>
      <c r="N441" s="43"/>
      <c r="O441" s="43"/>
      <c r="P441" s="43"/>
    </row>
    <row r="442" spans="1:16" ht="12.75" customHeight="1">
      <c r="A442" s="71" t="s">
        <v>324</v>
      </c>
      <c r="B442" s="11"/>
      <c r="C442" s="11"/>
      <c r="D442" s="43">
        <v>1</v>
      </c>
      <c r="E442" s="43"/>
      <c r="F442" s="43">
        <f>D442+E442</f>
        <v>1</v>
      </c>
      <c r="G442" s="43"/>
      <c r="H442" s="43"/>
      <c r="I442" s="43"/>
      <c r="J442" s="43">
        <f t="shared" si="55"/>
        <v>0</v>
      </c>
      <c r="K442" s="65"/>
      <c r="L442" s="65"/>
      <c r="M442" s="65"/>
      <c r="N442" s="43"/>
      <c r="O442" s="43"/>
      <c r="P442" s="43"/>
    </row>
    <row r="443" spans="1:16" ht="21.75" customHeight="1">
      <c r="A443" s="8" t="s">
        <v>354</v>
      </c>
      <c r="B443" s="68"/>
      <c r="C443" s="11"/>
      <c r="D443" s="43">
        <v>4</v>
      </c>
      <c r="E443" s="43"/>
      <c r="F443" s="43">
        <f>D443+E443</f>
        <v>4</v>
      </c>
      <c r="G443" s="43">
        <v>4</v>
      </c>
      <c r="H443" s="43"/>
      <c r="I443" s="43"/>
      <c r="J443" s="43">
        <f t="shared" si="55"/>
        <v>4</v>
      </c>
      <c r="K443" s="65"/>
      <c r="L443" s="65"/>
      <c r="M443" s="65"/>
      <c r="N443" s="43">
        <v>5</v>
      </c>
      <c r="O443" s="43"/>
      <c r="P443" s="43">
        <v>5</v>
      </c>
    </row>
    <row r="444" spans="1:16" ht="46.5" customHeight="1">
      <c r="A444" s="8" t="s">
        <v>420</v>
      </c>
      <c r="B444" s="68"/>
      <c r="C444" s="11"/>
      <c r="D444" s="43">
        <v>0</v>
      </c>
      <c r="E444" s="43"/>
      <c r="F444" s="43">
        <f>D444+E444</f>
        <v>0</v>
      </c>
      <c r="G444" s="43">
        <v>1</v>
      </c>
      <c r="H444" s="43"/>
      <c r="I444" s="43"/>
      <c r="J444" s="43">
        <f t="shared" si="55"/>
        <v>1</v>
      </c>
      <c r="K444" s="65"/>
      <c r="L444" s="65"/>
      <c r="M444" s="65"/>
      <c r="N444" s="43"/>
      <c r="O444" s="43"/>
      <c r="P444" s="43"/>
    </row>
    <row r="445" spans="1:16" ht="21" customHeight="1">
      <c r="A445" s="97" t="s">
        <v>449</v>
      </c>
      <c r="B445" s="68"/>
      <c r="C445" s="11"/>
      <c r="D445" s="43"/>
      <c r="E445" s="43"/>
      <c r="F445" s="43"/>
      <c r="G445" s="43"/>
      <c r="H445" s="43"/>
      <c r="I445" s="43"/>
      <c r="J445" s="43"/>
      <c r="K445" s="65"/>
      <c r="L445" s="65"/>
      <c r="M445" s="65"/>
      <c r="N445" s="43">
        <v>1</v>
      </c>
      <c r="O445" s="43"/>
      <c r="P445" s="43">
        <v>1</v>
      </c>
    </row>
    <row r="446" spans="1:16" ht="21" customHeight="1">
      <c r="A446" s="97" t="s">
        <v>451</v>
      </c>
      <c r="B446" s="68"/>
      <c r="C446" s="11"/>
      <c r="D446" s="43"/>
      <c r="E446" s="43"/>
      <c r="F446" s="43"/>
      <c r="G446" s="43"/>
      <c r="H446" s="43"/>
      <c r="I446" s="43"/>
      <c r="J446" s="43"/>
      <c r="K446" s="65"/>
      <c r="L446" s="65"/>
      <c r="M446" s="65"/>
      <c r="N446" s="43">
        <v>8</v>
      </c>
      <c r="O446" s="43"/>
      <c r="P446" s="43">
        <v>8</v>
      </c>
    </row>
    <row r="447" spans="1:16" ht="21" customHeight="1">
      <c r="A447" s="97" t="s">
        <v>459</v>
      </c>
      <c r="B447" s="68"/>
      <c r="C447" s="11"/>
      <c r="D447" s="43"/>
      <c r="E447" s="43"/>
      <c r="F447" s="43"/>
      <c r="G447" s="43"/>
      <c r="H447" s="43"/>
      <c r="I447" s="43"/>
      <c r="J447" s="43"/>
      <c r="K447" s="65"/>
      <c r="L447" s="65"/>
      <c r="M447" s="65"/>
      <c r="N447" s="43">
        <v>1</v>
      </c>
      <c r="O447" s="43"/>
      <c r="P447" s="43">
        <v>1</v>
      </c>
    </row>
    <row r="448" spans="1:16" ht="11.25">
      <c r="A448" s="61" t="s">
        <v>7</v>
      </c>
      <c r="B448" s="11"/>
      <c r="C448" s="11"/>
      <c r="D448" s="43"/>
      <c r="E448" s="43"/>
      <c r="F448" s="43"/>
      <c r="G448" s="43"/>
      <c r="H448" s="43"/>
      <c r="I448" s="43"/>
      <c r="J448" s="43"/>
      <c r="K448" s="65"/>
      <c r="L448" s="65"/>
      <c r="M448" s="65"/>
      <c r="N448" s="43"/>
      <c r="O448" s="43"/>
      <c r="P448" s="43"/>
    </row>
    <row r="449" spans="1:16" ht="22.5">
      <c r="A449" s="11" t="s">
        <v>265</v>
      </c>
      <c r="B449" s="11"/>
      <c r="C449" s="11"/>
      <c r="D449" s="43">
        <v>8400</v>
      </c>
      <c r="E449" s="43"/>
      <c r="F449" s="43">
        <f>D449+E449</f>
        <v>8400</v>
      </c>
      <c r="G449" s="43">
        <v>13000</v>
      </c>
      <c r="H449" s="43"/>
      <c r="I449" s="43"/>
      <c r="J449" s="43">
        <f aca="true" t="shared" si="56" ref="J449:J457">G449+H449</f>
        <v>13000</v>
      </c>
      <c r="K449" s="65"/>
      <c r="L449" s="65"/>
      <c r="M449" s="65"/>
      <c r="N449" s="43">
        <v>15000</v>
      </c>
      <c r="O449" s="43"/>
      <c r="P449" s="43">
        <f>N449</f>
        <v>15000</v>
      </c>
    </row>
    <row r="450" spans="1:16" ht="22.5">
      <c r="A450" s="11" t="s">
        <v>270</v>
      </c>
      <c r="B450" s="11"/>
      <c r="C450" s="11"/>
      <c r="D450" s="43">
        <v>167000</v>
      </c>
      <c r="E450" s="43"/>
      <c r="F450" s="43">
        <f>D450+E450</f>
        <v>167000</v>
      </c>
      <c r="G450" s="43">
        <v>200000</v>
      </c>
      <c r="H450" s="43"/>
      <c r="I450" s="43"/>
      <c r="J450" s="43">
        <f t="shared" si="56"/>
        <v>200000</v>
      </c>
      <c r="K450" s="65"/>
      <c r="L450" s="65"/>
      <c r="M450" s="65"/>
      <c r="N450" s="43"/>
      <c r="O450" s="43"/>
      <c r="P450" s="43"/>
    </row>
    <row r="451" spans="1:16" ht="33.75" customHeight="1">
      <c r="A451" s="11" t="s">
        <v>174</v>
      </c>
      <c r="B451" s="11"/>
      <c r="C451" s="11"/>
      <c r="D451" s="43">
        <f>10000/12</f>
        <v>833.3333333333334</v>
      </c>
      <c r="E451" s="43"/>
      <c r="F451" s="43">
        <f>D451+E451</f>
        <v>833.3333333333334</v>
      </c>
      <c r="G451" s="43">
        <v>500</v>
      </c>
      <c r="H451" s="43"/>
      <c r="I451" s="43"/>
      <c r="J451" s="43">
        <f t="shared" si="56"/>
        <v>500</v>
      </c>
      <c r="K451" s="65"/>
      <c r="L451" s="65"/>
      <c r="M451" s="65"/>
      <c r="N451" s="43">
        <f>15000/12</f>
        <v>1250</v>
      </c>
      <c r="O451" s="43"/>
      <c r="P451" s="43">
        <f>N451</f>
        <v>1250</v>
      </c>
    </row>
    <row r="452" spans="1:16" ht="19.5" customHeight="1">
      <c r="A452" s="11" t="s">
        <v>323</v>
      </c>
      <c r="B452" s="20"/>
      <c r="C452" s="20"/>
      <c r="D452" s="43">
        <v>150000</v>
      </c>
      <c r="E452" s="44"/>
      <c r="F452" s="44">
        <v>150000</v>
      </c>
      <c r="G452" s="44">
        <v>96000</v>
      </c>
      <c r="H452" s="44"/>
      <c r="I452" s="44"/>
      <c r="J452" s="65">
        <f t="shared" si="56"/>
        <v>96000</v>
      </c>
      <c r="K452" s="44"/>
      <c r="L452" s="44"/>
      <c r="M452" s="44"/>
      <c r="N452" s="44"/>
      <c r="O452" s="44"/>
      <c r="P452" s="44"/>
    </row>
    <row r="453" spans="1:16" ht="19.5" customHeight="1">
      <c r="A453" s="16" t="s">
        <v>448</v>
      </c>
      <c r="B453" s="20"/>
      <c r="C453" s="20"/>
      <c r="D453" s="160"/>
      <c r="E453" s="44"/>
      <c r="F453" s="44"/>
      <c r="G453" s="44">
        <v>200000</v>
      </c>
      <c r="H453" s="44"/>
      <c r="I453" s="44"/>
      <c r="J453" s="65">
        <f t="shared" si="56"/>
        <v>200000</v>
      </c>
      <c r="K453" s="44"/>
      <c r="L453" s="44"/>
      <c r="M453" s="44"/>
      <c r="N453" s="44"/>
      <c r="O453" s="44"/>
      <c r="P453" s="44"/>
    </row>
    <row r="454" spans="1:16" ht="19.5" customHeight="1">
      <c r="A454" s="16" t="s">
        <v>325</v>
      </c>
      <c r="B454" s="20"/>
      <c r="C454" s="20"/>
      <c r="D454" s="44">
        <v>1000</v>
      </c>
      <c r="E454" s="44"/>
      <c r="F454" s="44">
        <v>1000</v>
      </c>
      <c r="G454" s="44"/>
      <c r="H454" s="44"/>
      <c r="I454" s="44"/>
      <c r="J454" s="65">
        <f t="shared" si="56"/>
        <v>0</v>
      </c>
      <c r="K454" s="44"/>
      <c r="L454" s="44"/>
      <c r="M454" s="44"/>
      <c r="N454" s="44"/>
      <c r="O454" s="44"/>
      <c r="P454" s="44"/>
    </row>
    <row r="455" spans="1:16" ht="21.75" customHeight="1">
      <c r="A455" s="20" t="s">
        <v>355</v>
      </c>
      <c r="B455" s="20"/>
      <c r="C455" s="20"/>
      <c r="D455" s="44">
        <v>8500</v>
      </c>
      <c r="E455" s="44"/>
      <c r="F455" s="44">
        <v>8500</v>
      </c>
      <c r="G455" s="44">
        <v>12750</v>
      </c>
      <c r="H455" s="44"/>
      <c r="I455" s="44"/>
      <c r="J455" s="65">
        <f t="shared" si="56"/>
        <v>12750</v>
      </c>
      <c r="K455" s="44"/>
      <c r="L455" s="44"/>
      <c r="M455" s="44"/>
      <c r="N455" s="44">
        <v>9670</v>
      </c>
      <c r="O455" s="44"/>
      <c r="P455" s="44">
        <v>9670</v>
      </c>
    </row>
    <row r="456" spans="1:16" ht="21.75" customHeight="1">
      <c r="A456" s="20" t="s">
        <v>446</v>
      </c>
      <c r="B456" s="20"/>
      <c r="C456" s="20"/>
      <c r="D456" s="44"/>
      <c r="E456" s="44"/>
      <c r="F456" s="44"/>
      <c r="G456" s="44">
        <v>80000</v>
      </c>
      <c r="H456" s="44"/>
      <c r="I456" s="44"/>
      <c r="J456" s="65">
        <f t="shared" si="56"/>
        <v>80000</v>
      </c>
      <c r="K456" s="44"/>
      <c r="L456" s="44"/>
      <c r="M456" s="44"/>
      <c r="N456" s="44"/>
      <c r="O456" s="44"/>
      <c r="P456" s="44"/>
    </row>
    <row r="457" spans="1:16" ht="21.75" customHeight="1">
      <c r="A457" s="20" t="s">
        <v>421</v>
      </c>
      <c r="B457" s="20"/>
      <c r="C457" s="20"/>
      <c r="D457" s="44"/>
      <c r="E457" s="44"/>
      <c r="F457" s="44"/>
      <c r="G457" s="44">
        <f>20000+30000+16200+13500+12000+3000</f>
        <v>94700</v>
      </c>
      <c r="H457" s="44"/>
      <c r="I457" s="44"/>
      <c r="J457" s="65">
        <f t="shared" si="56"/>
        <v>94700</v>
      </c>
      <c r="K457" s="44"/>
      <c r="L457" s="44"/>
      <c r="M457" s="44"/>
      <c r="N457" s="44"/>
      <c r="O457" s="44"/>
      <c r="P457" s="44"/>
    </row>
    <row r="458" spans="1:16" ht="21.75" customHeight="1">
      <c r="A458" s="20" t="s">
        <v>450</v>
      </c>
      <c r="B458" s="20"/>
      <c r="C458" s="20"/>
      <c r="D458" s="44"/>
      <c r="E458" s="44"/>
      <c r="F458" s="44"/>
      <c r="G458" s="44"/>
      <c r="H458" s="44"/>
      <c r="I458" s="44"/>
      <c r="J458" s="163"/>
      <c r="K458" s="44"/>
      <c r="L458" s="44"/>
      <c r="M458" s="44"/>
      <c r="N458" s="44">
        <v>30000</v>
      </c>
      <c r="O458" s="44"/>
      <c r="P458" s="44">
        <v>30000</v>
      </c>
    </row>
    <row r="459" spans="1:16" ht="21.75" customHeight="1">
      <c r="A459" s="20" t="s">
        <v>460</v>
      </c>
      <c r="B459" s="20"/>
      <c r="C459" s="20"/>
      <c r="D459" s="44"/>
      <c r="E459" s="44"/>
      <c r="F459" s="44"/>
      <c r="G459" s="44"/>
      <c r="H459" s="44"/>
      <c r="I459" s="44"/>
      <c r="J459" s="163"/>
      <c r="K459" s="44"/>
      <c r="L459" s="44"/>
      <c r="M459" s="44"/>
      <c r="N459" s="44">
        <v>190000</v>
      </c>
      <c r="O459" s="44"/>
      <c r="P459" s="44">
        <v>190000</v>
      </c>
    </row>
    <row r="460" spans="1:16" ht="21.75" customHeight="1">
      <c r="A460" s="20" t="s">
        <v>452</v>
      </c>
      <c r="B460" s="20"/>
      <c r="C460" s="20"/>
      <c r="D460" s="44"/>
      <c r="E460" s="44"/>
      <c r="F460" s="44"/>
      <c r="G460" s="44"/>
      <c r="H460" s="44"/>
      <c r="I460" s="44"/>
      <c r="J460" s="163"/>
      <c r="K460" s="44"/>
      <c r="L460" s="44"/>
      <c r="M460" s="44"/>
      <c r="N460" s="44">
        <v>37500</v>
      </c>
      <c r="O460" s="44"/>
      <c r="P460" s="44">
        <v>37500</v>
      </c>
    </row>
    <row r="461" spans="1:16" ht="21.75" customHeight="1">
      <c r="A461" s="151" t="s">
        <v>363</v>
      </c>
      <c r="B461" s="20"/>
      <c r="C461" s="20"/>
      <c r="D461" s="57">
        <f>D463</f>
        <v>150000</v>
      </c>
      <c r="E461" s="57"/>
      <c r="F461" s="57">
        <f>F463</f>
        <v>150000</v>
      </c>
      <c r="G461" s="57">
        <f>G463</f>
        <v>100000</v>
      </c>
      <c r="H461" s="57"/>
      <c r="I461" s="57">
        <f>I463</f>
        <v>0</v>
      </c>
      <c r="J461" s="57">
        <f>J463</f>
        <v>100000</v>
      </c>
      <c r="K461" s="44"/>
      <c r="L461" s="44"/>
      <c r="M461" s="44"/>
      <c r="N461" s="44"/>
      <c r="O461" s="44"/>
      <c r="P461" s="44"/>
    </row>
    <row r="462" spans="1:16" ht="21.75" customHeight="1">
      <c r="A462" s="147" t="s">
        <v>359</v>
      </c>
      <c r="B462" s="20"/>
      <c r="C462" s="20"/>
      <c r="D462" s="57"/>
      <c r="E462" s="57"/>
      <c r="F462" s="57"/>
      <c r="G462" s="57"/>
      <c r="H462" s="57"/>
      <c r="I462" s="57"/>
      <c r="J462" s="57"/>
      <c r="K462" s="44"/>
      <c r="L462" s="44"/>
      <c r="M462" s="44"/>
      <c r="N462" s="44"/>
      <c r="O462" s="44"/>
      <c r="P462" s="44"/>
    </row>
    <row r="463" spans="1:16" ht="46.5" customHeight="1">
      <c r="A463" s="148" t="s">
        <v>407</v>
      </c>
      <c r="B463" s="20"/>
      <c r="C463" s="20"/>
      <c r="D463" s="57">
        <f>D465</f>
        <v>150000</v>
      </c>
      <c r="E463" s="57"/>
      <c r="F463" s="57">
        <f>F465</f>
        <v>150000</v>
      </c>
      <c r="G463" s="57">
        <f>G465</f>
        <v>100000</v>
      </c>
      <c r="H463" s="57"/>
      <c r="I463" s="57">
        <f>I465</f>
        <v>0</v>
      </c>
      <c r="J463" s="57">
        <f>J465</f>
        <v>100000</v>
      </c>
      <c r="K463" s="44"/>
      <c r="L463" s="44"/>
      <c r="M463" s="44"/>
      <c r="N463" s="44"/>
      <c r="O463" s="44"/>
      <c r="P463" s="44"/>
    </row>
    <row r="464" spans="1:16" ht="21.75" customHeight="1">
      <c r="A464" s="149" t="s">
        <v>4</v>
      </c>
      <c r="B464" s="20"/>
      <c r="C464" s="20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</row>
    <row r="465" spans="1:16" ht="21.75" customHeight="1">
      <c r="A465" s="147" t="s">
        <v>360</v>
      </c>
      <c r="B465" s="20"/>
      <c r="C465" s="20"/>
      <c r="D465" s="44">
        <f>D467*D469</f>
        <v>150000</v>
      </c>
      <c r="E465" s="44"/>
      <c r="F465" s="44">
        <f>F467*F469</f>
        <v>150000</v>
      </c>
      <c r="G465" s="44">
        <f>G467*G469</f>
        <v>100000</v>
      </c>
      <c r="H465" s="44"/>
      <c r="I465" s="44">
        <f>I467*I469</f>
        <v>0</v>
      </c>
      <c r="J465" s="44">
        <f>J467*J469</f>
        <v>100000</v>
      </c>
      <c r="K465" s="44"/>
      <c r="L465" s="44"/>
      <c r="M465" s="44"/>
      <c r="N465" s="44"/>
      <c r="O465" s="44"/>
      <c r="P465" s="44"/>
    </row>
    <row r="466" spans="1:16" ht="21.75" customHeight="1">
      <c r="A466" s="149" t="s">
        <v>5</v>
      </c>
      <c r="B466" s="20"/>
      <c r="C466" s="20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</row>
    <row r="467" spans="1:16" ht="21.75" customHeight="1">
      <c r="A467" s="147" t="s">
        <v>361</v>
      </c>
      <c r="B467" s="20"/>
      <c r="C467" s="20"/>
      <c r="D467" s="44">
        <v>1</v>
      </c>
      <c r="E467" s="44"/>
      <c r="F467" s="44">
        <v>1</v>
      </c>
      <c r="G467" s="44">
        <v>2</v>
      </c>
      <c r="H467" s="44"/>
      <c r="I467" s="44"/>
      <c r="J467" s="44">
        <v>2</v>
      </c>
      <c r="K467" s="44"/>
      <c r="L467" s="44"/>
      <c r="M467" s="44"/>
      <c r="N467" s="44"/>
      <c r="O467" s="44"/>
      <c r="P467" s="44"/>
    </row>
    <row r="468" spans="1:16" ht="21.75" customHeight="1">
      <c r="A468" s="149" t="s">
        <v>7</v>
      </c>
      <c r="B468" s="20"/>
      <c r="C468" s="20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</row>
    <row r="469" spans="1:16" ht="21.75" customHeight="1">
      <c r="A469" s="150" t="s">
        <v>362</v>
      </c>
      <c r="B469" s="20"/>
      <c r="C469" s="20"/>
      <c r="D469" s="44">
        <v>150000</v>
      </c>
      <c r="E469" s="44"/>
      <c r="F469" s="44">
        <v>150000</v>
      </c>
      <c r="G469" s="44">
        <v>50000</v>
      </c>
      <c r="H469" s="44"/>
      <c r="I469" s="44"/>
      <c r="J469" s="44">
        <v>50000</v>
      </c>
      <c r="K469" s="44"/>
      <c r="L469" s="44"/>
      <c r="M469" s="44"/>
      <c r="N469" s="44"/>
      <c r="O469" s="44"/>
      <c r="P469" s="44"/>
    </row>
    <row r="470" spans="1:16" ht="16.5" customHeight="1">
      <c r="A470" s="37" t="s">
        <v>247</v>
      </c>
      <c r="B470" s="37"/>
      <c r="C470" s="37"/>
      <c r="D470" s="30">
        <f>D471</f>
        <v>8624700</v>
      </c>
      <c r="E470" s="30">
        <f>E471</f>
        <v>13705000</v>
      </c>
      <c r="F470" s="30">
        <f>F471</f>
        <v>22329700</v>
      </c>
      <c r="G470" s="30">
        <f>G471</f>
        <v>5983100</v>
      </c>
      <c r="H470" s="30"/>
      <c r="I470" s="30">
        <f>I471</f>
        <v>0</v>
      </c>
      <c r="J470" s="30">
        <f>G470</f>
        <v>5983100</v>
      </c>
      <c r="K470" s="30" t="e">
        <f>#REF!+K471</f>
        <v>#REF!</v>
      </c>
      <c r="L470" s="30" t="e">
        <f>#REF!+L471</f>
        <v>#REF!</v>
      </c>
      <c r="M470" s="30" t="e">
        <f>#REF!+M471</f>
        <v>#REF!</v>
      </c>
      <c r="N470" s="30">
        <f>N471</f>
        <v>5945230.002</v>
      </c>
      <c r="O470" s="30">
        <f>O471</f>
        <v>0</v>
      </c>
      <c r="P470" s="30">
        <f>N470</f>
        <v>5945230.002</v>
      </c>
    </row>
    <row r="471" spans="1:235" s="39" customFormat="1" ht="26.25" customHeight="1">
      <c r="A471" s="34" t="s">
        <v>408</v>
      </c>
      <c r="B471" s="35"/>
      <c r="C471" s="35"/>
      <c r="D471" s="36">
        <f>D473</f>
        <v>8624700</v>
      </c>
      <c r="E471" s="36">
        <f>SUM(E474)</f>
        <v>13705000</v>
      </c>
      <c r="F471" s="36">
        <f>D471+E471</f>
        <v>22329700</v>
      </c>
      <c r="G471" s="36">
        <f>G473</f>
        <v>5983100</v>
      </c>
      <c r="H471" s="36"/>
      <c r="I471" s="36">
        <f>I473</f>
        <v>0</v>
      </c>
      <c r="J471" s="36">
        <f>G471</f>
        <v>5983100</v>
      </c>
      <c r="K471" s="36"/>
      <c r="L471" s="36"/>
      <c r="M471" s="36"/>
      <c r="N471" s="36">
        <f>N473</f>
        <v>5945230.002</v>
      </c>
      <c r="O471" s="36">
        <f>O473</f>
        <v>0</v>
      </c>
      <c r="P471" s="36">
        <f>N471</f>
        <v>5945230.002</v>
      </c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8"/>
      <c r="BU471" s="38"/>
      <c r="BV471" s="38"/>
      <c r="BW471" s="38"/>
      <c r="BX471" s="38"/>
      <c r="BY471" s="38"/>
      <c r="BZ471" s="38"/>
      <c r="CA471" s="38"/>
      <c r="CB471" s="38"/>
      <c r="CC471" s="38"/>
      <c r="CD471" s="38"/>
      <c r="CE471" s="38"/>
      <c r="CF471" s="38"/>
      <c r="CG471" s="38"/>
      <c r="CH471" s="38"/>
      <c r="CI471" s="38"/>
      <c r="CJ471" s="38"/>
      <c r="CK471" s="38"/>
      <c r="CL471" s="38"/>
      <c r="CM471" s="38"/>
      <c r="CN471" s="38"/>
      <c r="CO471" s="38"/>
      <c r="CP471" s="38"/>
      <c r="CQ471" s="38"/>
      <c r="CR471" s="38"/>
      <c r="CS471" s="38"/>
      <c r="CT471" s="38"/>
      <c r="CU471" s="38"/>
      <c r="CV471" s="38"/>
      <c r="CW471" s="38"/>
      <c r="CX471" s="38"/>
      <c r="CY471" s="38"/>
      <c r="CZ471" s="38"/>
      <c r="DA471" s="38"/>
      <c r="DB471" s="38"/>
      <c r="DC471" s="38"/>
      <c r="DD471" s="38"/>
      <c r="DE471" s="38"/>
      <c r="DF471" s="38"/>
      <c r="DG471" s="38"/>
      <c r="DH471" s="38"/>
      <c r="DI471" s="38"/>
      <c r="DJ471" s="38"/>
      <c r="DK471" s="38"/>
      <c r="DL471" s="38"/>
      <c r="DM471" s="38"/>
      <c r="DN471" s="38"/>
      <c r="DO471" s="38"/>
      <c r="DP471" s="38"/>
      <c r="DQ471" s="38"/>
      <c r="DR471" s="38"/>
      <c r="DS471" s="38"/>
      <c r="DT471" s="38"/>
      <c r="DU471" s="38"/>
      <c r="DV471" s="38"/>
      <c r="DW471" s="38"/>
      <c r="DX471" s="38"/>
      <c r="DY471" s="38"/>
      <c r="DZ471" s="38"/>
      <c r="EA471" s="38"/>
      <c r="EB471" s="38"/>
      <c r="EC471" s="38"/>
      <c r="ED471" s="38"/>
      <c r="EE471" s="38"/>
      <c r="EF471" s="38"/>
      <c r="EG471" s="38"/>
      <c r="EH471" s="38"/>
      <c r="EI471" s="38"/>
      <c r="EJ471" s="38"/>
      <c r="EK471" s="38"/>
      <c r="EL471" s="38"/>
      <c r="EM471" s="38"/>
      <c r="EN471" s="38"/>
      <c r="EO471" s="38"/>
      <c r="EP471" s="38"/>
      <c r="EQ471" s="38"/>
      <c r="ER471" s="38"/>
      <c r="ES471" s="38"/>
      <c r="ET471" s="38"/>
      <c r="EU471" s="38"/>
      <c r="EV471" s="38"/>
      <c r="EW471" s="38"/>
      <c r="EX471" s="38"/>
      <c r="EY471" s="38"/>
      <c r="EZ471" s="38"/>
      <c r="FA471" s="38"/>
      <c r="FB471" s="38"/>
      <c r="FC471" s="38"/>
      <c r="FD471" s="38"/>
      <c r="FE471" s="38"/>
      <c r="FF471" s="38"/>
      <c r="FG471" s="38"/>
      <c r="FH471" s="38"/>
      <c r="FI471" s="38"/>
      <c r="FJ471" s="38"/>
      <c r="FK471" s="38"/>
      <c r="FL471" s="38"/>
      <c r="FM471" s="38"/>
      <c r="FN471" s="38"/>
      <c r="FO471" s="38"/>
      <c r="FP471" s="38"/>
      <c r="FQ471" s="38"/>
      <c r="FR471" s="38"/>
      <c r="FS471" s="38"/>
      <c r="FT471" s="38"/>
      <c r="FU471" s="38"/>
      <c r="FV471" s="38"/>
      <c r="FW471" s="38"/>
      <c r="FX471" s="38"/>
      <c r="FY471" s="38"/>
      <c r="FZ471" s="38"/>
      <c r="GA471" s="38"/>
      <c r="GB471" s="38"/>
      <c r="GC471" s="38"/>
      <c r="GD471" s="38"/>
      <c r="GE471" s="38"/>
      <c r="GF471" s="38"/>
      <c r="GG471" s="38"/>
      <c r="GH471" s="38"/>
      <c r="GI471" s="38"/>
      <c r="GJ471" s="38"/>
      <c r="GK471" s="38"/>
      <c r="GL471" s="38"/>
      <c r="GM471" s="38"/>
      <c r="GN471" s="38"/>
      <c r="GO471" s="38"/>
      <c r="GP471" s="38"/>
      <c r="GQ471" s="38"/>
      <c r="GR471" s="38"/>
      <c r="GS471" s="38"/>
      <c r="GT471" s="38"/>
      <c r="GU471" s="38"/>
      <c r="GV471" s="38"/>
      <c r="GW471" s="38"/>
      <c r="GX471" s="38"/>
      <c r="GY471" s="38"/>
      <c r="GZ471" s="38"/>
      <c r="HA471" s="38"/>
      <c r="HB471" s="38"/>
      <c r="HC471" s="38"/>
      <c r="HD471" s="38"/>
      <c r="HE471" s="38"/>
      <c r="HF471" s="38"/>
      <c r="HG471" s="38"/>
      <c r="HH471" s="38"/>
      <c r="HI471" s="38"/>
      <c r="HJ471" s="38"/>
      <c r="HK471" s="38"/>
      <c r="HL471" s="38"/>
      <c r="HM471" s="38"/>
      <c r="HN471" s="38"/>
      <c r="HO471" s="38"/>
      <c r="HP471" s="38"/>
      <c r="HQ471" s="38"/>
      <c r="HR471" s="38"/>
      <c r="HS471" s="38"/>
      <c r="HT471" s="38"/>
      <c r="HU471" s="38"/>
      <c r="HV471" s="38"/>
      <c r="HW471" s="38"/>
      <c r="HX471" s="38"/>
      <c r="HY471" s="38"/>
      <c r="HZ471" s="38"/>
      <c r="IA471" s="38"/>
    </row>
    <row r="472" spans="1:16" ht="11.25">
      <c r="A472" s="5" t="s">
        <v>4</v>
      </c>
      <c r="B472" s="6"/>
      <c r="C472" s="6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35.25" customHeight="1">
      <c r="A473" s="8" t="s">
        <v>248</v>
      </c>
      <c r="B473" s="6"/>
      <c r="C473" s="6"/>
      <c r="D473" s="7">
        <f>8124700+500000</f>
        <v>8624700</v>
      </c>
      <c r="E473" s="7"/>
      <c r="F473" s="7">
        <f>D473</f>
        <v>8624700</v>
      </c>
      <c r="G473" s="7">
        <f>G476*G478</f>
        <v>5983100</v>
      </c>
      <c r="H473" s="7"/>
      <c r="I473" s="7"/>
      <c r="J473" s="7">
        <f>G473+H473</f>
        <v>5983100</v>
      </c>
      <c r="K473" s="7"/>
      <c r="L473" s="7"/>
      <c r="M473" s="7"/>
      <c r="N473" s="7">
        <f>N476*N478</f>
        <v>5945230.002</v>
      </c>
      <c r="O473" s="7"/>
      <c r="P473" s="7">
        <f>N473</f>
        <v>5945230.002</v>
      </c>
    </row>
    <row r="474" spans="1:16" ht="164.25" customHeight="1">
      <c r="A474" s="8" t="s">
        <v>326</v>
      </c>
      <c r="B474" s="6"/>
      <c r="C474" s="6"/>
      <c r="D474" s="7"/>
      <c r="E474" s="7">
        <v>13705000</v>
      </c>
      <c r="F474" s="7">
        <f>D474+E474</f>
        <v>13705000</v>
      </c>
      <c r="G474" s="7"/>
      <c r="H474" s="7"/>
      <c r="I474" s="7"/>
      <c r="J474" s="7"/>
      <c r="K474" s="7"/>
      <c r="L474" s="7"/>
      <c r="M474" s="7"/>
      <c r="N474" s="7"/>
      <c r="O474" s="7"/>
      <c r="P474" s="7"/>
    </row>
    <row r="475" spans="1:16" ht="11.25">
      <c r="A475" s="5" t="s">
        <v>5</v>
      </c>
      <c r="B475" s="6"/>
      <c r="C475" s="6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</row>
    <row r="476" spans="1:16" ht="39.75" customHeight="1">
      <c r="A476" s="8" t="s">
        <v>249</v>
      </c>
      <c r="B476" s="6"/>
      <c r="C476" s="6"/>
      <c r="D476" s="7">
        <v>2</v>
      </c>
      <c r="E476" s="7"/>
      <c r="F476" s="7">
        <f>D476</f>
        <v>2</v>
      </c>
      <c r="G476" s="7">
        <v>2</v>
      </c>
      <c r="H476" s="7"/>
      <c r="I476" s="7"/>
      <c r="J476" s="7">
        <f>G476+H476</f>
        <v>2</v>
      </c>
      <c r="K476" s="7"/>
      <c r="L476" s="7"/>
      <c r="M476" s="7"/>
      <c r="N476" s="7">
        <v>3</v>
      </c>
      <c r="O476" s="7"/>
      <c r="P476" s="7">
        <f>N476</f>
        <v>3</v>
      </c>
    </row>
    <row r="477" spans="1:16" ht="11.25">
      <c r="A477" s="5" t="s">
        <v>7</v>
      </c>
      <c r="B477" s="6"/>
      <c r="C477" s="6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</row>
    <row r="478" spans="1:16" ht="40.5" customHeight="1">
      <c r="A478" s="8" t="s">
        <v>250</v>
      </c>
      <c r="B478" s="6"/>
      <c r="C478" s="6"/>
      <c r="D478" s="7">
        <v>3812350</v>
      </c>
      <c r="E478" s="7"/>
      <c r="F478" s="7">
        <f>F473/F476</f>
        <v>4312350</v>
      </c>
      <c r="G478" s="7">
        <v>2991550</v>
      </c>
      <c r="H478" s="7"/>
      <c r="I478" s="7"/>
      <c r="J478" s="7">
        <f>G478+H478</f>
        <v>2991550</v>
      </c>
      <c r="K478" s="7"/>
      <c r="L478" s="7"/>
      <c r="M478" s="7"/>
      <c r="N478" s="7">
        <v>1981743.334</v>
      </c>
      <c r="O478" s="7"/>
      <c r="P478" s="7">
        <f>P473/P476</f>
        <v>1981743.334</v>
      </c>
    </row>
    <row r="479" spans="1:17" ht="15" customHeight="1">
      <c r="A479" s="37" t="s">
        <v>253</v>
      </c>
      <c r="B479" s="6"/>
      <c r="C479" s="6"/>
      <c r="D479" s="36">
        <f>D481+D498+D505+D514+D521+D532+D539+D546+D553</f>
        <v>22123399.999999568</v>
      </c>
      <c r="E479" s="36">
        <f>E481+E498+E505+E514+E521+E532+E539+E546+E553</f>
        <v>1370000</v>
      </c>
      <c r="F479" s="36">
        <f>F481+F498+F505+F514+F521+F532+F539+F546+F553</f>
        <v>23493399.999999568</v>
      </c>
      <c r="G479" s="36">
        <f>G481+G498+G505+G514+G521+G532+G560+G567+G581</f>
        <v>61665000.4</v>
      </c>
      <c r="H479" s="36">
        <f>H481+H498+H505+H514+H521+H532+H574</f>
        <v>2350000</v>
      </c>
      <c r="I479" s="36">
        <f>I481+I498+I505+I514+I521+I532</f>
        <v>0</v>
      </c>
      <c r="J479" s="36">
        <f>J481+J498+J505+J514+J521+J532+J560+J567+J574+J581</f>
        <v>64015000.4</v>
      </c>
      <c r="K479" s="36">
        <f aca="true" t="shared" si="57" ref="K479:Q479">K481+K498+K505+K514+K521+K532</f>
        <v>0</v>
      </c>
      <c r="L479" s="36">
        <f t="shared" si="57"/>
        <v>0</v>
      </c>
      <c r="M479" s="36">
        <f t="shared" si="57"/>
        <v>0</v>
      </c>
      <c r="N479" s="36">
        <f t="shared" si="57"/>
        <v>35475000.00205</v>
      </c>
      <c r="O479" s="36">
        <f t="shared" si="57"/>
        <v>1600000</v>
      </c>
      <c r="P479" s="36">
        <f t="shared" si="57"/>
        <v>37075000.00205</v>
      </c>
      <c r="Q479" s="36">
        <f t="shared" si="57"/>
        <v>0</v>
      </c>
    </row>
    <row r="480" spans="1:16" ht="23.25" customHeight="1">
      <c r="A480" s="8" t="s">
        <v>132</v>
      </c>
      <c r="B480" s="6"/>
      <c r="C480" s="6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235" s="39" customFormat="1" ht="78" customHeight="1">
      <c r="A481" s="34" t="s">
        <v>457</v>
      </c>
      <c r="B481" s="35"/>
      <c r="C481" s="35"/>
      <c r="D481" s="36">
        <f>SUM(D482)+D489</f>
        <v>19868000</v>
      </c>
      <c r="E481" s="36"/>
      <c r="F481" s="36">
        <f>SUM(F482)+F489</f>
        <v>19868000</v>
      </c>
      <c r="G481" s="36">
        <f>SUM(G482)+G489+G495</f>
        <v>57733000</v>
      </c>
      <c r="H481" s="36"/>
      <c r="I481" s="36">
        <f>SUM(I482)+I489</f>
        <v>0</v>
      </c>
      <c r="J481" s="36">
        <f>SUM(J482)+J489+J495</f>
        <v>57733000</v>
      </c>
      <c r="K481" s="36">
        <f>SUM(K482)+K489</f>
        <v>0</v>
      </c>
      <c r="L481" s="36">
        <f>SUM(L482)+L489</f>
        <v>0</v>
      </c>
      <c r="M481" s="36">
        <f>SUM(M482)+M489</f>
        <v>0</v>
      </c>
      <c r="N481" s="36">
        <f>SUM(N482)+N489+N495+N492</f>
        <v>34225000</v>
      </c>
      <c r="O481" s="36"/>
      <c r="P481" s="36">
        <f>SUM(P482)+P489+P495+P492</f>
        <v>34225000</v>
      </c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38"/>
      <c r="CF481" s="38"/>
      <c r="CG481" s="38"/>
      <c r="CH481" s="38"/>
      <c r="CI481" s="38"/>
      <c r="CJ481" s="38"/>
      <c r="CK481" s="38"/>
      <c r="CL481" s="38"/>
      <c r="CM481" s="38"/>
      <c r="CN481" s="38"/>
      <c r="CO481" s="38"/>
      <c r="CP481" s="38"/>
      <c r="CQ481" s="38"/>
      <c r="CR481" s="38"/>
      <c r="CS481" s="38"/>
      <c r="CT481" s="38"/>
      <c r="CU481" s="38"/>
      <c r="CV481" s="38"/>
      <c r="CW481" s="38"/>
      <c r="CX481" s="38"/>
      <c r="CY481" s="38"/>
      <c r="CZ481" s="38"/>
      <c r="DA481" s="38"/>
      <c r="DB481" s="38"/>
      <c r="DC481" s="38"/>
      <c r="DD481" s="38"/>
      <c r="DE481" s="38"/>
      <c r="DF481" s="38"/>
      <c r="DG481" s="38"/>
      <c r="DH481" s="38"/>
      <c r="DI481" s="38"/>
      <c r="DJ481" s="38"/>
      <c r="DK481" s="38"/>
      <c r="DL481" s="38"/>
      <c r="DM481" s="38"/>
      <c r="DN481" s="38"/>
      <c r="DO481" s="38"/>
      <c r="DP481" s="38"/>
      <c r="DQ481" s="38"/>
      <c r="DR481" s="38"/>
      <c r="DS481" s="38"/>
      <c r="DT481" s="38"/>
      <c r="DU481" s="38"/>
      <c r="DV481" s="38"/>
      <c r="DW481" s="38"/>
      <c r="DX481" s="38"/>
      <c r="DY481" s="38"/>
      <c r="DZ481" s="38"/>
      <c r="EA481" s="38"/>
      <c r="EB481" s="38"/>
      <c r="EC481" s="38"/>
      <c r="ED481" s="38"/>
      <c r="EE481" s="38"/>
      <c r="EF481" s="38"/>
      <c r="EG481" s="38"/>
      <c r="EH481" s="38"/>
      <c r="EI481" s="38"/>
      <c r="EJ481" s="38"/>
      <c r="EK481" s="38"/>
      <c r="EL481" s="38"/>
      <c r="EM481" s="38"/>
      <c r="EN481" s="38"/>
      <c r="EO481" s="38"/>
      <c r="EP481" s="38"/>
      <c r="EQ481" s="38"/>
      <c r="ER481" s="38"/>
      <c r="ES481" s="38"/>
      <c r="ET481" s="38"/>
      <c r="EU481" s="38"/>
      <c r="EV481" s="38"/>
      <c r="EW481" s="38"/>
      <c r="EX481" s="38"/>
      <c r="EY481" s="38"/>
      <c r="EZ481" s="38"/>
      <c r="FA481" s="38"/>
      <c r="FB481" s="38"/>
      <c r="FC481" s="38"/>
      <c r="FD481" s="38"/>
      <c r="FE481" s="38"/>
      <c r="FF481" s="38"/>
      <c r="FG481" s="38"/>
      <c r="FH481" s="38"/>
      <c r="FI481" s="38"/>
      <c r="FJ481" s="38"/>
      <c r="FK481" s="38"/>
      <c r="FL481" s="38"/>
      <c r="FM481" s="38"/>
      <c r="FN481" s="38"/>
      <c r="FO481" s="38"/>
      <c r="FP481" s="38"/>
      <c r="FQ481" s="38"/>
      <c r="FR481" s="38"/>
      <c r="FS481" s="38"/>
      <c r="FT481" s="38"/>
      <c r="FU481" s="38"/>
      <c r="FV481" s="38"/>
      <c r="FW481" s="38"/>
      <c r="FX481" s="38"/>
      <c r="FY481" s="38"/>
      <c r="FZ481" s="38"/>
      <c r="GA481" s="38"/>
      <c r="GB481" s="38"/>
      <c r="GC481" s="38"/>
      <c r="GD481" s="38"/>
      <c r="GE481" s="38"/>
      <c r="GF481" s="38"/>
      <c r="GG481" s="38"/>
      <c r="GH481" s="38"/>
      <c r="GI481" s="38"/>
      <c r="GJ481" s="38"/>
      <c r="GK481" s="38"/>
      <c r="GL481" s="38"/>
      <c r="GM481" s="38"/>
      <c r="GN481" s="38"/>
      <c r="GO481" s="38"/>
      <c r="GP481" s="38"/>
      <c r="GQ481" s="38"/>
      <c r="GR481" s="38"/>
      <c r="GS481" s="38"/>
      <c r="GT481" s="38"/>
      <c r="GU481" s="38"/>
      <c r="GV481" s="38"/>
      <c r="GW481" s="38"/>
      <c r="GX481" s="38"/>
      <c r="GY481" s="38"/>
      <c r="GZ481" s="38"/>
      <c r="HA481" s="38"/>
      <c r="HB481" s="38"/>
      <c r="HC481" s="38"/>
      <c r="HD481" s="38"/>
      <c r="HE481" s="38"/>
      <c r="HF481" s="38"/>
      <c r="HG481" s="38"/>
      <c r="HH481" s="38"/>
      <c r="HI481" s="38"/>
      <c r="HJ481" s="38"/>
      <c r="HK481" s="38"/>
      <c r="HL481" s="38"/>
      <c r="HM481" s="38"/>
      <c r="HN481" s="38"/>
      <c r="HO481" s="38"/>
      <c r="HP481" s="38"/>
      <c r="HQ481" s="38"/>
      <c r="HR481" s="38"/>
      <c r="HS481" s="38"/>
      <c r="HT481" s="38"/>
      <c r="HU481" s="38"/>
      <c r="HV481" s="38"/>
      <c r="HW481" s="38"/>
      <c r="HX481" s="38"/>
      <c r="HY481" s="38"/>
      <c r="HZ481" s="38"/>
      <c r="IA481" s="38"/>
    </row>
    <row r="482" spans="1:235" s="39" customFormat="1" ht="90.75" customHeight="1">
      <c r="A482" s="34" t="s">
        <v>425</v>
      </c>
      <c r="B482" s="35"/>
      <c r="C482" s="35"/>
      <c r="D482" s="36">
        <f>SUM(D484)</f>
        <v>5868000</v>
      </c>
      <c r="E482" s="36"/>
      <c r="F482" s="36">
        <f>SUM(D482)</f>
        <v>5868000</v>
      </c>
      <c r="G482" s="36">
        <f>SUM(G484)</f>
        <v>11028000</v>
      </c>
      <c r="H482" s="36"/>
      <c r="I482" s="36"/>
      <c r="J482" s="36">
        <f>SUM(J484)</f>
        <v>11028000</v>
      </c>
      <c r="K482" s="36"/>
      <c r="L482" s="36"/>
      <c r="M482" s="36"/>
      <c r="N482" s="36">
        <f>SUM(N484)</f>
        <v>7225000</v>
      </c>
      <c r="O482" s="36"/>
      <c r="P482" s="36">
        <f>P484</f>
        <v>7225000</v>
      </c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8"/>
      <c r="BU482" s="38"/>
      <c r="BV482" s="38"/>
      <c r="BW482" s="38"/>
      <c r="BX482" s="38"/>
      <c r="BY482" s="38"/>
      <c r="BZ482" s="38"/>
      <c r="CA482" s="38"/>
      <c r="CB482" s="38"/>
      <c r="CC482" s="38"/>
      <c r="CD482" s="38"/>
      <c r="CE482" s="38"/>
      <c r="CF482" s="38"/>
      <c r="CG482" s="38"/>
      <c r="CH482" s="38"/>
      <c r="CI482" s="38"/>
      <c r="CJ482" s="38"/>
      <c r="CK482" s="38"/>
      <c r="CL482" s="38"/>
      <c r="CM482" s="38"/>
      <c r="CN482" s="38"/>
      <c r="CO482" s="38"/>
      <c r="CP482" s="38"/>
      <c r="CQ482" s="38"/>
      <c r="CR482" s="38"/>
      <c r="CS482" s="38"/>
      <c r="CT482" s="38"/>
      <c r="CU482" s="38"/>
      <c r="CV482" s="38"/>
      <c r="CW482" s="38"/>
      <c r="CX482" s="38"/>
      <c r="CY482" s="38"/>
      <c r="CZ482" s="38"/>
      <c r="DA482" s="38"/>
      <c r="DB482" s="38"/>
      <c r="DC482" s="38"/>
      <c r="DD482" s="38"/>
      <c r="DE482" s="38"/>
      <c r="DF482" s="38"/>
      <c r="DG482" s="38"/>
      <c r="DH482" s="38"/>
      <c r="DI482" s="38"/>
      <c r="DJ482" s="38"/>
      <c r="DK482" s="38"/>
      <c r="DL482" s="38"/>
      <c r="DM482" s="38"/>
      <c r="DN482" s="38"/>
      <c r="DO482" s="38"/>
      <c r="DP482" s="38"/>
      <c r="DQ482" s="38"/>
      <c r="DR482" s="38"/>
      <c r="DS482" s="38"/>
      <c r="DT482" s="38"/>
      <c r="DU482" s="38"/>
      <c r="DV482" s="38"/>
      <c r="DW482" s="38"/>
      <c r="DX482" s="38"/>
      <c r="DY482" s="38"/>
      <c r="DZ482" s="38"/>
      <c r="EA482" s="38"/>
      <c r="EB482" s="38"/>
      <c r="EC482" s="38"/>
      <c r="ED482" s="38"/>
      <c r="EE482" s="38"/>
      <c r="EF482" s="38"/>
      <c r="EG482" s="38"/>
      <c r="EH482" s="38"/>
      <c r="EI482" s="38"/>
      <c r="EJ482" s="38"/>
      <c r="EK482" s="38"/>
      <c r="EL482" s="38"/>
      <c r="EM482" s="38"/>
      <c r="EN482" s="38"/>
      <c r="EO482" s="38"/>
      <c r="EP482" s="38"/>
      <c r="EQ482" s="38"/>
      <c r="ER482" s="38"/>
      <c r="ES482" s="38"/>
      <c r="ET482" s="38"/>
      <c r="EU482" s="38"/>
      <c r="EV482" s="38"/>
      <c r="EW482" s="38"/>
      <c r="EX482" s="38"/>
      <c r="EY482" s="38"/>
      <c r="EZ482" s="38"/>
      <c r="FA482" s="38"/>
      <c r="FB482" s="38"/>
      <c r="FC482" s="38"/>
      <c r="FD482" s="38"/>
      <c r="FE482" s="38"/>
      <c r="FF482" s="38"/>
      <c r="FG482" s="38"/>
      <c r="FH482" s="38"/>
      <c r="FI482" s="38"/>
      <c r="FJ482" s="38"/>
      <c r="FK482" s="38"/>
      <c r="FL482" s="38"/>
      <c r="FM482" s="38"/>
      <c r="FN482" s="38"/>
      <c r="FO482" s="38"/>
      <c r="FP482" s="38"/>
      <c r="FQ482" s="38"/>
      <c r="FR482" s="38"/>
      <c r="FS482" s="38"/>
      <c r="FT482" s="38"/>
      <c r="FU482" s="38"/>
      <c r="FV482" s="38"/>
      <c r="FW482" s="38"/>
      <c r="FX482" s="38"/>
      <c r="FY482" s="38"/>
      <c r="FZ482" s="38"/>
      <c r="GA482" s="38"/>
      <c r="GB482" s="38"/>
      <c r="GC482" s="38"/>
      <c r="GD482" s="38"/>
      <c r="GE482" s="38"/>
      <c r="GF482" s="38"/>
      <c r="GG482" s="38"/>
      <c r="GH482" s="38"/>
      <c r="GI482" s="38"/>
      <c r="GJ482" s="38"/>
      <c r="GK482" s="38"/>
      <c r="GL482" s="38"/>
      <c r="GM482" s="38"/>
      <c r="GN482" s="38"/>
      <c r="GO482" s="38"/>
      <c r="GP482" s="38"/>
      <c r="GQ482" s="38"/>
      <c r="GR482" s="38"/>
      <c r="GS482" s="38"/>
      <c r="GT482" s="38"/>
      <c r="GU482" s="38"/>
      <c r="GV482" s="38"/>
      <c r="GW482" s="38"/>
      <c r="GX482" s="38"/>
      <c r="GY482" s="38"/>
      <c r="GZ482" s="38"/>
      <c r="HA482" s="38"/>
      <c r="HB482" s="38"/>
      <c r="HC482" s="38"/>
      <c r="HD482" s="38"/>
      <c r="HE482" s="38"/>
      <c r="HF482" s="38"/>
      <c r="HG482" s="38"/>
      <c r="HH482" s="38"/>
      <c r="HI482" s="38"/>
      <c r="HJ482" s="38"/>
      <c r="HK482" s="38"/>
      <c r="HL482" s="38"/>
      <c r="HM482" s="38"/>
      <c r="HN482" s="38"/>
      <c r="HO482" s="38"/>
      <c r="HP482" s="38"/>
      <c r="HQ482" s="38"/>
      <c r="HR482" s="38"/>
      <c r="HS482" s="38"/>
      <c r="HT482" s="38"/>
      <c r="HU482" s="38"/>
      <c r="HV482" s="38"/>
      <c r="HW482" s="38"/>
      <c r="HX482" s="38"/>
      <c r="HY482" s="38"/>
      <c r="HZ482" s="38"/>
      <c r="IA482" s="38"/>
    </row>
    <row r="483" spans="1:16" ht="12" customHeight="1">
      <c r="A483" s="5" t="s">
        <v>4</v>
      </c>
      <c r="B483" s="6"/>
      <c r="C483" s="6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13.5" customHeight="1">
      <c r="A484" s="8" t="s">
        <v>43</v>
      </c>
      <c r="B484" s="6"/>
      <c r="C484" s="6"/>
      <c r="D484" s="7">
        <f>6000000-180000-320000+180000+60000+90000+38000</f>
        <v>5868000</v>
      </c>
      <c r="E484" s="7"/>
      <c r="F484" s="7">
        <f>D484</f>
        <v>5868000</v>
      </c>
      <c r="G484" s="7">
        <f>6500000+4000000+190000+78000+140000+120000</f>
        <v>11028000</v>
      </c>
      <c r="H484" s="7"/>
      <c r="I484" s="7"/>
      <c r="J484" s="7">
        <f>SUM(G484)</f>
        <v>11028000</v>
      </c>
      <c r="K484" s="7"/>
      <c r="L484" s="7"/>
      <c r="M484" s="7"/>
      <c r="N484" s="7">
        <f>7000000+225000</f>
        <v>7225000</v>
      </c>
      <c r="O484" s="7"/>
      <c r="P484" s="7">
        <f>N484</f>
        <v>7225000</v>
      </c>
    </row>
    <row r="485" spans="1:16" ht="12" customHeight="1">
      <c r="A485" s="5" t="s">
        <v>5</v>
      </c>
      <c r="B485" s="6"/>
      <c r="C485" s="6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37.5" customHeight="1">
      <c r="A486" s="8" t="s">
        <v>251</v>
      </c>
      <c r="B486" s="6"/>
      <c r="C486" s="6"/>
      <c r="D486" s="7">
        <v>12</v>
      </c>
      <c r="E486" s="7"/>
      <c r="F486" s="7">
        <v>12</v>
      </c>
      <c r="G486" s="7">
        <v>12</v>
      </c>
      <c r="H486" s="7"/>
      <c r="I486" s="7"/>
      <c r="J486" s="7">
        <v>12</v>
      </c>
      <c r="K486" s="7"/>
      <c r="L486" s="7"/>
      <c r="M486" s="7"/>
      <c r="N486" s="7">
        <v>12</v>
      </c>
      <c r="O486" s="7"/>
      <c r="P486" s="7">
        <v>12</v>
      </c>
    </row>
    <row r="487" spans="1:16" ht="11.25">
      <c r="A487" s="5" t="s">
        <v>7</v>
      </c>
      <c r="B487" s="6"/>
      <c r="C487" s="6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36" customHeight="1">
      <c r="A488" s="8" t="s">
        <v>252</v>
      </c>
      <c r="B488" s="6"/>
      <c r="C488" s="6"/>
      <c r="D488" s="7">
        <f>SUM(D484)/D486</f>
        <v>489000</v>
      </c>
      <c r="E488" s="7"/>
      <c r="F488" s="7">
        <f>D488</f>
        <v>489000</v>
      </c>
      <c r="G488" s="7">
        <f>SUM(G484)/G486</f>
        <v>919000</v>
      </c>
      <c r="H488" s="7"/>
      <c r="I488" s="7"/>
      <c r="J488" s="7">
        <f>SUM(J484)/J486</f>
        <v>919000</v>
      </c>
      <c r="K488" s="7"/>
      <c r="L488" s="7"/>
      <c r="M488" s="7"/>
      <c r="N488" s="7">
        <f>SUM(N484)/N486</f>
        <v>602083.3333333334</v>
      </c>
      <c r="O488" s="7"/>
      <c r="P488" s="7">
        <f>SUM(P484)/P486</f>
        <v>602083.3333333334</v>
      </c>
    </row>
    <row r="489" spans="1:16" ht="24" customHeight="1">
      <c r="A489" s="34" t="s">
        <v>409</v>
      </c>
      <c r="B489" s="6"/>
      <c r="C489" s="6"/>
      <c r="D489" s="7">
        <f>D491</f>
        <v>14000000</v>
      </c>
      <c r="E489" s="7"/>
      <c r="F489" s="7">
        <f>F491</f>
        <v>14000000</v>
      </c>
      <c r="G489" s="7">
        <f>G491</f>
        <v>45705000</v>
      </c>
      <c r="H489" s="7"/>
      <c r="I489" s="7"/>
      <c r="J489" s="7">
        <f>G489</f>
        <v>45705000</v>
      </c>
      <c r="K489" s="7"/>
      <c r="L489" s="7"/>
      <c r="M489" s="7"/>
      <c r="N489" s="7"/>
      <c r="O489" s="7"/>
      <c r="P489" s="7"/>
    </row>
    <row r="490" spans="1:16" ht="16.5" customHeight="1">
      <c r="A490" s="5" t="s">
        <v>4</v>
      </c>
      <c r="B490" s="6"/>
      <c r="C490" s="6"/>
      <c r="D490" s="7"/>
      <c r="E490" s="7"/>
      <c r="F490" s="7"/>
      <c r="G490" s="164">
        <v>1</v>
      </c>
      <c r="H490" s="164"/>
      <c r="I490" s="164"/>
      <c r="J490" s="164"/>
      <c r="K490" s="164"/>
      <c r="L490" s="164"/>
      <c r="M490" s="164"/>
      <c r="N490" s="164"/>
      <c r="O490" s="7"/>
      <c r="P490" s="7"/>
    </row>
    <row r="491" spans="1:16" ht="12.75" customHeight="1">
      <c r="A491" s="5" t="s">
        <v>43</v>
      </c>
      <c r="B491" s="6"/>
      <c r="C491" s="6"/>
      <c r="D491" s="7">
        <f>3000000+2000000+3000000+1000000+3000000+2000000</f>
        <v>14000000</v>
      </c>
      <c r="E491" s="7"/>
      <c r="F491" s="7">
        <f>3000000+2000000+3000000+1000000+3000000+2000000</f>
        <v>14000000</v>
      </c>
      <c r="G491" s="7">
        <f>0+4000000+2725000+3000000+9000000+3000000+3000000+3000000+3200000+4000000+3500000+5000000+2280000</f>
        <v>45705000</v>
      </c>
      <c r="H491" s="7"/>
      <c r="I491" s="7"/>
      <c r="J491" s="7">
        <f>G491</f>
        <v>45705000</v>
      </c>
      <c r="K491" s="7"/>
      <c r="L491" s="7"/>
      <c r="M491" s="7"/>
      <c r="N491" s="7"/>
      <c r="O491" s="7"/>
      <c r="P491" s="7"/>
    </row>
    <row r="492" spans="1:16" ht="23.25" customHeight="1">
      <c r="A492" s="34" t="s">
        <v>455</v>
      </c>
      <c r="B492" s="6"/>
      <c r="C492" s="6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>
        <f>N493*N494</f>
        <v>26000000</v>
      </c>
      <c r="O492" s="7"/>
      <c r="P492" s="7">
        <f>N492</f>
        <v>26000000</v>
      </c>
    </row>
    <row r="493" spans="1:16" ht="15.75" customHeight="1">
      <c r="A493" s="5" t="s">
        <v>4</v>
      </c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>
        <v>1</v>
      </c>
      <c r="O493" s="7"/>
      <c r="P493" s="7">
        <f>N493</f>
        <v>1</v>
      </c>
    </row>
    <row r="494" spans="1:16" ht="15.75" customHeight="1">
      <c r="A494" s="5" t="s">
        <v>43</v>
      </c>
      <c r="B494" s="6"/>
      <c r="C494" s="6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>
        <v>26000000</v>
      </c>
      <c r="O494" s="7"/>
      <c r="P494" s="7">
        <f>N494</f>
        <v>26000000</v>
      </c>
    </row>
    <row r="495" spans="1:16" ht="35.25" customHeight="1">
      <c r="A495" s="34" t="s">
        <v>456</v>
      </c>
      <c r="B495" s="6"/>
      <c r="C495" s="6"/>
      <c r="D495" s="7"/>
      <c r="E495" s="7"/>
      <c r="F495" s="7"/>
      <c r="G495" s="7">
        <f>G497</f>
        <v>1000000</v>
      </c>
      <c r="H495" s="7">
        <f>H497</f>
        <v>0</v>
      </c>
      <c r="I495" s="7">
        <f>I497</f>
        <v>0</v>
      </c>
      <c r="J495" s="7">
        <f>J497</f>
        <v>1000000</v>
      </c>
      <c r="K495" s="7"/>
      <c r="L495" s="7"/>
      <c r="M495" s="7"/>
      <c r="N495" s="7">
        <f>N497</f>
        <v>1000000</v>
      </c>
      <c r="O495" s="7"/>
      <c r="P495" s="7">
        <f>N495</f>
        <v>1000000</v>
      </c>
    </row>
    <row r="496" spans="1:16" ht="12.75" customHeight="1">
      <c r="A496" s="5" t="s">
        <v>4</v>
      </c>
      <c r="B496" s="6"/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2.75" customHeight="1">
      <c r="A497" s="5" t="s">
        <v>43</v>
      </c>
      <c r="B497" s="6"/>
      <c r="C497" s="6"/>
      <c r="D497" s="7"/>
      <c r="E497" s="7"/>
      <c r="F497" s="7"/>
      <c r="G497" s="7">
        <v>1000000</v>
      </c>
      <c r="H497" s="7"/>
      <c r="I497" s="7"/>
      <c r="J497" s="7">
        <f>G497+H497</f>
        <v>1000000</v>
      </c>
      <c r="K497" s="7"/>
      <c r="L497" s="7"/>
      <c r="M497" s="7"/>
      <c r="N497" s="7">
        <v>1000000</v>
      </c>
      <c r="O497" s="7"/>
      <c r="P497" s="7">
        <f>N497</f>
        <v>1000000</v>
      </c>
    </row>
    <row r="498" spans="1:235" s="39" customFormat="1" ht="25.5" customHeight="1">
      <c r="A498" s="34" t="s">
        <v>410</v>
      </c>
      <c r="B498" s="35"/>
      <c r="C498" s="35"/>
      <c r="D498" s="36">
        <f>D500</f>
        <v>70000</v>
      </c>
      <c r="E498" s="36"/>
      <c r="F498" s="36">
        <f>D498+E498</f>
        <v>70000</v>
      </c>
      <c r="G498" s="36">
        <f>G502*G504</f>
        <v>0</v>
      </c>
      <c r="H498" s="36"/>
      <c r="I498" s="36"/>
      <c r="J498" s="36">
        <f>G498</f>
        <v>0</v>
      </c>
      <c r="K498" s="36"/>
      <c r="L498" s="36"/>
      <c r="M498" s="36"/>
      <c r="N498" s="36">
        <f>N504*N502</f>
        <v>0</v>
      </c>
      <c r="O498" s="36"/>
      <c r="P498" s="36">
        <f>N498</f>
        <v>0</v>
      </c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  <c r="CL498" s="38"/>
      <c r="CM498" s="38"/>
      <c r="CN498" s="38"/>
      <c r="CO498" s="38"/>
      <c r="CP498" s="38"/>
      <c r="CQ498" s="38"/>
      <c r="CR498" s="38"/>
      <c r="CS498" s="38"/>
      <c r="CT498" s="38"/>
      <c r="CU498" s="38"/>
      <c r="CV498" s="38"/>
      <c r="CW498" s="38"/>
      <c r="CX498" s="38"/>
      <c r="CY498" s="38"/>
      <c r="CZ498" s="38"/>
      <c r="DA498" s="38"/>
      <c r="DB498" s="38"/>
      <c r="DC498" s="38"/>
      <c r="DD498" s="38"/>
      <c r="DE498" s="38"/>
      <c r="DF498" s="38"/>
      <c r="DG498" s="38"/>
      <c r="DH498" s="38"/>
      <c r="DI498" s="38"/>
      <c r="DJ498" s="38"/>
      <c r="DK498" s="38"/>
      <c r="DL498" s="38"/>
      <c r="DM498" s="38"/>
      <c r="DN498" s="38"/>
      <c r="DO498" s="38"/>
      <c r="DP498" s="38"/>
      <c r="DQ498" s="38"/>
      <c r="DR498" s="38"/>
      <c r="DS498" s="38"/>
      <c r="DT498" s="38"/>
      <c r="DU498" s="38"/>
      <c r="DV498" s="38"/>
      <c r="DW498" s="38"/>
      <c r="DX498" s="38"/>
      <c r="DY498" s="38"/>
      <c r="DZ498" s="38"/>
      <c r="EA498" s="38"/>
      <c r="EB498" s="38"/>
      <c r="EC498" s="38"/>
      <c r="ED498" s="38"/>
      <c r="EE498" s="38"/>
      <c r="EF498" s="38"/>
      <c r="EG498" s="38"/>
      <c r="EH498" s="38"/>
      <c r="EI498" s="38"/>
      <c r="EJ498" s="38"/>
      <c r="EK498" s="38"/>
      <c r="EL498" s="38"/>
      <c r="EM498" s="38"/>
      <c r="EN498" s="38"/>
      <c r="EO498" s="38"/>
      <c r="EP498" s="38"/>
      <c r="EQ498" s="38"/>
      <c r="ER498" s="38"/>
      <c r="ES498" s="38"/>
      <c r="ET498" s="38"/>
      <c r="EU498" s="38"/>
      <c r="EV498" s="38"/>
      <c r="EW498" s="38"/>
      <c r="EX498" s="38"/>
      <c r="EY498" s="38"/>
      <c r="EZ498" s="38"/>
      <c r="FA498" s="38"/>
      <c r="FB498" s="38"/>
      <c r="FC498" s="38"/>
      <c r="FD498" s="38"/>
      <c r="FE498" s="38"/>
      <c r="FF498" s="38"/>
      <c r="FG498" s="38"/>
      <c r="FH498" s="38"/>
      <c r="FI498" s="38"/>
      <c r="FJ498" s="38"/>
      <c r="FK498" s="38"/>
      <c r="FL498" s="38"/>
      <c r="FM498" s="38"/>
      <c r="FN498" s="38"/>
      <c r="FO498" s="38"/>
      <c r="FP498" s="38"/>
      <c r="FQ498" s="38"/>
      <c r="FR498" s="38"/>
      <c r="FS498" s="38"/>
      <c r="FT498" s="38"/>
      <c r="FU498" s="38"/>
      <c r="FV498" s="38"/>
      <c r="FW498" s="38"/>
      <c r="FX498" s="38"/>
      <c r="FY498" s="38"/>
      <c r="FZ498" s="38"/>
      <c r="GA498" s="38"/>
      <c r="GB498" s="38"/>
      <c r="GC498" s="38"/>
      <c r="GD498" s="38"/>
      <c r="GE498" s="38"/>
      <c r="GF498" s="38"/>
      <c r="GG498" s="38"/>
      <c r="GH498" s="38"/>
      <c r="GI498" s="38"/>
      <c r="GJ498" s="38"/>
      <c r="GK498" s="38"/>
      <c r="GL498" s="38"/>
      <c r="GM498" s="38"/>
      <c r="GN498" s="38"/>
      <c r="GO498" s="38"/>
      <c r="GP498" s="38"/>
      <c r="GQ498" s="38"/>
      <c r="GR498" s="38"/>
      <c r="GS498" s="38"/>
      <c r="GT498" s="38"/>
      <c r="GU498" s="38"/>
      <c r="GV498" s="38"/>
      <c r="GW498" s="38"/>
      <c r="GX498" s="38"/>
      <c r="GY498" s="38"/>
      <c r="GZ498" s="38"/>
      <c r="HA498" s="38"/>
      <c r="HB498" s="38"/>
      <c r="HC498" s="38"/>
      <c r="HD498" s="38"/>
      <c r="HE498" s="38"/>
      <c r="HF498" s="38"/>
      <c r="HG498" s="38"/>
      <c r="HH498" s="38"/>
      <c r="HI498" s="38"/>
      <c r="HJ498" s="38"/>
      <c r="HK498" s="38"/>
      <c r="HL498" s="38"/>
      <c r="HM498" s="38"/>
      <c r="HN498" s="38"/>
      <c r="HO498" s="38"/>
      <c r="HP498" s="38"/>
      <c r="HQ498" s="38"/>
      <c r="HR498" s="38"/>
      <c r="HS498" s="38"/>
      <c r="HT498" s="38"/>
      <c r="HU498" s="38"/>
      <c r="HV498" s="38"/>
      <c r="HW498" s="38"/>
      <c r="HX498" s="38"/>
      <c r="HY498" s="38"/>
      <c r="HZ498" s="38"/>
      <c r="IA498" s="38"/>
    </row>
    <row r="499" spans="1:16" ht="11.25">
      <c r="A499" s="5" t="s">
        <v>4</v>
      </c>
      <c r="B499" s="6"/>
      <c r="C499" s="6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</row>
    <row r="500" spans="1:16" ht="14.25" customHeight="1">
      <c r="A500" s="8" t="s">
        <v>43</v>
      </c>
      <c r="B500" s="6"/>
      <c r="C500" s="6"/>
      <c r="D500" s="7">
        <f>D502*D504</f>
        <v>70000</v>
      </c>
      <c r="E500" s="7"/>
      <c r="F500" s="7">
        <f>D500+E500</f>
        <v>70000</v>
      </c>
      <c r="G500" s="7"/>
      <c r="H500" s="7"/>
      <c r="I500" s="7"/>
      <c r="J500" s="7">
        <f>G500</f>
        <v>0</v>
      </c>
      <c r="K500" s="7"/>
      <c r="L500" s="7"/>
      <c r="M500" s="7"/>
      <c r="N500" s="7"/>
      <c r="O500" s="7"/>
      <c r="P500" s="7">
        <f>N500</f>
        <v>0</v>
      </c>
    </row>
    <row r="501" spans="1:16" ht="11.25">
      <c r="A501" s="5" t="s">
        <v>5</v>
      </c>
      <c r="B501" s="6"/>
      <c r="C501" s="6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</row>
    <row r="502" spans="1:16" ht="23.25" customHeight="1">
      <c r="A502" s="8" t="s">
        <v>133</v>
      </c>
      <c r="B502" s="6"/>
      <c r="C502" s="6"/>
      <c r="D502" s="7">
        <v>2</v>
      </c>
      <c r="E502" s="7"/>
      <c r="F502" s="7">
        <f>D502+E502</f>
        <v>2</v>
      </c>
      <c r="G502" s="7"/>
      <c r="H502" s="7"/>
      <c r="I502" s="7"/>
      <c r="J502" s="7">
        <v>0</v>
      </c>
      <c r="K502" s="7"/>
      <c r="L502" s="7"/>
      <c r="M502" s="7"/>
      <c r="N502" s="7"/>
      <c r="O502" s="7"/>
      <c r="P502" s="7">
        <v>0</v>
      </c>
    </row>
    <row r="503" spans="1:16" ht="11.25">
      <c r="A503" s="5" t="s">
        <v>7</v>
      </c>
      <c r="B503" s="6"/>
      <c r="C503" s="6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</row>
    <row r="504" spans="1:16" ht="24.75" customHeight="1">
      <c r="A504" s="8" t="s">
        <v>134</v>
      </c>
      <c r="B504" s="6"/>
      <c r="C504" s="6"/>
      <c r="D504" s="7">
        <v>35000</v>
      </c>
      <c r="E504" s="7"/>
      <c r="F504" s="7">
        <f>D504+E504</f>
        <v>35000</v>
      </c>
      <c r="G504" s="7"/>
      <c r="H504" s="7"/>
      <c r="I504" s="7"/>
      <c r="J504" s="7">
        <f>G504</f>
        <v>0</v>
      </c>
      <c r="K504" s="7"/>
      <c r="L504" s="7"/>
      <c r="M504" s="7"/>
      <c r="N504" s="7"/>
      <c r="O504" s="7"/>
      <c r="P504" s="7">
        <v>0</v>
      </c>
    </row>
    <row r="505" spans="1:235" s="39" customFormat="1" ht="15" customHeight="1">
      <c r="A505" s="34" t="s">
        <v>411</v>
      </c>
      <c r="B505" s="35"/>
      <c r="C505" s="35"/>
      <c r="D505" s="36">
        <f>D507</f>
        <v>150399.999999935</v>
      </c>
      <c r="E505" s="36"/>
      <c r="F505" s="36">
        <f>D505</f>
        <v>150399.999999935</v>
      </c>
      <c r="G505" s="36">
        <f>G507</f>
        <v>200000.4</v>
      </c>
      <c r="H505" s="36"/>
      <c r="I505" s="36"/>
      <c r="J505" s="30">
        <f aca="true" t="shared" si="58" ref="J505:J513">G505</f>
        <v>200000.4</v>
      </c>
      <c r="K505" s="36"/>
      <c r="L505" s="36"/>
      <c r="M505" s="36"/>
      <c r="N505" s="36"/>
      <c r="O505" s="36"/>
      <c r="P505" s="36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8"/>
      <c r="BU505" s="38"/>
      <c r="BV505" s="38"/>
      <c r="BW505" s="38"/>
      <c r="BX505" s="38"/>
      <c r="BY505" s="38"/>
      <c r="BZ505" s="38"/>
      <c r="CA505" s="38"/>
      <c r="CB505" s="38"/>
      <c r="CC505" s="38"/>
      <c r="CD505" s="38"/>
      <c r="CE505" s="38"/>
      <c r="CF505" s="38"/>
      <c r="CG505" s="38"/>
      <c r="CH505" s="38"/>
      <c r="CI505" s="38"/>
      <c r="CJ505" s="38"/>
      <c r="CK505" s="38"/>
      <c r="CL505" s="38"/>
      <c r="CM505" s="38"/>
      <c r="CN505" s="38"/>
      <c r="CO505" s="38"/>
      <c r="CP505" s="38"/>
      <c r="CQ505" s="38"/>
      <c r="CR505" s="38"/>
      <c r="CS505" s="38"/>
      <c r="CT505" s="38"/>
      <c r="CU505" s="38"/>
      <c r="CV505" s="38"/>
      <c r="CW505" s="38"/>
      <c r="CX505" s="38"/>
      <c r="CY505" s="38"/>
      <c r="CZ505" s="38"/>
      <c r="DA505" s="38"/>
      <c r="DB505" s="38"/>
      <c r="DC505" s="38"/>
      <c r="DD505" s="38"/>
      <c r="DE505" s="38"/>
      <c r="DF505" s="38"/>
      <c r="DG505" s="38"/>
      <c r="DH505" s="38"/>
      <c r="DI505" s="38"/>
      <c r="DJ505" s="38"/>
      <c r="DK505" s="38"/>
      <c r="DL505" s="38"/>
      <c r="DM505" s="38"/>
      <c r="DN505" s="38"/>
      <c r="DO505" s="38"/>
      <c r="DP505" s="38"/>
      <c r="DQ505" s="38"/>
      <c r="DR505" s="38"/>
      <c r="DS505" s="38"/>
      <c r="DT505" s="38"/>
      <c r="DU505" s="38"/>
      <c r="DV505" s="38"/>
      <c r="DW505" s="38"/>
      <c r="DX505" s="38"/>
      <c r="DY505" s="38"/>
      <c r="DZ505" s="38"/>
      <c r="EA505" s="38"/>
      <c r="EB505" s="38"/>
      <c r="EC505" s="38"/>
      <c r="ED505" s="38"/>
      <c r="EE505" s="38"/>
      <c r="EF505" s="38"/>
      <c r="EG505" s="38"/>
      <c r="EH505" s="38"/>
      <c r="EI505" s="38"/>
      <c r="EJ505" s="38"/>
      <c r="EK505" s="38"/>
      <c r="EL505" s="38"/>
      <c r="EM505" s="38"/>
      <c r="EN505" s="38"/>
      <c r="EO505" s="38"/>
      <c r="EP505" s="38"/>
      <c r="EQ505" s="38"/>
      <c r="ER505" s="38"/>
      <c r="ES505" s="38"/>
      <c r="ET505" s="38"/>
      <c r="EU505" s="38"/>
      <c r="EV505" s="38"/>
      <c r="EW505" s="38"/>
      <c r="EX505" s="38"/>
      <c r="EY505" s="38"/>
      <c r="EZ505" s="38"/>
      <c r="FA505" s="38"/>
      <c r="FB505" s="38"/>
      <c r="FC505" s="38"/>
      <c r="FD505" s="38"/>
      <c r="FE505" s="38"/>
      <c r="FF505" s="38"/>
      <c r="FG505" s="38"/>
      <c r="FH505" s="38"/>
      <c r="FI505" s="38"/>
      <c r="FJ505" s="38"/>
      <c r="FK505" s="38"/>
      <c r="FL505" s="38"/>
      <c r="FM505" s="38"/>
      <c r="FN505" s="38"/>
      <c r="FO505" s="38"/>
      <c r="FP505" s="38"/>
      <c r="FQ505" s="38"/>
      <c r="FR505" s="38"/>
      <c r="FS505" s="38"/>
      <c r="FT505" s="38"/>
      <c r="FU505" s="38"/>
      <c r="FV505" s="38"/>
      <c r="FW505" s="38"/>
      <c r="FX505" s="38"/>
      <c r="FY505" s="38"/>
      <c r="FZ505" s="38"/>
      <c r="GA505" s="38"/>
      <c r="GB505" s="38"/>
      <c r="GC505" s="38"/>
      <c r="GD505" s="38"/>
      <c r="GE505" s="38"/>
      <c r="GF505" s="38"/>
      <c r="GG505" s="38"/>
      <c r="GH505" s="38"/>
      <c r="GI505" s="38"/>
      <c r="GJ505" s="38"/>
      <c r="GK505" s="38"/>
      <c r="GL505" s="38"/>
      <c r="GM505" s="38"/>
      <c r="GN505" s="38"/>
      <c r="GO505" s="38"/>
      <c r="GP505" s="38"/>
      <c r="GQ505" s="38"/>
      <c r="GR505" s="38"/>
      <c r="GS505" s="38"/>
      <c r="GT505" s="38"/>
      <c r="GU505" s="38"/>
      <c r="GV505" s="38"/>
      <c r="GW505" s="38"/>
      <c r="GX505" s="38"/>
      <c r="GY505" s="38"/>
      <c r="GZ505" s="38"/>
      <c r="HA505" s="38"/>
      <c r="HB505" s="38"/>
      <c r="HC505" s="38"/>
      <c r="HD505" s="38"/>
      <c r="HE505" s="38"/>
      <c r="HF505" s="38"/>
      <c r="HG505" s="38"/>
      <c r="HH505" s="38"/>
      <c r="HI505" s="38"/>
      <c r="HJ505" s="38"/>
      <c r="HK505" s="38"/>
      <c r="HL505" s="38"/>
      <c r="HM505" s="38"/>
      <c r="HN505" s="38"/>
      <c r="HO505" s="38"/>
      <c r="HP505" s="38"/>
      <c r="HQ505" s="38"/>
      <c r="HR505" s="38"/>
      <c r="HS505" s="38"/>
      <c r="HT505" s="38"/>
      <c r="HU505" s="38"/>
      <c r="HV505" s="38"/>
      <c r="HW505" s="38"/>
      <c r="HX505" s="38"/>
      <c r="HY505" s="38"/>
      <c r="HZ505" s="38"/>
      <c r="IA505" s="38"/>
    </row>
    <row r="506" spans="1:16" ht="12" customHeight="1">
      <c r="A506" s="5" t="s">
        <v>4</v>
      </c>
      <c r="B506" s="6"/>
      <c r="C506" s="6"/>
      <c r="D506" s="7"/>
      <c r="E506" s="7"/>
      <c r="F506" s="7"/>
      <c r="G506" s="7"/>
      <c r="H506" s="7"/>
      <c r="I506" s="7"/>
      <c r="J506" s="7">
        <f t="shared" si="58"/>
        <v>0</v>
      </c>
      <c r="K506" s="7"/>
      <c r="L506" s="7"/>
      <c r="M506" s="7"/>
      <c r="N506" s="7"/>
      <c r="O506" s="7"/>
      <c r="P506" s="7"/>
    </row>
    <row r="507" spans="1:16" ht="12" customHeight="1">
      <c r="A507" s="8" t="s">
        <v>43</v>
      </c>
      <c r="B507" s="6"/>
      <c r="C507" s="6"/>
      <c r="D507" s="7">
        <f>(D509*D512)+(D510*D513)</f>
        <v>150399.999999935</v>
      </c>
      <c r="E507" s="7"/>
      <c r="F507" s="7">
        <f>D507</f>
        <v>150399.999999935</v>
      </c>
      <c r="G507" s="7">
        <f>(G509*G512)+(G510*G513)</f>
        <v>200000.4</v>
      </c>
      <c r="H507" s="7"/>
      <c r="I507" s="7"/>
      <c r="J507" s="7">
        <f t="shared" si="58"/>
        <v>200000.4</v>
      </c>
      <c r="K507" s="7"/>
      <c r="L507" s="7"/>
      <c r="M507" s="7"/>
      <c r="N507" s="7"/>
      <c r="O507" s="7"/>
      <c r="P507" s="7"/>
    </row>
    <row r="508" spans="1:16" ht="12" customHeight="1">
      <c r="A508" s="5" t="s">
        <v>5</v>
      </c>
      <c r="B508" s="6"/>
      <c r="C508" s="6"/>
      <c r="D508" s="7"/>
      <c r="E508" s="7"/>
      <c r="F508" s="7"/>
      <c r="G508" s="7"/>
      <c r="H508" s="7"/>
      <c r="I508" s="7"/>
      <c r="J508" s="7">
        <f t="shared" si="58"/>
        <v>0</v>
      </c>
      <c r="K508" s="7"/>
      <c r="L508" s="7"/>
      <c r="M508" s="7"/>
      <c r="N508" s="7"/>
      <c r="O508" s="7"/>
      <c r="P508" s="7"/>
    </row>
    <row r="509" spans="1:16" ht="24.75" customHeight="1">
      <c r="A509" s="8" t="s">
        <v>155</v>
      </c>
      <c r="B509" s="6"/>
      <c r="C509" s="6"/>
      <c r="D509" s="7">
        <v>57</v>
      </c>
      <c r="E509" s="7"/>
      <c r="F509" s="7">
        <v>57</v>
      </c>
      <c r="G509" s="7">
        <v>57</v>
      </c>
      <c r="H509" s="7"/>
      <c r="I509" s="7"/>
      <c r="J509" s="7">
        <f t="shared" si="58"/>
        <v>57</v>
      </c>
      <c r="K509" s="7"/>
      <c r="L509" s="7"/>
      <c r="M509" s="7"/>
      <c r="N509" s="7"/>
      <c r="O509" s="7"/>
      <c r="P509" s="7"/>
    </row>
    <row r="510" spans="1:16" ht="15.75" customHeight="1">
      <c r="A510" s="8" t="s">
        <v>153</v>
      </c>
      <c r="B510" s="6"/>
      <c r="C510" s="6"/>
      <c r="D510" s="7">
        <v>145</v>
      </c>
      <c r="E510" s="7"/>
      <c r="F510" s="7">
        <f>D510</f>
        <v>145</v>
      </c>
      <c r="G510" s="7">
        <v>145</v>
      </c>
      <c r="H510" s="7"/>
      <c r="I510" s="7"/>
      <c r="J510" s="7">
        <f t="shared" si="58"/>
        <v>145</v>
      </c>
      <c r="K510" s="7"/>
      <c r="L510" s="7"/>
      <c r="M510" s="7"/>
      <c r="N510" s="7"/>
      <c r="O510" s="7"/>
      <c r="P510" s="7"/>
    </row>
    <row r="511" spans="1:16" ht="12.75" customHeight="1">
      <c r="A511" s="5" t="s">
        <v>7</v>
      </c>
      <c r="B511" s="6"/>
      <c r="C511" s="6"/>
      <c r="D511" s="7"/>
      <c r="E511" s="7"/>
      <c r="F511" s="7"/>
      <c r="G511" s="7"/>
      <c r="H511" s="7"/>
      <c r="I511" s="7"/>
      <c r="J511" s="7">
        <f t="shared" si="58"/>
        <v>0</v>
      </c>
      <c r="K511" s="7"/>
      <c r="L511" s="7"/>
      <c r="M511" s="7"/>
      <c r="N511" s="7"/>
      <c r="O511" s="7"/>
      <c r="P511" s="7"/>
    </row>
    <row r="512" spans="1:16" ht="24.75" customHeight="1">
      <c r="A512" s="8" t="s">
        <v>154</v>
      </c>
      <c r="B512" s="6"/>
      <c r="C512" s="6"/>
      <c r="D512" s="7">
        <v>1950.89</v>
      </c>
      <c r="E512" s="7"/>
      <c r="F512" s="7">
        <f>D512</f>
        <v>1950.89</v>
      </c>
      <c r="G512" s="7">
        <v>2596.5</v>
      </c>
      <c r="H512" s="7"/>
      <c r="I512" s="7"/>
      <c r="J512" s="7">
        <f t="shared" si="58"/>
        <v>2596.5</v>
      </c>
      <c r="K512" s="7"/>
      <c r="L512" s="7"/>
      <c r="M512" s="7"/>
      <c r="N512" s="7"/>
      <c r="O512" s="7"/>
      <c r="P512" s="7"/>
    </row>
    <row r="513" spans="1:16" ht="24.75" customHeight="1">
      <c r="A513" s="8" t="s">
        <v>156</v>
      </c>
      <c r="B513" s="6"/>
      <c r="C513" s="6"/>
      <c r="D513" s="7">
        <v>270.339793103</v>
      </c>
      <c r="E513" s="7"/>
      <c r="F513" s="7">
        <f>D513</f>
        <v>270.339793103</v>
      </c>
      <c r="G513" s="7">
        <v>358.62</v>
      </c>
      <c r="H513" s="7"/>
      <c r="I513" s="7"/>
      <c r="J513" s="7">
        <f t="shared" si="58"/>
        <v>358.62</v>
      </c>
      <c r="K513" s="7"/>
      <c r="L513" s="7"/>
      <c r="M513" s="7"/>
      <c r="N513" s="7"/>
      <c r="O513" s="7"/>
      <c r="P513" s="7"/>
    </row>
    <row r="514" spans="1:235" s="39" customFormat="1" ht="25.5" customHeight="1">
      <c r="A514" s="34" t="s">
        <v>412</v>
      </c>
      <c r="B514" s="35"/>
      <c r="C514" s="35"/>
      <c r="D514" s="36">
        <f>D516</f>
        <v>399999.99999963003</v>
      </c>
      <c r="E514" s="36"/>
      <c r="F514" s="36">
        <f>D514</f>
        <v>399999.99999963003</v>
      </c>
      <c r="G514" s="36">
        <f>G516</f>
        <v>450000</v>
      </c>
      <c r="H514" s="36"/>
      <c r="I514" s="36"/>
      <c r="J514" s="36">
        <f>G514+H514</f>
        <v>450000</v>
      </c>
      <c r="K514" s="36"/>
      <c r="L514" s="36"/>
      <c r="M514" s="36"/>
      <c r="N514" s="36">
        <f>N516</f>
        <v>500000.00204999995</v>
      </c>
      <c r="O514" s="36"/>
      <c r="P514" s="36">
        <f>N514</f>
        <v>500000.00204999995</v>
      </c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38"/>
      <c r="CD514" s="38"/>
      <c r="CE514" s="38"/>
      <c r="CF514" s="38"/>
      <c r="CG514" s="38"/>
      <c r="CH514" s="38"/>
      <c r="CI514" s="38"/>
      <c r="CJ514" s="38"/>
      <c r="CK514" s="38"/>
      <c r="CL514" s="38"/>
      <c r="CM514" s="38"/>
      <c r="CN514" s="38"/>
      <c r="CO514" s="38"/>
      <c r="CP514" s="38"/>
      <c r="CQ514" s="38"/>
      <c r="CR514" s="38"/>
      <c r="CS514" s="38"/>
      <c r="CT514" s="38"/>
      <c r="CU514" s="38"/>
      <c r="CV514" s="38"/>
      <c r="CW514" s="38"/>
      <c r="CX514" s="38"/>
      <c r="CY514" s="38"/>
      <c r="CZ514" s="38"/>
      <c r="DA514" s="38"/>
      <c r="DB514" s="38"/>
      <c r="DC514" s="38"/>
      <c r="DD514" s="38"/>
      <c r="DE514" s="38"/>
      <c r="DF514" s="38"/>
      <c r="DG514" s="38"/>
      <c r="DH514" s="38"/>
      <c r="DI514" s="38"/>
      <c r="DJ514" s="38"/>
      <c r="DK514" s="38"/>
      <c r="DL514" s="38"/>
      <c r="DM514" s="38"/>
      <c r="DN514" s="38"/>
      <c r="DO514" s="38"/>
      <c r="DP514" s="38"/>
      <c r="DQ514" s="38"/>
      <c r="DR514" s="38"/>
      <c r="DS514" s="38"/>
      <c r="DT514" s="38"/>
      <c r="DU514" s="38"/>
      <c r="DV514" s="38"/>
      <c r="DW514" s="38"/>
      <c r="DX514" s="38"/>
      <c r="DY514" s="38"/>
      <c r="DZ514" s="38"/>
      <c r="EA514" s="38"/>
      <c r="EB514" s="38"/>
      <c r="EC514" s="38"/>
      <c r="ED514" s="38"/>
      <c r="EE514" s="38"/>
      <c r="EF514" s="38"/>
      <c r="EG514" s="38"/>
      <c r="EH514" s="38"/>
      <c r="EI514" s="38"/>
      <c r="EJ514" s="38"/>
      <c r="EK514" s="38"/>
      <c r="EL514" s="38"/>
      <c r="EM514" s="38"/>
      <c r="EN514" s="38"/>
      <c r="EO514" s="38"/>
      <c r="EP514" s="38"/>
      <c r="EQ514" s="38"/>
      <c r="ER514" s="38"/>
      <c r="ES514" s="38"/>
      <c r="ET514" s="38"/>
      <c r="EU514" s="38"/>
      <c r="EV514" s="38"/>
      <c r="EW514" s="38"/>
      <c r="EX514" s="38"/>
      <c r="EY514" s="38"/>
      <c r="EZ514" s="38"/>
      <c r="FA514" s="38"/>
      <c r="FB514" s="38"/>
      <c r="FC514" s="38"/>
      <c r="FD514" s="38"/>
      <c r="FE514" s="38"/>
      <c r="FF514" s="38"/>
      <c r="FG514" s="38"/>
      <c r="FH514" s="38"/>
      <c r="FI514" s="38"/>
      <c r="FJ514" s="38"/>
      <c r="FK514" s="38"/>
      <c r="FL514" s="38"/>
      <c r="FM514" s="38"/>
      <c r="FN514" s="38"/>
      <c r="FO514" s="38"/>
      <c r="FP514" s="38"/>
      <c r="FQ514" s="38"/>
      <c r="FR514" s="38"/>
      <c r="FS514" s="38"/>
      <c r="FT514" s="38"/>
      <c r="FU514" s="38"/>
      <c r="FV514" s="38"/>
      <c r="FW514" s="38"/>
      <c r="FX514" s="38"/>
      <c r="FY514" s="38"/>
      <c r="FZ514" s="38"/>
      <c r="GA514" s="38"/>
      <c r="GB514" s="38"/>
      <c r="GC514" s="38"/>
      <c r="GD514" s="38"/>
      <c r="GE514" s="38"/>
      <c r="GF514" s="38"/>
      <c r="GG514" s="38"/>
      <c r="GH514" s="38"/>
      <c r="GI514" s="38"/>
      <c r="GJ514" s="38"/>
      <c r="GK514" s="38"/>
      <c r="GL514" s="38"/>
      <c r="GM514" s="38"/>
      <c r="GN514" s="38"/>
      <c r="GO514" s="38"/>
      <c r="GP514" s="38"/>
      <c r="GQ514" s="38"/>
      <c r="GR514" s="38"/>
      <c r="GS514" s="38"/>
      <c r="GT514" s="38"/>
      <c r="GU514" s="38"/>
      <c r="GV514" s="38"/>
      <c r="GW514" s="38"/>
      <c r="GX514" s="38"/>
      <c r="GY514" s="38"/>
      <c r="GZ514" s="38"/>
      <c r="HA514" s="38"/>
      <c r="HB514" s="38"/>
      <c r="HC514" s="38"/>
      <c r="HD514" s="38"/>
      <c r="HE514" s="38"/>
      <c r="HF514" s="38"/>
      <c r="HG514" s="38"/>
      <c r="HH514" s="38"/>
      <c r="HI514" s="38"/>
      <c r="HJ514" s="38"/>
      <c r="HK514" s="38"/>
      <c r="HL514" s="38"/>
      <c r="HM514" s="38"/>
      <c r="HN514" s="38"/>
      <c r="HO514" s="38"/>
      <c r="HP514" s="38"/>
      <c r="HQ514" s="38"/>
      <c r="HR514" s="38"/>
      <c r="HS514" s="38"/>
      <c r="HT514" s="38"/>
      <c r="HU514" s="38"/>
      <c r="HV514" s="38"/>
      <c r="HW514" s="38"/>
      <c r="HX514" s="38"/>
      <c r="HY514" s="38"/>
      <c r="HZ514" s="38"/>
      <c r="IA514" s="38"/>
    </row>
    <row r="515" spans="1:16" ht="11.25" customHeight="1">
      <c r="A515" s="5" t="s">
        <v>4</v>
      </c>
      <c r="B515" s="6"/>
      <c r="C515" s="6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36"/>
    </row>
    <row r="516" spans="1:16" ht="14.25" customHeight="1">
      <c r="A516" s="8" t="s">
        <v>43</v>
      </c>
      <c r="B516" s="6"/>
      <c r="C516" s="6"/>
      <c r="D516" s="7">
        <f>D518*D520</f>
        <v>399999.99999963003</v>
      </c>
      <c r="E516" s="7"/>
      <c r="F516" s="7">
        <f>D516+E516</f>
        <v>399999.99999963003</v>
      </c>
      <c r="G516" s="7">
        <f>G518*G520</f>
        <v>450000</v>
      </c>
      <c r="H516" s="7"/>
      <c r="I516" s="7"/>
      <c r="J516" s="7">
        <f>G516+H516</f>
        <v>450000</v>
      </c>
      <c r="K516" s="7"/>
      <c r="L516" s="7"/>
      <c r="M516" s="7"/>
      <c r="N516" s="7">
        <f>N518*N520</f>
        <v>500000.00204999995</v>
      </c>
      <c r="O516" s="7"/>
      <c r="P516" s="36">
        <f>N516</f>
        <v>500000.00204999995</v>
      </c>
    </row>
    <row r="517" spans="1:16" ht="10.5" customHeight="1">
      <c r="A517" s="5" t="s">
        <v>5</v>
      </c>
      <c r="B517" s="6"/>
      <c r="C517" s="6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36"/>
    </row>
    <row r="518" spans="1:16" ht="24.75" customHeight="1">
      <c r="A518" s="8" t="s">
        <v>161</v>
      </c>
      <c r="B518" s="6"/>
      <c r="C518" s="6"/>
      <c r="D518" s="7">
        <v>307</v>
      </c>
      <c r="E518" s="7"/>
      <c r="F518" s="7">
        <f>D518</f>
        <v>307</v>
      </c>
      <c r="G518" s="7">
        <v>300</v>
      </c>
      <c r="H518" s="7"/>
      <c r="I518" s="7"/>
      <c r="J518" s="7">
        <f>G518+H518</f>
        <v>300</v>
      </c>
      <c r="K518" s="7"/>
      <c r="L518" s="7"/>
      <c r="M518" s="7"/>
      <c r="N518" s="7">
        <v>213</v>
      </c>
      <c r="O518" s="7"/>
      <c r="P518" s="36">
        <f>N518</f>
        <v>213</v>
      </c>
    </row>
    <row r="519" spans="1:16" ht="11.25">
      <c r="A519" s="5" t="s">
        <v>7</v>
      </c>
      <c r="B519" s="6"/>
      <c r="C519" s="6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36"/>
    </row>
    <row r="520" spans="1:16" ht="24.75" customHeight="1">
      <c r="A520" s="8" t="s">
        <v>162</v>
      </c>
      <c r="B520" s="6"/>
      <c r="C520" s="6"/>
      <c r="D520" s="7">
        <v>1302.93159609</v>
      </c>
      <c r="E520" s="7"/>
      <c r="F520" s="7">
        <f>D520</f>
        <v>1302.93159609</v>
      </c>
      <c r="G520" s="7">
        <f>450000/300</f>
        <v>1500</v>
      </c>
      <c r="H520" s="7"/>
      <c r="I520" s="7"/>
      <c r="J520" s="7">
        <f>G520+H520</f>
        <v>1500</v>
      </c>
      <c r="K520" s="7"/>
      <c r="L520" s="7"/>
      <c r="M520" s="7"/>
      <c r="N520" s="7">
        <v>2347.41785</v>
      </c>
      <c r="O520" s="7"/>
      <c r="P520" s="36">
        <f>N520</f>
        <v>2347.41785</v>
      </c>
    </row>
    <row r="521" spans="1:235" s="39" customFormat="1" ht="36.75" customHeight="1">
      <c r="A521" s="34" t="s">
        <v>413</v>
      </c>
      <c r="B521" s="35"/>
      <c r="C521" s="35"/>
      <c r="D521" s="36">
        <f>700000+35000+10000</f>
        <v>745000</v>
      </c>
      <c r="E521" s="36">
        <f>E523</f>
        <v>1000000</v>
      </c>
      <c r="F521" s="36">
        <f>D521+E521</f>
        <v>1745000</v>
      </c>
      <c r="G521" s="36">
        <v>200000</v>
      </c>
      <c r="H521" s="36">
        <f>1300000+50000</f>
        <v>1350000</v>
      </c>
      <c r="I521" s="36"/>
      <c r="J521" s="36">
        <f>G521+H521</f>
        <v>1550000</v>
      </c>
      <c r="K521" s="36"/>
      <c r="L521" s="36"/>
      <c r="M521" s="36"/>
      <c r="N521" s="36">
        <f>N526*N529</f>
        <v>400000</v>
      </c>
      <c r="O521" s="36">
        <f>O526*O529</f>
        <v>1600000</v>
      </c>
      <c r="P521" s="36">
        <f>O521+N521</f>
        <v>2000000</v>
      </c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8"/>
      <c r="BS521" s="38"/>
      <c r="BT521" s="38"/>
      <c r="BU521" s="38"/>
      <c r="BV521" s="38"/>
      <c r="BW521" s="38"/>
      <c r="BX521" s="38"/>
      <c r="BY521" s="38"/>
      <c r="BZ521" s="38"/>
      <c r="CA521" s="38"/>
      <c r="CB521" s="38"/>
      <c r="CC521" s="38"/>
      <c r="CD521" s="38"/>
      <c r="CE521" s="38"/>
      <c r="CF521" s="38"/>
      <c r="CG521" s="38"/>
      <c r="CH521" s="38"/>
      <c r="CI521" s="38"/>
      <c r="CJ521" s="38"/>
      <c r="CK521" s="38"/>
      <c r="CL521" s="38"/>
      <c r="CM521" s="38"/>
      <c r="CN521" s="38"/>
      <c r="CO521" s="38"/>
      <c r="CP521" s="38"/>
      <c r="CQ521" s="38"/>
      <c r="CR521" s="38"/>
      <c r="CS521" s="38"/>
      <c r="CT521" s="38"/>
      <c r="CU521" s="38"/>
      <c r="CV521" s="38"/>
      <c r="CW521" s="38"/>
      <c r="CX521" s="38"/>
      <c r="CY521" s="38"/>
      <c r="CZ521" s="38"/>
      <c r="DA521" s="38"/>
      <c r="DB521" s="38"/>
      <c r="DC521" s="38"/>
      <c r="DD521" s="38"/>
      <c r="DE521" s="38"/>
      <c r="DF521" s="38"/>
      <c r="DG521" s="38"/>
      <c r="DH521" s="38"/>
      <c r="DI521" s="38"/>
      <c r="DJ521" s="38"/>
      <c r="DK521" s="38"/>
      <c r="DL521" s="38"/>
      <c r="DM521" s="38"/>
      <c r="DN521" s="38"/>
      <c r="DO521" s="38"/>
      <c r="DP521" s="38"/>
      <c r="DQ521" s="38"/>
      <c r="DR521" s="38"/>
      <c r="DS521" s="38"/>
      <c r="DT521" s="38"/>
      <c r="DU521" s="38"/>
      <c r="DV521" s="38"/>
      <c r="DW521" s="38"/>
      <c r="DX521" s="38"/>
      <c r="DY521" s="38"/>
      <c r="DZ521" s="38"/>
      <c r="EA521" s="38"/>
      <c r="EB521" s="38"/>
      <c r="EC521" s="38"/>
      <c r="ED521" s="38"/>
      <c r="EE521" s="38"/>
      <c r="EF521" s="38"/>
      <c r="EG521" s="38"/>
      <c r="EH521" s="38"/>
      <c r="EI521" s="38"/>
      <c r="EJ521" s="38"/>
      <c r="EK521" s="38"/>
      <c r="EL521" s="38"/>
      <c r="EM521" s="38"/>
      <c r="EN521" s="38"/>
      <c r="EO521" s="38"/>
      <c r="EP521" s="38"/>
      <c r="EQ521" s="38"/>
      <c r="ER521" s="38"/>
      <c r="ES521" s="38"/>
      <c r="ET521" s="38"/>
      <c r="EU521" s="38"/>
      <c r="EV521" s="38"/>
      <c r="EW521" s="38"/>
      <c r="EX521" s="38"/>
      <c r="EY521" s="38"/>
      <c r="EZ521" s="38"/>
      <c r="FA521" s="38"/>
      <c r="FB521" s="38"/>
      <c r="FC521" s="38"/>
      <c r="FD521" s="38"/>
      <c r="FE521" s="38"/>
      <c r="FF521" s="38"/>
      <c r="FG521" s="38"/>
      <c r="FH521" s="38"/>
      <c r="FI521" s="38"/>
      <c r="FJ521" s="38"/>
      <c r="FK521" s="38"/>
      <c r="FL521" s="38"/>
      <c r="FM521" s="38"/>
      <c r="FN521" s="38"/>
      <c r="FO521" s="38"/>
      <c r="FP521" s="38"/>
      <c r="FQ521" s="38"/>
      <c r="FR521" s="38"/>
      <c r="FS521" s="38"/>
      <c r="FT521" s="38"/>
      <c r="FU521" s="38"/>
      <c r="FV521" s="38"/>
      <c r="FW521" s="38"/>
      <c r="FX521" s="38"/>
      <c r="FY521" s="38"/>
      <c r="FZ521" s="38"/>
      <c r="GA521" s="38"/>
      <c r="GB521" s="38"/>
      <c r="GC521" s="38"/>
      <c r="GD521" s="38"/>
      <c r="GE521" s="38"/>
      <c r="GF521" s="38"/>
      <c r="GG521" s="38"/>
      <c r="GH521" s="38"/>
      <c r="GI521" s="38"/>
      <c r="GJ521" s="38"/>
      <c r="GK521" s="38"/>
      <c r="GL521" s="38"/>
      <c r="GM521" s="38"/>
      <c r="GN521" s="38"/>
      <c r="GO521" s="38"/>
      <c r="GP521" s="38"/>
      <c r="GQ521" s="38"/>
      <c r="GR521" s="38"/>
      <c r="GS521" s="38"/>
      <c r="GT521" s="38"/>
      <c r="GU521" s="38"/>
      <c r="GV521" s="38"/>
      <c r="GW521" s="38"/>
      <c r="GX521" s="38"/>
      <c r="GY521" s="38"/>
      <c r="GZ521" s="38"/>
      <c r="HA521" s="38"/>
      <c r="HB521" s="38"/>
      <c r="HC521" s="38"/>
      <c r="HD521" s="38"/>
      <c r="HE521" s="38"/>
      <c r="HF521" s="38"/>
      <c r="HG521" s="38"/>
      <c r="HH521" s="38"/>
      <c r="HI521" s="38"/>
      <c r="HJ521" s="38"/>
      <c r="HK521" s="38"/>
      <c r="HL521" s="38"/>
      <c r="HM521" s="38"/>
      <c r="HN521" s="38"/>
      <c r="HO521" s="38"/>
      <c r="HP521" s="38"/>
      <c r="HQ521" s="38"/>
      <c r="HR521" s="38"/>
      <c r="HS521" s="38"/>
      <c r="HT521" s="38"/>
      <c r="HU521" s="38"/>
      <c r="HV521" s="38"/>
      <c r="HW521" s="38"/>
      <c r="HX521" s="38"/>
      <c r="HY521" s="38"/>
      <c r="HZ521" s="38"/>
      <c r="IA521" s="38"/>
    </row>
    <row r="522" spans="1:16" ht="11.25">
      <c r="A522" s="5" t="s">
        <v>4</v>
      </c>
      <c r="B522" s="6"/>
      <c r="C522" s="6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36"/>
    </row>
    <row r="523" spans="1:16" ht="22.5">
      <c r="A523" s="8" t="s">
        <v>348</v>
      </c>
      <c r="B523" s="6"/>
      <c r="C523" s="6"/>
      <c r="D523" s="7">
        <v>700000</v>
      </c>
      <c r="E523" s="7">
        <f>E526*E529</f>
        <v>1000000</v>
      </c>
      <c r="F523" s="7">
        <f>D523+E523</f>
        <v>1700000</v>
      </c>
      <c r="G523" s="7">
        <v>200000</v>
      </c>
      <c r="H523" s="7">
        <f>1300000+50000</f>
        <v>1350000</v>
      </c>
      <c r="I523" s="7"/>
      <c r="J523" s="7">
        <f>G523+H523</f>
        <v>1550000</v>
      </c>
      <c r="K523" s="7"/>
      <c r="L523" s="7"/>
      <c r="M523" s="7"/>
      <c r="N523" s="7">
        <f>N526*N529</f>
        <v>400000</v>
      </c>
      <c r="O523" s="7">
        <f>O526*O529</f>
        <v>1600000</v>
      </c>
      <c r="P523" s="7">
        <f>O523+N523</f>
        <v>2000000</v>
      </c>
    </row>
    <row r="524" spans="1:16" ht="22.5">
      <c r="A524" s="8" t="s">
        <v>351</v>
      </c>
      <c r="B524" s="6"/>
      <c r="C524" s="6"/>
      <c r="D524" s="7">
        <f>35000+10000</f>
        <v>45000</v>
      </c>
      <c r="E524" s="7"/>
      <c r="F524" s="7">
        <f>D524+E524</f>
        <v>45000</v>
      </c>
      <c r="G524" s="7"/>
      <c r="H524" s="7"/>
      <c r="I524" s="7"/>
      <c r="J524" s="7"/>
      <c r="K524" s="7"/>
      <c r="L524" s="7"/>
      <c r="M524" s="7"/>
      <c r="N524" s="7"/>
      <c r="O524" s="7"/>
      <c r="P524" s="7"/>
    </row>
    <row r="525" spans="1:16" ht="11.25">
      <c r="A525" s="5" t="s">
        <v>5</v>
      </c>
      <c r="B525" s="6"/>
      <c r="C525" s="6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</row>
    <row r="526" spans="1:16" ht="22.5">
      <c r="A526" s="72" t="s">
        <v>182</v>
      </c>
      <c r="B526" s="6"/>
      <c r="C526" s="6"/>
      <c r="D526" s="7">
        <v>6</v>
      </c>
      <c r="E526" s="7">
        <v>2</v>
      </c>
      <c r="F526" s="7">
        <f>D526+E526</f>
        <v>8</v>
      </c>
      <c r="G526" s="7">
        <v>1</v>
      </c>
      <c r="H526" s="7">
        <v>3</v>
      </c>
      <c r="I526" s="7"/>
      <c r="J526" s="7">
        <f>G526+H526</f>
        <v>4</v>
      </c>
      <c r="K526" s="7"/>
      <c r="L526" s="7"/>
      <c r="M526" s="7"/>
      <c r="N526" s="7">
        <v>5</v>
      </c>
      <c r="O526" s="7">
        <v>4</v>
      </c>
      <c r="P526" s="7">
        <f>O526+N526</f>
        <v>9</v>
      </c>
    </row>
    <row r="527" spans="1:16" ht="22.5">
      <c r="A527" s="72" t="s">
        <v>349</v>
      </c>
      <c r="B527" s="6"/>
      <c r="C527" s="6"/>
      <c r="D527" s="7">
        <v>1</v>
      </c>
      <c r="E527" s="7"/>
      <c r="F527" s="7">
        <f>D527+E527</f>
        <v>1</v>
      </c>
      <c r="G527" s="7"/>
      <c r="H527" s="7"/>
      <c r="I527" s="7"/>
      <c r="J527" s="7"/>
      <c r="K527" s="7"/>
      <c r="L527" s="7"/>
      <c r="M527" s="7"/>
      <c r="N527" s="7"/>
      <c r="O527" s="7"/>
      <c r="P527" s="7"/>
    </row>
    <row r="528" spans="1:16" ht="11.25">
      <c r="A528" s="5" t="s">
        <v>7</v>
      </c>
      <c r="B528" s="6"/>
      <c r="C528" s="6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</row>
    <row r="529" spans="1:16" ht="33.75">
      <c r="A529" s="8" t="s">
        <v>202</v>
      </c>
      <c r="B529" s="6"/>
      <c r="C529" s="6"/>
      <c r="D529" s="7">
        <v>116666.66</v>
      </c>
      <c r="E529" s="7">
        <v>500000</v>
      </c>
      <c r="F529" s="7">
        <f>D529+E529</f>
        <v>616666.66</v>
      </c>
      <c r="G529" s="7">
        <v>200000</v>
      </c>
      <c r="H529" s="7">
        <v>433333.33</v>
      </c>
      <c r="I529" s="7"/>
      <c r="J529" s="7">
        <f>G529+H529</f>
        <v>633333.3300000001</v>
      </c>
      <c r="K529" s="7"/>
      <c r="L529" s="7"/>
      <c r="M529" s="7"/>
      <c r="N529" s="7">
        <v>80000</v>
      </c>
      <c r="O529" s="7">
        <v>400000</v>
      </c>
      <c r="P529" s="7">
        <f>O529+N529</f>
        <v>480000</v>
      </c>
    </row>
    <row r="530" spans="1:16" ht="22.5">
      <c r="A530" s="8" t="s">
        <v>350</v>
      </c>
      <c r="B530" s="6"/>
      <c r="C530" s="6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</row>
    <row r="531" spans="1:16" ht="11.25">
      <c r="A531" s="8"/>
      <c r="B531" s="6"/>
      <c r="C531" s="6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</row>
    <row r="532" spans="1:235" s="39" customFormat="1" ht="24.75" customHeight="1">
      <c r="A532" s="34" t="s">
        <v>414</v>
      </c>
      <c r="B532" s="35"/>
      <c r="C532" s="35"/>
      <c r="D532" s="36">
        <f>D534</f>
        <v>100000</v>
      </c>
      <c r="E532" s="36"/>
      <c r="F532" s="36">
        <f>D532+E532</f>
        <v>100000</v>
      </c>
      <c r="G532" s="36">
        <f>G536*G538</f>
        <v>130000</v>
      </c>
      <c r="H532" s="36"/>
      <c r="I532" s="36"/>
      <c r="J532" s="36">
        <f>G532+H532</f>
        <v>130000</v>
      </c>
      <c r="K532" s="36"/>
      <c r="L532" s="36"/>
      <c r="M532" s="36"/>
      <c r="N532" s="36">
        <f>N538*N536</f>
        <v>350000</v>
      </c>
      <c r="O532" s="36">
        <f>O538*O536</f>
        <v>0</v>
      </c>
      <c r="P532" s="36">
        <f>P538*P536</f>
        <v>350000</v>
      </c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38"/>
      <c r="CC532" s="38"/>
      <c r="CD532" s="38"/>
      <c r="CE532" s="38"/>
      <c r="CF532" s="38"/>
      <c r="CG532" s="38"/>
      <c r="CH532" s="38"/>
      <c r="CI532" s="38"/>
      <c r="CJ532" s="38"/>
      <c r="CK532" s="38"/>
      <c r="CL532" s="38"/>
      <c r="CM532" s="38"/>
      <c r="CN532" s="38"/>
      <c r="CO532" s="38"/>
      <c r="CP532" s="38"/>
      <c r="CQ532" s="38"/>
      <c r="CR532" s="38"/>
      <c r="CS532" s="38"/>
      <c r="CT532" s="38"/>
      <c r="CU532" s="38"/>
      <c r="CV532" s="38"/>
      <c r="CW532" s="38"/>
      <c r="CX532" s="38"/>
      <c r="CY532" s="38"/>
      <c r="CZ532" s="38"/>
      <c r="DA532" s="38"/>
      <c r="DB532" s="38"/>
      <c r="DC532" s="38"/>
      <c r="DD532" s="38"/>
      <c r="DE532" s="38"/>
      <c r="DF532" s="38"/>
      <c r="DG532" s="38"/>
      <c r="DH532" s="38"/>
      <c r="DI532" s="38"/>
      <c r="DJ532" s="38"/>
      <c r="DK532" s="38"/>
      <c r="DL532" s="38"/>
      <c r="DM532" s="38"/>
      <c r="DN532" s="38"/>
      <c r="DO532" s="38"/>
      <c r="DP532" s="38"/>
      <c r="DQ532" s="38"/>
      <c r="DR532" s="38"/>
      <c r="DS532" s="38"/>
      <c r="DT532" s="38"/>
      <c r="DU532" s="38"/>
      <c r="DV532" s="38"/>
      <c r="DW532" s="38"/>
      <c r="DX532" s="38"/>
      <c r="DY532" s="38"/>
      <c r="DZ532" s="38"/>
      <c r="EA532" s="38"/>
      <c r="EB532" s="38"/>
      <c r="EC532" s="38"/>
      <c r="ED532" s="38"/>
      <c r="EE532" s="38"/>
      <c r="EF532" s="38"/>
      <c r="EG532" s="38"/>
      <c r="EH532" s="38"/>
      <c r="EI532" s="38"/>
      <c r="EJ532" s="38"/>
      <c r="EK532" s="38"/>
      <c r="EL532" s="38"/>
      <c r="EM532" s="38"/>
      <c r="EN532" s="38"/>
      <c r="EO532" s="38"/>
      <c r="EP532" s="38"/>
      <c r="EQ532" s="38"/>
      <c r="ER532" s="38"/>
      <c r="ES532" s="38"/>
      <c r="ET532" s="38"/>
      <c r="EU532" s="38"/>
      <c r="EV532" s="38"/>
      <c r="EW532" s="38"/>
      <c r="EX532" s="38"/>
      <c r="EY532" s="38"/>
      <c r="EZ532" s="38"/>
      <c r="FA532" s="38"/>
      <c r="FB532" s="38"/>
      <c r="FC532" s="38"/>
      <c r="FD532" s="38"/>
      <c r="FE532" s="38"/>
      <c r="FF532" s="38"/>
      <c r="FG532" s="38"/>
      <c r="FH532" s="38"/>
      <c r="FI532" s="38"/>
      <c r="FJ532" s="38"/>
      <c r="FK532" s="38"/>
      <c r="FL532" s="38"/>
      <c r="FM532" s="38"/>
      <c r="FN532" s="38"/>
      <c r="FO532" s="38"/>
      <c r="FP532" s="38"/>
      <c r="FQ532" s="38"/>
      <c r="FR532" s="38"/>
      <c r="FS532" s="38"/>
      <c r="FT532" s="38"/>
      <c r="FU532" s="38"/>
      <c r="FV532" s="38"/>
      <c r="FW532" s="38"/>
      <c r="FX532" s="38"/>
      <c r="FY532" s="38"/>
      <c r="FZ532" s="38"/>
      <c r="GA532" s="38"/>
      <c r="GB532" s="38"/>
      <c r="GC532" s="38"/>
      <c r="GD532" s="38"/>
      <c r="GE532" s="38"/>
      <c r="GF532" s="38"/>
      <c r="GG532" s="38"/>
      <c r="GH532" s="38"/>
      <c r="GI532" s="38"/>
      <c r="GJ532" s="38"/>
      <c r="GK532" s="38"/>
      <c r="GL532" s="38"/>
      <c r="GM532" s="38"/>
      <c r="GN532" s="38"/>
      <c r="GO532" s="38"/>
      <c r="GP532" s="38"/>
      <c r="GQ532" s="38"/>
      <c r="GR532" s="38"/>
      <c r="GS532" s="38"/>
      <c r="GT532" s="38"/>
      <c r="GU532" s="38"/>
      <c r="GV532" s="38"/>
      <c r="GW532" s="38"/>
      <c r="GX532" s="38"/>
      <c r="GY532" s="38"/>
      <c r="GZ532" s="38"/>
      <c r="HA532" s="38"/>
      <c r="HB532" s="38"/>
      <c r="HC532" s="38"/>
      <c r="HD532" s="38"/>
      <c r="HE532" s="38"/>
      <c r="HF532" s="38"/>
      <c r="HG532" s="38"/>
      <c r="HH532" s="38"/>
      <c r="HI532" s="38"/>
      <c r="HJ532" s="38"/>
      <c r="HK532" s="38"/>
      <c r="HL532" s="38"/>
      <c r="HM532" s="38"/>
      <c r="HN532" s="38"/>
      <c r="HO532" s="38"/>
      <c r="HP532" s="38"/>
      <c r="HQ532" s="38"/>
      <c r="HR532" s="38"/>
      <c r="HS532" s="38"/>
      <c r="HT532" s="38"/>
      <c r="HU532" s="38"/>
      <c r="HV532" s="38"/>
      <c r="HW532" s="38"/>
      <c r="HX532" s="38"/>
      <c r="HY532" s="38"/>
      <c r="HZ532" s="38"/>
      <c r="IA532" s="38"/>
    </row>
    <row r="533" spans="1:16" ht="11.25">
      <c r="A533" s="5" t="s">
        <v>4</v>
      </c>
      <c r="B533" s="6"/>
      <c r="C533" s="6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</row>
    <row r="534" spans="1:16" ht="11.25">
      <c r="A534" s="8" t="s">
        <v>43</v>
      </c>
      <c r="B534" s="6"/>
      <c r="C534" s="6"/>
      <c r="D534" s="7">
        <f>D536*D538</f>
        <v>100000</v>
      </c>
      <c r="E534" s="7"/>
      <c r="F534" s="7">
        <f>D534+E534</f>
        <v>100000</v>
      </c>
      <c r="G534" s="7">
        <f>G536*G538</f>
        <v>130000</v>
      </c>
      <c r="H534" s="7"/>
      <c r="I534" s="7"/>
      <c r="J534" s="7">
        <f>G534+H534</f>
        <v>130000</v>
      </c>
      <c r="K534" s="7"/>
      <c r="L534" s="7"/>
      <c r="M534" s="7"/>
      <c r="N534" s="7">
        <f>N536*N538</f>
        <v>350000</v>
      </c>
      <c r="O534" s="7"/>
      <c r="P534" s="7">
        <f>N534+O534</f>
        <v>350000</v>
      </c>
    </row>
    <row r="535" spans="1:16" ht="11.25">
      <c r="A535" s="5" t="s">
        <v>5</v>
      </c>
      <c r="B535" s="6"/>
      <c r="C535" s="6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</row>
    <row r="536" spans="1:16" ht="14.25" customHeight="1">
      <c r="A536" s="8" t="s">
        <v>195</v>
      </c>
      <c r="B536" s="6"/>
      <c r="C536" s="6"/>
      <c r="D536" s="7">
        <v>8</v>
      </c>
      <c r="E536" s="7"/>
      <c r="F536" s="7">
        <f>D536+E536</f>
        <v>8</v>
      </c>
      <c r="G536" s="7">
        <v>2</v>
      </c>
      <c r="H536" s="7"/>
      <c r="I536" s="7"/>
      <c r="J536" s="7">
        <f>G536+H536</f>
        <v>2</v>
      </c>
      <c r="K536" s="7"/>
      <c r="L536" s="7"/>
      <c r="M536" s="7"/>
      <c r="N536" s="7">
        <v>5</v>
      </c>
      <c r="O536" s="7"/>
      <c r="P536" s="7">
        <f>N536+O536</f>
        <v>5</v>
      </c>
    </row>
    <row r="537" spans="1:16" ht="12" customHeight="1">
      <c r="A537" s="5" t="s">
        <v>7</v>
      </c>
      <c r="B537" s="6"/>
      <c r="C537" s="6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</row>
    <row r="538" spans="1:16" ht="24.75" customHeight="1">
      <c r="A538" s="8" t="s">
        <v>177</v>
      </c>
      <c r="B538" s="6"/>
      <c r="C538" s="6"/>
      <c r="D538" s="7">
        <f>100000/8</f>
        <v>12500</v>
      </c>
      <c r="E538" s="7"/>
      <c r="F538" s="7">
        <f>D538+E538</f>
        <v>12500</v>
      </c>
      <c r="G538" s="7">
        <v>65000</v>
      </c>
      <c r="H538" s="7"/>
      <c r="I538" s="7"/>
      <c r="J538" s="7">
        <f>G538+H538</f>
        <v>65000</v>
      </c>
      <c r="K538" s="7"/>
      <c r="L538" s="7"/>
      <c r="M538" s="7"/>
      <c r="N538" s="7">
        <v>70000</v>
      </c>
      <c r="O538" s="7"/>
      <c r="P538" s="7">
        <f>N538+O538</f>
        <v>70000</v>
      </c>
    </row>
    <row r="539" spans="1:17" ht="33.75">
      <c r="A539" s="34" t="s">
        <v>415</v>
      </c>
      <c r="B539" s="35"/>
      <c r="C539" s="35"/>
      <c r="D539" s="22"/>
      <c r="E539" s="36">
        <f>E541</f>
        <v>50000</v>
      </c>
      <c r="F539" s="36">
        <f>F541</f>
        <v>50000</v>
      </c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73"/>
    </row>
    <row r="540" spans="1:17" ht="11.25">
      <c r="A540" s="5" t="s">
        <v>4</v>
      </c>
      <c r="B540" s="6"/>
      <c r="C540" s="6"/>
      <c r="D540" s="22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3"/>
    </row>
    <row r="541" spans="1:17" ht="11.25">
      <c r="A541" s="8" t="s">
        <v>43</v>
      </c>
      <c r="B541" s="6"/>
      <c r="C541" s="6"/>
      <c r="D541" s="22"/>
      <c r="E541" s="7">
        <f>E543*E545</f>
        <v>50000</v>
      </c>
      <c r="F541" s="7">
        <f>F543*F545</f>
        <v>50000</v>
      </c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4"/>
    </row>
    <row r="542" spans="1:17" ht="11.25">
      <c r="A542" s="5" t="s">
        <v>5</v>
      </c>
      <c r="B542" s="6"/>
      <c r="C542" s="6"/>
      <c r="D542" s="22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4"/>
    </row>
    <row r="543" spans="1:17" ht="22.5">
      <c r="A543" s="8" t="s">
        <v>195</v>
      </c>
      <c r="B543" s="6"/>
      <c r="C543" s="6"/>
      <c r="D543" s="22"/>
      <c r="E543" s="7">
        <v>1</v>
      </c>
      <c r="F543" s="7">
        <v>1</v>
      </c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4">
        <v>5500</v>
      </c>
    </row>
    <row r="544" spans="1:17" ht="11.25">
      <c r="A544" s="5" t="s">
        <v>7</v>
      </c>
      <c r="B544" s="6"/>
      <c r="C544" s="6"/>
      <c r="D544" s="22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24"/>
    </row>
    <row r="545" spans="1:17" ht="22.5">
      <c r="A545" s="8" t="s">
        <v>177</v>
      </c>
      <c r="B545" s="6"/>
      <c r="C545" s="6"/>
      <c r="D545" s="22"/>
      <c r="E545" s="7">
        <v>50000</v>
      </c>
      <c r="F545" s="7">
        <v>50000</v>
      </c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24"/>
    </row>
    <row r="546" spans="1:17" ht="33.75">
      <c r="A546" s="34" t="s">
        <v>416</v>
      </c>
      <c r="B546" s="35"/>
      <c r="C546" s="35"/>
      <c r="D546" s="36">
        <f>D548</f>
        <v>790000</v>
      </c>
      <c r="E546" s="36"/>
      <c r="F546" s="36">
        <f>F548</f>
        <v>790000</v>
      </c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24"/>
    </row>
    <row r="547" spans="1:17" ht="11.25">
      <c r="A547" s="5" t="s">
        <v>4</v>
      </c>
      <c r="B547" s="6"/>
      <c r="C547" s="6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24"/>
    </row>
    <row r="548" spans="1:17" ht="11.25">
      <c r="A548" s="8" t="s">
        <v>43</v>
      </c>
      <c r="B548" s="6"/>
      <c r="C548" s="6"/>
      <c r="D548" s="7">
        <f>D550*D552</f>
        <v>790000</v>
      </c>
      <c r="E548" s="7"/>
      <c r="F548" s="7">
        <f>F550*F552</f>
        <v>790000</v>
      </c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24"/>
    </row>
    <row r="549" spans="1:17" ht="11.25">
      <c r="A549" s="5" t="s">
        <v>5</v>
      </c>
      <c r="B549" s="6"/>
      <c r="C549" s="6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24"/>
    </row>
    <row r="550" spans="1:17" ht="22.5">
      <c r="A550" s="8" t="s">
        <v>195</v>
      </c>
      <c r="B550" s="6"/>
      <c r="C550" s="6"/>
      <c r="D550" s="7">
        <v>1</v>
      </c>
      <c r="E550" s="7"/>
      <c r="F550" s="7">
        <v>1</v>
      </c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24"/>
    </row>
    <row r="551" spans="1:17" ht="11.25">
      <c r="A551" s="5" t="s">
        <v>7</v>
      </c>
      <c r="B551" s="6"/>
      <c r="C551" s="6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24"/>
    </row>
    <row r="552" spans="1:17" ht="22.5">
      <c r="A552" s="8" t="s">
        <v>177</v>
      </c>
      <c r="B552" s="6"/>
      <c r="C552" s="6"/>
      <c r="D552" s="7">
        <v>790000</v>
      </c>
      <c r="E552" s="7"/>
      <c r="F552" s="7">
        <v>790000</v>
      </c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24"/>
    </row>
    <row r="553" spans="1:17" ht="36" customHeight="1">
      <c r="A553" s="34" t="s">
        <v>417</v>
      </c>
      <c r="B553" s="35"/>
      <c r="C553" s="35"/>
      <c r="D553" s="36"/>
      <c r="E553" s="36">
        <f>E555</f>
        <v>320000</v>
      </c>
      <c r="F553" s="36">
        <f>F555</f>
        <v>320000</v>
      </c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24"/>
    </row>
    <row r="554" spans="1:17" ht="11.25">
      <c r="A554" s="5" t="s">
        <v>4</v>
      </c>
      <c r="B554" s="6"/>
      <c r="C554" s="6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24"/>
    </row>
    <row r="555" spans="1:17" ht="11.25">
      <c r="A555" s="8" t="s">
        <v>43</v>
      </c>
      <c r="B555" s="6"/>
      <c r="C555" s="6"/>
      <c r="D555" s="7"/>
      <c r="E555" s="7">
        <f>E557*E559</f>
        <v>320000</v>
      </c>
      <c r="F555" s="7">
        <f>F557*F559</f>
        <v>320000</v>
      </c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24"/>
    </row>
    <row r="556" spans="1:17" ht="11.25">
      <c r="A556" s="5" t="s">
        <v>5</v>
      </c>
      <c r="B556" s="6"/>
      <c r="C556" s="6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24"/>
    </row>
    <row r="557" spans="1:17" ht="22.5">
      <c r="A557" s="8" t="s">
        <v>195</v>
      </c>
      <c r="B557" s="6"/>
      <c r="C557" s="6"/>
      <c r="D557" s="7"/>
      <c r="E557" s="7">
        <v>1</v>
      </c>
      <c r="F557" s="7">
        <v>1</v>
      </c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24"/>
    </row>
    <row r="558" spans="1:17" ht="11.25">
      <c r="A558" s="5" t="s">
        <v>7</v>
      </c>
      <c r="B558" s="6"/>
      <c r="C558" s="6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24"/>
    </row>
    <row r="559" spans="1:235" ht="11.25">
      <c r="A559" s="8" t="s">
        <v>327</v>
      </c>
      <c r="B559" s="6"/>
      <c r="C559" s="6"/>
      <c r="D559" s="7"/>
      <c r="E559" s="7">
        <v>320000</v>
      </c>
      <c r="F559" s="7">
        <v>320000</v>
      </c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24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  <c r="DG559" s="53"/>
      <c r="DH559" s="53"/>
      <c r="DI559" s="53"/>
      <c r="DJ559" s="53"/>
      <c r="DK559" s="53"/>
      <c r="DL559" s="53"/>
      <c r="DM559" s="53"/>
      <c r="DN559" s="53"/>
      <c r="DO559" s="53"/>
      <c r="DP559" s="53"/>
      <c r="DQ559" s="53"/>
      <c r="DR559" s="53"/>
      <c r="DS559" s="53"/>
      <c r="DT559" s="53"/>
      <c r="DU559" s="53"/>
      <c r="DV559" s="53"/>
      <c r="DW559" s="53"/>
      <c r="DX559" s="53"/>
      <c r="DY559" s="53"/>
      <c r="DZ559" s="53"/>
      <c r="EA559" s="53"/>
      <c r="EB559" s="53"/>
      <c r="EC559" s="53"/>
      <c r="ED559" s="53"/>
      <c r="EE559" s="53"/>
      <c r="EF559" s="53"/>
      <c r="EG559" s="53"/>
      <c r="EH559" s="53"/>
      <c r="EI559" s="53"/>
      <c r="EJ559" s="53"/>
      <c r="EK559" s="53"/>
      <c r="EL559" s="53"/>
      <c r="EM559" s="53"/>
      <c r="EN559" s="53"/>
      <c r="EO559" s="53"/>
      <c r="EP559" s="53"/>
      <c r="EQ559" s="53"/>
      <c r="ER559" s="53"/>
      <c r="ES559" s="53"/>
      <c r="ET559" s="53"/>
      <c r="EU559" s="53"/>
      <c r="EV559" s="53"/>
      <c r="EW559" s="53"/>
      <c r="EX559" s="53"/>
      <c r="EY559" s="53"/>
      <c r="EZ559" s="53"/>
      <c r="FA559" s="53"/>
      <c r="FB559" s="53"/>
      <c r="FC559" s="53"/>
      <c r="FD559" s="53"/>
      <c r="FE559" s="53"/>
      <c r="FF559" s="53"/>
      <c r="FG559" s="53"/>
      <c r="FH559" s="53"/>
      <c r="FI559" s="53"/>
      <c r="FJ559" s="53"/>
      <c r="FK559" s="53"/>
      <c r="FL559" s="53"/>
      <c r="FM559" s="53"/>
      <c r="FN559" s="53"/>
      <c r="FO559" s="53"/>
      <c r="FP559" s="53"/>
      <c r="FQ559" s="53"/>
      <c r="FR559" s="53"/>
      <c r="FS559" s="53"/>
      <c r="FT559" s="53"/>
      <c r="FU559" s="53"/>
      <c r="FV559" s="53"/>
      <c r="FW559" s="53"/>
      <c r="FX559" s="53"/>
      <c r="FY559" s="53"/>
      <c r="FZ559" s="53"/>
      <c r="GA559" s="53"/>
      <c r="GB559" s="53"/>
      <c r="GC559" s="53"/>
      <c r="GD559" s="53"/>
      <c r="GE559" s="53"/>
      <c r="GF559" s="53"/>
      <c r="GG559" s="53"/>
      <c r="GH559" s="53"/>
      <c r="GI559" s="53"/>
      <c r="GJ559" s="53"/>
      <c r="GK559" s="53"/>
      <c r="GL559" s="53"/>
      <c r="GM559" s="53"/>
      <c r="GN559" s="53"/>
      <c r="GO559" s="53"/>
      <c r="GP559" s="53"/>
      <c r="GQ559" s="53"/>
      <c r="GR559" s="53"/>
      <c r="GS559" s="53"/>
      <c r="GT559" s="53"/>
      <c r="GU559" s="53"/>
      <c r="GV559" s="53"/>
      <c r="GW559" s="53"/>
      <c r="GX559" s="53"/>
      <c r="GY559" s="53"/>
      <c r="GZ559" s="53"/>
      <c r="HA559" s="53"/>
      <c r="HB559" s="53"/>
      <c r="HC559" s="53"/>
      <c r="HD559" s="53"/>
      <c r="HE559" s="53"/>
      <c r="HF559" s="53"/>
      <c r="HG559" s="53"/>
      <c r="HH559" s="53"/>
      <c r="HI559" s="53"/>
      <c r="HJ559" s="53"/>
      <c r="HK559" s="53"/>
      <c r="HL559" s="53"/>
      <c r="HM559" s="53"/>
      <c r="HN559" s="53"/>
      <c r="HO559" s="53"/>
      <c r="HP559" s="53"/>
      <c r="HQ559" s="53"/>
      <c r="HR559" s="53"/>
      <c r="HS559" s="53"/>
      <c r="HT559" s="53"/>
      <c r="HU559" s="53"/>
      <c r="HV559" s="53"/>
      <c r="HW559" s="53"/>
      <c r="HX559" s="53"/>
      <c r="HY559" s="53"/>
      <c r="HZ559" s="53"/>
      <c r="IA559" s="53"/>
    </row>
    <row r="560" spans="1:17" ht="24" customHeight="1">
      <c r="A560" s="34" t="s">
        <v>418</v>
      </c>
      <c r="B560" s="35"/>
      <c r="C560" s="35"/>
      <c r="D560" s="36"/>
      <c r="E560" s="36">
        <f>E562</f>
        <v>0</v>
      </c>
      <c r="F560" s="36">
        <f>F562</f>
        <v>0</v>
      </c>
      <c r="G560" s="36">
        <f>G562</f>
        <v>1952000</v>
      </c>
      <c r="H560" s="36"/>
      <c r="I560" s="36"/>
      <c r="J560" s="36">
        <f>J562</f>
        <v>1952000</v>
      </c>
      <c r="K560" s="36"/>
      <c r="L560" s="36"/>
      <c r="M560" s="36"/>
      <c r="N560" s="36"/>
      <c r="O560" s="36"/>
      <c r="P560" s="36"/>
      <c r="Q560" s="24"/>
    </row>
    <row r="561" spans="1:17" ht="11.25">
      <c r="A561" s="5" t="s">
        <v>4</v>
      </c>
      <c r="B561" s="6"/>
      <c r="C561" s="6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24"/>
    </row>
    <row r="562" spans="1:17" ht="11.25">
      <c r="A562" s="8" t="s">
        <v>43</v>
      </c>
      <c r="B562" s="6"/>
      <c r="C562" s="6"/>
      <c r="D562" s="7"/>
      <c r="E562" s="7">
        <f>E564*E566</f>
        <v>0</v>
      </c>
      <c r="F562" s="7">
        <f>F564*F566</f>
        <v>0</v>
      </c>
      <c r="G562" s="7">
        <f>G564*G566</f>
        <v>1952000</v>
      </c>
      <c r="H562" s="7"/>
      <c r="I562" s="7"/>
      <c r="J562" s="7">
        <f>G562</f>
        <v>1952000</v>
      </c>
      <c r="K562" s="7"/>
      <c r="L562" s="7"/>
      <c r="M562" s="7"/>
      <c r="N562" s="7"/>
      <c r="O562" s="7"/>
      <c r="P562" s="7"/>
      <c r="Q562" s="24"/>
    </row>
    <row r="563" spans="1:17" ht="11.25">
      <c r="A563" s="5" t="s">
        <v>5</v>
      </c>
      <c r="B563" s="6"/>
      <c r="C563" s="6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24"/>
    </row>
    <row r="564" spans="1:17" ht="22.5">
      <c r="A564" s="8" t="s">
        <v>195</v>
      </c>
      <c r="B564" s="6"/>
      <c r="C564" s="6"/>
      <c r="D564" s="7"/>
      <c r="E564" s="7">
        <v>0</v>
      </c>
      <c r="F564" s="7">
        <v>0</v>
      </c>
      <c r="G564" s="7">
        <v>1</v>
      </c>
      <c r="H564" s="7"/>
      <c r="I564" s="7"/>
      <c r="J564" s="7">
        <f>G564</f>
        <v>1</v>
      </c>
      <c r="K564" s="7"/>
      <c r="L564" s="7"/>
      <c r="M564" s="7"/>
      <c r="N564" s="7"/>
      <c r="O564" s="7"/>
      <c r="P564" s="7"/>
      <c r="Q564" s="24"/>
    </row>
    <row r="565" spans="1:17" ht="11.25">
      <c r="A565" s="5" t="s">
        <v>7</v>
      </c>
      <c r="B565" s="6"/>
      <c r="C565" s="6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24"/>
    </row>
    <row r="566" spans="1:235" ht="11.25">
      <c r="A566" s="8" t="s">
        <v>327</v>
      </c>
      <c r="B566" s="6"/>
      <c r="C566" s="6"/>
      <c r="D566" s="7"/>
      <c r="E566" s="7"/>
      <c r="F566" s="7">
        <v>0</v>
      </c>
      <c r="G566" s="7">
        <f>2300000-348000</f>
        <v>1952000</v>
      </c>
      <c r="H566" s="7"/>
      <c r="I566" s="7"/>
      <c r="J566" s="7">
        <f>G566</f>
        <v>1952000</v>
      </c>
      <c r="K566" s="7"/>
      <c r="L566" s="7"/>
      <c r="M566" s="7"/>
      <c r="N566" s="7"/>
      <c r="O566" s="7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235" ht="33.75">
      <c r="A567" s="34" t="s">
        <v>419</v>
      </c>
      <c r="B567" s="6"/>
      <c r="C567" s="6"/>
      <c r="D567" s="7"/>
      <c r="E567" s="7"/>
      <c r="F567" s="7"/>
      <c r="G567" s="36">
        <f>G569</f>
        <v>920000</v>
      </c>
      <c r="H567" s="7"/>
      <c r="I567" s="7"/>
      <c r="J567" s="36">
        <f>G567</f>
        <v>920000</v>
      </c>
      <c r="K567" s="7"/>
      <c r="L567" s="7"/>
      <c r="M567" s="7"/>
      <c r="N567" s="7"/>
      <c r="O567" s="7"/>
      <c r="P567" s="7"/>
      <c r="Q567" s="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  <c r="HZ567" s="53"/>
      <c r="IA567" s="53"/>
    </row>
    <row r="568" spans="1:235" ht="11.25">
      <c r="A568" s="5" t="s">
        <v>4</v>
      </c>
      <c r="B568" s="6"/>
      <c r="C568" s="6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235" ht="11.25">
      <c r="A569" s="8" t="s">
        <v>43</v>
      </c>
      <c r="B569" s="6"/>
      <c r="C569" s="6"/>
      <c r="D569" s="7"/>
      <c r="E569" s="7"/>
      <c r="F569" s="7"/>
      <c r="G569" s="7">
        <f>3200000-2280000</f>
        <v>920000</v>
      </c>
      <c r="H569" s="7"/>
      <c r="I569" s="7"/>
      <c r="J569" s="7">
        <f>G569</f>
        <v>920000</v>
      </c>
      <c r="K569" s="7"/>
      <c r="L569" s="7"/>
      <c r="M569" s="7"/>
      <c r="N569" s="7"/>
      <c r="O569" s="7"/>
      <c r="P569" s="7"/>
      <c r="Q569" s="24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3"/>
      <c r="BS569" s="53"/>
      <c r="BT569" s="53"/>
      <c r="BU569" s="53"/>
      <c r="BV569" s="53"/>
      <c r="BW569" s="53"/>
      <c r="BX569" s="53"/>
      <c r="BY569" s="53"/>
      <c r="BZ569" s="53"/>
      <c r="CA569" s="53"/>
      <c r="CB569" s="53"/>
      <c r="CC569" s="53"/>
      <c r="CD569" s="53"/>
      <c r="CE569" s="53"/>
      <c r="CF569" s="53"/>
      <c r="CG569" s="53"/>
      <c r="CH569" s="53"/>
      <c r="CI569" s="53"/>
      <c r="CJ569" s="53"/>
      <c r="CK569" s="53"/>
      <c r="CL569" s="53"/>
      <c r="CM569" s="53"/>
      <c r="CN569" s="53"/>
      <c r="CO569" s="53"/>
      <c r="CP569" s="53"/>
      <c r="CQ569" s="53"/>
      <c r="CR569" s="53"/>
      <c r="CS569" s="53"/>
      <c r="CT569" s="53"/>
      <c r="CU569" s="53"/>
      <c r="CV569" s="53"/>
      <c r="CW569" s="53"/>
      <c r="CX569" s="53"/>
      <c r="CY569" s="53"/>
      <c r="CZ569" s="53"/>
      <c r="DA569" s="53"/>
      <c r="DB569" s="53"/>
      <c r="DC569" s="53"/>
      <c r="DD569" s="53"/>
      <c r="DE569" s="53"/>
      <c r="DF569" s="53"/>
      <c r="DG569" s="53"/>
      <c r="DH569" s="53"/>
      <c r="DI569" s="53"/>
      <c r="DJ569" s="53"/>
      <c r="DK569" s="53"/>
      <c r="DL569" s="53"/>
      <c r="DM569" s="53"/>
      <c r="DN569" s="53"/>
      <c r="DO569" s="53"/>
      <c r="DP569" s="53"/>
      <c r="DQ569" s="53"/>
      <c r="DR569" s="53"/>
      <c r="DS569" s="53"/>
      <c r="DT569" s="53"/>
      <c r="DU569" s="53"/>
      <c r="DV569" s="53"/>
      <c r="DW569" s="53"/>
      <c r="DX569" s="53"/>
      <c r="DY569" s="53"/>
      <c r="DZ569" s="53"/>
      <c r="EA569" s="53"/>
      <c r="EB569" s="53"/>
      <c r="EC569" s="53"/>
      <c r="ED569" s="53"/>
      <c r="EE569" s="53"/>
      <c r="EF569" s="53"/>
      <c r="EG569" s="53"/>
      <c r="EH569" s="53"/>
      <c r="EI569" s="53"/>
      <c r="EJ569" s="53"/>
      <c r="EK569" s="53"/>
      <c r="EL569" s="53"/>
      <c r="EM569" s="53"/>
      <c r="EN569" s="53"/>
      <c r="EO569" s="53"/>
      <c r="EP569" s="53"/>
      <c r="EQ569" s="53"/>
      <c r="ER569" s="53"/>
      <c r="ES569" s="53"/>
      <c r="ET569" s="53"/>
      <c r="EU569" s="53"/>
      <c r="EV569" s="53"/>
      <c r="EW569" s="53"/>
      <c r="EX569" s="53"/>
      <c r="EY569" s="53"/>
      <c r="EZ569" s="53"/>
      <c r="FA569" s="53"/>
      <c r="FB569" s="53"/>
      <c r="FC569" s="53"/>
      <c r="FD569" s="53"/>
      <c r="FE569" s="53"/>
      <c r="FF569" s="53"/>
      <c r="FG569" s="53"/>
      <c r="FH569" s="53"/>
      <c r="FI569" s="53"/>
      <c r="FJ569" s="53"/>
      <c r="FK569" s="53"/>
      <c r="FL569" s="53"/>
      <c r="FM569" s="53"/>
      <c r="FN569" s="53"/>
      <c r="FO569" s="53"/>
      <c r="FP569" s="53"/>
      <c r="FQ569" s="53"/>
      <c r="FR569" s="53"/>
      <c r="FS569" s="53"/>
      <c r="FT569" s="53"/>
      <c r="FU569" s="53"/>
      <c r="FV569" s="53"/>
      <c r="FW569" s="53"/>
      <c r="FX569" s="53"/>
      <c r="FY569" s="53"/>
      <c r="FZ569" s="53"/>
      <c r="GA569" s="53"/>
      <c r="GB569" s="53"/>
      <c r="GC569" s="53"/>
      <c r="GD569" s="53"/>
      <c r="GE569" s="53"/>
      <c r="GF569" s="53"/>
      <c r="GG569" s="53"/>
      <c r="GH569" s="53"/>
      <c r="GI569" s="53"/>
      <c r="GJ569" s="53"/>
      <c r="GK569" s="53"/>
      <c r="GL569" s="53"/>
      <c r="GM569" s="53"/>
      <c r="GN569" s="53"/>
      <c r="GO569" s="53"/>
      <c r="GP569" s="53"/>
      <c r="GQ569" s="53"/>
      <c r="GR569" s="53"/>
      <c r="GS569" s="53"/>
      <c r="GT569" s="53"/>
      <c r="GU569" s="53"/>
      <c r="GV569" s="53"/>
      <c r="GW569" s="53"/>
      <c r="GX569" s="53"/>
      <c r="GY569" s="53"/>
      <c r="GZ569" s="53"/>
      <c r="HA569" s="53"/>
      <c r="HB569" s="53"/>
      <c r="HC569" s="53"/>
      <c r="HD569" s="53"/>
      <c r="HE569" s="53"/>
      <c r="HF569" s="53"/>
      <c r="HG569" s="53"/>
      <c r="HH569" s="53"/>
      <c r="HI569" s="53"/>
      <c r="HJ569" s="53"/>
      <c r="HK569" s="53"/>
      <c r="HL569" s="53"/>
      <c r="HM569" s="53"/>
      <c r="HN569" s="53"/>
      <c r="HO569" s="53"/>
      <c r="HP569" s="53"/>
      <c r="HQ569" s="53"/>
      <c r="HR569" s="53"/>
      <c r="HS569" s="53"/>
      <c r="HT569" s="53"/>
      <c r="HU569" s="53"/>
      <c r="HV569" s="53"/>
      <c r="HW569" s="53"/>
      <c r="HX569" s="53"/>
      <c r="HY569" s="53"/>
      <c r="HZ569" s="53"/>
      <c r="IA569" s="53"/>
    </row>
    <row r="570" spans="1:235" ht="11.25">
      <c r="A570" s="5" t="s">
        <v>5</v>
      </c>
      <c r="B570" s="6"/>
      <c r="C570" s="6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  <c r="HZ570" s="53"/>
      <c r="IA570" s="53"/>
    </row>
    <row r="571" spans="1:235" ht="22.5">
      <c r="A571" s="8" t="s">
        <v>195</v>
      </c>
      <c r="B571" s="6"/>
      <c r="C571" s="6"/>
      <c r="D571" s="7"/>
      <c r="E571" s="7"/>
      <c r="F571" s="7"/>
      <c r="G571" s="7">
        <v>17</v>
      </c>
      <c r="H571" s="7"/>
      <c r="I571" s="7"/>
      <c r="J571" s="7">
        <f>G571</f>
        <v>17</v>
      </c>
      <c r="K571" s="7"/>
      <c r="L571" s="7"/>
      <c r="M571" s="7"/>
      <c r="N571" s="7"/>
      <c r="O571" s="7"/>
      <c r="P571" s="7"/>
      <c r="Q571" s="2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  <c r="GB571" s="53"/>
      <c r="GC571" s="53"/>
      <c r="GD571" s="53"/>
      <c r="GE571" s="53"/>
      <c r="GF571" s="53"/>
      <c r="GG571" s="53"/>
      <c r="GH571" s="53"/>
      <c r="GI571" s="53"/>
      <c r="GJ571" s="53"/>
      <c r="GK571" s="53"/>
      <c r="GL571" s="53"/>
      <c r="GM571" s="53"/>
      <c r="GN571" s="53"/>
      <c r="GO571" s="53"/>
      <c r="GP571" s="53"/>
      <c r="GQ571" s="53"/>
      <c r="GR571" s="53"/>
      <c r="GS571" s="53"/>
      <c r="GT571" s="53"/>
      <c r="GU571" s="53"/>
      <c r="GV571" s="53"/>
      <c r="GW571" s="53"/>
      <c r="GX571" s="53"/>
      <c r="GY571" s="53"/>
      <c r="GZ571" s="53"/>
      <c r="HA571" s="53"/>
      <c r="HB571" s="53"/>
      <c r="HC571" s="53"/>
      <c r="HD571" s="53"/>
      <c r="HE571" s="53"/>
      <c r="HF571" s="53"/>
      <c r="HG571" s="53"/>
      <c r="HH571" s="53"/>
      <c r="HI571" s="53"/>
      <c r="HJ571" s="53"/>
      <c r="HK571" s="53"/>
      <c r="HL571" s="53"/>
      <c r="HM571" s="53"/>
      <c r="HN571" s="53"/>
      <c r="HO571" s="53"/>
      <c r="HP571" s="53"/>
      <c r="HQ571" s="53"/>
      <c r="HR571" s="53"/>
      <c r="HS571" s="53"/>
      <c r="HT571" s="53"/>
      <c r="HU571" s="53"/>
      <c r="HV571" s="53"/>
      <c r="HW571" s="53"/>
      <c r="HX571" s="53"/>
      <c r="HY571" s="53"/>
      <c r="HZ571" s="53"/>
      <c r="IA571" s="53"/>
    </row>
    <row r="572" spans="1:235" ht="11.25">
      <c r="A572" s="5" t="s">
        <v>7</v>
      </c>
      <c r="B572" s="6"/>
      <c r="C572" s="6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24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3"/>
      <c r="BS572" s="53"/>
      <c r="BT572" s="53"/>
      <c r="BU572" s="53"/>
      <c r="BV572" s="53"/>
      <c r="BW572" s="53"/>
      <c r="BX572" s="53"/>
      <c r="BY572" s="53"/>
      <c r="BZ572" s="53"/>
      <c r="CA572" s="53"/>
      <c r="CB572" s="53"/>
      <c r="CC572" s="53"/>
      <c r="CD572" s="53"/>
      <c r="CE572" s="53"/>
      <c r="CF572" s="53"/>
      <c r="CG572" s="53"/>
      <c r="CH572" s="53"/>
      <c r="CI572" s="53"/>
      <c r="CJ572" s="53"/>
      <c r="CK572" s="53"/>
      <c r="CL572" s="53"/>
      <c r="CM572" s="53"/>
      <c r="CN572" s="53"/>
      <c r="CO572" s="53"/>
      <c r="CP572" s="53"/>
      <c r="CQ572" s="53"/>
      <c r="CR572" s="53"/>
      <c r="CS572" s="53"/>
      <c r="CT572" s="53"/>
      <c r="CU572" s="53"/>
      <c r="CV572" s="53"/>
      <c r="CW572" s="53"/>
      <c r="CX572" s="53"/>
      <c r="CY572" s="53"/>
      <c r="CZ572" s="53"/>
      <c r="DA572" s="53"/>
      <c r="DB572" s="53"/>
      <c r="DC572" s="53"/>
      <c r="DD572" s="53"/>
      <c r="DE572" s="53"/>
      <c r="DF572" s="53"/>
      <c r="DG572" s="53"/>
      <c r="DH572" s="53"/>
      <c r="DI572" s="53"/>
      <c r="DJ572" s="53"/>
      <c r="DK572" s="53"/>
      <c r="DL572" s="53"/>
      <c r="DM572" s="53"/>
      <c r="DN572" s="53"/>
      <c r="DO572" s="53"/>
      <c r="DP572" s="53"/>
      <c r="DQ572" s="53"/>
      <c r="DR572" s="53"/>
      <c r="DS572" s="53"/>
      <c r="DT572" s="53"/>
      <c r="DU572" s="53"/>
      <c r="DV572" s="53"/>
      <c r="DW572" s="53"/>
      <c r="DX572" s="53"/>
      <c r="DY572" s="53"/>
      <c r="DZ572" s="53"/>
      <c r="EA572" s="53"/>
      <c r="EB572" s="53"/>
      <c r="EC572" s="53"/>
      <c r="ED572" s="53"/>
      <c r="EE572" s="53"/>
      <c r="EF572" s="53"/>
      <c r="EG572" s="53"/>
      <c r="EH572" s="53"/>
      <c r="EI572" s="53"/>
      <c r="EJ572" s="53"/>
      <c r="EK572" s="53"/>
      <c r="EL572" s="53"/>
      <c r="EM572" s="53"/>
      <c r="EN572" s="53"/>
      <c r="EO572" s="53"/>
      <c r="EP572" s="53"/>
      <c r="EQ572" s="53"/>
      <c r="ER572" s="53"/>
      <c r="ES572" s="53"/>
      <c r="ET572" s="53"/>
      <c r="EU572" s="53"/>
      <c r="EV572" s="53"/>
      <c r="EW572" s="53"/>
      <c r="EX572" s="53"/>
      <c r="EY572" s="53"/>
      <c r="EZ572" s="53"/>
      <c r="FA572" s="53"/>
      <c r="FB572" s="53"/>
      <c r="FC572" s="53"/>
      <c r="FD572" s="53"/>
      <c r="FE572" s="53"/>
      <c r="FF572" s="53"/>
      <c r="FG572" s="53"/>
      <c r="FH572" s="53"/>
      <c r="FI572" s="53"/>
      <c r="FJ572" s="53"/>
      <c r="FK572" s="53"/>
      <c r="FL572" s="53"/>
      <c r="FM572" s="53"/>
      <c r="FN572" s="53"/>
      <c r="FO572" s="53"/>
      <c r="FP572" s="53"/>
      <c r="FQ572" s="53"/>
      <c r="FR572" s="53"/>
      <c r="FS572" s="53"/>
      <c r="FT572" s="53"/>
      <c r="FU572" s="53"/>
      <c r="FV572" s="53"/>
      <c r="FW572" s="53"/>
      <c r="FX572" s="53"/>
      <c r="FY572" s="53"/>
      <c r="FZ572" s="53"/>
      <c r="GA572" s="53"/>
      <c r="GB572" s="53"/>
      <c r="GC572" s="53"/>
      <c r="GD572" s="53"/>
      <c r="GE572" s="53"/>
      <c r="GF572" s="53"/>
      <c r="GG572" s="53"/>
      <c r="GH572" s="53"/>
      <c r="GI572" s="53"/>
      <c r="GJ572" s="53"/>
      <c r="GK572" s="53"/>
      <c r="GL572" s="53"/>
      <c r="GM572" s="53"/>
      <c r="GN572" s="53"/>
      <c r="GO572" s="53"/>
      <c r="GP572" s="53"/>
      <c r="GQ572" s="53"/>
      <c r="GR572" s="53"/>
      <c r="GS572" s="53"/>
      <c r="GT572" s="53"/>
      <c r="GU572" s="53"/>
      <c r="GV572" s="53"/>
      <c r="GW572" s="53"/>
      <c r="GX572" s="53"/>
      <c r="GY572" s="53"/>
      <c r="GZ572" s="53"/>
      <c r="HA572" s="53"/>
      <c r="HB572" s="53"/>
      <c r="HC572" s="53"/>
      <c r="HD572" s="53"/>
      <c r="HE572" s="53"/>
      <c r="HF572" s="53"/>
      <c r="HG572" s="53"/>
      <c r="HH572" s="53"/>
      <c r="HI572" s="53"/>
      <c r="HJ572" s="53"/>
      <c r="HK572" s="53"/>
      <c r="HL572" s="53"/>
      <c r="HM572" s="53"/>
      <c r="HN572" s="53"/>
      <c r="HO572" s="53"/>
      <c r="HP572" s="53"/>
      <c r="HQ572" s="53"/>
      <c r="HR572" s="53"/>
      <c r="HS572" s="53"/>
      <c r="HT572" s="53"/>
      <c r="HU572" s="53"/>
      <c r="HV572" s="53"/>
      <c r="HW572" s="53"/>
      <c r="HX572" s="53"/>
      <c r="HY572" s="53"/>
      <c r="HZ572" s="53"/>
      <c r="IA572" s="53"/>
    </row>
    <row r="573" spans="1:235" ht="11.25">
      <c r="A573" s="8" t="s">
        <v>327</v>
      </c>
      <c r="B573" s="6"/>
      <c r="C573" s="6"/>
      <c r="D573" s="7"/>
      <c r="E573" s="7"/>
      <c r="F573" s="7"/>
      <c r="G573" s="7">
        <v>54117.65</v>
      </c>
      <c r="H573" s="7"/>
      <c r="I573" s="7"/>
      <c r="J573" s="7">
        <f>G573</f>
        <v>54117.65</v>
      </c>
      <c r="K573" s="7"/>
      <c r="L573" s="7"/>
      <c r="M573" s="7"/>
      <c r="N573" s="7"/>
      <c r="O573" s="7"/>
      <c r="P573" s="7"/>
      <c r="Q573" s="24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3"/>
      <c r="CS573" s="53"/>
      <c r="CT573" s="53"/>
      <c r="CU573" s="53"/>
      <c r="CV573" s="53"/>
      <c r="CW573" s="53"/>
      <c r="CX573" s="53"/>
      <c r="CY573" s="53"/>
      <c r="CZ573" s="53"/>
      <c r="DA573" s="53"/>
      <c r="DB573" s="53"/>
      <c r="DC573" s="53"/>
      <c r="DD573" s="53"/>
      <c r="DE573" s="53"/>
      <c r="DF573" s="53"/>
      <c r="DG573" s="53"/>
      <c r="DH573" s="53"/>
      <c r="DI573" s="53"/>
      <c r="DJ573" s="53"/>
      <c r="DK573" s="53"/>
      <c r="DL573" s="53"/>
      <c r="DM573" s="53"/>
      <c r="DN573" s="53"/>
      <c r="DO573" s="53"/>
      <c r="DP573" s="53"/>
      <c r="DQ573" s="53"/>
      <c r="DR573" s="53"/>
      <c r="DS573" s="53"/>
      <c r="DT573" s="53"/>
      <c r="DU573" s="53"/>
      <c r="DV573" s="53"/>
      <c r="DW573" s="53"/>
      <c r="DX573" s="53"/>
      <c r="DY573" s="53"/>
      <c r="DZ573" s="53"/>
      <c r="EA573" s="53"/>
      <c r="EB573" s="53"/>
      <c r="EC573" s="53"/>
      <c r="ED573" s="53"/>
      <c r="EE573" s="53"/>
      <c r="EF573" s="53"/>
      <c r="EG573" s="53"/>
      <c r="EH573" s="53"/>
      <c r="EI573" s="53"/>
      <c r="EJ573" s="53"/>
      <c r="EK573" s="53"/>
      <c r="EL573" s="53"/>
      <c r="EM573" s="53"/>
      <c r="EN573" s="53"/>
      <c r="EO573" s="53"/>
      <c r="EP573" s="53"/>
      <c r="EQ573" s="53"/>
      <c r="ER573" s="53"/>
      <c r="ES573" s="53"/>
      <c r="ET573" s="53"/>
      <c r="EU573" s="53"/>
      <c r="EV573" s="53"/>
      <c r="EW573" s="53"/>
      <c r="EX573" s="53"/>
      <c r="EY573" s="53"/>
      <c r="EZ573" s="53"/>
      <c r="FA573" s="53"/>
      <c r="FB573" s="53"/>
      <c r="FC573" s="53"/>
      <c r="FD573" s="53"/>
      <c r="FE573" s="53"/>
      <c r="FF573" s="53"/>
      <c r="FG573" s="53"/>
      <c r="FH573" s="53"/>
      <c r="FI573" s="53"/>
      <c r="FJ573" s="53"/>
      <c r="FK573" s="53"/>
      <c r="FL573" s="53"/>
      <c r="FM573" s="53"/>
      <c r="FN573" s="53"/>
      <c r="FO573" s="53"/>
      <c r="FP573" s="53"/>
      <c r="FQ573" s="53"/>
      <c r="FR573" s="53"/>
      <c r="FS573" s="53"/>
      <c r="FT573" s="53"/>
      <c r="FU573" s="53"/>
      <c r="FV573" s="53"/>
      <c r="FW573" s="53"/>
      <c r="FX573" s="53"/>
      <c r="FY573" s="53"/>
      <c r="FZ573" s="53"/>
      <c r="GA573" s="53"/>
      <c r="GB573" s="53"/>
      <c r="GC573" s="53"/>
      <c r="GD573" s="53"/>
      <c r="GE573" s="53"/>
      <c r="GF573" s="53"/>
      <c r="GG573" s="53"/>
      <c r="GH573" s="53"/>
      <c r="GI573" s="53"/>
      <c r="GJ573" s="53"/>
      <c r="GK573" s="53"/>
      <c r="GL573" s="53"/>
      <c r="GM573" s="53"/>
      <c r="GN573" s="53"/>
      <c r="GO573" s="53"/>
      <c r="GP573" s="53"/>
      <c r="GQ573" s="53"/>
      <c r="GR573" s="53"/>
      <c r="GS573" s="53"/>
      <c r="GT573" s="53"/>
      <c r="GU573" s="53"/>
      <c r="GV573" s="53"/>
      <c r="GW573" s="53"/>
      <c r="GX573" s="53"/>
      <c r="GY573" s="53"/>
      <c r="GZ573" s="53"/>
      <c r="HA573" s="53"/>
      <c r="HB573" s="53"/>
      <c r="HC573" s="53"/>
      <c r="HD573" s="53"/>
      <c r="HE573" s="53"/>
      <c r="HF573" s="53"/>
      <c r="HG573" s="53"/>
      <c r="HH573" s="53"/>
      <c r="HI573" s="53"/>
      <c r="HJ573" s="53"/>
      <c r="HK573" s="53"/>
      <c r="HL573" s="53"/>
      <c r="HM573" s="53"/>
      <c r="HN573" s="53"/>
      <c r="HO573" s="53"/>
      <c r="HP573" s="53"/>
      <c r="HQ573" s="53"/>
      <c r="HR573" s="53"/>
      <c r="HS573" s="53"/>
      <c r="HT573" s="53"/>
      <c r="HU573" s="53"/>
      <c r="HV573" s="53"/>
      <c r="HW573" s="53"/>
      <c r="HX573" s="53"/>
      <c r="HY573" s="53"/>
      <c r="HZ573" s="53"/>
      <c r="IA573" s="53"/>
    </row>
    <row r="574" spans="1:235" ht="33.75">
      <c r="A574" s="155" t="s">
        <v>423</v>
      </c>
      <c r="B574" s="6"/>
      <c r="C574" s="6"/>
      <c r="D574" s="7"/>
      <c r="E574" s="7"/>
      <c r="F574" s="7"/>
      <c r="G574" s="36"/>
      <c r="H574" s="36">
        <f>H576</f>
        <v>1000000</v>
      </c>
      <c r="I574" s="7"/>
      <c r="J574" s="36">
        <f>H574</f>
        <v>1000000</v>
      </c>
      <c r="K574" s="7"/>
      <c r="L574" s="7"/>
      <c r="M574" s="7"/>
      <c r="N574" s="7"/>
      <c r="O574" s="7"/>
      <c r="P574" s="7"/>
      <c r="Q574" s="24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  <c r="CF574" s="53"/>
      <c r="CG574" s="53"/>
      <c r="CH574" s="53"/>
      <c r="CI574" s="53"/>
      <c r="CJ574" s="53"/>
      <c r="CK574" s="53"/>
      <c r="CL574" s="53"/>
      <c r="CM574" s="53"/>
      <c r="CN574" s="53"/>
      <c r="CO574" s="53"/>
      <c r="CP574" s="53"/>
      <c r="CQ574" s="53"/>
      <c r="CR574" s="53"/>
      <c r="CS574" s="53"/>
      <c r="CT574" s="53"/>
      <c r="CU574" s="53"/>
      <c r="CV574" s="53"/>
      <c r="CW574" s="53"/>
      <c r="CX574" s="53"/>
      <c r="CY574" s="53"/>
      <c r="CZ574" s="53"/>
      <c r="DA574" s="53"/>
      <c r="DB574" s="53"/>
      <c r="DC574" s="53"/>
      <c r="DD574" s="53"/>
      <c r="DE574" s="53"/>
      <c r="DF574" s="53"/>
      <c r="DG574" s="53"/>
      <c r="DH574" s="53"/>
      <c r="DI574" s="53"/>
      <c r="DJ574" s="53"/>
      <c r="DK574" s="53"/>
      <c r="DL574" s="53"/>
      <c r="DM574" s="53"/>
      <c r="DN574" s="53"/>
      <c r="DO574" s="53"/>
      <c r="DP574" s="53"/>
      <c r="DQ574" s="53"/>
      <c r="DR574" s="53"/>
      <c r="DS574" s="53"/>
      <c r="DT574" s="53"/>
      <c r="DU574" s="53"/>
      <c r="DV574" s="53"/>
      <c r="DW574" s="53"/>
      <c r="DX574" s="53"/>
      <c r="DY574" s="53"/>
      <c r="DZ574" s="53"/>
      <c r="EA574" s="53"/>
      <c r="EB574" s="53"/>
      <c r="EC574" s="53"/>
      <c r="ED574" s="53"/>
      <c r="EE574" s="53"/>
      <c r="EF574" s="53"/>
      <c r="EG574" s="53"/>
      <c r="EH574" s="53"/>
      <c r="EI574" s="53"/>
      <c r="EJ574" s="53"/>
      <c r="EK574" s="53"/>
      <c r="EL574" s="53"/>
      <c r="EM574" s="53"/>
      <c r="EN574" s="53"/>
      <c r="EO574" s="53"/>
      <c r="EP574" s="53"/>
      <c r="EQ574" s="53"/>
      <c r="ER574" s="53"/>
      <c r="ES574" s="53"/>
      <c r="ET574" s="53"/>
      <c r="EU574" s="53"/>
      <c r="EV574" s="53"/>
      <c r="EW574" s="53"/>
      <c r="EX574" s="53"/>
      <c r="EY574" s="53"/>
      <c r="EZ574" s="53"/>
      <c r="FA574" s="53"/>
      <c r="FB574" s="53"/>
      <c r="FC574" s="53"/>
      <c r="FD574" s="53"/>
      <c r="FE574" s="53"/>
      <c r="FF574" s="53"/>
      <c r="FG574" s="53"/>
      <c r="FH574" s="53"/>
      <c r="FI574" s="53"/>
      <c r="FJ574" s="53"/>
      <c r="FK574" s="53"/>
      <c r="FL574" s="53"/>
      <c r="FM574" s="53"/>
      <c r="FN574" s="53"/>
      <c r="FO574" s="53"/>
      <c r="FP574" s="53"/>
      <c r="FQ574" s="53"/>
      <c r="FR574" s="53"/>
      <c r="FS574" s="53"/>
      <c r="FT574" s="53"/>
      <c r="FU574" s="53"/>
      <c r="FV574" s="53"/>
      <c r="FW574" s="53"/>
      <c r="FX574" s="53"/>
      <c r="FY574" s="53"/>
      <c r="FZ574" s="53"/>
      <c r="GA574" s="53"/>
      <c r="GB574" s="53"/>
      <c r="GC574" s="53"/>
      <c r="GD574" s="53"/>
      <c r="GE574" s="53"/>
      <c r="GF574" s="53"/>
      <c r="GG574" s="53"/>
      <c r="GH574" s="53"/>
      <c r="GI574" s="53"/>
      <c r="GJ574" s="53"/>
      <c r="GK574" s="53"/>
      <c r="GL574" s="53"/>
      <c r="GM574" s="53"/>
      <c r="GN574" s="53"/>
      <c r="GO574" s="53"/>
      <c r="GP574" s="53"/>
      <c r="GQ574" s="53"/>
      <c r="GR574" s="53"/>
      <c r="GS574" s="53"/>
      <c r="GT574" s="53"/>
      <c r="GU574" s="53"/>
      <c r="GV574" s="53"/>
      <c r="GW574" s="53"/>
      <c r="GX574" s="53"/>
      <c r="GY574" s="53"/>
      <c r="GZ574" s="53"/>
      <c r="HA574" s="53"/>
      <c r="HB574" s="53"/>
      <c r="HC574" s="53"/>
      <c r="HD574" s="53"/>
      <c r="HE574" s="53"/>
      <c r="HF574" s="53"/>
      <c r="HG574" s="53"/>
      <c r="HH574" s="53"/>
      <c r="HI574" s="53"/>
      <c r="HJ574" s="53"/>
      <c r="HK574" s="53"/>
      <c r="HL574" s="53"/>
      <c r="HM574" s="53"/>
      <c r="HN574" s="53"/>
      <c r="HO574" s="53"/>
      <c r="HP574" s="53"/>
      <c r="HQ574" s="53"/>
      <c r="HR574" s="53"/>
      <c r="HS574" s="53"/>
      <c r="HT574" s="53"/>
      <c r="HU574" s="53"/>
      <c r="HV574" s="53"/>
      <c r="HW574" s="53"/>
      <c r="HX574" s="53"/>
      <c r="HY574" s="53"/>
      <c r="HZ574" s="53"/>
      <c r="IA574" s="53"/>
    </row>
    <row r="575" spans="1:235" ht="11.25">
      <c r="A575" s="5" t="s">
        <v>4</v>
      </c>
      <c r="B575" s="6"/>
      <c r="C575" s="6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24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3"/>
      <c r="BS575" s="53"/>
      <c r="BT575" s="53"/>
      <c r="BU575" s="53"/>
      <c r="BV575" s="53"/>
      <c r="BW575" s="53"/>
      <c r="BX575" s="53"/>
      <c r="BY575" s="53"/>
      <c r="BZ575" s="53"/>
      <c r="CA575" s="53"/>
      <c r="CB575" s="53"/>
      <c r="CC575" s="53"/>
      <c r="CD575" s="53"/>
      <c r="CE575" s="53"/>
      <c r="CF575" s="53"/>
      <c r="CG575" s="53"/>
      <c r="CH575" s="53"/>
      <c r="CI575" s="53"/>
      <c r="CJ575" s="53"/>
      <c r="CK575" s="53"/>
      <c r="CL575" s="53"/>
      <c r="CM575" s="53"/>
      <c r="CN575" s="53"/>
      <c r="CO575" s="53"/>
      <c r="CP575" s="53"/>
      <c r="CQ575" s="53"/>
      <c r="CR575" s="53"/>
      <c r="CS575" s="53"/>
      <c r="CT575" s="53"/>
      <c r="CU575" s="53"/>
      <c r="CV575" s="53"/>
      <c r="CW575" s="53"/>
      <c r="CX575" s="53"/>
      <c r="CY575" s="53"/>
      <c r="CZ575" s="53"/>
      <c r="DA575" s="53"/>
      <c r="DB575" s="53"/>
      <c r="DC575" s="53"/>
      <c r="DD575" s="53"/>
      <c r="DE575" s="53"/>
      <c r="DF575" s="53"/>
      <c r="DG575" s="53"/>
      <c r="DH575" s="53"/>
      <c r="DI575" s="53"/>
      <c r="DJ575" s="53"/>
      <c r="DK575" s="53"/>
      <c r="DL575" s="53"/>
      <c r="DM575" s="53"/>
      <c r="DN575" s="53"/>
      <c r="DO575" s="53"/>
      <c r="DP575" s="53"/>
      <c r="DQ575" s="53"/>
      <c r="DR575" s="53"/>
      <c r="DS575" s="53"/>
      <c r="DT575" s="53"/>
      <c r="DU575" s="53"/>
      <c r="DV575" s="53"/>
      <c r="DW575" s="53"/>
      <c r="DX575" s="53"/>
      <c r="DY575" s="53"/>
      <c r="DZ575" s="53"/>
      <c r="EA575" s="53"/>
      <c r="EB575" s="53"/>
      <c r="EC575" s="53"/>
      <c r="ED575" s="53"/>
      <c r="EE575" s="53"/>
      <c r="EF575" s="53"/>
      <c r="EG575" s="53"/>
      <c r="EH575" s="53"/>
      <c r="EI575" s="53"/>
      <c r="EJ575" s="53"/>
      <c r="EK575" s="53"/>
      <c r="EL575" s="53"/>
      <c r="EM575" s="53"/>
      <c r="EN575" s="53"/>
      <c r="EO575" s="53"/>
      <c r="EP575" s="53"/>
      <c r="EQ575" s="53"/>
      <c r="ER575" s="53"/>
      <c r="ES575" s="53"/>
      <c r="ET575" s="53"/>
      <c r="EU575" s="53"/>
      <c r="EV575" s="53"/>
      <c r="EW575" s="53"/>
      <c r="EX575" s="53"/>
      <c r="EY575" s="53"/>
      <c r="EZ575" s="53"/>
      <c r="FA575" s="53"/>
      <c r="FB575" s="53"/>
      <c r="FC575" s="53"/>
      <c r="FD575" s="53"/>
      <c r="FE575" s="53"/>
      <c r="FF575" s="53"/>
      <c r="FG575" s="53"/>
      <c r="FH575" s="53"/>
      <c r="FI575" s="53"/>
      <c r="FJ575" s="53"/>
      <c r="FK575" s="53"/>
      <c r="FL575" s="53"/>
      <c r="FM575" s="53"/>
      <c r="FN575" s="53"/>
      <c r="FO575" s="53"/>
      <c r="FP575" s="53"/>
      <c r="FQ575" s="53"/>
      <c r="FR575" s="53"/>
      <c r="FS575" s="53"/>
      <c r="FT575" s="53"/>
      <c r="FU575" s="53"/>
      <c r="FV575" s="53"/>
      <c r="FW575" s="53"/>
      <c r="FX575" s="53"/>
      <c r="FY575" s="53"/>
      <c r="FZ575" s="53"/>
      <c r="GA575" s="53"/>
      <c r="GB575" s="53"/>
      <c r="GC575" s="53"/>
      <c r="GD575" s="53"/>
      <c r="GE575" s="53"/>
      <c r="GF575" s="53"/>
      <c r="GG575" s="53"/>
      <c r="GH575" s="53"/>
      <c r="GI575" s="53"/>
      <c r="GJ575" s="53"/>
      <c r="GK575" s="53"/>
      <c r="GL575" s="53"/>
      <c r="GM575" s="53"/>
      <c r="GN575" s="53"/>
      <c r="GO575" s="53"/>
      <c r="GP575" s="53"/>
      <c r="GQ575" s="53"/>
      <c r="GR575" s="53"/>
      <c r="GS575" s="53"/>
      <c r="GT575" s="53"/>
      <c r="GU575" s="53"/>
      <c r="GV575" s="53"/>
      <c r="GW575" s="53"/>
      <c r="GX575" s="53"/>
      <c r="GY575" s="53"/>
      <c r="GZ575" s="53"/>
      <c r="HA575" s="53"/>
      <c r="HB575" s="53"/>
      <c r="HC575" s="53"/>
      <c r="HD575" s="53"/>
      <c r="HE575" s="53"/>
      <c r="HF575" s="53"/>
      <c r="HG575" s="53"/>
      <c r="HH575" s="53"/>
      <c r="HI575" s="53"/>
      <c r="HJ575" s="53"/>
      <c r="HK575" s="53"/>
      <c r="HL575" s="53"/>
      <c r="HM575" s="53"/>
      <c r="HN575" s="53"/>
      <c r="HO575" s="53"/>
      <c r="HP575" s="53"/>
      <c r="HQ575" s="53"/>
      <c r="HR575" s="53"/>
      <c r="HS575" s="53"/>
      <c r="HT575" s="53"/>
      <c r="HU575" s="53"/>
      <c r="HV575" s="53"/>
      <c r="HW575" s="53"/>
      <c r="HX575" s="53"/>
      <c r="HY575" s="53"/>
      <c r="HZ575" s="53"/>
      <c r="IA575" s="53"/>
    </row>
    <row r="576" spans="1:235" ht="11.25">
      <c r="A576" s="8" t="s">
        <v>43</v>
      </c>
      <c r="B576" s="6"/>
      <c r="C576" s="6"/>
      <c r="D576" s="7"/>
      <c r="E576" s="7"/>
      <c r="F576" s="7"/>
      <c r="G576" s="7"/>
      <c r="H576" s="7">
        <v>1000000</v>
      </c>
      <c r="I576" s="7"/>
      <c r="J576" s="7">
        <f>H576</f>
        <v>1000000</v>
      </c>
      <c r="K576" s="7"/>
      <c r="L576" s="7"/>
      <c r="M576" s="7"/>
      <c r="N576" s="7"/>
      <c r="O576" s="7"/>
      <c r="P576" s="7"/>
      <c r="Q576" s="24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3"/>
      <c r="BS576" s="53"/>
      <c r="BT576" s="53"/>
      <c r="BU576" s="53"/>
      <c r="BV576" s="53"/>
      <c r="BW576" s="53"/>
      <c r="BX576" s="53"/>
      <c r="BY576" s="53"/>
      <c r="BZ576" s="53"/>
      <c r="CA576" s="53"/>
      <c r="CB576" s="53"/>
      <c r="CC576" s="53"/>
      <c r="CD576" s="53"/>
      <c r="CE576" s="53"/>
      <c r="CF576" s="53"/>
      <c r="CG576" s="53"/>
      <c r="CH576" s="53"/>
      <c r="CI576" s="53"/>
      <c r="CJ576" s="53"/>
      <c r="CK576" s="53"/>
      <c r="CL576" s="53"/>
      <c r="CM576" s="53"/>
      <c r="CN576" s="53"/>
      <c r="CO576" s="53"/>
      <c r="CP576" s="53"/>
      <c r="CQ576" s="53"/>
      <c r="CR576" s="53"/>
      <c r="CS576" s="53"/>
      <c r="CT576" s="53"/>
      <c r="CU576" s="53"/>
      <c r="CV576" s="53"/>
      <c r="CW576" s="53"/>
      <c r="CX576" s="53"/>
      <c r="CY576" s="53"/>
      <c r="CZ576" s="53"/>
      <c r="DA576" s="53"/>
      <c r="DB576" s="53"/>
      <c r="DC576" s="53"/>
      <c r="DD576" s="53"/>
      <c r="DE576" s="53"/>
      <c r="DF576" s="53"/>
      <c r="DG576" s="53"/>
      <c r="DH576" s="53"/>
      <c r="DI576" s="53"/>
      <c r="DJ576" s="53"/>
      <c r="DK576" s="53"/>
      <c r="DL576" s="53"/>
      <c r="DM576" s="53"/>
      <c r="DN576" s="53"/>
      <c r="DO576" s="53"/>
      <c r="DP576" s="53"/>
      <c r="DQ576" s="53"/>
      <c r="DR576" s="53"/>
      <c r="DS576" s="53"/>
      <c r="DT576" s="53"/>
      <c r="DU576" s="53"/>
      <c r="DV576" s="53"/>
      <c r="DW576" s="53"/>
      <c r="DX576" s="53"/>
      <c r="DY576" s="53"/>
      <c r="DZ576" s="53"/>
      <c r="EA576" s="53"/>
      <c r="EB576" s="53"/>
      <c r="EC576" s="53"/>
      <c r="ED576" s="53"/>
      <c r="EE576" s="53"/>
      <c r="EF576" s="53"/>
      <c r="EG576" s="53"/>
      <c r="EH576" s="53"/>
      <c r="EI576" s="53"/>
      <c r="EJ576" s="53"/>
      <c r="EK576" s="53"/>
      <c r="EL576" s="53"/>
      <c r="EM576" s="53"/>
      <c r="EN576" s="53"/>
      <c r="EO576" s="53"/>
      <c r="EP576" s="53"/>
      <c r="EQ576" s="53"/>
      <c r="ER576" s="53"/>
      <c r="ES576" s="53"/>
      <c r="ET576" s="53"/>
      <c r="EU576" s="53"/>
      <c r="EV576" s="53"/>
      <c r="EW576" s="53"/>
      <c r="EX576" s="53"/>
      <c r="EY576" s="53"/>
      <c r="EZ576" s="53"/>
      <c r="FA576" s="53"/>
      <c r="FB576" s="53"/>
      <c r="FC576" s="53"/>
      <c r="FD576" s="53"/>
      <c r="FE576" s="53"/>
      <c r="FF576" s="53"/>
      <c r="FG576" s="53"/>
      <c r="FH576" s="53"/>
      <c r="FI576" s="53"/>
      <c r="FJ576" s="53"/>
      <c r="FK576" s="53"/>
      <c r="FL576" s="53"/>
      <c r="FM576" s="53"/>
      <c r="FN576" s="53"/>
      <c r="FO576" s="53"/>
      <c r="FP576" s="53"/>
      <c r="FQ576" s="53"/>
      <c r="FR576" s="53"/>
      <c r="FS576" s="53"/>
      <c r="FT576" s="53"/>
      <c r="FU576" s="53"/>
      <c r="FV576" s="53"/>
      <c r="FW576" s="53"/>
      <c r="FX576" s="53"/>
      <c r="FY576" s="53"/>
      <c r="FZ576" s="53"/>
      <c r="GA576" s="53"/>
      <c r="GB576" s="53"/>
      <c r="GC576" s="53"/>
      <c r="GD576" s="53"/>
      <c r="GE576" s="53"/>
      <c r="GF576" s="53"/>
      <c r="GG576" s="53"/>
      <c r="GH576" s="53"/>
      <c r="GI576" s="53"/>
      <c r="GJ576" s="53"/>
      <c r="GK576" s="53"/>
      <c r="GL576" s="53"/>
      <c r="GM576" s="53"/>
      <c r="GN576" s="53"/>
      <c r="GO576" s="53"/>
      <c r="GP576" s="53"/>
      <c r="GQ576" s="53"/>
      <c r="GR576" s="53"/>
      <c r="GS576" s="53"/>
      <c r="GT576" s="53"/>
      <c r="GU576" s="53"/>
      <c r="GV576" s="53"/>
      <c r="GW576" s="53"/>
      <c r="GX576" s="53"/>
      <c r="GY576" s="53"/>
      <c r="GZ576" s="53"/>
      <c r="HA576" s="53"/>
      <c r="HB576" s="53"/>
      <c r="HC576" s="53"/>
      <c r="HD576" s="53"/>
      <c r="HE576" s="53"/>
      <c r="HF576" s="53"/>
      <c r="HG576" s="53"/>
      <c r="HH576" s="53"/>
      <c r="HI576" s="53"/>
      <c r="HJ576" s="53"/>
      <c r="HK576" s="53"/>
      <c r="HL576" s="53"/>
      <c r="HM576" s="53"/>
      <c r="HN576" s="53"/>
      <c r="HO576" s="53"/>
      <c r="HP576" s="53"/>
      <c r="HQ576" s="53"/>
      <c r="HR576" s="53"/>
      <c r="HS576" s="53"/>
      <c r="HT576" s="53"/>
      <c r="HU576" s="53"/>
      <c r="HV576" s="53"/>
      <c r="HW576" s="53"/>
      <c r="HX576" s="53"/>
      <c r="HY576" s="53"/>
      <c r="HZ576" s="53"/>
      <c r="IA576" s="53"/>
    </row>
    <row r="577" spans="1:235" ht="11.25">
      <c r="A577" s="5" t="s">
        <v>5</v>
      </c>
      <c r="B577" s="6"/>
      <c r="C577" s="6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24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3"/>
      <c r="BS577" s="53"/>
      <c r="BT577" s="53"/>
      <c r="BU577" s="53"/>
      <c r="BV577" s="53"/>
      <c r="BW577" s="53"/>
      <c r="BX577" s="53"/>
      <c r="BY577" s="53"/>
      <c r="BZ577" s="53"/>
      <c r="CA577" s="53"/>
      <c r="CB577" s="53"/>
      <c r="CC577" s="53"/>
      <c r="CD577" s="53"/>
      <c r="CE577" s="53"/>
      <c r="CF577" s="53"/>
      <c r="CG577" s="53"/>
      <c r="CH577" s="53"/>
      <c r="CI577" s="53"/>
      <c r="CJ577" s="53"/>
      <c r="CK577" s="53"/>
      <c r="CL577" s="53"/>
      <c r="CM577" s="53"/>
      <c r="CN577" s="53"/>
      <c r="CO577" s="53"/>
      <c r="CP577" s="53"/>
      <c r="CQ577" s="53"/>
      <c r="CR577" s="53"/>
      <c r="CS577" s="53"/>
      <c r="CT577" s="53"/>
      <c r="CU577" s="53"/>
      <c r="CV577" s="53"/>
      <c r="CW577" s="53"/>
      <c r="CX577" s="53"/>
      <c r="CY577" s="53"/>
      <c r="CZ577" s="53"/>
      <c r="DA577" s="53"/>
      <c r="DB577" s="53"/>
      <c r="DC577" s="53"/>
      <c r="DD577" s="53"/>
      <c r="DE577" s="53"/>
      <c r="DF577" s="53"/>
      <c r="DG577" s="53"/>
      <c r="DH577" s="53"/>
      <c r="DI577" s="53"/>
      <c r="DJ577" s="53"/>
      <c r="DK577" s="53"/>
      <c r="DL577" s="53"/>
      <c r="DM577" s="53"/>
      <c r="DN577" s="53"/>
      <c r="DO577" s="53"/>
      <c r="DP577" s="53"/>
      <c r="DQ577" s="53"/>
      <c r="DR577" s="53"/>
      <c r="DS577" s="53"/>
      <c r="DT577" s="53"/>
      <c r="DU577" s="53"/>
      <c r="DV577" s="53"/>
      <c r="DW577" s="53"/>
      <c r="DX577" s="53"/>
      <c r="DY577" s="53"/>
      <c r="DZ577" s="53"/>
      <c r="EA577" s="53"/>
      <c r="EB577" s="53"/>
      <c r="EC577" s="53"/>
      <c r="ED577" s="53"/>
      <c r="EE577" s="53"/>
      <c r="EF577" s="53"/>
      <c r="EG577" s="53"/>
      <c r="EH577" s="53"/>
      <c r="EI577" s="53"/>
      <c r="EJ577" s="53"/>
      <c r="EK577" s="53"/>
      <c r="EL577" s="53"/>
      <c r="EM577" s="53"/>
      <c r="EN577" s="53"/>
      <c r="EO577" s="53"/>
      <c r="EP577" s="53"/>
      <c r="EQ577" s="53"/>
      <c r="ER577" s="53"/>
      <c r="ES577" s="53"/>
      <c r="ET577" s="53"/>
      <c r="EU577" s="53"/>
      <c r="EV577" s="53"/>
      <c r="EW577" s="53"/>
      <c r="EX577" s="53"/>
      <c r="EY577" s="53"/>
      <c r="EZ577" s="53"/>
      <c r="FA577" s="53"/>
      <c r="FB577" s="53"/>
      <c r="FC577" s="53"/>
      <c r="FD577" s="53"/>
      <c r="FE577" s="53"/>
      <c r="FF577" s="53"/>
      <c r="FG577" s="53"/>
      <c r="FH577" s="53"/>
      <c r="FI577" s="53"/>
      <c r="FJ577" s="53"/>
      <c r="FK577" s="53"/>
      <c r="FL577" s="53"/>
      <c r="FM577" s="53"/>
      <c r="FN577" s="53"/>
      <c r="FO577" s="53"/>
      <c r="FP577" s="53"/>
      <c r="FQ577" s="53"/>
      <c r="FR577" s="53"/>
      <c r="FS577" s="53"/>
      <c r="FT577" s="53"/>
      <c r="FU577" s="53"/>
      <c r="FV577" s="53"/>
      <c r="FW577" s="53"/>
      <c r="FX577" s="53"/>
      <c r="FY577" s="53"/>
      <c r="FZ577" s="53"/>
      <c r="GA577" s="53"/>
      <c r="GB577" s="53"/>
      <c r="GC577" s="53"/>
      <c r="GD577" s="53"/>
      <c r="GE577" s="53"/>
      <c r="GF577" s="53"/>
      <c r="GG577" s="53"/>
      <c r="GH577" s="53"/>
      <c r="GI577" s="53"/>
      <c r="GJ577" s="53"/>
      <c r="GK577" s="53"/>
      <c r="GL577" s="53"/>
      <c r="GM577" s="53"/>
      <c r="GN577" s="53"/>
      <c r="GO577" s="53"/>
      <c r="GP577" s="53"/>
      <c r="GQ577" s="53"/>
      <c r="GR577" s="53"/>
      <c r="GS577" s="53"/>
      <c r="GT577" s="53"/>
      <c r="GU577" s="53"/>
      <c r="GV577" s="53"/>
      <c r="GW577" s="53"/>
      <c r="GX577" s="53"/>
      <c r="GY577" s="53"/>
      <c r="GZ577" s="53"/>
      <c r="HA577" s="53"/>
      <c r="HB577" s="53"/>
      <c r="HC577" s="53"/>
      <c r="HD577" s="53"/>
      <c r="HE577" s="53"/>
      <c r="HF577" s="53"/>
      <c r="HG577" s="53"/>
      <c r="HH577" s="53"/>
      <c r="HI577" s="53"/>
      <c r="HJ577" s="53"/>
      <c r="HK577" s="53"/>
      <c r="HL577" s="53"/>
      <c r="HM577" s="53"/>
      <c r="HN577" s="53"/>
      <c r="HO577" s="53"/>
      <c r="HP577" s="53"/>
      <c r="HQ577" s="53"/>
      <c r="HR577" s="53"/>
      <c r="HS577" s="53"/>
      <c r="HT577" s="53"/>
      <c r="HU577" s="53"/>
      <c r="HV577" s="53"/>
      <c r="HW577" s="53"/>
      <c r="HX577" s="53"/>
      <c r="HY577" s="53"/>
      <c r="HZ577" s="53"/>
      <c r="IA577" s="53"/>
    </row>
    <row r="578" spans="1:235" ht="11.25">
      <c r="A578" s="8" t="s">
        <v>399</v>
      </c>
      <c r="B578" s="6"/>
      <c r="C578" s="6"/>
      <c r="D578" s="7"/>
      <c r="E578" s="7"/>
      <c r="F578" s="7"/>
      <c r="G578" s="7"/>
      <c r="H578" s="7">
        <v>1</v>
      </c>
      <c r="I578" s="7"/>
      <c r="J578" s="7">
        <f>H578</f>
        <v>1</v>
      </c>
      <c r="K578" s="7"/>
      <c r="L578" s="7"/>
      <c r="M578" s="7"/>
      <c r="N578" s="7"/>
      <c r="O578" s="7"/>
      <c r="P578" s="7"/>
      <c r="Q578" s="24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  <c r="CF578" s="53"/>
      <c r="CG578" s="53"/>
      <c r="CH578" s="53"/>
      <c r="CI578" s="53"/>
      <c r="CJ578" s="53"/>
      <c r="CK578" s="53"/>
      <c r="CL578" s="53"/>
      <c r="CM578" s="53"/>
      <c r="CN578" s="53"/>
      <c r="CO578" s="53"/>
      <c r="CP578" s="53"/>
      <c r="CQ578" s="53"/>
      <c r="CR578" s="53"/>
      <c r="CS578" s="53"/>
      <c r="CT578" s="53"/>
      <c r="CU578" s="53"/>
      <c r="CV578" s="53"/>
      <c r="CW578" s="53"/>
      <c r="CX578" s="53"/>
      <c r="CY578" s="53"/>
      <c r="CZ578" s="53"/>
      <c r="DA578" s="53"/>
      <c r="DB578" s="53"/>
      <c r="DC578" s="53"/>
      <c r="DD578" s="53"/>
      <c r="DE578" s="53"/>
      <c r="DF578" s="53"/>
      <c r="DG578" s="53"/>
      <c r="DH578" s="53"/>
      <c r="DI578" s="53"/>
      <c r="DJ578" s="53"/>
      <c r="DK578" s="53"/>
      <c r="DL578" s="53"/>
      <c r="DM578" s="53"/>
      <c r="DN578" s="53"/>
      <c r="DO578" s="53"/>
      <c r="DP578" s="53"/>
      <c r="DQ578" s="53"/>
      <c r="DR578" s="53"/>
      <c r="DS578" s="53"/>
      <c r="DT578" s="53"/>
      <c r="DU578" s="53"/>
      <c r="DV578" s="53"/>
      <c r="DW578" s="53"/>
      <c r="DX578" s="53"/>
      <c r="DY578" s="53"/>
      <c r="DZ578" s="53"/>
      <c r="EA578" s="53"/>
      <c r="EB578" s="53"/>
      <c r="EC578" s="53"/>
      <c r="ED578" s="53"/>
      <c r="EE578" s="53"/>
      <c r="EF578" s="53"/>
      <c r="EG578" s="53"/>
      <c r="EH578" s="53"/>
      <c r="EI578" s="53"/>
      <c r="EJ578" s="53"/>
      <c r="EK578" s="53"/>
      <c r="EL578" s="53"/>
      <c r="EM578" s="53"/>
      <c r="EN578" s="53"/>
      <c r="EO578" s="53"/>
      <c r="EP578" s="53"/>
      <c r="EQ578" s="53"/>
      <c r="ER578" s="53"/>
      <c r="ES578" s="53"/>
      <c r="ET578" s="53"/>
      <c r="EU578" s="53"/>
      <c r="EV578" s="53"/>
      <c r="EW578" s="53"/>
      <c r="EX578" s="53"/>
      <c r="EY578" s="53"/>
      <c r="EZ578" s="53"/>
      <c r="FA578" s="53"/>
      <c r="FB578" s="53"/>
      <c r="FC578" s="53"/>
      <c r="FD578" s="53"/>
      <c r="FE578" s="53"/>
      <c r="FF578" s="53"/>
      <c r="FG578" s="53"/>
      <c r="FH578" s="53"/>
      <c r="FI578" s="53"/>
      <c r="FJ578" s="53"/>
      <c r="FK578" s="53"/>
      <c r="FL578" s="53"/>
      <c r="FM578" s="53"/>
      <c r="FN578" s="53"/>
      <c r="FO578" s="53"/>
      <c r="FP578" s="53"/>
      <c r="FQ578" s="53"/>
      <c r="FR578" s="53"/>
      <c r="FS578" s="53"/>
      <c r="FT578" s="53"/>
      <c r="FU578" s="53"/>
      <c r="FV578" s="53"/>
      <c r="FW578" s="53"/>
      <c r="FX578" s="53"/>
      <c r="FY578" s="53"/>
      <c r="FZ578" s="53"/>
      <c r="GA578" s="53"/>
      <c r="GB578" s="53"/>
      <c r="GC578" s="53"/>
      <c r="GD578" s="53"/>
      <c r="GE578" s="53"/>
      <c r="GF578" s="53"/>
      <c r="GG578" s="53"/>
      <c r="GH578" s="53"/>
      <c r="GI578" s="53"/>
      <c r="GJ578" s="53"/>
      <c r="GK578" s="53"/>
      <c r="GL578" s="53"/>
      <c r="GM578" s="53"/>
      <c r="GN578" s="53"/>
      <c r="GO578" s="53"/>
      <c r="GP578" s="53"/>
      <c r="GQ578" s="53"/>
      <c r="GR578" s="53"/>
      <c r="GS578" s="53"/>
      <c r="GT578" s="53"/>
      <c r="GU578" s="53"/>
      <c r="GV578" s="53"/>
      <c r="GW578" s="53"/>
      <c r="GX578" s="53"/>
      <c r="GY578" s="53"/>
      <c r="GZ578" s="53"/>
      <c r="HA578" s="53"/>
      <c r="HB578" s="53"/>
      <c r="HC578" s="53"/>
      <c r="HD578" s="53"/>
      <c r="HE578" s="53"/>
      <c r="HF578" s="53"/>
      <c r="HG578" s="53"/>
      <c r="HH578" s="53"/>
      <c r="HI578" s="53"/>
      <c r="HJ578" s="53"/>
      <c r="HK578" s="53"/>
      <c r="HL578" s="53"/>
      <c r="HM578" s="53"/>
      <c r="HN578" s="53"/>
      <c r="HO578" s="53"/>
      <c r="HP578" s="53"/>
      <c r="HQ578" s="53"/>
      <c r="HR578" s="53"/>
      <c r="HS578" s="53"/>
      <c r="HT578" s="53"/>
      <c r="HU578" s="53"/>
      <c r="HV578" s="53"/>
      <c r="HW578" s="53"/>
      <c r="HX578" s="53"/>
      <c r="HY578" s="53"/>
      <c r="HZ578" s="53"/>
      <c r="IA578" s="53"/>
    </row>
    <row r="579" spans="1:235" ht="11.25">
      <c r="A579" s="5" t="s">
        <v>7</v>
      </c>
      <c r="B579" s="6"/>
      <c r="C579" s="6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24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3"/>
      <c r="BS579" s="53"/>
      <c r="BT579" s="53"/>
      <c r="BU579" s="53"/>
      <c r="BV579" s="53"/>
      <c r="BW579" s="53"/>
      <c r="BX579" s="53"/>
      <c r="BY579" s="53"/>
      <c r="BZ579" s="53"/>
      <c r="CA579" s="53"/>
      <c r="CB579" s="53"/>
      <c r="CC579" s="53"/>
      <c r="CD579" s="53"/>
      <c r="CE579" s="53"/>
      <c r="CF579" s="53"/>
      <c r="CG579" s="53"/>
      <c r="CH579" s="53"/>
      <c r="CI579" s="53"/>
      <c r="CJ579" s="53"/>
      <c r="CK579" s="53"/>
      <c r="CL579" s="53"/>
      <c r="CM579" s="53"/>
      <c r="CN579" s="53"/>
      <c r="CO579" s="53"/>
      <c r="CP579" s="53"/>
      <c r="CQ579" s="53"/>
      <c r="CR579" s="53"/>
      <c r="CS579" s="53"/>
      <c r="CT579" s="53"/>
      <c r="CU579" s="53"/>
      <c r="CV579" s="53"/>
      <c r="CW579" s="53"/>
      <c r="CX579" s="53"/>
      <c r="CY579" s="53"/>
      <c r="CZ579" s="53"/>
      <c r="DA579" s="53"/>
      <c r="DB579" s="53"/>
      <c r="DC579" s="53"/>
      <c r="DD579" s="53"/>
      <c r="DE579" s="53"/>
      <c r="DF579" s="53"/>
      <c r="DG579" s="53"/>
      <c r="DH579" s="53"/>
      <c r="DI579" s="53"/>
      <c r="DJ579" s="53"/>
      <c r="DK579" s="53"/>
      <c r="DL579" s="53"/>
      <c r="DM579" s="53"/>
      <c r="DN579" s="53"/>
      <c r="DO579" s="53"/>
      <c r="DP579" s="53"/>
      <c r="DQ579" s="53"/>
      <c r="DR579" s="53"/>
      <c r="DS579" s="53"/>
      <c r="DT579" s="53"/>
      <c r="DU579" s="53"/>
      <c r="DV579" s="53"/>
      <c r="DW579" s="53"/>
      <c r="DX579" s="53"/>
      <c r="DY579" s="53"/>
      <c r="DZ579" s="53"/>
      <c r="EA579" s="53"/>
      <c r="EB579" s="53"/>
      <c r="EC579" s="53"/>
      <c r="ED579" s="53"/>
      <c r="EE579" s="53"/>
      <c r="EF579" s="53"/>
      <c r="EG579" s="53"/>
      <c r="EH579" s="53"/>
      <c r="EI579" s="53"/>
      <c r="EJ579" s="53"/>
      <c r="EK579" s="53"/>
      <c r="EL579" s="53"/>
      <c r="EM579" s="53"/>
      <c r="EN579" s="53"/>
      <c r="EO579" s="53"/>
      <c r="EP579" s="53"/>
      <c r="EQ579" s="53"/>
      <c r="ER579" s="53"/>
      <c r="ES579" s="53"/>
      <c r="ET579" s="53"/>
      <c r="EU579" s="53"/>
      <c r="EV579" s="53"/>
      <c r="EW579" s="53"/>
      <c r="EX579" s="53"/>
      <c r="EY579" s="53"/>
      <c r="EZ579" s="53"/>
      <c r="FA579" s="53"/>
      <c r="FB579" s="53"/>
      <c r="FC579" s="53"/>
      <c r="FD579" s="53"/>
      <c r="FE579" s="53"/>
      <c r="FF579" s="53"/>
      <c r="FG579" s="53"/>
      <c r="FH579" s="53"/>
      <c r="FI579" s="53"/>
      <c r="FJ579" s="53"/>
      <c r="FK579" s="53"/>
      <c r="FL579" s="53"/>
      <c r="FM579" s="53"/>
      <c r="FN579" s="53"/>
      <c r="FO579" s="53"/>
      <c r="FP579" s="53"/>
      <c r="FQ579" s="53"/>
      <c r="FR579" s="53"/>
      <c r="FS579" s="53"/>
      <c r="FT579" s="53"/>
      <c r="FU579" s="53"/>
      <c r="FV579" s="53"/>
      <c r="FW579" s="53"/>
      <c r="FX579" s="53"/>
      <c r="FY579" s="53"/>
      <c r="FZ579" s="53"/>
      <c r="GA579" s="53"/>
      <c r="GB579" s="53"/>
      <c r="GC579" s="53"/>
      <c r="GD579" s="53"/>
      <c r="GE579" s="53"/>
      <c r="GF579" s="53"/>
      <c r="GG579" s="53"/>
      <c r="GH579" s="53"/>
      <c r="GI579" s="53"/>
      <c r="GJ579" s="53"/>
      <c r="GK579" s="53"/>
      <c r="GL579" s="53"/>
      <c r="GM579" s="53"/>
      <c r="GN579" s="53"/>
      <c r="GO579" s="53"/>
      <c r="GP579" s="53"/>
      <c r="GQ579" s="53"/>
      <c r="GR579" s="53"/>
      <c r="GS579" s="53"/>
      <c r="GT579" s="53"/>
      <c r="GU579" s="53"/>
      <c r="GV579" s="53"/>
      <c r="GW579" s="53"/>
      <c r="GX579" s="53"/>
      <c r="GY579" s="53"/>
      <c r="GZ579" s="53"/>
      <c r="HA579" s="53"/>
      <c r="HB579" s="53"/>
      <c r="HC579" s="53"/>
      <c r="HD579" s="53"/>
      <c r="HE579" s="53"/>
      <c r="HF579" s="53"/>
      <c r="HG579" s="53"/>
      <c r="HH579" s="53"/>
      <c r="HI579" s="53"/>
      <c r="HJ579" s="53"/>
      <c r="HK579" s="53"/>
      <c r="HL579" s="53"/>
      <c r="HM579" s="53"/>
      <c r="HN579" s="53"/>
      <c r="HO579" s="53"/>
      <c r="HP579" s="53"/>
      <c r="HQ579" s="53"/>
      <c r="HR579" s="53"/>
      <c r="HS579" s="53"/>
      <c r="HT579" s="53"/>
      <c r="HU579" s="53"/>
      <c r="HV579" s="53"/>
      <c r="HW579" s="53"/>
      <c r="HX579" s="53"/>
      <c r="HY579" s="53"/>
      <c r="HZ579" s="53"/>
      <c r="IA579" s="53"/>
    </row>
    <row r="580" spans="1:235" ht="11.25">
      <c r="A580" s="8" t="s">
        <v>327</v>
      </c>
      <c r="B580" s="6"/>
      <c r="C580" s="6"/>
      <c r="D580" s="7"/>
      <c r="E580" s="7"/>
      <c r="F580" s="7"/>
      <c r="G580" s="7"/>
      <c r="H580" s="7">
        <v>1000000</v>
      </c>
      <c r="I580" s="7"/>
      <c r="J580" s="7">
        <f>H580</f>
        <v>1000000</v>
      </c>
      <c r="K580" s="7"/>
      <c r="L580" s="7"/>
      <c r="M580" s="7"/>
      <c r="N580" s="7"/>
      <c r="O580" s="7"/>
      <c r="P580" s="7"/>
      <c r="Q580" s="24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53"/>
      <c r="DC580" s="53"/>
      <c r="DD580" s="53"/>
      <c r="DE580" s="53"/>
      <c r="DF580" s="53"/>
      <c r="DG580" s="53"/>
      <c r="DH580" s="53"/>
      <c r="DI580" s="53"/>
      <c r="DJ580" s="53"/>
      <c r="DK580" s="53"/>
      <c r="DL580" s="53"/>
      <c r="DM580" s="53"/>
      <c r="DN580" s="53"/>
      <c r="DO580" s="53"/>
      <c r="DP580" s="53"/>
      <c r="DQ580" s="53"/>
      <c r="DR580" s="53"/>
      <c r="DS580" s="53"/>
      <c r="DT580" s="53"/>
      <c r="DU580" s="53"/>
      <c r="DV580" s="53"/>
      <c r="DW580" s="53"/>
      <c r="DX580" s="53"/>
      <c r="DY580" s="53"/>
      <c r="DZ580" s="53"/>
      <c r="EA580" s="53"/>
      <c r="EB580" s="53"/>
      <c r="EC580" s="53"/>
      <c r="ED580" s="53"/>
      <c r="EE580" s="53"/>
      <c r="EF580" s="53"/>
      <c r="EG580" s="53"/>
      <c r="EH580" s="53"/>
      <c r="EI580" s="53"/>
      <c r="EJ580" s="53"/>
      <c r="EK580" s="53"/>
      <c r="EL580" s="53"/>
      <c r="EM580" s="53"/>
      <c r="EN580" s="53"/>
      <c r="EO580" s="53"/>
      <c r="EP580" s="53"/>
      <c r="EQ580" s="53"/>
      <c r="ER580" s="53"/>
      <c r="ES580" s="53"/>
      <c r="ET580" s="53"/>
      <c r="EU580" s="53"/>
      <c r="EV580" s="53"/>
      <c r="EW580" s="53"/>
      <c r="EX580" s="53"/>
      <c r="EY580" s="53"/>
      <c r="EZ580" s="53"/>
      <c r="FA580" s="53"/>
      <c r="FB580" s="53"/>
      <c r="FC580" s="53"/>
      <c r="FD580" s="53"/>
      <c r="FE580" s="53"/>
      <c r="FF580" s="53"/>
      <c r="FG580" s="53"/>
      <c r="FH580" s="53"/>
      <c r="FI580" s="53"/>
      <c r="FJ580" s="53"/>
      <c r="FK580" s="53"/>
      <c r="FL580" s="53"/>
      <c r="FM580" s="53"/>
      <c r="FN580" s="53"/>
      <c r="FO580" s="53"/>
      <c r="FP580" s="53"/>
      <c r="FQ580" s="53"/>
      <c r="FR580" s="53"/>
      <c r="FS580" s="53"/>
      <c r="FT580" s="53"/>
      <c r="FU580" s="53"/>
      <c r="FV580" s="53"/>
      <c r="FW580" s="53"/>
      <c r="FX580" s="53"/>
      <c r="FY580" s="53"/>
      <c r="FZ580" s="53"/>
      <c r="GA580" s="53"/>
      <c r="GB580" s="53"/>
      <c r="GC580" s="53"/>
      <c r="GD580" s="53"/>
      <c r="GE580" s="53"/>
      <c r="GF580" s="53"/>
      <c r="GG580" s="53"/>
      <c r="GH580" s="53"/>
      <c r="GI580" s="53"/>
      <c r="GJ580" s="53"/>
      <c r="GK580" s="53"/>
      <c r="GL580" s="53"/>
      <c r="GM580" s="53"/>
      <c r="GN580" s="53"/>
      <c r="GO580" s="53"/>
      <c r="GP580" s="53"/>
      <c r="GQ580" s="53"/>
      <c r="GR580" s="53"/>
      <c r="GS580" s="53"/>
      <c r="GT580" s="53"/>
      <c r="GU580" s="53"/>
      <c r="GV580" s="53"/>
      <c r="GW580" s="53"/>
      <c r="GX580" s="53"/>
      <c r="GY580" s="53"/>
      <c r="GZ580" s="53"/>
      <c r="HA580" s="53"/>
      <c r="HB580" s="53"/>
      <c r="HC580" s="53"/>
      <c r="HD580" s="53"/>
      <c r="HE580" s="53"/>
      <c r="HF580" s="53"/>
      <c r="HG580" s="53"/>
      <c r="HH580" s="53"/>
      <c r="HI580" s="53"/>
      <c r="HJ580" s="53"/>
      <c r="HK580" s="53"/>
      <c r="HL580" s="53"/>
      <c r="HM580" s="53"/>
      <c r="HN580" s="53"/>
      <c r="HO580" s="53"/>
      <c r="HP580" s="53"/>
      <c r="HQ580" s="53"/>
      <c r="HR580" s="53"/>
      <c r="HS580" s="53"/>
      <c r="HT580" s="53"/>
      <c r="HU580" s="53"/>
      <c r="HV580" s="53"/>
      <c r="HW580" s="53"/>
      <c r="HX580" s="53"/>
      <c r="HY580" s="53"/>
      <c r="HZ580" s="53"/>
      <c r="IA580" s="53"/>
    </row>
    <row r="581" spans="1:235" ht="22.5">
      <c r="A581" s="155" t="s">
        <v>424</v>
      </c>
      <c r="B581" s="6"/>
      <c r="C581" s="6"/>
      <c r="D581" s="7"/>
      <c r="E581" s="7"/>
      <c r="F581" s="7"/>
      <c r="G581" s="36">
        <f>G583</f>
        <v>80000</v>
      </c>
      <c r="H581" s="36">
        <f>H583</f>
        <v>0</v>
      </c>
      <c r="I581" s="7"/>
      <c r="J581" s="36">
        <f>H581+G581</f>
        <v>80000</v>
      </c>
      <c r="K581" s="7"/>
      <c r="L581" s="7"/>
      <c r="M581" s="7"/>
      <c r="N581" s="7"/>
      <c r="O581" s="7"/>
      <c r="P581" s="7"/>
      <c r="Q581" s="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  <c r="GB581" s="53"/>
      <c r="GC581" s="53"/>
      <c r="GD581" s="53"/>
      <c r="GE581" s="53"/>
      <c r="GF581" s="53"/>
      <c r="GG581" s="53"/>
      <c r="GH581" s="53"/>
      <c r="GI581" s="53"/>
      <c r="GJ581" s="53"/>
      <c r="GK581" s="53"/>
      <c r="GL581" s="53"/>
      <c r="GM581" s="53"/>
      <c r="GN581" s="53"/>
      <c r="GO581" s="53"/>
      <c r="GP581" s="53"/>
      <c r="GQ581" s="53"/>
      <c r="GR581" s="53"/>
      <c r="GS581" s="53"/>
      <c r="GT581" s="53"/>
      <c r="GU581" s="53"/>
      <c r="GV581" s="53"/>
      <c r="GW581" s="53"/>
      <c r="GX581" s="53"/>
      <c r="GY581" s="53"/>
      <c r="GZ581" s="53"/>
      <c r="HA581" s="53"/>
      <c r="HB581" s="53"/>
      <c r="HC581" s="53"/>
      <c r="HD581" s="53"/>
      <c r="HE581" s="53"/>
      <c r="HF581" s="53"/>
      <c r="HG581" s="53"/>
      <c r="HH581" s="53"/>
      <c r="HI581" s="53"/>
      <c r="HJ581" s="53"/>
      <c r="HK581" s="53"/>
      <c r="HL581" s="53"/>
      <c r="HM581" s="53"/>
      <c r="HN581" s="53"/>
      <c r="HO581" s="53"/>
      <c r="HP581" s="53"/>
      <c r="HQ581" s="53"/>
      <c r="HR581" s="53"/>
      <c r="HS581" s="53"/>
      <c r="HT581" s="53"/>
      <c r="HU581" s="53"/>
      <c r="HV581" s="53"/>
      <c r="HW581" s="53"/>
      <c r="HX581" s="53"/>
      <c r="HY581" s="53"/>
      <c r="HZ581" s="53"/>
      <c r="IA581" s="53"/>
    </row>
    <row r="582" spans="1:235" ht="11.25">
      <c r="A582" s="5" t="s">
        <v>4</v>
      </c>
      <c r="B582" s="6"/>
      <c r="C582" s="6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24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  <c r="GB582" s="53"/>
      <c r="GC582" s="53"/>
      <c r="GD582" s="53"/>
      <c r="GE582" s="53"/>
      <c r="GF582" s="53"/>
      <c r="GG582" s="53"/>
      <c r="GH582" s="53"/>
      <c r="GI582" s="53"/>
      <c r="GJ582" s="53"/>
      <c r="GK582" s="53"/>
      <c r="GL582" s="53"/>
      <c r="GM582" s="53"/>
      <c r="GN582" s="53"/>
      <c r="GO582" s="53"/>
      <c r="GP582" s="53"/>
      <c r="GQ582" s="53"/>
      <c r="GR582" s="53"/>
      <c r="GS582" s="53"/>
      <c r="GT582" s="53"/>
      <c r="GU582" s="53"/>
      <c r="GV582" s="53"/>
      <c r="GW582" s="53"/>
      <c r="GX582" s="53"/>
      <c r="GY582" s="53"/>
      <c r="GZ582" s="53"/>
      <c r="HA582" s="53"/>
      <c r="HB582" s="53"/>
      <c r="HC582" s="53"/>
      <c r="HD582" s="53"/>
      <c r="HE582" s="53"/>
      <c r="HF582" s="53"/>
      <c r="HG582" s="53"/>
      <c r="HH582" s="53"/>
      <c r="HI582" s="53"/>
      <c r="HJ582" s="53"/>
      <c r="HK582" s="53"/>
      <c r="HL582" s="53"/>
      <c r="HM582" s="53"/>
      <c r="HN582" s="53"/>
      <c r="HO582" s="53"/>
      <c r="HP582" s="53"/>
      <c r="HQ582" s="53"/>
      <c r="HR582" s="53"/>
      <c r="HS582" s="53"/>
      <c r="HT582" s="53"/>
      <c r="HU582" s="53"/>
      <c r="HV582" s="53"/>
      <c r="HW582" s="53"/>
      <c r="HX582" s="53"/>
      <c r="HY582" s="53"/>
      <c r="HZ582" s="53"/>
      <c r="IA582" s="53"/>
    </row>
    <row r="583" spans="1:235" ht="11.25">
      <c r="A583" s="8" t="s">
        <v>43</v>
      </c>
      <c r="B583" s="6"/>
      <c r="C583" s="6"/>
      <c r="D583" s="7"/>
      <c r="E583" s="7"/>
      <c r="F583" s="7"/>
      <c r="G583" s="7">
        <f>G585*G587</f>
        <v>80000</v>
      </c>
      <c r="H583" s="7"/>
      <c r="I583" s="7"/>
      <c r="J583" s="7">
        <f>H583+G583</f>
        <v>80000</v>
      </c>
      <c r="K583" s="7"/>
      <c r="L583" s="7"/>
      <c r="M583" s="7"/>
      <c r="N583" s="7"/>
      <c r="O583" s="7"/>
      <c r="P583" s="7"/>
      <c r="Q583" s="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  <c r="HZ583" s="53"/>
      <c r="IA583" s="53"/>
    </row>
    <row r="584" spans="1:235" ht="11.25">
      <c r="A584" s="5" t="s">
        <v>5</v>
      </c>
      <c r="B584" s="6"/>
      <c r="C584" s="6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11.25">
      <c r="A585" s="8" t="s">
        <v>399</v>
      </c>
      <c r="B585" s="6"/>
      <c r="C585" s="6"/>
      <c r="D585" s="7"/>
      <c r="E585" s="7"/>
      <c r="F585" s="7"/>
      <c r="G585" s="7">
        <v>1</v>
      </c>
      <c r="H585" s="7"/>
      <c r="I585" s="7"/>
      <c r="J585" s="7">
        <f>H585+G585</f>
        <v>1</v>
      </c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235" ht="11.25">
      <c r="A586" s="5" t="s">
        <v>7</v>
      </c>
      <c r="B586" s="6"/>
      <c r="C586" s="6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24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</row>
    <row r="587" spans="1:235" ht="11.25">
      <c r="A587" s="8" t="s">
        <v>327</v>
      </c>
      <c r="B587" s="6"/>
      <c r="C587" s="6"/>
      <c r="D587" s="7"/>
      <c r="E587" s="7"/>
      <c r="F587" s="7"/>
      <c r="G587" s="7">
        <v>80000</v>
      </c>
      <c r="H587" s="7"/>
      <c r="I587" s="7"/>
      <c r="J587" s="7">
        <f>H587+G587</f>
        <v>80000</v>
      </c>
      <c r="K587" s="7"/>
      <c r="L587" s="7"/>
      <c r="M587" s="7"/>
      <c r="N587" s="7"/>
      <c r="O587" s="7"/>
      <c r="P587" s="7"/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235" ht="11.25">
      <c r="A588" s="8"/>
      <c r="B588" s="6"/>
      <c r="C588" s="6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24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</row>
    <row r="589" spans="1:17" s="139" customFormat="1" ht="11.25">
      <c r="A589" s="152" t="s">
        <v>254</v>
      </c>
      <c r="B589" s="136"/>
      <c r="C589" s="136"/>
      <c r="D589" s="145">
        <f>D591</f>
        <v>1690000</v>
      </c>
      <c r="E589" s="145">
        <v>0</v>
      </c>
      <c r="F589" s="145">
        <f>D589</f>
        <v>1690000</v>
      </c>
      <c r="G589" s="145">
        <f>G591</f>
        <v>2330000.0025</v>
      </c>
      <c r="H589" s="145"/>
      <c r="I589" s="145">
        <f>I591</f>
        <v>0</v>
      </c>
      <c r="J589" s="145">
        <f>J591</f>
        <v>2330000.0025</v>
      </c>
      <c r="K589" s="145"/>
      <c r="L589" s="145"/>
      <c r="M589" s="145"/>
      <c r="N589" s="145">
        <f>N591</f>
        <v>2050000</v>
      </c>
      <c r="O589" s="145"/>
      <c r="P589" s="145">
        <f>P591</f>
        <v>2050000</v>
      </c>
      <c r="Q589" s="154"/>
    </row>
    <row r="590" spans="1:235" ht="65.25" customHeight="1">
      <c r="A590" s="8" t="s">
        <v>164</v>
      </c>
      <c r="B590" s="6"/>
      <c r="C590" s="6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24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</row>
    <row r="591" spans="1:17" s="76" customFormat="1" ht="22.5">
      <c r="A591" s="34" t="s">
        <v>426</v>
      </c>
      <c r="B591" s="37"/>
      <c r="C591" s="37"/>
      <c r="D591" s="57">
        <f>D592+D599</f>
        <v>1690000</v>
      </c>
      <c r="E591" s="57"/>
      <c r="F591" s="57">
        <f>D591</f>
        <v>1690000</v>
      </c>
      <c r="G591" s="30">
        <f>G592+G599</f>
        <v>2330000.0025</v>
      </c>
      <c r="H591" s="30"/>
      <c r="I591" s="30"/>
      <c r="J591" s="30">
        <f>G591</f>
        <v>2330000.0025</v>
      </c>
      <c r="K591" s="30"/>
      <c r="L591" s="30"/>
      <c r="M591" s="30"/>
      <c r="N591" s="30">
        <f>N592+N599</f>
        <v>2050000</v>
      </c>
      <c r="O591" s="30"/>
      <c r="P591" s="30">
        <f>N591</f>
        <v>2050000</v>
      </c>
      <c r="Q591" s="75"/>
    </row>
    <row r="592" spans="1:17" s="79" customFormat="1" ht="45">
      <c r="A592" s="77" t="s">
        <v>427</v>
      </c>
      <c r="B592" s="35"/>
      <c r="C592" s="35"/>
      <c r="D592" s="45">
        <f>D596*D598+100000</f>
        <v>1400000</v>
      </c>
      <c r="E592" s="45"/>
      <c r="F592" s="45">
        <f>D592+E592</f>
        <v>1400000</v>
      </c>
      <c r="G592" s="36">
        <f>G596*G598</f>
        <v>1500000</v>
      </c>
      <c r="H592" s="36">
        <f aca="true" t="shared" si="59" ref="H592:O592">H596*H598</f>
        <v>0</v>
      </c>
      <c r="I592" s="36">
        <f t="shared" si="59"/>
        <v>0</v>
      </c>
      <c r="J592" s="36">
        <f>G592</f>
        <v>1500000</v>
      </c>
      <c r="K592" s="36">
        <f t="shared" si="59"/>
        <v>0</v>
      </c>
      <c r="L592" s="36">
        <f t="shared" si="59"/>
        <v>0</v>
      </c>
      <c r="M592" s="36">
        <f t="shared" si="59"/>
        <v>0</v>
      </c>
      <c r="N592" s="36">
        <f>N596*N598</f>
        <v>1300000</v>
      </c>
      <c r="O592" s="36">
        <f t="shared" si="59"/>
        <v>0</v>
      </c>
      <c r="P592" s="36">
        <f>N592</f>
        <v>1300000</v>
      </c>
      <c r="Q592" s="78"/>
    </row>
    <row r="593" spans="1:17" s="52" customFormat="1" ht="11.25">
      <c r="A593" s="5" t="s">
        <v>4</v>
      </c>
      <c r="B593" s="37"/>
      <c r="C593" s="37"/>
      <c r="D593" s="80"/>
      <c r="E593" s="80"/>
      <c r="F593" s="81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75"/>
    </row>
    <row r="594" spans="1:17" s="52" customFormat="1" ht="27.75" customHeight="1">
      <c r="A594" s="8" t="s">
        <v>165</v>
      </c>
      <c r="B594" s="37"/>
      <c r="C594" s="37"/>
      <c r="D594" s="49">
        <v>520</v>
      </c>
      <c r="E594" s="80"/>
      <c r="F594" s="81"/>
      <c r="G594" s="7">
        <v>500</v>
      </c>
      <c r="H594" s="30"/>
      <c r="I594" s="30"/>
      <c r="J594" s="7">
        <f>G594+H594</f>
        <v>500</v>
      </c>
      <c r="K594" s="30"/>
      <c r="L594" s="30"/>
      <c r="M594" s="30"/>
      <c r="N594" s="7">
        <v>520</v>
      </c>
      <c r="O594" s="7"/>
      <c r="P594" s="7">
        <f>N594+O594</f>
        <v>520</v>
      </c>
      <c r="Q594" s="75"/>
    </row>
    <row r="595" spans="1:17" s="52" customFormat="1" ht="11.25">
      <c r="A595" s="5" t="s">
        <v>5</v>
      </c>
      <c r="B595" s="37"/>
      <c r="C595" s="37"/>
      <c r="D595" s="80"/>
      <c r="E595" s="80"/>
      <c r="F595" s="81"/>
      <c r="G595" s="30"/>
      <c r="H595" s="30"/>
      <c r="I595" s="30"/>
      <c r="J595" s="7"/>
      <c r="K595" s="30"/>
      <c r="L595" s="30"/>
      <c r="M595" s="30"/>
      <c r="N595" s="30"/>
      <c r="O595" s="30"/>
      <c r="P595" s="7"/>
      <c r="Q595" s="75"/>
    </row>
    <row r="596" spans="1:17" s="52" customFormat="1" ht="22.5">
      <c r="A596" s="8" t="s">
        <v>166</v>
      </c>
      <c r="B596" s="37"/>
      <c r="C596" s="37"/>
      <c r="D596" s="49">
        <v>520</v>
      </c>
      <c r="E596" s="80"/>
      <c r="F596" s="81"/>
      <c r="G596" s="7">
        <f>G594</f>
        <v>500</v>
      </c>
      <c r="H596" s="7"/>
      <c r="I596" s="7"/>
      <c r="J596" s="7">
        <f>G596+H596</f>
        <v>500</v>
      </c>
      <c r="K596" s="7">
        <f>K594</f>
        <v>0</v>
      </c>
      <c r="L596" s="7">
        <f>L594</f>
        <v>0</v>
      </c>
      <c r="M596" s="7">
        <f>M594</f>
        <v>0</v>
      </c>
      <c r="N596" s="7">
        <v>520</v>
      </c>
      <c r="O596" s="7"/>
      <c r="P596" s="7">
        <f>N596+O596</f>
        <v>520</v>
      </c>
      <c r="Q596" s="75"/>
    </row>
    <row r="597" spans="1:17" s="52" customFormat="1" ht="11.25">
      <c r="A597" s="5" t="s">
        <v>7</v>
      </c>
      <c r="B597" s="37"/>
      <c r="C597" s="37"/>
      <c r="D597" s="80"/>
      <c r="E597" s="80"/>
      <c r="F597" s="81"/>
      <c r="G597" s="30"/>
      <c r="H597" s="30"/>
      <c r="I597" s="30"/>
      <c r="J597" s="7"/>
      <c r="K597" s="30"/>
      <c r="L597" s="30"/>
      <c r="M597" s="30"/>
      <c r="N597" s="30"/>
      <c r="O597" s="30"/>
      <c r="P597" s="7"/>
      <c r="Q597" s="75"/>
    </row>
    <row r="598" spans="1:17" s="52" customFormat="1" ht="17.25" customHeight="1">
      <c r="A598" s="8" t="s">
        <v>167</v>
      </c>
      <c r="B598" s="37"/>
      <c r="C598" s="37"/>
      <c r="D598" s="80">
        <v>2500</v>
      </c>
      <c r="E598" s="80"/>
      <c r="F598" s="81"/>
      <c r="G598" s="7">
        <v>3000</v>
      </c>
      <c r="H598" s="30"/>
      <c r="I598" s="30"/>
      <c r="J598" s="7">
        <f>G598+H598</f>
        <v>3000</v>
      </c>
      <c r="K598" s="30"/>
      <c r="L598" s="30"/>
      <c r="M598" s="30"/>
      <c r="N598" s="7">
        <v>2500</v>
      </c>
      <c r="O598" s="7"/>
      <c r="P598" s="7">
        <f>N598+O598</f>
        <v>2500</v>
      </c>
      <c r="Q598" s="75"/>
    </row>
    <row r="599" spans="1:17" s="83" customFormat="1" ht="65.25" customHeight="1">
      <c r="A599" s="77" t="s">
        <v>428</v>
      </c>
      <c r="B599" s="34"/>
      <c r="C599" s="34"/>
      <c r="D599" s="45">
        <f>D603*D606+90000</f>
        <v>290000</v>
      </c>
      <c r="E599" s="45"/>
      <c r="F599" s="45">
        <f>D599+E599</f>
        <v>290000</v>
      </c>
      <c r="G599" s="36">
        <f>G603*G606</f>
        <v>830000.0025000001</v>
      </c>
      <c r="H599" s="36">
        <f aca="true" t="shared" si="60" ref="H599:P599">H603*H606</f>
        <v>0</v>
      </c>
      <c r="I599" s="36">
        <f t="shared" si="60"/>
        <v>0</v>
      </c>
      <c r="J599" s="36">
        <f t="shared" si="60"/>
        <v>830000.0025000001</v>
      </c>
      <c r="K599" s="36">
        <f t="shared" si="60"/>
        <v>0</v>
      </c>
      <c r="L599" s="36">
        <f t="shared" si="60"/>
        <v>0</v>
      </c>
      <c r="M599" s="36">
        <f t="shared" si="60"/>
        <v>0</v>
      </c>
      <c r="N599" s="36">
        <f>N603*N606</f>
        <v>750000</v>
      </c>
      <c r="O599" s="36">
        <f t="shared" si="60"/>
        <v>0</v>
      </c>
      <c r="P599" s="36">
        <f t="shared" si="60"/>
        <v>750000</v>
      </c>
      <c r="Q599" s="82"/>
    </row>
    <row r="600" spans="1:235" ht="11.25">
      <c r="A600" s="5" t="s">
        <v>4</v>
      </c>
      <c r="B600" s="6"/>
      <c r="C600" s="6"/>
      <c r="D600" s="84"/>
      <c r="E600" s="84"/>
      <c r="F600" s="84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24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33.75">
      <c r="A601" s="8" t="s">
        <v>165</v>
      </c>
      <c r="B601" s="6"/>
      <c r="C601" s="6"/>
      <c r="D601" s="44">
        <v>6</v>
      </c>
      <c r="E601" s="44"/>
      <c r="F601" s="44">
        <f>D601</f>
        <v>6</v>
      </c>
      <c r="G601" s="44">
        <v>9</v>
      </c>
      <c r="H601" s="44"/>
      <c r="I601" s="44"/>
      <c r="J601" s="7">
        <f>G601+H601</f>
        <v>9</v>
      </c>
      <c r="K601" s="44">
        <f>H601</f>
        <v>0</v>
      </c>
      <c r="L601" s="44">
        <f>J601</f>
        <v>9</v>
      </c>
      <c r="M601" s="44">
        <f>K601</f>
        <v>0</v>
      </c>
      <c r="N601" s="44">
        <v>8</v>
      </c>
      <c r="O601" s="44"/>
      <c r="P601" s="44">
        <f>N601</f>
        <v>8</v>
      </c>
      <c r="Q601" s="24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235" ht="11.25">
      <c r="A602" s="5" t="s">
        <v>5</v>
      </c>
      <c r="B602" s="6"/>
      <c r="C602" s="6"/>
      <c r="D602" s="44"/>
      <c r="E602" s="44"/>
      <c r="F602" s="44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24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</row>
    <row r="603" spans="1:235" ht="32.25" customHeight="1">
      <c r="A603" s="8" t="s">
        <v>166</v>
      </c>
      <c r="B603" s="6"/>
      <c r="C603" s="6"/>
      <c r="D603" s="44">
        <v>6</v>
      </c>
      <c r="E603" s="44"/>
      <c r="F603" s="44">
        <f>D603</f>
        <v>6</v>
      </c>
      <c r="G603" s="7">
        <v>9</v>
      </c>
      <c r="H603" s="7"/>
      <c r="I603" s="7"/>
      <c r="J603" s="7">
        <f>G603+H603</f>
        <v>9</v>
      </c>
      <c r="K603" s="7"/>
      <c r="L603" s="7"/>
      <c r="M603" s="7"/>
      <c r="N603" s="7">
        <v>8</v>
      </c>
      <c r="O603" s="7"/>
      <c r="P603" s="7">
        <f>N603</f>
        <v>8</v>
      </c>
      <c r="Q603" s="24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22.5">
      <c r="A604" s="8" t="s">
        <v>163</v>
      </c>
      <c r="B604" s="6"/>
      <c r="C604" s="6"/>
      <c r="D604" s="44"/>
      <c r="E604" s="44"/>
      <c r="F604" s="44">
        <f>D604</f>
        <v>0</v>
      </c>
      <c r="G604" s="7"/>
      <c r="H604" s="7"/>
      <c r="I604" s="7"/>
      <c r="J604" s="7">
        <f>G604+H604</f>
        <v>0</v>
      </c>
      <c r="K604" s="7"/>
      <c r="L604" s="7"/>
      <c r="M604" s="7"/>
      <c r="N604" s="7"/>
      <c r="O604" s="7"/>
      <c r="P604" s="7"/>
      <c r="Q604" s="24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235" ht="11.25">
      <c r="A605" s="5" t="s">
        <v>7</v>
      </c>
      <c r="B605" s="6"/>
      <c r="C605" s="6"/>
      <c r="D605" s="44"/>
      <c r="E605" s="44"/>
      <c r="F605" s="44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24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</row>
    <row r="606" spans="1:235" ht="22.5">
      <c r="A606" s="8" t="s">
        <v>167</v>
      </c>
      <c r="B606" s="6"/>
      <c r="C606" s="6"/>
      <c r="D606" s="44">
        <f>200000/6</f>
        <v>33333.333333333336</v>
      </c>
      <c r="E606" s="44"/>
      <c r="F606" s="44">
        <f>D606</f>
        <v>33333.333333333336</v>
      </c>
      <c r="G606" s="7">
        <v>92222.2225</v>
      </c>
      <c r="H606" s="7"/>
      <c r="I606" s="7"/>
      <c r="J606" s="7">
        <f>G606+H606</f>
        <v>92222.2225</v>
      </c>
      <c r="K606" s="7"/>
      <c r="L606" s="7"/>
      <c r="M606" s="7"/>
      <c r="N606" s="7">
        <v>93750</v>
      </c>
      <c r="O606" s="7"/>
      <c r="P606" s="7">
        <f>N606</f>
        <v>93750</v>
      </c>
      <c r="Q606" s="24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</row>
    <row r="607" spans="1:235" ht="11.25">
      <c r="A607" s="37" t="s">
        <v>255</v>
      </c>
      <c r="B607" s="6"/>
      <c r="C607" s="6"/>
      <c r="D607" s="36">
        <f>D609</f>
        <v>0</v>
      </c>
      <c r="E607" s="36">
        <f>E609</f>
        <v>127913400</v>
      </c>
      <c r="F607" s="36">
        <f aca="true" t="shared" si="61" ref="F607:P607">F609</f>
        <v>127913400</v>
      </c>
      <c r="G607" s="36">
        <f t="shared" si="61"/>
        <v>0</v>
      </c>
      <c r="H607" s="36">
        <f t="shared" si="61"/>
        <v>88123272</v>
      </c>
      <c r="I607" s="36">
        <f t="shared" si="61"/>
        <v>0</v>
      </c>
      <c r="J607" s="36">
        <f t="shared" si="61"/>
        <v>88123272</v>
      </c>
      <c r="K607" s="36">
        <f t="shared" si="61"/>
        <v>0</v>
      </c>
      <c r="L607" s="36">
        <f t="shared" si="61"/>
        <v>0</v>
      </c>
      <c r="M607" s="36">
        <f t="shared" si="61"/>
        <v>0</v>
      </c>
      <c r="N607" s="36">
        <f t="shared" si="61"/>
        <v>0</v>
      </c>
      <c r="O607" s="36">
        <f t="shared" si="61"/>
        <v>7297400</v>
      </c>
      <c r="P607" s="36">
        <f t="shared" si="61"/>
        <v>7297400</v>
      </c>
      <c r="Q607" s="24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</row>
    <row r="608" spans="1:235" ht="22.5">
      <c r="A608" s="8" t="s">
        <v>169</v>
      </c>
      <c r="B608" s="6"/>
      <c r="C608" s="6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24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</row>
    <row r="609" spans="1:17" s="157" customFormat="1" ht="33.75">
      <c r="A609" s="155" t="s">
        <v>429</v>
      </c>
      <c r="B609" s="141"/>
      <c r="C609" s="141"/>
      <c r="D609" s="145"/>
      <c r="E609" s="145">
        <f>E611</f>
        <v>127913400</v>
      </c>
      <c r="F609" s="145">
        <f>D609+E609</f>
        <v>127913400</v>
      </c>
      <c r="G609" s="145"/>
      <c r="H609" s="145">
        <f>H613*H615</f>
        <v>88123272</v>
      </c>
      <c r="I609" s="145">
        <f>I611</f>
        <v>0</v>
      </c>
      <c r="J609" s="145">
        <f>H609+I609</f>
        <v>88123272</v>
      </c>
      <c r="K609" s="145"/>
      <c r="L609" s="145"/>
      <c r="M609" s="145"/>
      <c r="N609" s="145"/>
      <c r="O609" s="145">
        <f>O613*O615</f>
        <v>7297400</v>
      </c>
      <c r="P609" s="145">
        <f>O609</f>
        <v>7297400</v>
      </c>
      <c r="Q609" s="156"/>
    </row>
    <row r="610" spans="1:235" ht="11.25">
      <c r="A610" s="5" t="s">
        <v>4</v>
      </c>
      <c r="B610" s="6"/>
      <c r="C610" s="6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24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235" ht="11.25">
      <c r="A611" s="8" t="s">
        <v>43</v>
      </c>
      <c r="B611" s="6"/>
      <c r="C611" s="6"/>
      <c r="D611" s="7"/>
      <c r="E611" s="7">
        <f>127784300+129100</f>
        <v>127913400</v>
      </c>
      <c r="F611" s="7">
        <f>D611+E611</f>
        <v>127913400</v>
      </c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11.25">
      <c r="A612" s="5" t="s">
        <v>5</v>
      </c>
      <c r="B612" s="6"/>
      <c r="C612" s="6"/>
      <c r="D612" s="7"/>
      <c r="E612" s="7"/>
      <c r="F612" s="7">
        <f>D612+E612</f>
        <v>0</v>
      </c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235" ht="33.75">
      <c r="A613" s="8" t="s">
        <v>170</v>
      </c>
      <c r="B613" s="6"/>
      <c r="C613" s="6"/>
      <c r="D613" s="7"/>
      <c r="E613" s="7">
        <v>10</v>
      </c>
      <c r="F613" s="7">
        <f>D613+E613</f>
        <v>10</v>
      </c>
      <c r="G613" s="7"/>
      <c r="H613" s="7">
        <v>5</v>
      </c>
      <c r="I613" s="7"/>
      <c r="J613" s="7">
        <v>5</v>
      </c>
      <c r="K613" s="7"/>
      <c r="L613" s="7"/>
      <c r="M613" s="7"/>
      <c r="N613" s="7"/>
      <c r="O613" s="7">
        <v>2</v>
      </c>
      <c r="P613" s="7"/>
      <c r="Q613" s="24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</row>
    <row r="614" spans="1:235" ht="11.25">
      <c r="A614" s="5" t="s">
        <v>7</v>
      </c>
      <c r="B614" s="6"/>
      <c r="C614" s="6"/>
      <c r="D614" s="7"/>
      <c r="E614" s="7"/>
      <c r="F614" s="7">
        <f>D614+E614</f>
        <v>0</v>
      </c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235" ht="24.75" customHeight="1">
      <c r="A615" s="8" t="s">
        <v>171</v>
      </c>
      <c r="B615" s="6"/>
      <c r="C615" s="6"/>
      <c r="D615" s="7"/>
      <c r="E615" s="7">
        <f>399355600/9</f>
        <v>44372844.44444445</v>
      </c>
      <c r="F615" s="7">
        <f>D615+E615</f>
        <v>44372844.44444445</v>
      </c>
      <c r="G615" s="7"/>
      <c r="H615" s="7">
        <v>17624654.4</v>
      </c>
      <c r="I615" s="7"/>
      <c r="J615" s="7">
        <v>17604654.4</v>
      </c>
      <c r="K615" s="7"/>
      <c r="L615" s="7"/>
      <c r="M615" s="7"/>
      <c r="N615" s="7"/>
      <c r="O615" s="7">
        <v>3648700</v>
      </c>
      <c r="P615" s="85">
        <f>O615</f>
        <v>3648700</v>
      </c>
      <c r="Q615" s="24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</row>
    <row r="616" spans="1:235" ht="11.25">
      <c r="A616" s="37" t="s">
        <v>256</v>
      </c>
      <c r="B616" s="6"/>
      <c r="C616" s="6"/>
      <c r="D616" s="36">
        <f>D618</f>
        <v>760000</v>
      </c>
      <c r="E616" s="36">
        <f aca="true" t="shared" si="62" ref="E616:P616">E618</f>
        <v>1220000</v>
      </c>
      <c r="F616" s="36">
        <f t="shared" si="62"/>
        <v>1980000</v>
      </c>
      <c r="G616" s="36">
        <f t="shared" si="62"/>
        <v>1960000</v>
      </c>
      <c r="H616" s="36">
        <f t="shared" si="62"/>
        <v>6032500</v>
      </c>
      <c r="I616" s="36">
        <f t="shared" si="62"/>
        <v>7992500</v>
      </c>
      <c r="J616" s="36">
        <f t="shared" si="62"/>
        <v>7992500</v>
      </c>
      <c r="K616" s="36">
        <f t="shared" si="62"/>
        <v>0</v>
      </c>
      <c r="L616" s="36">
        <f t="shared" si="62"/>
        <v>0</v>
      </c>
      <c r="M616" s="36">
        <f t="shared" si="62"/>
        <v>0</v>
      </c>
      <c r="N616" s="36">
        <f t="shared" si="62"/>
        <v>368000</v>
      </c>
      <c r="O616" s="36">
        <f t="shared" si="62"/>
        <v>7632000</v>
      </c>
      <c r="P616" s="36">
        <f t="shared" si="62"/>
        <v>8000000</v>
      </c>
      <c r="Q616" s="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235" ht="67.5">
      <c r="A617" s="8" t="s">
        <v>392</v>
      </c>
      <c r="B617" s="6"/>
      <c r="C617" s="6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24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3"/>
      <c r="BS617" s="53"/>
      <c r="BT617" s="53"/>
      <c r="BU617" s="53"/>
      <c r="BV617" s="53"/>
      <c r="BW617" s="53"/>
      <c r="BX617" s="53"/>
      <c r="BY617" s="53"/>
      <c r="BZ617" s="53"/>
      <c r="CA617" s="53"/>
      <c r="CB617" s="53"/>
      <c r="CC617" s="53"/>
      <c r="CD617" s="53"/>
      <c r="CE617" s="53"/>
      <c r="CF617" s="53"/>
      <c r="CG617" s="53"/>
      <c r="CH617" s="53"/>
      <c r="CI617" s="53"/>
      <c r="CJ617" s="53"/>
      <c r="CK617" s="53"/>
      <c r="CL617" s="53"/>
      <c r="CM617" s="53"/>
      <c r="CN617" s="53"/>
      <c r="CO617" s="53"/>
      <c r="CP617" s="53"/>
      <c r="CQ617" s="53"/>
      <c r="CR617" s="53"/>
      <c r="CS617" s="53"/>
      <c r="CT617" s="53"/>
      <c r="CU617" s="53"/>
      <c r="CV617" s="53"/>
      <c r="CW617" s="53"/>
      <c r="CX617" s="53"/>
      <c r="CY617" s="53"/>
      <c r="CZ617" s="53"/>
      <c r="DA617" s="53"/>
      <c r="DB617" s="53"/>
      <c r="DC617" s="53"/>
      <c r="DD617" s="53"/>
      <c r="DE617" s="53"/>
      <c r="DF617" s="53"/>
      <c r="DG617" s="53"/>
      <c r="DH617" s="53"/>
      <c r="DI617" s="53"/>
      <c r="DJ617" s="53"/>
      <c r="DK617" s="53"/>
      <c r="DL617" s="53"/>
      <c r="DM617" s="53"/>
      <c r="DN617" s="53"/>
      <c r="DO617" s="53"/>
      <c r="DP617" s="53"/>
      <c r="DQ617" s="53"/>
      <c r="DR617" s="53"/>
      <c r="DS617" s="53"/>
      <c r="DT617" s="53"/>
      <c r="DU617" s="53"/>
      <c r="DV617" s="53"/>
      <c r="DW617" s="53"/>
      <c r="DX617" s="53"/>
      <c r="DY617" s="53"/>
      <c r="DZ617" s="53"/>
      <c r="EA617" s="53"/>
      <c r="EB617" s="53"/>
      <c r="EC617" s="53"/>
      <c r="ED617" s="53"/>
      <c r="EE617" s="53"/>
      <c r="EF617" s="53"/>
      <c r="EG617" s="53"/>
      <c r="EH617" s="53"/>
      <c r="EI617" s="53"/>
      <c r="EJ617" s="53"/>
      <c r="EK617" s="53"/>
      <c r="EL617" s="53"/>
      <c r="EM617" s="53"/>
      <c r="EN617" s="53"/>
      <c r="EO617" s="53"/>
      <c r="EP617" s="53"/>
      <c r="EQ617" s="53"/>
      <c r="ER617" s="53"/>
      <c r="ES617" s="53"/>
      <c r="ET617" s="53"/>
      <c r="EU617" s="53"/>
      <c r="EV617" s="53"/>
      <c r="EW617" s="53"/>
      <c r="EX617" s="53"/>
      <c r="EY617" s="53"/>
      <c r="EZ617" s="53"/>
      <c r="FA617" s="53"/>
      <c r="FB617" s="53"/>
      <c r="FC617" s="53"/>
      <c r="FD617" s="53"/>
      <c r="FE617" s="53"/>
      <c r="FF617" s="53"/>
      <c r="FG617" s="53"/>
      <c r="FH617" s="53"/>
      <c r="FI617" s="53"/>
      <c r="FJ617" s="53"/>
      <c r="FK617" s="53"/>
      <c r="FL617" s="53"/>
      <c r="FM617" s="53"/>
      <c r="FN617" s="53"/>
      <c r="FO617" s="53"/>
      <c r="FP617" s="53"/>
      <c r="FQ617" s="53"/>
      <c r="FR617" s="53"/>
      <c r="FS617" s="53"/>
      <c r="FT617" s="53"/>
      <c r="FU617" s="53"/>
      <c r="FV617" s="53"/>
      <c r="FW617" s="53"/>
      <c r="FX617" s="53"/>
      <c r="FY617" s="53"/>
      <c r="FZ617" s="53"/>
      <c r="GA617" s="53"/>
      <c r="GB617" s="53"/>
      <c r="GC617" s="53"/>
      <c r="GD617" s="53"/>
      <c r="GE617" s="53"/>
      <c r="GF617" s="53"/>
      <c r="GG617" s="53"/>
      <c r="GH617" s="53"/>
      <c r="GI617" s="53"/>
      <c r="GJ617" s="53"/>
      <c r="GK617" s="53"/>
      <c r="GL617" s="53"/>
      <c r="GM617" s="53"/>
      <c r="GN617" s="53"/>
      <c r="GO617" s="53"/>
      <c r="GP617" s="53"/>
      <c r="GQ617" s="53"/>
      <c r="GR617" s="53"/>
      <c r="GS617" s="53"/>
      <c r="GT617" s="53"/>
      <c r="GU617" s="53"/>
      <c r="GV617" s="53"/>
      <c r="GW617" s="53"/>
      <c r="GX617" s="53"/>
      <c r="GY617" s="53"/>
      <c r="GZ617" s="53"/>
      <c r="HA617" s="53"/>
      <c r="HB617" s="53"/>
      <c r="HC617" s="53"/>
      <c r="HD617" s="53"/>
      <c r="HE617" s="53"/>
      <c r="HF617" s="53"/>
      <c r="HG617" s="53"/>
      <c r="HH617" s="53"/>
      <c r="HI617" s="53"/>
      <c r="HJ617" s="53"/>
      <c r="HK617" s="53"/>
      <c r="HL617" s="53"/>
      <c r="HM617" s="53"/>
      <c r="HN617" s="53"/>
      <c r="HO617" s="53"/>
      <c r="HP617" s="53"/>
      <c r="HQ617" s="53"/>
      <c r="HR617" s="53"/>
      <c r="HS617" s="53"/>
      <c r="HT617" s="53"/>
      <c r="HU617" s="53"/>
      <c r="HV617" s="53"/>
      <c r="HW617" s="53"/>
      <c r="HX617" s="53"/>
      <c r="HY617" s="53"/>
      <c r="HZ617" s="53"/>
      <c r="IA617" s="53"/>
    </row>
    <row r="618" spans="1:17" s="39" customFormat="1" ht="36" customHeight="1">
      <c r="A618" s="34" t="s">
        <v>430</v>
      </c>
      <c r="B618" s="35"/>
      <c r="C618" s="35"/>
      <c r="D618" s="36">
        <f>D620</f>
        <v>760000</v>
      </c>
      <c r="E618" s="36">
        <f>E620</f>
        <v>1220000</v>
      </c>
      <c r="F618" s="36">
        <f>D618+E618</f>
        <v>1980000</v>
      </c>
      <c r="G618" s="36">
        <f>G620</f>
        <v>1960000</v>
      </c>
      <c r="H618" s="36">
        <f>H620</f>
        <v>6032500</v>
      </c>
      <c r="I618" s="36">
        <f>G618+H618</f>
        <v>7992500</v>
      </c>
      <c r="J618" s="36">
        <f>G618+H618</f>
        <v>7992500</v>
      </c>
      <c r="K618" s="36"/>
      <c r="L618" s="36"/>
      <c r="M618" s="36"/>
      <c r="N618" s="36">
        <f>N622*N624</f>
        <v>368000</v>
      </c>
      <c r="O618" s="36">
        <f>O622*O624</f>
        <v>7632000</v>
      </c>
      <c r="P618" s="36">
        <f>N618+O618</f>
        <v>8000000</v>
      </c>
      <c r="Q618" s="78"/>
    </row>
    <row r="619" spans="1:235" ht="11.25">
      <c r="A619" s="5" t="s">
        <v>4</v>
      </c>
      <c r="B619" s="6"/>
      <c r="C619" s="6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24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11.25">
      <c r="A620" s="8" t="s">
        <v>43</v>
      </c>
      <c r="B620" s="6"/>
      <c r="C620" s="6"/>
      <c r="D620" s="7">
        <f>D622*D624</f>
        <v>760000</v>
      </c>
      <c r="E620" s="7">
        <f>E622*E624</f>
        <v>1220000</v>
      </c>
      <c r="F620" s="7">
        <f>D620+E620</f>
        <v>1980000</v>
      </c>
      <c r="G620" s="7">
        <f>G622*G624</f>
        <v>1960000</v>
      </c>
      <c r="H620" s="7">
        <f>H622*H624</f>
        <v>6032500</v>
      </c>
      <c r="I620" s="7"/>
      <c r="J620" s="7">
        <f>G620+H620</f>
        <v>7992500</v>
      </c>
      <c r="K620" s="7"/>
      <c r="L620" s="7"/>
      <c r="M620" s="7"/>
      <c r="N620" s="7">
        <f>N622*N624</f>
        <v>368000</v>
      </c>
      <c r="O620" s="7">
        <f>O622*O624</f>
        <v>7632000</v>
      </c>
      <c r="P620" s="7">
        <f>N620+O620</f>
        <v>8000000</v>
      </c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11.25">
      <c r="A621" s="5" t="s">
        <v>5</v>
      </c>
      <c r="B621" s="6"/>
      <c r="C621" s="6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235" ht="22.5">
      <c r="A622" s="8" t="s">
        <v>180</v>
      </c>
      <c r="B622" s="6"/>
      <c r="C622" s="6"/>
      <c r="D622" s="7">
        <v>1</v>
      </c>
      <c r="E622" s="7">
        <v>1</v>
      </c>
      <c r="F622" s="7">
        <f>D622+E622</f>
        <v>2</v>
      </c>
      <c r="G622" s="7">
        <v>1</v>
      </c>
      <c r="H622" s="7">
        <v>1</v>
      </c>
      <c r="I622" s="7"/>
      <c r="J622" s="7">
        <v>1</v>
      </c>
      <c r="K622" s="7"/>
      <c r="L622" s="7"/>
      <c r="M622" s="7"/>
      <c r="N622" s="7">
        <v>1</v>
      </c>
      <c r="O622" s="7">
        <v>1</v>
      </c>
      <c r="P622" s="7">
        <v>1</v>
      </c>
      <c r="Q622" s="24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11.25">
      <c r="A623" s="5" t="s">
        <v>7</v>
      </c>
      <c r="B623" s="6"/>
      <c r="C623" s="6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235" ht="22.5">
      <c r="A624" s="8" t="s">
        <v>181</v>
      </c>
      <c r="B624" s="6"/>
      <c r="C624" s="6"/>
      <c r="D624" s="7">
        <v>760000</v>
      </c>
      <c r="E624" s="7">
        <v>1220000</v>
      </c>
      <c r="F624" s="7">
        <f>D624+E624</f>
        <v>1980000</v>
      </c>
      <c r="G624" s="7">
        <v>1960000</v>
      </c>
      <c r="H624" s="7">
        <v>6032500</v>
      </c>
      <c r="I624" s="7"/>
      <c r="J624" s="23">
        <f>J620/J622</f>
        <v>7992500</v>
      </c>
      <c r="K624" s="23"/>
      <c r="L624" s="23"/>
      <c r="M624" s="23"/>
      <c r="N624" s="23">
        <v>368000</v>
      </c>
      <c r="O624" s="23">
        <v>7632000</v>
      </c>
      <c r="P624" s="7">
        <f>N624+O624</f>
        <v>8000000</v>
      </c>
      <c r="Q624" s="24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  <c r="GB624" s="53"/>
      <c r="GC624" s="53"/>
      <c r="GD624" s="53"/>
      <c r="GE624" s="53"/>
      <c r="GF624" s="53"/>
      <c r="GG624" s="53"/>
      <c r="GH624" s="53"/>
      <c r="GI624" s="53"/>
      <c r="GJ624" s="53"/>
      <c r="GK624" s="53"/>
      <c r="GL624" s="53"/>
      <c r="GM624" s="53"/>
      <c r="GN624" s="53"/>
      <c r="GO624" s="53"/>
      <c r="GP624" s="53"/>
      <c r="GQ624" s="53"/>
      <c r="GR624" s="53"/>
      <c r="GS624" s="53"/>
      <c r="GT624" s="53"/>
      <c r="GU624" s="53"/>
      <c r="GV624" s="53"/>
      <c r="GW624" s="53"/>
      <c r="GX624" s="53"/>
      <c r="GY624" s="53"/>
      <c r="GZ624" s="53"/>
      <c r="HA624" s="53"/>
      <c r="HB624" s="53"/>
      <c r="HC624" s="53"/>
      <c r="HD624" s="53"/>
      <c r="HE624" s="53"/>
      <c r="HF624" s="53"/>
      <c r="HG624" s="53"/>
      <c r="HH624" s="53"/>
      <c r="HI624" s="53"/>
      <c r="HJ624" s="53"/>
      <c r="HK624" s="53"/>
      <c r="HL624" s="53"/>
      <c r="HM624" s="53"/>
      <c r="HN624" s="53"/>
      <c r="HO624" s="53"/>
      <c r="HP624" s="53"/>
      <c r="HQ624" s="53"/>
      <c r="HR624" s="53"/>
      <c r="HS624" s="53"/>
      <c r="HT624" s="53"/>
      <c r="HU624" s="53"/>
      <c r="HV624" s="53"/>
      <c r="HW624" s="53"/>
      <c r="HX624" s="53"/>
      <c r="HY624" s="53"/>
      <c r="HZ624" s="53"/>
      <c r="IA624" s="53"/>
    </row>
    <row r="625" spans="1:17" s="52" customFormat="1" ht="11.25">
      <c r="A625" s="37" t="s">
        <v>343</v>
      </c>
      <c r="B625" s="37"/>
      <c r="C625" s="37"/>
      <c r="D625" s="30">
        <f>D629</f>
        <v>0</v>
      </c>
      <c r="E625" s="30">
        <f>E629</f>
        <v>2275980</v>
      </c>
      <c r="F625" s="30">
        <f>D625+E625</f>
        <v>2275980</v>
      </c>
      <c r="G625" s="30">
        <v>0</v>
      </c>
      <c r="H625" s="30">
        <f>H627</f>
        <v>1108600</v>
      </c>
      <c r="I625" s="30" t="e">
        <f>#REF!</f>
        <v>#REF!</v>
      </c>
      <c r="J625" s="129">
        <f>J627</f>
        <v>1108600</v>
      </c>
      <c r="K625" s="129" t="e">
        <f>#REF!</f>
        <v>#REF!</v>
      </c>
      <c r="L625" s="129" t="e">
        <f>#REF!</f>
        <v>#REF!</v>
      </c>
      <c r="M625" s="129" t="e">
        <f>#REF!</f>
        <v>#REF!</v>
      </c>
      <c r="N625" s="129">
        <v>0</v>
      </c>
      <c r="O625" s="129">
        <v>0</v>
      </c>
      <c r="P625" s="30">
        <v>0</v>
      </c>
      <c r="Q625" s="75" t="e">
        <f>#REF!</f>
        <v>#REF!</v>
      </c>
    </row>
    <row r="626" spans="1:235" ht="33.75">
      <c r="A626" s="8" t="s">
        <v>344</v>
      </c>
      <c r="B626" s="6"/>
      <c r="C626" s="6"/>
      <c r="D626" s="7"/>
      <c r="E626" s="7"/>
      <c r="F626" s="7"/>
      <c r="G626" s="7"/>
      <c r="H626" s="7"/>
      <c r="I626" s="7"/>
      <c r="J626" s="23"/>
      <c r="K626" s="23"/>
      <c r="L626" s="23"/>
      <c r="M626" s="23"/>
      <c r="N626" s="23"/>
      <c r="O626" s="23"/>
      <c r="P626" s="7"/>
      <c r="Q626" s="24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3"/>
      <c r="BS626" s="53"/>
      <c r="BT626" s="53"/>
      <c r="BU626" s="53"/>
      <c r="BV626" s="53"/>
      <c r="BW626" s="53"/>
      <c r="BX626" s="53"/>
      <c r="BY626" s="53"/>
      <c r="BZ626" s="53"/>
      <c r="CA626" s="53"/>
      <c r="CB626" s="53"/>
      <c r="CC626" s="53"/>
      <c r="CD626" s="53"/>
      <c r="CE626" s="53"/>
      <c r="CF626" s="53"/>
      <c r="CG626" s="53"/>
      <c r="CH626" s="53"/>
      <c r="CI626" s="53"/>
      <c r="CJ626" s="53"/>
      <c r="CK626" s="53"/>
      <c r="CL626" s="53"/>
      <c r="CM626" s="53"/>
      <c r="CN626" s="53"/>
      <c r="CO626" s="53"/>
      <c r="CP626" s="53"/>
      <c r="CQ626" s="53"/>
      <c r="CR626" s="53"/>
      <c r="CS626" s="53"/>
      <c r="CT626" s="53"/>
      <c r="CU626" s="53"/>
      <c r="CV626" s="53"/>
      <c r="CW626" s="53"/>
      <c r="CX626" s="53"/>
      <c r="CY626" s="53"/>
      <c r="CZ626" s="53"/>
      <c r="DA626" s="53"/>
      <c r="DB626" s="53"/>
      <c r="DC626" s="53"/>
      <c r="DD626" s="53"/>
      <c r="DE626" s="53"/>
      <c r="DF626" s="53"/>
      <c r="DG626" s="53"/>
      <c r="DH626" s="53"/>
      <c r="DI626" s="53"/>
      <c r="DJ626" s="53"/>
      <c r="DK626" s="53"/>
      <c r="DL626" s="53"/>
      <c r="DM626" s="53"/>
      <c r="DN626" s="53"/>
      <c r="DO626" s="53"/>
      <c r="DP626" s="53"/>
      <c r="DQ626" s="53"/>
      <c r="DR626" s="53"/>
      <c r="DS626" s="53"/>
      <c r="DT626" s="53"/>
      <c r="DU626" s="53"/>
      <c r="DV626" s="53"/>
      <c r="DW626" s="53"/>
      <c r="DX626" s="53"/>
      <c r="DY626" s="53"/>
      <c r="DZ626" s="53"/>
      <c r="EA626" s="53"/>
      <c r="EB626" s="53"/>
      <c r="EC626" s="53"/>
      <c r="ED626" s="53"/>
      <c r="EE626" s="53"/>
      <c r="EF626" s="53"/>
      <c r="EG626" s="53"/>
      <c r="EH626" s="53"/>
      <c r="EI626" s="53"/>
      <c r="EJ626" s="53"/>
      <c r="EK626" s="53"/>
      <c r="EL626" s="53"/>
      <c r="EM626" s="53"/>
      <c r="EN626" s="53"/>
      <c r="EO626" s="53"/>
      <c r="EP626" s="53"/>
      <c r="EQ626" s="53"/>
      <c r="ER626" s="53"/>
      <c r="ES626" s="53"/>
      <c r="ET626" s="53"/>
      <c r="EU626" s="53"/>
      <c r="EV626" s="53"/>
      <c r="EW626" s="53"/>
      <c r="EX626" s="53"/>
      <c r="EY626" s="53"/>
      <c r="EZ626" s="53"/>
      <c r="FA626" s="53"/>
      <c r="FB626" s="53"/>
      <c r="FC626" s="53"/>
      <c r="FD626" s="53"/>
      <c r="FE626" s="53"/>
      <c r="FF626" s="53"/>
      <c r="FG626" s="53"/>
      <c r="FH626" s="53"/>
      <c r="FI626" s="53"/>
      <c r="FJ626" s="53"/>
      <c r="FK626" s="53"/>
      <c r="FL626" s="53"/>
      <c r="FM626" s="53"/>
      <c r="FN626" s="53"/>
      <c r="FO626" s="53"/>
      <c r="FP626" s="53"/>
      <c r="FQ626" s="53"/>
      <c r="FR626" s="53"/>
      <c r="FS626" s="53"/>
      <c r="FT626" s="53"/>
      <c r="FU626" s="53"/>
      <c r="FV626" s="53"/>
      <c r="FW626" s="53"/>
      <c r="FX626" s="53"/>
      <c r="FY626" s="53"/>
      <c r="FZ626" s="53"/>
      <c r="GA626" s="53"/>
      <c r="GB626" s="53"/>
      <c r="GC626" s="53"/>
      <c r="GD626" s="53"/>
      <c r="GE626" s="53"/>
      <c r="GF626" s="53"/>
      <c r="GG626" s="53"/>
      <c r="GH626" s="53"/>
      <c r="GI626" s="53"/>
      <c r="GJ626" s="53"/>
      <c r="GK626" s="53"/>
      <c r="GL626" s="53"/>
      <c r="GM626" s="53"/>
      <c r="GN626" s="53"/>
      <c r="GO626" s="53"/>
      <c r="GP626" s="53"/>
      <c r="GQ626" s="53"/>
      <c r="GR626" s="53"/>
      <c r="GS626" s="53"/>
      <c r="GT626" s="53"/>
      <c r="GU626" s="53"/>
      <c r="GV626" s="53"/>
      <c r="GW626" s="53"/>
      <c r="GX626" s="53"/>
      <c r="GY626" s="53"/>
      <c r="GZ626" s="53"/>
      <c r="HA626" s="53"/>
      <c r="HB626" s="53"/>
      <c r="HC626" s="53"/>
      <c r="HD626" s="53"/>
      <c r="HE626" s="53"/>
      <c r="HF626" s="53"/>
      <c r="HG626" s="53"/>
      <c r="HH626" s="53"/>
      <c r="HI626" s="53"/>
      <c r="HJ626" s="53"/>
      <c r="HK626" s="53"/>
      <c r="HL626" s="53"/>
      <c r="HM626" s="53"/>
      <c r="HN626" s="53"/>
      <c r="HO626" s="53"/>
      <c r="HP626" s="53"/>
      <c r="HQ626" s="53"/>
      <c r="HR626" s="53"/>
      <c r="HS626" s="53"/>
      <c r="HT626" s="53"/>
      <c r="HU626" s="53"/>
      <c r="HV626" s="53"/>
      <c r="HW626" s="53"/>
      <c r="HX626" s="53"/>
      <c r="HY626" s="53"/>
      <c r="HZ626" s="53"/>
      <c r="IA626" s="53"/>
    </row>
    <row r="627" spans="1:17" s="52" customFormat="1" ht="22.5">
      <c r="A627" s="34" t="s">
        <v>431</v>
      </c>
      <c r="B627" s="37"/>
      <c r="C627" s="37"/>
      <c r="D627" s="30"/>
      <c r="E627" s="30">
        <v>2275980</v>
      </c>
      <c r="F627" s="30">
        <v>2275980</v>
      </c>
      <c r="G627" s="30"/>
      <c r="H627" s="30">
        <f>H629</f>
        <v>1108600</v>
      </c>
      <c r="I627" s="30"/>
      <c r="J627" s="129">
        <f>H627</f>
        <v>1108600</v>
      </c>
      <c r="K627" s="129"/>
      <c r="L627" s="129"/>
      <c r="M627" s="129"/>
      <c r="N627" s="129"/>
      <c r="O627" s="129"/>
      <c r="P627" s="30"/>
      <c r="Q627" s="75"/>
    </row>
    <row r="628" spans="1:235" ht="11.25">
      <c r="A628" s="5" t="s">
        <v>4</v>
      </c>
      <c r="B628" s="6"/>
      <c r="C628" s="6"/>
      <c r="D628" s="7"/>
      <c r="E628" s="7"/>
      <c r="F628" s="7"/>
      <c r="G628" s="7"/>
      <c r="H628" s="7"/>
      <c r="I628" s="7"/>
      <c r="J628" s="23"/>
      <c r="K628" s="23"/>
      <c r="L628" s="23"/>
      <c r="M628" s="23"/>
      <c r="N628" s="23"/>
      <c r="O628" s="23"/>
      <c r="P628" s="7"/>
      <c r="Q628" s="24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11.25">
      <c r="A629" s="8" t="s">
        <v>43</v>
      </c>
      <c r="B629" s="6"/>
      <c r="C629" s="6"/>
      <c r="D629" s="7"/>
      <c r="E629" s="7">
        <f>2178000+97980</f>
        <v>2275980</v>
      </c>
      <c r="F629" s="7">
        <f>D629+E629</f>
        <v>2275980</v>
      </c>
      <c r="G629" s="7"/>
      <c r="H629" s="7">
        <v>1108600</v>
      </c>
      <c r="I629" s="7"/>
      <c r="J629" s="23">
        <f>H629</f>
        <v>1108600</v>
      </c>
      <c r="K629" s="23"/>
      <c r="L629" s="23"/>
      <c r="M629" s="23"/>
      <c r="N629" s="23"/>
      <c r="O629" s="23"/>
      <c r="P629" s="7"/>
      <c r="Q629" s="24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11.25">
      <c r="A630" s="5" t="s">
        <v>5</v>
      </c>
      <c r="B630" s="6"/>
      <c r="C630" s="6"/>
      <c r="D630" s="7"/>
      <c r="E630" s="7"/>
      <c r="F630" s="7"/>
      <c r="G630" s="7"/>
      <c r="H630" s="7"/>
      <c r="I630" s="7"/>
      <c r="J630" s="23"/>
      <c r="K630" s="23"/>
      <c r="L630" s="23"/>
      <c r="M630" s="23"/>
      <c r="N630" s="23"/>
      <c r="O630" s="23"/>
      <c r="P630" s="7"/>
      <c r="Q630" s="24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22.5">
      <c r="A631" s="8" t="s">
        <v>345</v>
      </c>
      <c r="B631" s="6"/>
      <c r="C631" s="6"/>
      <c r="D631" s="7"/>
      <c r="E631" s="7">
        <v>63</v>
      </c>
      <c r="F631" s="7">
        <v>63</v>
      </c>
      <c r="G631" s="7"/>
      <c r="H631" s="7">
        <v>22</v>
      </c>
      <c r="I631" s="7"/>
      <c r="J631" s="23">
        <f>H631</f>
        <v>22</v>
      </c>
      <c r="K631" s="23"/>
      <c r="L631" s="23"/>
      <c r="M631" s="23"/>
      <c r="N631" s="23"/>
      <c r="O631" s="23"/>
      <c r="P631" s="7"/>
      <c r="Q631" s="24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11.25">
      <c r="A632" s="5" t="s">
        <v>7</v>
      </c>
      <c r="B632" s="6"/>
      <c r="C632" s="6"/>
      <c r="D632" s="7"/>
      <c r="E632" s="7"/>
      <c r="F632" s="7"/>
      <c r="G632" s="7"/>
      <c r="H632" s="7"/>
      <c r="I632" s="7"/>
      <c r="J632" s="23"/>
      <c r="K632" s="23"/>
      <c r="L632" s="23"/>
      <c r="M632" s="23"/>
      <c r="N632" s="23"/>
      <c r="O632" s="23"/>
      <c r="P632" s="7"/>
      <c r="Q632" s="24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22.5">
      <c r="A633" s="8" t="s">
        <v>346</v>
      </c>
      <c r="B633" s="6"/>
      <c r="C633" s="6"/>
      <c r="D633" s="7"/>
      <c r="E633" s="7">
        <v>36300</v>
      </c>
      <c r="F633" s="7">
        <v>36300</v>
      </c>
      <c r="G633" s="7"/>
      <c r="H633" s="7">
        <v>50390.91</v>
      </c>
      <c r="I633" s="7"/>
      <c r="J633" s="23">
        <f>H633</f>
        <v>50390.91</v>
      </c>
      <c r="K633" s="23"/>
      <c r="L633" s="23"/>
      <c r="M633" s="23"/>
      <c r="N633" s="23"/>
      <c r="O633" s="23"/>
      <c r="P633" s="7"/>
      <c r="Q633" s="24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235" ht="11.25">
      <c r="A634" s="8"/>
      <c r="B634" s="6"/>
      <c r="C634" s="6"/>
      <c r="D634" s="7"/>
      <c r="E634" s="7"/>
      <c r="F634" s="7"/>
      <c r="G634" s="7"/>
      <c r="H634" s="7"/>
      <c r="I634" s="7"/>
      <c r="J634" s="23"/>
      <c r="K634" s="23"/>
      <c r="L634" s="23"/>
      <c r="M634" s="23"/>
      <c r="N634" s="23"/>
      <c r="O634" s="23"/>
      <c r="P634" s="7"/>
      <c r="Q634" s="24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235" ht="11.25">
      <c r="A635" s="37" t="s">
        <v>328</v>
      </c>
      <c r="B635" s="6"/>
      <c r="C635" s="6"/>
      <c r="D635" s="36">
        <f>D637</f>
        <v>3000000</v>
      </c>
      <c r="E635" s="36">
        <f aca="true" t="shared" si="63" ref="E635:Q635">E637</f>
        <v>0</v>
      </c>
      <c r="F635" s="36">
        <f t="shared" si="63"/>
        <v>3000000</v>
      </c>
      <c r="G635" s="36">
        <f t="shared" si="63"/>
        <v>1714999.99773</v>
      </c>
      <c r="H635" s="36">
        <f t="shared" si="63"/>
        <v>0</v>
      </c>
      <c r="I635" s="36">
        <f t="shared" si="63"/>
        <v>0</v>
      </c>
      <c r="J635" s="36">
        <f t="shared" si="63"/>
        <v>1714999.99773</v>
      </c>
      <c r="K635" s="36">
        <f t="shared" si="63"/>
        <v>0</v>
      </c>
      <c r="L635" s="36">
        <f t="shared" si="63"/>
        <v>0</v>
      </c>
      <c r="M635" s="36">
        <f t="shared" si="63"/>
        <v>0</v>
      </c>
      <c r="N635" s="36">
        <f t="shared" si="63"/>
        <v>100000</v>
      </c>
      <c r="O635" s="36">
        <f t="shared" si="63"/>
        <v>0</v>
      </c>
      <c r="P635" s="36">
        <f t="shared" si="63"/>
        <v>100000</v>
      </c>
      <c r="Q635" s="36">
        <f t="shared" si="63"/>
        <v>0</v>
      </c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  <c r="DG635" s="53"/>
      <c r="DH635" s="53"/>
      <c r="DI635" s="53"/>
      <c r="DJ635" s="53"/>
      <c r="DK635" s="53"/>
      <c r="DL635" s="53"/>
      <c r="DM635" s="53"/>
      <c r="DN635" s="53"/>
      <c r="DO635" s="53"/>
      <c r="DP635" s="53"/>
      <c r="DQ635" s="53"/>
      <c r="DR635" s="53"/>
      <c r="DS635" s="53"/>
      <c r="DT635" s="53"/>
      <c r="DU635" s="53"/>
      <c r="DV635" s="53"/>
      <c r="DW635" s="53"/>
      <c r="DX635" s="53"/>
      <c r="DY635" s="53"/>
      <c r="DZ635" s="53"/>
      <c r="EA635" s="53"/>
      <c r="EB635" s="53"/>
      <c r="EC635" s="53"/>
      <c r="ED635" s="53"/>
      <c r="EE635" s="53"/>
      <c r="EF635" s="53"/>
      <c r="EG635" s="53"/>
      <c r="EH635" s="53"/>
      <c r="EI635" s="53"/>
      <c r="EJ635" s="53"/>
      <c r="EK635" s="53"/>
      <c r="EL635" s="53"/>
      <c r="EM635" s="53"/>
      <c r="EN635" s="53"/>
      <c r="EO635" s="53"/>
      <c r="EP635" s="53"/>
      <c r="EQ635" s="53"/>
      <c r="ER635" s="53"/>
      <c r="ES635" s="53"/>
      <c r="ET635" s="53"/>
      <c r="EU635" s="53"/>
      <c r="EV635" s="53"/>
      <c r="EW635" s="53"/>
      <c r="EX635" s="53"/>
      <c r="EY635" s="53"/>
      <c r="EZ635" s="53"/>
      <c r="FA635" s="53"/>
      <c r="FB635" s="53"/>
      <c r="FC635" s="53"/>
      <c r="FD635" s="53"/>
      <c r="FE635" s="53"/>
      <c r="FF635" s="53"/>
      <c r="FG635" s="53"/>
      <c r="FH635" s="53"/>
      <c r="FI635" s="53"/>
      <c r="FJ635" s="53"/>
      <c r="FK635" s="53"/>
      <c r="FL635" s="53"/>
      <c r="FM635" s="53"/>
      <c r="FN635" s="53"/>
      <c r="FO635" s="53"/>
      <c r="FP635" s="53"/>
      <c r="FQ635" s="53"/>
      <c r="FR635" s="53"/>
      <c r="FS635" s="53"/>
      <c r="FT635" s="53"/>
      <c r="FU635" s="53"/>
      <c r="FV635" s="53"/>
      <c r="FW635" s="53"/>
      <c r="FX635" s="53"/>
      <c r="FY635" s="53"/>
      <c r="FZ635" s="53"/>
      <c r="GA635" s="53"/>
      <c r="GB635" s="53"/>
      <c r="GC635" s="53"/>
      <c r="GD635" s="53"/>
      <c r="GE635" s="53"/>
      <c r="GF635" s="53"/>
      <c r="GG635" s="53"/>
      <c r="GH635" s="53"/>
      <c r="GI635" s="53"/>
      <c r="GJ635" s="53"/>
      <c r="GK635" s="53"/>
      <c r="GL635" s="53"/>
      <c r="GM635" s="53"/>
      <c r="GN635" s="53"/>
      <c r="GO635" s="53"/>
      <c r="GP635" s="53"/>
      <c r="GQ635" s="53"/>
      <c r="GR635" s="53"/>
      <c r="GS635" s="53"/>
      <c r="GT635" s="53"/>
      <c r="GU635" s="53"/>
      <c r="GV635" s="53"/>
      <c r="GW635" s="53"/>
      <c r="GX635" s="53"/>
      <c r="GY635" s="53"/>
      <c r="GZ635" s="53"/>
      <c r="HA635" s="53"/>
      <c r="HB635" s="53"/>
      <c r="HC635" s="53"/>
      <c r="HD635" s="53"/>
      <c r="HE635" s="53"/>
      <c r="HF635" s="53"/>
      <c r="HG635" s="53"/>
      <c r="HH635" s="53"/>
      <c r="HI635" s="53"/>
      <c r="HJ635" s="53"/>
      <c r="HK635" s="53"/>
      <c r="HL635" s="53"/>
      <c r="HM635" s="53"/>
      <c r="HN635" s="53"/>
      <c r="HO635" s="53"/>
      <c r="HP635" s="53"/>
      <c r="HQ635" s="53"/>
      <c r="HR635" s="53"/>
      <c r="HS635" s="53"/>
      <c r="HT635" s="53"/>
      <c r="HU635" s="53"/>
      <c r="HV635" s="53"/>
      <c r="HW635" s="53"/>
      <c r="HX635" s="53"/>
      <c r="HY635" s="53"/>
      <c r="HZ635" s="53"/>
      <c r="IA635" s="53"/>
    </row>
    <row r="636" spans="1:235" ht="22.5">
      <c r="A636" s="8" t="s">
        <v>259</v>
      </c>
      <c r="B636" s="6"/>
      <c r="C636" s="6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24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3"/>
      <c r="BS636" s="53"/>
      <c r="BT636" s="53"/>
      <c r="BU636" s="53"/>
      <c r="BV636" s="53"/>
      <c r="BW636" s="53"/>
      <c r="BX636" s="53"/>
      <c r="BY636" s="53"/>
      <c r="BZ636" s="53"/>
      <c r="CA636" s="53"/>
      <c r="CB636" s="53"/>
      <c r="CC636" s="53"/>
      <c r="CD636" s="53"/>
      <c r="CE636" s="53"/>
      <c r="CF636" s="53"/>
      <c r="CG636" s="53"/>
      <c r="CH636" s="53"/>
      <c r="CI636" s="53"/>
      <c r="CJ636" s="53"/>
      <c r="CK636" s="53"/>
      <c r="CL636" s="53"/>
      <c r="CM636" s="53"/>
      <c r="CN636" s="53"/>
      <c r="CO636" s="53"/>
      <c r="CP636" s="53"/>
      <c r="CQ636" s="53"/>
      <c r="CR636" s="53"/>
      <c r="CS636" s="53"/>
      <c r="CT636" s="53"/>
      <c r="CU636" s="53"/>
      <c r="CV636" s="53"/>
      <c r="CW636" s="53"/>
      <c r="CX636" s="53"/>
      <c r="CY636" s="53"/>
      <c r="CZ636" s="53"/>
      <c r="DA636" s="53"/>
      <c r="DB636" s="53"/>
      <c r="DC636" s="53"/>
      <c r="DD636" s="53"/>
      <c r="DE636" s="53"/>
      <c r="DF636" s="53"/>
      <c r="DG636" s="53"/>
      <c r="DH636" s="53"/>
      <c r="DI636" s="53"/>
      <c r="DJ636" s="53"/>
      <c r="DK636" s="53"/>
      <c r="DL636" s="53"/>
      <c r="DM636" s="53"/>
      <c r="DN636" s="53"/>
      <c r="DO636" s="53"/>
      <c r="DP636" s="53"/>
      <c r="DQ636" s="53"/>
      <c r="DR636" s="53"/>
      <c r="DS636" s="53"/>
      <c r="DT636" s="53"/>
      <c r="DU636" s="53"/>
      <c r="DV636" s="53"/>
      <c r="DW636" s="53"/>
      <c r="DX636" s="53"/>
      <c r="DY636" s="53"/>
      <c r="DZ636" s="53"/>
      <c r="EA636" s="53"/>
      <c r="EB636" s="53"/>
      <c r="EC636" s="53"/>
      <c r="ED636" s="53"/>
      <c r="EE636" s="53"/>
      <c r="EF636" s="53"/>
      <c r="EG636" s="53"/>
      <c r="EH636" s="53"/>
      <c r="EI636" s="53"/>
      <c r="EJ636" s="53"/>
      <c r="EK636" s="53"/>
      <c r="EL636" s="53"/>
      <c r="EM636" s="53"/>
      <c r="EN636" s="53"/>
      <c r="EO636" s="53"/>
      <c r="EP636" s="53"/>
      <c r="EQ636" s="53"/>
      <c r="ER636" s="53"/>
      <c r="ES636" s="53"/>
      <c r="ET636" s="53"/>
      <c r="EU636" s="53"/>
      <c r="EV636" s="53"/>
      <c r="EW636" s="53"/>
      <c r="EX636" s="53"/>
      <c r="EY636" s="53"/>
      <c r="EZ636" s="53"/>
      <c r="FA636" s="53"/>
      <c r="FB636" s="53"/>
      <c r="FC636" s="53"/>
      <c r="FD636" s="53"/>
      <c r="FE636" s="53"/>
      <c r="FF636" s="53"/>
      <c r="FG636" s="53"/>
      <c r="FH636" s="53"/>
      <c r="FI636" s="53"/>
      <c r="FJ636" s="53"/>
      <c r="FK636" s="53"/>
      <c r="FL636" s="53"/>
      <c r="FM636" s="53"/>
      <c r="FN636" s="53"/>
      <c r="FO636" s="53"/>
      <c r="FP636" s="53"/>
      <c r="FQ636" s="53"/>
      <c r="FR636" s="53"/>
      <c r="FS636" s="53"/>
      <c r="FT636" s="53"/>
      <c r="FU636" s="53"/>
      <c r="FV636" s="53"/>
      <c r="FW636" s="53"/>
      <c r="FX636" s="53"/>
      <c r="FY636" s="53"/>
      <c r="FZ636" s="53"/>
      <c r="GA636" s="53"/>
      <c r="GB636" s="53"/>
      <c r="GC636" s="53"/>
      <c r="GD636" s="53"/>
      <c r="GE636" s="53"/>
      <c r="GF636" s="53"/>
      <c r="GG636" s="53"/>
      <c r="GH636" s="53"/>
      <c r="GI636" s="53"/>
      <c r="GJ636" s="53"/>
      <c r="GK636" s="53"/>
      <c r="GL636" s="53"/>
      <c r="GM636" s="53"/>
      <c r="GN636" s="53"/>
      <c r="GO636" s="53"/>
      <c r="GP636" s="53"/>
      <c r="GQ636" s="53"/>
      <c r="GR636" s="53"/>
      <c r="GS636" s="53"/>
      <c r="GT636" s="53"/>
      <c r="GU636" s="53"/>
      <c r="GV636" s="53"/>
      <c r="GW636" s="53"/>
      <c r="GX636" s="53"/>
      <c r="GY636" s="53"/>
      <c r="GZ636" s="53"/>
      <c r="HA636" s="53"/>
      <c r="HB636" s="53"/>
      <c r="HC636" s="53"/>
      <c r="HD636" s="53"/>
      <c r="HE636" s="53"/>
      <c r="HF636" s="53"/>
      <c r="HG636" s="53"/>
      <c r="HH636" s="53"/>
      <c r="HI636" s="53"/>
      <c r="HJ636" s="53"/>
      <c r="HK636" s="53"/>
      <c r="HL636" s="53"/>
      <c r="HM636" s="53"/>
      <c r="HN636" s="53"/>
      <c r="HO636" s="53"/>
      <c r="HP636" s="53"/>
      <c r="HQ636" s="53"/>
      <c r="HR636" s="53"/>
      <c r="HS636" s="53"/>
      <c r="HT636" s="53"/>
      <c r="HU636" s="53"/>
      <c r="HV636" s="53"/>
      <c r="HW636" s="53"/>
      <c r="HX636" s="53"/>
      <c r="HY636" s="53"/>
      <c r="HZ636" s="53"/>
      <c r="IA636" s="53"/>
    </row>
    <row r="637" spans="1:17" s="39" customFormat="1" ht="37.5" customHeight="1">
      <c r="A637" s="34" t="s">
        <v>432</v>
      </c>
      <c r="B637" s="35"/>
      <c r="C637" s="35"/>
      <c r="D637" s="45">
        <f>D639</f>
        <v>3000000</v>
      </c>
      <c r="E637" s="45"/>
      <c r="F637" s="45">
        <f>D637+E637</f>
        <v>3000000</v>
      </c>
      <c r="G637" s="36">
        <f>G642*G644</f>
        <v>1714999.99773</v>
      </c>
      <c r="H637" s="36"/>
      <c r="I637" s="36"/>
      <c r="J637" s="36">
        <f>J639</f>
        <v>1714999.99773</v>
      </c>
      <c r="K637" s="36"/>
      <c r="L637" s="36"/>
      <c r="M637" s="36"/>
      <c r="N637" s="36">
        <f>N639</f>
        <v>100000</v>
      </c>
      <c r="O637" s="36"/>
      <c r="P637" s="36">
        <f>N637</f>
        <v>100000</v>
      </c>
      <c r="Q637" s="78"/>
    </row>
    <row r="638" spans="1:235" ht="11.25">
      <c r="A638" s="5" t="s">
        <v>4</v>
      </c>
      <c r="B638" s="6"/>
      <c r="C638" s="6"/>
      <c r="D638" s="84"/>
      <c r="E638" s="84"/>
      <c r="F638" s="84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24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3"/>
      <c r="BS638" s="53"/>
      <c r="BT638" s="53"/>
      <c r="BU638" s="53"/>
      <c r="BV638" s="53"/>
      <c r="BW638" s="53"/>
      <c r="BX638" s="53"/>
      <c r="BY638" s="53"/>
      <c r="BZ638" s="53"/>
      <c r="CA638" s="53"/>
      <c r="CB638" s="53"/>
      <c r="CC638" s="53"/>
      <c r="CD638" s="53"/>
      <c r="CE638" s="53"/>
      <c r="CF638" s="53"/>
      <c r="CG638" s="53"/>
      <c r="CH638" s="53"/>
      <c r="CI638" s="53"/>
      <c r="CJ638" s="53"/>
      <c r="CK638" s="53"/>
      <c r="CL638" s="53"/>
      <c r="CM638" s="53"/>
      <c r="CN638" s="53"/>
      <c r="CO638" s="53"/>
      <c r="CP638" s="53"/>
      <c r="CQ638" s="53"/>
      <c r="CR638" s="53"/>
      <c r="CS638" s="53"/>
      <c r="CT638" s="53"/>
      <c r="CU638" s="53"/>
      <c r="CV638" s="53"/>
      <c r="CW638" s="53"/>
      <c r="CX638" s="53"/>
      <c r="CY638" s="53"/>
      <c r="CZ638" s="53"/>
      <c r="DA638" s="53"/>
      <c r="DB638" s="53"/>
      <c r="DC638" s="53"/>
      <c r="DD638" s="53"/>
      <c r="DE638" s="53"/>
      <c r="DF638" s="53"/>
      <c r="DG638" s="53"/>
      <c r="DH638" s="53"/>
      <c r="DI638" s="53"/>
      <c r="DJ638" s="53"/>
      <c r="DK638" s="53"/>
      <c r="DL638" s="53"/>
      <c r="DM638" s="53"/>
      <c r="DN638" s="53"/>
      <c r="DO638" s="53"/>
      <c r="DP638" s="53"/>
      <c r="DQ638" s="53"/>
      <c r="DR638" s="53"/>
      <c r="DS638" s="53"/>
      <c r="DT638" s="53"/>
      <c r="DU638" s="53"/>
      <c r="DV638" s="53"/>
      <c r="DW638" s="53"/>
      <c r="DX638" s="53"/>
      <c r="DY638" s="53"/>
      <c r="DZ638" s="53"/>
      <c r="EA638" s="53"/>
      <c r="EB638" s="53"/>
      <c r="EC638" s="53"/>
      <c r="ED638" s="53"/>
      <c r="EE638" s="53"/>
      <c r="EF638" s="53"/>
      <c r="EG638" s="53"/>
      <c r="EH638" s="53"/>
      <c r="EI638" s="53"/>
      <c r="EJ638" s="53"/>
      <c r="EK638" s="53"/>
      <c r="EL638" s="53"/>
      <c r="EM638" s="53"/>
      <c r="EN638" s="53"/>
      <c r="EO638" s="53"/>
      <c r="EP638" s="53"/>
      <c r="EQ638" s="53"/>
      <c r="ER638" s="53"/>
      <c r="ES638" s="53"/>
      <c r="ET638" s="53"/>
      <c r="EU638" s="53"/>
      <c r="EV638" s="53"/>
      <c r="EW638" s="53"/>
      <c r="EX638" s="53"/>
      <c r="EY638" s="53"/>
      <c r="EZ638" s="53"/>
      <c r="FA638" s="53"/>
      <c r="FB638" s="53"/>
      <c r="FC638" s="53"/>
      <c r="FD638" s="53"/>
      <c r="FE638" s="53"/>
      <c r="FF638" s="53"/>
      <c r="FG638" s="53"/>
      <c r="FH638" s="53"/>
      <c r="FI638" s="53"/>
      <c r="FJ638" s="53"/>
      <c r="FK638" s="53"/>
      <c r="FL638" s="53"/>
      <c r="FM638" s="53"/>
      <c r="FN638" s="53"/>
      <c r="FO638" s="53"/>
      <c r="FP638" s="53"/>
      <c r="FQ638" s="53"/>
      <c r="FR638" s="53"/>
      <c r="FS638" s="53"/>
      <c r="FT638" s="53"/>
      <c r="FU638" s="53"/>
      <c r="FV638" s="53"/>
      <c r="FW638" s="53"/>
      <c r="FX638" s="53"/>
      <c r="FY638" s="53"/>
      <c r="FZ638" s="53"/>
      <c r="GA638" s="53"/>
      <c r="GB638" s="53"/>
      <c r="GC638" s="53"/>
      <c r="GD638" s="53"/>
      <c r="GE638" s="53"/>
      <c r="GF638" s="53"/>
      <c r="GG638" s="53"/>
      <c r="GH638" s="53"/>
      <c r="GI638" s="53"/>
      <c r="GJ638" s="53"/>
      <c r="GK638" s="53"/>
      <c r="GL638" s="53"/>
      <c r="GM638" s="53"/>
      <c r="GN638" s="53"/>
      <c r="GO638" s="53"/>
      <c r="GP638" s="53"/>
      <c r="GQ638" s="53"/>
      <c r="GR638" s="53"/>
      <c r="GS638" s="53"/>
      <c r="GT638" s="53"/>
      <c r="GU638" s="53"/>
      <c r="GV638" s="53"/>
      <c r="GW638" s="53"/>
      <c r="GX638" s="53"/>
      <c r="GY638" s="53"/>
      <c r="GZ638" s="53"/>
      <c r="HA638" s="53"/>
      <c r="HB638" s="53"/>
      <c r="HC638" s="53"/>
      <c r="HD638" s="53"/>
      <c r="HE638" s="53"/>
      <c r="HF638" s="53"/>
      <c r="HG638" s="53"/>
      <c r="HH638" s="53"/>
      <c r="HI638" s="53"/>
      <c r="HJ638" s="53"/>
      <c r="HK638" s="53"/>
      <c r="HL638" s="53"/>
      <c r="HM638" s="53"/>
      <c r="HN638" s="53"/>
      <c r="HO638" s="53"/>
      <c r="HP638" s="53"/>
      <c r="HQ638" s="53"/>
      <c r="HR638" s="53"/>
      <c r="HS638" s="53"/>
      <c r="HT638" s="53"/>
      <c r="HU638" s="53"/>
      <c r="HV638" s="53"/>
      <c r="HW638" s="53"/>
      <c r="HX638" s="53"/>
      <c r="HY638" s="53"/>
      <c r="HZ638" s="53"/>
      <c r="IA638" s="53"/>
    </row>
    <row r="639" spans="1:235" ht="10.5" customHeight="1">
      <c r="A639" s="8" t="s">
        <v>43</v>
      </c>
      <c r="B639" s="6"/>
      <c r="C639" s="6"/>
      <c r="D639" s="84">
        <f>D642*D644</f>
        <v>3000000</v>
      </c>
      <c r="E639" s="84"/>
      <c r="F639" s="84">
        <f>D639+E639</f>
        <v>3000000</v>
      </c>
      <c r="G639" s="7">
        <f>G642*G644</f>
        <v>1714999.99773</v>
      </c>
      <c r="H639" s="7"/>
      <c r="I639" s="7"/>
      <c r="J639" s="7">
        <f>G639+H639</f>
        <v>1714999.99773</v>
      </c>
      <c r="K639" s="7"/>
      <c r="L639" s="7"/>
      <c r="M639" s="7"/>
      <c r="N639" s="7">
        <v>100000</v>
      </c>
      <c r="O639" s="7"/>
      <c r="P639" s="7">
        <f>P642*P644</f>
        <v>100003.5</v>
      </c>
      <c r="Q639" s="24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3"/>
      <c r="BS639" s="53"/>
      <c r="BT639" s="53"/>
      <c r="BU639" s="53"/>
      <c r="BV639" s="53"/>
      <c r="BW639" s="53"/>
      <c r="BX639" s="53"/>
      <c r="BY639" s="53"/>
      <c r="BZ639" s="53"/>
      <c r="CA639" s="53"/>
      <c r="CB639" s="53"/>
      <c r="CC639" s="53"/>
      <c r="CD639" s="53"/>
      <c r="CE639" s="53"/>
      <c r="CF639" s="53"/>
      <c r="CG639" s="53"/>
      <c r="CH639" s="53"/>
      <c r="CI639" s="53"/>
      <c r="CJ639" s="53"/>
      <c r="CK639" s="53"/>
      <c r="CL639" s="53"/>
      <c r="CM639" s="53"/>
      <c r="CN639" s="53"/>
      <c r="CO639" s="53"/>
      <c r="CP639" s="53"/>
      <c r="CQ639" s="53"/>
      <c r="CR639" s="53"/>
      <c r="CS639" s="53"/>
      <c r="CT639" s="53"/>
      <c r="CU639" s="53"/>
      <c r="CV639" s="53"/>
      <c r="CW639" s="53"/>
      <c r="CX639" s="53"/>
      <c r="CY639" s="53"/>
      <c r="CZ639" s="53"/>
      <c r="DA639" s="53"/>
      <c r="DB639" s="53"/>
      <c r="DC639" s="53"/>
      <c r="DD639" s="53"/>
      <c r="DE639" s="53"/>
      <c r="DF639" s="53"/>
      <c r="DG639" s="53"/>
      <c r="DH639" s="53"/>
      <c r="DI639" s="53"/>
      <c r="DJ639" s="53"/>
      <c r="DK639" s="53"/>
      <c r="DL639" s="53"/>
      <c r="DM639" s="53"/>
      <c r="DN639" s="53"/>
      <c r="DO639" s="53"/>
      <c r="DP639" s="53"/>
      <c r="DQ639" s="53"/>
      <c r="DR639" s="53"/>
      <c r="DS639" s="53"/>
      <c r="DT639" s="53"/>
      <c r="DU639" s="53"/>
      <c r="DV639" s="53"/>
      <c r="DW639" s="53"/>
      <c r="DX639" s="53"/>
      <c r="DY639" s="53"/>
      <c r="DZ639" s="53"/>
      <c r="EA639" s="53"/>
      <c r="EB639" s="53"/>
      <c r="EC639" s="53"/>
      <c r="ED639" s="53"/>
      <c r="EE639" s="53"/>
      <c r="EF639" s="53"/>
      <c r="EG639" s="53"/>
      <c r="EH639" s="53"/>
      <c r="EI639" s="53"/>
      <c r="EJ639" s="53"/>
      <c r="EK639" s="53"/>
      <c r="EL639" s="53"/>
      <c r="EM639" s="53"/>
      <c r="EN639" s="53"/>
      <c r="EO639" s="53"/>
      <c r="EP639" s="53"/>
      <c r="EQ639" s="53"/>
      <c r="ER639" s="53"/>
      <c r="ES639" s="53"/>
      <c r="ET639" s="53"/>
      <c r="EU639" s="53"/>
      <c r="EV639" s="53"/>
      <c r="EW639" s="53"/>
      <c r="EX639" s="53"/>
      <c r="EY639" s="53"/>
      <c r="EZ639" s="53"/>
      <c r="FA639" s="53"/>
      <c r="FB639" s="53"/>
      <c r="FC639" s="53"/>
      <c r="FD639" s="53"/>
      <c r="FE639" s="53"/>
      <c r="FF639" s="53"/>
      <c r="FG639" s="53"/>
      <c r="FH639" s="53"/>
      <c r="FI639" s="53"/>
      <c r="FJ639" s="53"/>
      <c r="FK639" s="53"/>
      <c r="FL639" s="53"/>
      <c r="FM639" s="53"/>
      <c r="FN639" s="53"/>
      <c r="FO639" s="53"/>
      <c r="FP639" s="53"/>
      <c r="FQ639" s="53"/>
      <c r="FR639" s="53"/>
      <c r="FS639" s="53"/>
      <c r="FT639" s="53"/>
      <c r="FU639" s="53"/>
      <c r="FV639" s="53"/>
      <c r="FW639" s="53"/>
      <c r="FX639" s="53"/>
      <c r="FY639" s="53"/>
      <c r="FZ639" s="53"/>
      <c r="GA639" s="53"/>
      <c r="GB639" s="53"/>
      <c r="GC639" s="53"/>
      <c r="GD639" s="53"/>
      <c r="GE639" s="53"/>
      <c r="GF639" s="53"/>
      <c r="GG639" s="53"/>
      <c r="GH639" s="53"/>
      <c r="GI639" s="53"/>
      <c r="GJ639" s="53"/>
      <c r="GK639" s="53"/>
      <c r="GL639" s="53"/>
      <c r="GM639" s="53"/>
      <c r="GN639" s="53"/>
      <c r="GO639" s="53"/>
      <c r="GP639" s="53"/>
      <c r="GQ639" s="53"/>
      <c r="GR639" s="53"/>
      <c r="GS639" s="53"/>
      <c r="GT639" s="53"/>
      <c r="GU639" s="53"/>
      <c r="GV639" s="53"/>
      <c r="GW639" s="53"/>
      <c r="GX639" s="53"/>
      <c r="GY639" s="53"/>
      <c r="GZ639" s="53"/>
      <c r="HA639" s="53"/>
      <c r="HB639" s="53"/>
      <c r="HC639" s="53"/>
      <c r="HD639" s="53"/>
      <c r="HE639" s="53"/>
      <c r="HF639" s="53"/>
      <c r="HG639" s="53"/>
      <c r="HH639" s="53"/>
      <c r="HI639" s="53"/>
      <c r="HJ639" s="53"/>
      <c r="HK639" s="53"/>
      <c r="HL639" s="53"/>
      <c r="HM639" s="53"/>
      <c r="HN639" s="53"/>
      <c r="HO639" s="53"/>
      <c r="HP639" s="53"/>
      <c r="HQ639" s="53"/>
      <c r="HR639" s="53"/>
      <c r="HS639" s="53"/>
      <c r="HT639" s="53"/>
      <c r="HU639" s="53"/>
      <c r="HV639" s="53"/>
      <c r="HW639" s="53"/>
      <c r="HX639" s="53"/>
      <c r="HY639" s="53"/>
      <c r="HZ639" s="53"/>
      <c r="IA639" s="53"/>
    </row>
    <row r="640" spans="1:235" ht="11.25">
      <c r="A640" s="5" t="s">
        <v>5</v>
      </c>
      <c r="B640" s="6"/>
      <c r="C640" s="6"/>
      <c r="D640" s="84"/>
      <c r="E640" s="84"/>
      <c r="F640" s="84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24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3"/>
      <c r="BS640" s="53"/>
      <c r="BT640" s="53"/>
      <c r="BU640" s="53"/>
      <c r="BV640" s="53"/>
      <c r="BW640" s="53"/>
      <c r="BX640" s="53"/>
      <c r="BY640" s="53"/>
      <c r="BZ640" s="53"/>
      <c r="CA640" s="53"/>
      <c r="CB640" s="53"/>
      <c r="CC640" s="53"/>
      <c r="CD640" s="53"/>
      <c r="CE640" s="53"/>
      <c r="CF640" s="53"/>
      <c r="CG640" s="53"/>
      <c r="CH640" s="53"/>
      <c r="CI640" s="53"/>
      <c r="CJ640" s="53"/>
      <c r="CK640" s="53"/>
      <c r="CL640" s="53"/>
      <c r="CM640" s="53"/>
      <c r="CN640" s="53"/>
      <c r="CO640" s="53"/>
      <c r="CP640" s="53"/>
      <c r="CQ640" s="53"/>
      <c r="CR640" s="53"/>
      <c r="CS640" s="53"/>
      <c r="CT640" s="53"/>
      <c r="CU640" s="53"/>
      <c r="CV640" s="53"/>
      <c r="CW640" s="53"/>
      <c r="CX640" s="53"/>
      <c r="CY640" s="53"/>
      <c r="CZ640" s="53"/>
      <c r="DA640" s="53"/>
      <c r="DB640" s="53"/>
      <c r="DC640" s="53"/>
      <c r="DD640" s="53"/>
      <c r="DE640" s="53"/>
      <c r="DF640" s="53"/>
      <c r="DG640" s="53"/>
      <c r="DH640" s="53"/>
      <c r="DI640" s="53"/>
      <c r="DJ640" s="53"/>
      <c r="DK640" s="53"/>
      <c r="DL640" s="53"/>
      <c r="DM640" s="53"/>
      <c r="DN640" s="53"/>
      <c r="DO640" s="53"/>
      <c r="DP640" s="53"/>
      <c r="DQ640" s="53"/>
      <c r="DR640" s="53"/>
      <c r="DS640" s="53"/>
      <c r="DT640" s="53"/>
      <c r="DU640" s="53"/>
      <c r="DV640" s="53"/>
      <c r="DW640" s="53"/>
      <c r="DX640" s="53"/>
      <c r="DY640" s="53"/>
      <c r="DZ640" s="53"/>
      <c r="EA640" s="53"/>
      <c r="EB640" s="53"/>
      <c r="EC640" s="53"/>
      <c r="ED640" s="53"/>
      <c r="EE640" s="53"/>
      <c r="EF640" s="53"/>
      <c r="EG640" s="53"/>
      <c r="EH640" s="53"/>
      <c r="EI640" s="53"/>
      <c r="EJ640" s="53"/>
      <c r="EK640" s="53"/>
      <c r="EL640" s="53"/>
      <c r="EM640" s="53"/>
      <c r="EN640" s="53"/>
      <c r="EO640" s="53"/>
      <c r="EP640" s="53"/>
      <c r="EQ640" s="53"/>
      <c r="ER640" s="53"/>
      <c r="ES640" s="53"/>
      <c r="ET640" s="53"/>
      <c r="EU640" s="53"/>
      <c r="EV640" s="53"/>
      <c r="EW640" s="53"/>
      <c r="EX640" s="53"/>
      <c r="EY640" s="53"/>
      <c r="EZ640" s="53"/>
      <c r="FA640" s="53"/>
      <c r="FB640" s="53"/>
      <c r="FC640" s="53"/>
      <c r="FD640" s="53"/>
      <c r="FE640" s="53"/>
      <c r="FF640" s="53"/>
      <c r="FG640" s="53"/>
      <c r="FH640" s="53"/>
      <c r="FI640" s="53"/>
      <c r="FJ640" s="53"/>
      <c r="FK640" s="53"/>
      <c r="FL640" s="53"/>
      <c r="FM640" s="53"/>
      <c r="FN640" s="53"/>
      <c r="FO640" s="53"/>
      <c r="FP640" s="53"/>
      <c r="FQ640" s="53"/>
      <c r="FR640" s="53"/>
      <c r="FS640" s="53"/>
      <c r="FT640" s="53"/>
      <c r="FU640" s="53"/>
      <c r="FV640" s="53"/>
      <c r="FW640" s="53"/>
      <c r="FX640" s="53"/>
      <c r="FY640" s="53"/>
      <c r="FZ640" s="53"/>
      <c r="GA640" s="53"/>
      <c r="GB640" s="53"/>
      <c r="GC640" s="53"/>
      <c r="GD640" s="53"/>
      <c r="GE640" s="53"/>
      <c r="GF640" s="53"/>
      <c r="GG640" s="53"/>
      <c r="GH640" s="53"/>
      <c r="GI640" s="53"/>
      <c r="GJ640" s="53"/>
      <c r="GK640" s="53"/>
      <c r="GL640" s="53"/>
      <c r="GM640" s="53"/>
      <c r="GN640" s="53"/>
      <c r="GO640" s="53"/>
      <c r="GP640" s="53"/>
      <c r="GQ640" s="53"/>
      <c r="GR640" s="53"/>
      <c r="GS640" s="53"/>
      <c r="GT640" s="53"/>
      <c r="GU640" s="53"/>
      <c r="GV640" s="53"/>
      <c r="GW640" s="53"/>
      <c r="GX640" s="53"/>
      <c r="GY640" s="53"/>
      <c r="GZ640" s="53"/>
      <c r="HA640" s="53"/>
      <c r="HB640" s="53"/>
      <c r="HC640" s="53"/>
      <c r="HD640" s="53"/>
      <c r="HE640" s="53"/>
      <c r="HF640" s="53"/>
      <c r="HG640" s="53"/>
      <c r="HH640" s="53"/>
      <c r="HI640" s="53"/>
      <c r="HJ640" s="53"/>
      <c r="HK640" s="53"/>
      <c r="HL640" s="53"/>
      <c r="HM640" s="53"/>
      <c r="HN640" s="53"/>
      <c r="HO640" s="53"/>
      <c r="HP640" s="53"/>
      <c r="HQ640" s="53"/>
      <c r="HR640" s="53"/>
      <c r="HS640" s="53"/>
      <c r="HT640" s="53"/>
      <c r="HU640" s="53"/>
      <c r="HV640" s="53"/>
      <c r="HW640" s="53"/>
      <c r="HX640" s="53"/>
      <c r="HY640" s="53"/>
      <c r="HZ640" s="53"/>
      <c r="IA640" s="53"/>
    </row>
    <row r="641" spans="1:235" ht="0.75" customHeight="1">
      <c r="A641" s="8" t="s">
        <v>168</v>
      </c>
      <c r="B641" s="6"/>
      <c r="C641" s="6"/>
      <c r="D641" s="84"/>
      <c r="E641" s="84"/>
      <c r="F641" s="84">
        <f>D641+E641</f>
        <v>0</v>
      </c>
      <c r="G641" s="84"/>
      <c r="H641" s="84"/>
      <c r="I641" s="84"/>
      <c r="J641" s="84"/>
      <c r="K641" s="7"/>
      <c r="L641" s="7"/>
      <c r="M641" s="7"/>
      <c r="N641" s="7"/>
      <c r="O641" s="7"/>
      <c r="P641" s="7"/>
      <c r="Q641" s="24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3"/>
      <c r="BS641" s="53"/>
      <c r="BT641" s="53"/>
      <c r="BU641" s="53"/>
      <c r="BV641" s="53"/>
      <c r="BW641" s="53"/>
      <c r="BX641" s="53"/>
      <c r="BY641" s="53"/>
      <c r="BZ641" s="53"/>
      <c r="CA641" s="53"/>
      <c r="CB641" s="53"/>
      <c r="CC641" s="53"/>
      <c r="CD641" s="53"/>
      <c r="CE641" s="53"/>
      <c r="CF641" s="53"/>
      <c r="CG641" s="53"/>
      <c r="CH641" s="53"/>
      <c r="CI641" s="53"/>
      <c r="CJ641" s="53"/>
      <c r="CK641" s="53"/>
      <c r="CL641" s="53"/>
      <c r="CM641" s="53"/>
      <c r="CN641" s="53"/>
      <c r="CO641" s="53"/>
      <c r="CP641" s="53"/>
      <c r="CQ641" s="53"/>
      <c r="CR641" s="53"/>
      <c r="CS641" s="53"/>
      <c r="CT641" s="53"/>
      <c r="CU641" s="53"/>
      <c r="CV641" s="53"/>
      <c r="CW641" s="53"/>
      <c r="CX641" s="53"/>
      <c r="CY641" s="53"/>
      <c r="CZ641" s="53"/>
      <c r="DA641" s="53"/>
      <c r="DB641" s="53"/>
      <c r="DC641" s="53"/>
      <c r="DD641" s="53"/>
      <c r="DE641" s="53"/>
      <c r="DF641" s="53"/>
      <c r="DG641" s="53"/>
      <c r="DH641" s="53"/>
      <c r="DI641" s="53"/>
      <c r="DJ641" s="53"/>
      <c r="DK641" s="53"/>
      <c r="DL641" s="53"/>
      <c r="DM641" s="53"/>
      <c r="DN641" s="53"/>
      <c r="DO641" s="53"/>
      <c r="DP641" s="53"/>
      <c r="DQ641" s="53"/>
      <c r="DR641" s="53"/>
      <c r="DS641" s="53"/>
      <c r="DT641" s="53"/>
      <c r="DU641" s="53"/>
      <c r="DV641" s="53"/>
      <c r="DW641" s="53"/>
      <c r="DX641" s="53"/>
      <c r="DY641" s="53"/>
      <c r="DZ641" s="53"/>
      <c r="EA641" s="53"/>
      <c r="EB641" s="53"/>
      <c r="EC641" s="53"/>
      <c r="ED641" s="53"/>
      <c r="EE641" s="53"/>
      <c r="EF641" s="53"/>
      <c r="EG641" s="53"/>
      <c r="EH641" s="53"/>
      <c r="EI641" s="53"/>
      <c r="EJ641" s="53"/>
      <c r="EK641" s="53"/>
      <c r="EL641" s="53"/>
      <c r="EM641" s="53"/>
      <c r="EN641" s="53"/>
      <c r="EO641" s="53"/>
      <c r="EP641" s="53"/>
      <c r="EQ641" s="53"/>
      <c r="ER641" s="53"/>
      <c r="ES641" s="53"/>
      <c r="ET641" s="53"/>
      <c r="EU641" s="53"/>
      <c r="EV641" s="53"/>
      <c r="EW641" s="53"/>
      <c r="EX641" s="53"/>
      <c r="EY641" s="53"/>
      <c r="EZ641" s="53"/>
      <c r="FA641" s="53"/>
      <c r="FB641" s="53"/>
      <c r="FC641" s="53"/>
      <c r="FD641" s="53"/>
      <c r="FE641" s="53"/>
      <c r="FF641" s="53"/>
      <c r="FG641" s="53"/>
      <c r="FH641" s="53"/>
      <c r="FI641" s="53"/>
      <c r="FJ641" s="53"/>
      <c r="FK641" s="53"/>
      <c r="FL641" s="53"/>
      <c r="FM641" s="53"/>
      <c r="FN641" s="53"/>
      <c r="FO641" s="53"/>
      <c r="FP641" s="53"/>
      <c r="FQ641" s="53"/>
      <c r="FR641" s="53"/>
      <c r="FS641" s="53"/>
      <c r="FT641" s="53"/>
      <c r="FU641" s="53"/>
      <c r="FV641" s="53"/>
      <c r="FW641" s="53"/>
      <c r="FX641" s="53"/>
      <c r="FY641" s="53"/>
      <c r="FZ641" s="53"/>
      <c r="GA641" s="53"/>
      <c r="GB641" s="53"/>
      <c r="GC641" s="53"/>
      <c r="GD641" s="53"/>
      <c r="GE641" s="53"/>
      <c r="GF641" s="53"/>
      <c r="GG641" s="53"/>
      <c r="GH641" s="53"/>
      <c r="GI641" s="53"/>
      <c r="GJ641" s="53"/>
      <c r="GK641" s="53"/>
      <c r="GL641" s="53"/>
      <c r="GM641" s="53"/>
      <c r="GN641" s="53"/>
      <c r="GO641" s="53"/>
      <c r="GP641" s="53"/>
      <c r="GQ641" s="53"/>
      <c r="GR641" s="53"/>
      <c r="GS641" s="53"/>
      <c r="GT641" s="53"/>
      <c r="GU641" s="53"/>
      <c r="GV641" s="53"/>
      <c r="GW641" s="53"/>
      <c r="GX641" s="53"/>
      <c r="GY641" s="53"/>
      <c r="GZ641" s="53"/>
      <c r="HA641" s="53"/>
      <c r="HB641" s="53"/>
      <c r="HC641" s="53"/>
      <c r="HD641" s="53"/>
      <c r="HE641" s="53"/>
      <c r="HF641" s="53"/>
      <c r="HG641" s="53"/>
      <c r="HH641" s="53"/>
      <c r="HI641" s="53"/>
      <c r="HJ641" s="53"/>
      <c r="HK641" s="53"/>
      <c r="HL641" s="53"/>
      <c r="HM641" s="53"/>
      <c r="HN641" s="53"/>
      <c r="HO641" s="53"/>
      <c r="HP641" s="53"/>
      <c r="HQ641" s="53"/>
      <c r="HR641" s="53"/>
      <c r="HS641" s="53"/>
      <c r="HT641" s="53"/>
      <c r="HU641" s="53"/>
      <c r="HV641" s="53"/>
      <c r="HW641" s="53"/>
      <c r="HX641" s="53"/>
      <c r="HY641" s="53"/>
      <c r="HZ641" s="53"/>
      <c r="IA641" s="53"/>
    </row>
    <row r="642" spans="1:235" ht="11.25">
      <c r="A642" s="8" t="s">
        <v>175</v>
      </c>
      <c r="B642" s="6"/>
      <c r="C642" s="6"/>
      <c r="D642" s="84">
        <v>667</v>
      </c>
      <c r="E642" s="84"/>
      <c r="F642" s="84">
        <f>D642+E642</f>
        <v>667</v>
      </c>
      <c r="G642" s="84">
        <v>381</v>
      </c>
      <c r="H642" s="84"/>
      <c r="I642" s="84"/>
      <c r="J642" s="84">
        <f>G642+H642</f>
        <v>381</v>
      </c>
      <c r="K642" s="7"/>
      <c r="L642" s="7"/>
      <c r="M642" s="7"/>
      <c r="N642" s="159">
        <v>14.085</v>
      </c>
      <c r="O642" s="7"/>
      <c r="P642" s="159">
        <f>N642</f>
        <v>14.085</v>
      </c>
      <c r="Q642" s="24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3"/>
      <c r="BS642" s="53"/>
      <c r="BT642" s="53"/>
      <c r="BU642" s="53"/>
      <c r="BV642" s="53"/>
      <c r="BW642" s="53"/>
      <c r="BX642" s="53"/>
      <c r="BY642" s="53"/>
      <c r="BZ642" s="53"/>
      <c r="CA642" s="53"/>
      <c r="CB642" s="53"/>
      <c r="CC642" s="53"/>
      <c r="CD642" s="53"/>
      <c r="CE642" s="53"/>
      <c r="CF642" s="53"/>
      <c r="CG642" s="53"/>
      <c r="CH642" s="53"/>
      <c r="CI642" s="53"/>
      <c r="CJ642" s="53"/>
      <c r="CK642" s="53"/>
      <c r="CL642" s="53"/>
      <c r="CM642" s="53"/>
      <c r="CN642" s="53"/>
      <c r="CO642" s="53"/>
      <c r="CP642" s="53"/>
      <c r="CQ642" s="53"/>
      <c r="CR642" s="53"/>
      <c r="CS642" s="53"/>
      <c r="CT642" s="53"/>
      <c r="CU642" s="53"/>
      <c r="CV642" s="53"/>
      <c r="CW642" s="53"/>
      <c r="CX642" s="53"/>
      <c r="CY642" s="53"/>
      <c r="CZ642" s="53"/>
      <c r="DA642" s="53"/>
      <c r="DB642" s="53"/>
      <c r="DC642" s="53"/>
      <c r="DD642" s="53"/>
      <c r="DE642" s="53"/>
      <c r="DF642" s="53"/>
      <c r="DG642" s="53"/>
      <c r="DH642" s="53"/>
      <c r="DI642" s="53"/>
      <c r="DJ642" s="53"/>
      <c r="DK642" s="53"/>
      <c r="DL642" s="53"/>
      <c r="DM642" s="53"/>
      <c r="DN642" s="53"/>
      <c r="DO642" s="53"/>
      <c r="DP642" s="53"/>
      <c r="DQ642" s="53"/>
      <c r="DR642" s="53"/>
      <c r="DS642" s="53"/>
      <c r="DT642" s="53"/>
      <c r="DU642" s="53"/>
      <c r="DV642" s="53"/>
      <c r="DW642" s="53"/>
      <c r="DX642" s="53"/>
      <c r="DY642" s="53"/>
      <c r="DZ642" s="53"/>
      <c r="EA642" s="53"/>
      <c r="EB642" s="53"/>
      <c r="EC642" s="53"/>
      <c r="ED642" s="53"/>
      <c r="EE642" s="53"/>
      <c r="EF642" s="53"/>
      <c r="EG642" s="53"/>
      <c r="EH642" s="53"/>
      <c r="EI642" s="53"/>
      <c r="EJ642" s="53"/>
      <c r="EK642" s="53"/>
      <c r="EL642" s="53"/>
      <c r="EM642" s="53"/>
      <c r="EN642" s="53"/>
      <c r="EO642" s="53"/>
      <c r="EP642" s="53"/>
      <c r="EQ642" s="53"/>
      <c r="ER642" s="53"/>
      <c r="ES642" s="53"/>
      <c r="ET642" s="53"/>
      <c r="EU642" s="53"/>
      <c r="EV642" s="53"/>
      <c r="EW642" s="53"/>
      <c r="EX642" s="53"/>
      <c r="EY642" s="53"/>
      <c r="EZ642" s="53"/>
      <c r="FA642" s="53"/>
      <c r="FB642" s="53"/>
      <c r="FC642" s="53"/>
      <c r="FD642" s="53"/>
      <c r="FE642" s="53"/>
      <c r="FF642" s="53"/>
      <c r="FG642" s="53"/>
      <c r="FH642" s="53"/>
      <c r="FI642" s="53"/>
      <c r="FJ642" s="53"/>
      <c r="FK642" s="53"/>
      <c r="FL642" s="53"/>
      <c r="FM642" s="53"/>
      <c r="FN642" s="53"/>
      <c r="FO642" s="53"/>
      <c r="FP642" s="53"/>
      <c r="FQ642" s="53"/>
      <c r="FR642" s="53"/>
      <c r="FS642" s="53"/>
      <c r="FT642" s="53"/>
      <c r="FU642" s="53"/>
      <c r="FV642" s="53"/>
      <c r="FW642" s="53"/>
      <c r="FX642" s="53"/>
      <c r="FY642" s="53"/>
      <c r="FZ642" s="53"/>
      <c r="GA642" s="53"/>
      <c r="GB642" s="53"/>
      <c r="GC642" s="53"/>
      <c r="GD642" s="53"/>
      <c r="GE642" s="53"/>
      <c r="GF642" s="53"/>
      <c r="GG642" s="53"/>
      <c r="GH642" s="53"/>
      <c r="GI642" s="53"/>
      <c r="GJ642" s="53"/>
      <c r="GK642" s="53"/>
      <c r="GL642" s="53"/>
      <c r="GM642" s="53"/>
      <c r="GN642" s="53"/>
      <c r="GO642" s="53"/>
      <c r="GP642" s="53"/>
      <c r="GQ642" s="53"/>
      <c r="GR642" s="53"/>
      <c r="GS642" s="53"/>
      <c r="GT642" s="53"/>
      <c r="GU642" s="53"/>
      <c r="GV642" s="53"/>
      <c r="GW642" s="53"/>
      <c r="GX642" s="53"/>
      <c r="GY642" s="53"/>
      <c r="GZ642" s="53"/>
      <c r="HA642" s="53"/>
      <c r="HB642" s="53"/>
      <c r="HC642" s="53"/>
      <c r="HD642" s="53"/>
      <c r="HE642" s="53"/>
      <c r="HF642" s="53"/>
      <c r="HG642" s="53"/>
      <c r="HH642" s="53"/>
      <c r="HI642" s="53"/>
      <c r="HJ642" s="53"/>
      <c r="HK642" s="53"/>
      <c r="HL642" s="53"/>
      <c r="HM642" s="53"/>
      <c r="HN642" s="53"/>
      <c r="HO642" s="53"/>
      <c r="HP642" s="53"/>
      <c r="HQ642" s="53"/>
      <c r="HR642" s="53"/>
      <c r="HS642" s="53"/>
      <c r="HT642" s="53"/>
      <c r="HU642" s="53"/>
      <c r="HV642" s="53"/>
      <c r="HW642" s="53"/>
      <c r="HX642" s="53"/>
      <c r="HY642" s="53"/>
      <c r="HZ642" s="53"/>
      <c r="IA642" s="53"/>
    </row>
    <row r="643" spans="1:235" ht="10.5" customHeight="1">
      <c r="A643" s="5" t="s">
        <v>7</v>
      </c>
      <c r="B643" s="6"/>
      <c r="C643" s="6"/>
      <c r="D643" s="84"/>
      <c r="E643" s="84"/>
      <c r="F643" s="84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24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  <c r="CZ643" s="53"/>
      <c r="DA643" s="53"/>
      <c r="DB643" s="53"/>
      <c r="DC643" s="53"/>
      <c r="DD643" s="53"/>
      <c r="DE643" s="53"/>
      <c r="DF643" s="53"/>
      <c r="DG643" s="53"/>
      <c r="DH643" s="53"/>
      <c r="DI643" s="53"/>
      <c r="DJ643" s="53"/>
      <c r="DK643" s="53"/>
      <c r="DL643" s="53"/>
      <c r="DM643" s="53"/>
      <c r="DN643" s="53"/>
      <c r="DO643" s="53"/>
      <c r="DP643" s="53"/>
      <c r="DQ643" s="53"/>
      <c r="DR643" s="53"/>
      <c r="DS643" s="53"/>
      <c r="DT643" s="53"/>
      <c r="DU643" s="53"/>
      <c r="DV643" s="53"/>
      <c r="DW643" s="53"/>
      <c r="DX643" s="53"/>
      <c r="DY643" s="53"/>
      <c r="DZ643" s="53"/>
      <c r="EA643" s="53"/>
      <c r="EB643" s="53"/>
      <c r="EC643" s="53"/>
      <c r="ED643" s="53"/>
      <c r="EE643" s="53"/>
      <c r="EF643" s="53"/>
      <c r="EG643" s="53"/>
      <c r="EH643" s="53"/>
      <c r="EI643" s="53"/>
      <c r="EJ643" s="53"/>
      <c r="EK643" s="53"/>
      <c r="EL643" s="53"/>
      <c r="EM643" s="53"/>
      <c r="EN643" s="53"/>
      <c r="EO643" s="53"/>
      <c r="EP643" s="53"/>
      <c r="EQ643" s="53"/>
      <c r="ER643" s="53"/>
      <c r="ES643" s="53"/>
      <c r="ET643" s="53"/>
      <c r="EU643" s="53"/>
      <c r="EV643" s="53"/>
      <c r="EW643" s="53"/>
      <c r="EX643" s="53"/>
      <c r="EY643" s="53"/>
      <c r="EZ643" s="53"/>
      <c r="FA643" s="53"/>
      <c r="FB643" s="53"/>
      <c r="FC643" s="53"/>
      <c r="FD643" s="53"/>
      <c r="FE643" s="53"/>
      <c r="FF643" s="53"/>
      <c r="FG643" s="53"/>
      <c r="FH643" s="53"/>
      <c r="FI643" s="53"/>
      <c r="FJ643" s="53"/>
      <c r="FK643" s="53"/>
      <c r="FL643" s="53"/>
      <c r="FM643" s="53"/>
      <c r="FN643" s="53"/>
      <c r="FO643" s="53"/>
      <c r="FP643" s="53"/>
      <c r="FQ643" s="53"/>
      <c r="FR643" s="53"/>
      <c r="FS643" s="53"/>
      <c r="FT643" s="53"/>
      <c r="FU643" s="53"/>
      <c r="FV643" s="53"/>
      <c r="FW643" s="53"/>
      <c r="FX643" s="53"/>
      <c r="FY643" s="53"/>
      <c r="FZ643" s="53"/>
      <c r="GA643" s="53"/>
      <c r="GB643" s="53"/>
      <c r="GC643" s="53"/>
      <c r="GD643" s="53"/>
      <c r="GE643" s="53"/>
      <c r="GF643" s="53"/>
      <c r="GG643" s="53"/>
      <c r="GH643" s="53"/>
      <c r="GI643" s="53"/>
      <c r="GJ643" s="53"/>
      <c r="GK643" s="53"/>
      <c r="GL643" s="53"/>
      <c r="GM643" s="53"/>
      <c r="GN643" s="53"/>
      <c r="GO643" s="53"/>
      <c r="GP643" s="53"/>
      <c r="GQ643" s="53"/>
      <c r="GR643" s="53"/>
      <c r="GS643" s="53"/>
      <c r="GT643" s="53"/>
      <c r="GU643" s="53"/>
      <c r="GV643" s="53"/>
      <c r="GW643" s="53"/>
      <c r="GX643" s="53"/>
      <c r="GY643" s="53"/>
      <c r="GZ643" s="53"/>
      <c r="HA643" s="53"/>
      <c r="HB643" s="53"/>
      <c r="HC643" s="53"/>
      <c r="HD643" s="53"/>
      <c r="HE643" s="53"/>
      <c r="HF643" s="53"/>
      <c r="HG643" s="53"/>
      <c r="HH643" s="53"/>
      <c r="HI643" s="53"/>
      <c r="HJ643" s="53"/>
      <c r="HK643" s="53"/>
      <c r="HL643" s="53"/>
      <c r="HM643" s="53"/>
      <c r="HN643" s="53"/>
      <c r="HO643" s="53"/>
      <c r="HP643" s="53"/>
      <c r="HQ643" s="53"/>
      <c r="HR643" s="53"/>
      <c r="HS643" s="53"/>
      <c r="HT643" s="53"/>
      <c r="HU643" s="53"/>
      <c r="HV643" s="53"/>
      <c r="HW643" s="53"/>
      <c r="HX643" s="53"/>
      <c r="HY643" s="53"/>
      <c r="HZ643" s="53"/>
      <c r="IA643" s="53"/>
    </row>
    <row r="644" spans="1:235" ht="22.5" customHeight="1">
      <c r="A644" s="8" t="s">
        <v>176</v>
      </c>
      <c r="B644" s="6"/>
      <c r="C644" s="6"/>
      <c r="D644" s="7">
        <f>3000000/667</f>
        <v>4497.751124437781</v>
      </c>
      <c r="E644" s="7"/>
      <c r="F644" s="84">
        <f>D644+E644</f>
        <v>4497.751124437781</v>
      </c>
      <c r="G644" s="7">
        <v>4501.31233</v>
      </c>
      <c r="H644" s="7"/>
      <c r="I644" s="7"/>
      <c r="J644" s="7">
        <f>G644+H644</f>
        <v>4501.31233</v>
      </c>
      <c r="K644" s="7"/>
      <c r="L644" s="7"/>
      <c r="M644" s="7"/>
      <c r="N644" s="7">
        <v>7100</v>
      </c>
      <c r="O644" s="7"/>
      <c r="P644" s="7">
        <f>N644</f>
        <v>7100</v>
      </c>
      <c r="Q644" s="24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  <c r="GB644" s="53"/>
      <c r="GC644" s="53"/>
      <c r="GD644" s="53"/>
      <c r="GE644" s="53"/>
      <c r="GF644" s="53"/>
      <c r="GG644" s="53"/>
      <c r="GH644" s="53"/>
      <c r="GI644" s="53"/>
      <c r="GJ644" s="53"/>
      <c r="GK644" s="53"/>
      <c r="GL644" s="53"/>
      <c r="GM644" s="53"/>
      <c r="GN644" s="53"/>
      <c r="GO644" s="53"/>
      <c r="GP644" s="53"/>
      <c r="GQ644" s="53"/>
      <c r="GR644" s="53"/>
      <c r="GS644" s="53"/>
      <c r="GT644" s="53"/>
      <c r="GU644" s="53"/>
      <c r="GV644" s="53"/>
      <c r="GW644" s="53"/>
      <c r="GX644" s="53"/>
      <c r="GY644" s="53"/>
      <c r="GZ644" s="53"/>
      <c r="HA644" s="53"/>
      <c r="HB644" s="53"/>
      <c r="HC644" s="53"/>
      <c r="HD644" s="53"/>
      <c r="HE644" s="53"/>
      <c r="HF644" s="53"/>
      <c r="HG644" s="53"/>
      <c r="HH644" s="53"/>
      <c r="HI644" s="53"/>
      <c r="HJ644" s="53"/>
      <c r="HK644" s="53"/>
      <c r="HL644" s="53"/>
      <c r="HM644" s="53"/>
      <c r="HN644" s="53"/>
      <c r="HO644" s="53"/>
      <c r="HP644" s="53"/>
      <c r="HQ644" s="53"/>
      <c r="HR644" s="53"/>
      <c r="HS644" s="53"/>
      <c r="HT644" s="53"/>
      <c r="HU644" s="53"/>
      <c r="HV644" s="53"/>
      <c r="HW644" s="53"/>
      <c r="HX644" s="53"/>
      <c r="HY644" s="53"/>
      <c r="HZ644" s="53"/>
      <c r="IA644" s="53"/>
    </row>
    <row r="645" spans="1:235" ht="11.25">
      <c r="A645" s="126" t="s">
        <v>329</v>
      </c>
      <c r="B645" s="6"/>
      <c r="C645" s="6"/>
      <c r="D645" s="30">
        <f>D646</f>
        <v>656000</v>
      </c>
      <c r="E645" s="30">
        <f>E646</f>
        <v>0</v>
      </c>
      <c r="F645" s="30">
        <f>F646</f>
        <v>656000</v>
      </c>
      <c r="G645" s="30">
        <f>G646</f>
        <v>819000</v>
      </c>
      <c r="H645" s="30"/>
      <c r="I645" s="30">
        <f>I646</f>
        <v>0</v>
      </c>
      <c r="J645" s="30">
        <f>G645</f>
        <v>819000</v>
      </c>
      <c r="K645" s="7"/>
      <c r="L645" s="7"/>
      <c r="M645" s="7"/>
      <c r="N645" s="30">
        <f>N646</f>
        <v>725000</v>
      </c>
      <c r="O645" s="30"/>
      <c r="P645" s="30">
        <f>N645</f>
        <v>725000</v>
      </c>
      <c r="Q645" s="24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  <c r="FN645" s="53"/>
      <c r="FO645" s="53"/>
      <c r="FP645" s="53"/>
      <c r="FQ645" s="53"/>
      <c r="FR645" s="53"/>
      <c r="FS645" s="53"/>
      <c r="FT645" s="53"/>
      <c r="FU645" s="53"/>
      <c r="FV645" s="53"/>
      <c r="FW645" s="53"/>
      <c r="FX645" s="53"/>
      <c r="FY645" s="53"/>
      <c r="FZ645" s="53"/>
      <c r="GA645" s="53"/>
      <c r="GB645" s="53"/>
      <c r="GC645" s="53"/>
      <c r="GD645" s="53"/>
      <c r="GE645" s="53"/>
      <c r="GF645" s="53"/>
      <c r="GG645" s="53"/>
      <c r="GH645" s="53"/>
      <c r="GI645" s="53"/>
      <c r="GJ645" s="53"/>
      <c r="GK645" s="53"/>
      <c r="GL645" s="53"/>
      <c r="GM645" s="53"/>
      <c r="GN645" s="53"/>
      <c r="GO645" s="53"/>
      <c r="GP645" s="53"/>
      <c r="GQ645" s="53"/>
      <c r="GR645" s="53"/>
      <c r="GS645" s="53"/>
      <c r="GT645" s="53"/>
      <c r="GU645" s="53"/>
      <c r="GV645" s="53"/>
      <c r="GW645" s="53"/>
      <c r="GX645" s="53"/>
      <c r="GY645" s="53"/>
      <c r="GZ645" s="53"/>
      <c r="HA645" s="53"/>
      <c r="HB645" s="53"/>
      <c r="HC645" s="53"/>
      <c r="HD645" s="53"/>
      <c r="HE645" s="53"/>
      <c r="HF645" s="53"/>
      <c r="HG645" s="53"/>
      <c r="HH645" s="53"/>
      <c r="HI645" s="53"/>
      <c r="HJ645" s="53"/>
      <c r="HK645" s="53"/>
      <c r="HL645" s="53"/>
      <c r="HM645" s="53"/>
      <c r="HN645" s="53"/>
      <c r="HO645" s="53"/>
      <c r="HP645" s="53"/>
      <c r="HQ645" s="53"/>
      <c r="HR645" s="53"/>
      <c r="HS645" s="53"/>
      <c r="HT645" s="53"/>
      <c r="HU645" s="53"/>
      <c r="HV645" s="53"/>
      <c r="HW645" s="53"/>
      <c r="HX645" s="53"/>
      <c r="HY645" s="53"/>
      <c r="HZ645" s="53"/>
      <c r="IA645" s="53"/>
    </row>
    <row r="646" spans="1:17" s="39" customFormat="1" ht="22.5">
      <c r="A646" s="34" t="s">
        <v>433</v>
      </c>
      <c r="B646" s="35"/>
      <c r="C646" s="35"/>
      <c r="D646" s="36">
        <f>D648</f>
        <v>656000</v>
      </c>
      <c r="E646" s="36"/>
      <c r="F646" s="7">
        <f>D646</f>
        <v>656000</v>
      </c>
      <c r="G646" s="36">
        <f>G650*G652</f>
        <v>819000</v>
      </c>
      <c r="H646" s="36"/>
      <c r="I646" s="36"/>
      <c r="J646" s="36">
        <f>G646</f>
        <v>819000</v>
      </c>
      <c r="K646" s="36"/>
      <c r="L646" s="36"/>
      <c r="M646" s="36"/>
      <c r="N646" s="36">
        <f>N650*N652</f>
        <v>725000</v>
      </c>
      <c r="O646" s="36"/>
      <c r="P646" s="30">
        <f>N646</f>
        <v>725000</v>
      </c>
      <c r="Q646" s="78"/>
    </row>
    <row r="647" spans="1:235" ht="11.25">
      <c r="A647" s="5" t="s">
        <v>4</v>
      </c>
      <c r="B647" s="6"/>
      <c r="C647" s="6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24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3"/>
      <c r="BS647" s="53"/>
      <c r="BT647" s="53"/>
      <c r="BU647" s="53"/>
      <c r="BV647" s="53"/>
      <c r="BW647" s="53"/>
      <c r="BX647" s="53"/>
      <c r="BY647" s="53"/>
      <c r="BZ647" s="53"/>
      <c r="CA647" s="53"/>
      <c r="CB647" s="53"/>
      <c r="CC647" s="53"/>
      <c r="CD647" s="53"/>
      <c r="CE647" s="53"/>
      <c r="CF647" s="53"/>
      <c r="CG647" s="53"/>
      <c r="CH647" s="53"/>
      <c r="CI647" s="53"/>
      <c r="CJ647" s="53"/>
      <c r="CK647" s="53"/>
      <c r="CL647" s="53"/>
      <c r="CM647" s="53"/>
      <c r="CN647" s="53"/>
      <c r="CO647" s="53"/>
      <c r="CP647" s="53"/>
      <c r="CQ647" s="53"/>
      <c r="CR647" s="53"/>
      <c r="CS647" s="53"/>
      <c r="CT647" s="53"/>
      <c r="CU647" s="53"/>
      <c r="CV647" s="53"/>
      <c r="CW647" s="53"/>
      <c r="CX647" s="53"/>
      <c r="CY647" s="53"/>
      <c r="CZ647" s="53"/>
      <c r="DA647" s="53"/>
      <c r="DB647" s="53"/>
      <c r="DC647" s="53"/>
      <c r="DD647" s="53"/>
      <c r="DE647" s="53"/>
      <c r="DF647" s="53"/>
      <c r="DG647" s="53"/>
      <c r="DH647" s="53"/>
      <c r="DI647" s="53"/>
      <c r="DJ647" s="53"/>
      <c r="DK647" s="53"/>
      <c r="DL647" s="53"/>
      <c r="DM647" s="53"/>
      <c r="DN647" s="53"/>
      <c r="DO647" s="53"/>
      <c r="DP647" s="53"/>
      <c r="DQ647" s="53"/>
      <c r="DR647" s="53"/>
      <c r="DS647" s="53"/>
      <c r="DT647" s="53"/>
      <c r="DU647" s="53"/>
      <c r="DV647" s="53"/>
      <c r="DW647" s="53"/>
      <c r="DX647" s="53"/>
      <c r="DY647" s="53"/>
      <c r="DZ647" s="53"/>
      <c r="EA647" s="53"/>
      <c r="EB647" s="53"/>
      <c r="EC647" s="53"/>
      <c r="ED647" s="53"/>
      <c r="EE647" s="53"/>
      <c r="EF647" s="53"/>
      <c r="EG647" s="53"/>
      <c r="EH647" s="53"/>
      <c r="EI647" s="53"/>
      <c r="EJ647" s="53"/>
      <c r="EK647" s="53"/>
      <c r="EL647" s="53"/>
      <c r="EM647" s="53"/>
      <c r="EN647" s="53"/>
      <c r="EO647" s="53"/>
      <c r="EP647" s="53"/>
      <c r="EQ647" s="53"/>
      <c r="ER647" s="53"/>
      <c r="ES647" s="53"/>
      <c r="ET647" s="53"/>
      <c r="EU647" s="53"/>
      <c r="EV647" s="53"/>
      <c r="EW647" s="53"/>
      <c r="EX647" s="53"/>
      <c r="EY647" s="53"/>
      <c r="EZ647" s="53"/>
      <c r="FA647" s="53"/>
      <c r="FB647" s="53"/>
      <c r="FC647" s="53"/>
      <c r="FD647" s="53"/>
      <c r="FE647" s="53"/>
      <c r="FF647" s="53"/>
      <c r="FG647" s="53"/>
      <c r="FH647" s="53"/>
      <c r="FI647" s="53"/>
      <c r="FJ647" s="53"/>
      <c r="FK647" s="53"/>
      <c r="FL647" s="53"/>
      <c r="FM647" s="53"/>
      <c r="FN647" s="53"/>
      <c r="FO647" s="53"/>
      <c r="FP647" s="53"/>
      <c r="FQ647" s="53"/>
      <c r="FR647" s="53"/>
      <c r="FS647" s="53"/>
      <c r="FT647" s="53"/>
      <c r="FU647" s="53"/>
      <c r="FV647" s="53"/>
      <c r="FW647" s="53"/>
      <c r="FX647" s="53"/>
      <c r="FY647" s="53"/>
      <c r="FZ647" s="53"/>
      <c r="GA647" s="53"/>
      <c r="GB647" s="53"/>
      <c r="GC647" s="53"/>
      <c r="GD647" s="53"/>
      <c r="GE647" s="53"/>
      <c r="GF647" s="53"/>
      <c r="GG647" s="53"/>
      <c r="GH647" s="53"/>
      <c r="GI647" s="53"/>
      <c r="GJ647" s="53"/>
      <c r="GK647" s="53"/>
      <c r="GL647" s="53"/>
      <c r="GM647" s="53"/>
      <c r="GN647" s="53"/>
      <c r="GO647" s="53"/>
      <c r="GP647" s="53"/>
      <c r="GQ647" s="53"/>
      <c r="GR647" s="53"/>
      <c r="GS647" s="53"/>
      <c r="GT647" s="53"/>
      <c r="GU647" s="53"/>
      <c r="GV647" s="53"/>
      <c r="GW647" s="53"/>
      <c r="GX647" s="53"/>
      <c r="GY647" s="53"/>
      <c r="GZ647" s="53"/>
      <c r="HA647" s="53"/>
      <c r="HB647" s="53"/>
      <c r="HC647" s="53"/>
      <c r="HD647" s="53"/>
      <c r="HE647" s="53"/>
      <c r="HF647" s="53"/>
      <c r="HG647" s="53"/>
      <c r="HH647" s="53"/>
      <c r="HI647" s="53"/>
      <c r="HJ647" s="53"/>
      <c r="HK647" s="53"/>
      <c r="HL647" s="53"/>
      <c r="HM647" s="53"/>
      <c r="HN647" s="53"/>
      <c r="HO647" s="53"/>
      <c r="HP647" s="53"/>
      <c r="HQ647" s="53"/>
      <c r="HR647" s="53"/>
      <c r="HS647" s="53"/>
      <c r="HT647" s="53"/>
      <c r="HU647" s="53"/>
      <c r="HV647" s="53"/>
      <c r="HW647" s="53"/>
      <c r="HX647" s="53"/>
      <c r="HY647" s="53"/>
      <c r="HZ647" s="53"/>
      <c r="IA647" s="53"/>
    </row>
    <row r="648" spans="1:235" ht="22.5">
      <c r="A648" s="8" t="s">
        <v>49</v>
      </c>
      <c r="B648" s="6"/>
      <c r="C648" s="6"/>
      <c r="D648" s="7">
        <f>D650*D652</f>
        <v>656000</v>
      </c>
      <c r="E648" s="7"/>
      <c r="F648" s="7">
        <f>D648</f>
        <v>656000</v>
      </c>
      <c r="G648" s="7">
        <v>819000</v>
      </c>
      <c r="H648" s="7"/>
      <c r="I648" s="7"/>
      <c r="J648" s="7">
        <f>G648</f>
        <v>819000</v>
      </c>
      <c r="K648" s="7"/>
      <c r="L648" s="7"/>
      <c r="M648" s="7"/>
      <c r="N648" s="7">
        <f>N650*N652</f>
        <v>725000</v>
      </c>
      <c r="O648" s="7"/>
      <c r="P648" s="7">
        <f>N648</f>
        <v>725000</v>
      </c>
      <c r="Q648" s="24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3"/>
      <c r="BS648" s="53"/>
      <c r="BT648" s="53"/>
      <c r="BU648" s="53"/>
      <c r="BV648" s="53"/>
      <c r="BW648" s="53"/>
      <c r="BX648" s="53"/>
      <c r="BY648" s="53"/>
      <c r="BZ648" s="53"/>
      <c r="CA648" s="53"/>
      <c r="CB648" s="53"/>
      <c r="CC648" s="53"/>
      <c r="CD648" s="53"/>
      <c r="CE648" s="53"/>
      <c r="CF648" s="53"/>
      <c r="CG648" s="53"/>
      <c r="CH648" s="53"/>
      <c r="CI648" s="53"/>
      <c r="CJ648" s="53"/>
      <c r="CK648" s="53"/>
      <c r="CL648" s="53"/>
      <c r="CM648" s="53"/>
      <c r="CN648" s="53"/>
      <c r="CO648" s="53"/>
      <c r="CP648" s="53"/>
      <c r="CQ648" s="53"/>
      <c r="CR648" s="53"/>
      <c r="CS648" s="53"/>
      <c r="CT648" s="53"/>
      <c r="CU648" s="53"/>
      <c r="CV648" s="53"/>
      <c r="CW648" s="53"/>
      <c r="CX648" s="53"/>
      <c r="CY648" s="53"/>
      <c r="CZ648" s="53"/>
      <c r="DA648" s="53"/>
      <c r="DB648" s="53"/>
      <c r="DC648" s="53"/>
      <c r="DD648" s="53"/>
      <c r="DE648" s="53"/>
      <c r="DF648" s="53"/>
      <c r="DG648" s="53"/>
      <c r="DH648" s="53"/>
      <c r="DI648" s="53"/>
      <c r="DJ648" s="53"/>
      <c r="DK648" s="53"/>
      <c r="DL648" s="53"/>
      <c r="DM648" s="53"/>
      <c r="DN648" s="53"/>
      <c r="DO648" s="53"/>
      <c r="DP648" s="53"/>
      <c r="DQ648" s="53"/>
      <c r="DR648" s="53"/>
      <c r="DS648" s="53"/>
      <c r="DT648" s="53"/>
      <c r="DU648" s="53"/>
      <c r="DV648" s="53"/>
      <c r="DW648" s="53"/>
      <c r="DX648" s="53"/>
      <c r="DY648" s="53"/>
      <c r="DZ648" s="53"/>
      <c r="EA648" s="53"/>
      <c r="EB648" s="53"/>
      <c r="EC648" s="53"/>
      <c r="ED648" s="53"/>
      <c r="EE648" s="53"/>
      <c r="EF648" s="53"/>
      <c r="EG648" s="53"/>
      <c r="EH648" s="53"/>
      <c r="EI648" s="53"/>
      <c r="EJ648" s="53"/>
      <c r="EK648" s="53"/>
      <c r="EL648" s="53"/>
      <c r="EM648" s="53"/>
      <c r="EN648" s="53"/>
      <c r="EO648" s="53"/>
      <c r="EP648" s="53"/>
      <c r="EQ648" s="53"/>
      <c r="ER648" s="53"/>
      <c r="ES648" s="53"/>
      <c r="ET648" s="53"/>
      <c r="EU648" s="53"/>
      <c r="EV648" s="53"/>
      <c r="EW648" s="53"/>
      <c r="EX648" s="53"/>
      <c r="EY648" s="53"/>
      <c r="EZ648" s="53"/>
      <c r="FA648" s="53"/>
      <c r="FB648" s="53"/>
      <c r="FC648" s="53"/>
      <c r="FD648" s="53"/>
      <c r="FE648" s="53"/>
      <c r="FF648" s="53"/>
      <c r="FG648" s="53"/>
      <c r="FH648" s="53"/>
      <c r="FI648" s="53"/>
      <c r="FJ648" s="53"/>
      <c r="FK648" s="53"/>
      <c r="FL648" s="53"/>
      <c r="FM648" s="53"/>
      <c r="FN648" s="53"/>
      <c r="FO648" s="53"/>
      <c r="FP648" s="53"/>
      <c r="FQ648" s="53"/>
      <c r="FR648" s="53"/>
      <c r="FS648" s="53"/>
      <c r="FT648" s="53"/>
      <c r="FU648" s="53"/>
      <c r="FV648" s="53"/>
      <c r="FW648" s="53"/>
      <c r="FX648" s="53"/>
      <c r="FY648" s="53"/>
      <c r="FZ648" s="53"/>
      <c r="GA648" s="53"/>
      <c r="GB648" s="53"/>
      <c r="GC648" s="53"/>
      <c r="GD648" s="53"/>
      <c r="GE648" s="53"/>
      <c r="GF648" s="53"/>
      <c r="GG648" s="53"/>
      <c r="GH648" s="53"/>
      <c r="GI648" s="53"/>
      <c r="GJ648" s="53"/>
      <c r="GK648" s="53"/>
      <c r="GL648" s="53"/>
      <c r="GM648" s="53"/>
      <c r="GN648" s="53"/>
      <c r="GO648" s="53"/>
      <c r="GP648" s="53"/>
      <c r="GQ648" s="53"/>
      <c r="GR648" s="53"/>
      <c r="GS648" s="53"/>
      <c r="GT648" s="53"/>
      <c r="GU648" s="53"/>
      <c r="GV648" s="53"/>
      <c r="GW648" s="53"/>
      <c r="GX648" s="53"/>
      <c r="GY648" s="53"/>
      <c r="GZ648" s="53"/>
      <c r="HA648" s="53"/>
      <c r="HB648" s="53"/>
      <c r="HC648" s="53"/>
      <c r="HD648" s="53"/>
      <c r="HE648" s="53"/>
      <c r="HF648" s="53"/>
      <c r="HG648" s="53"/>
      <c r="HH648" s="53"/>
      <c r="HI648" s="53"/>
      <c r="HJ648" s="53"/>
      <c r="HK648" s="53"/>
      <c r="HL648" s="53"/>
      <c r="HM648" s="53"/>
      <c r="HN648" s="53"/>
      <c r="HO648" s="53"/>
      <c r="HP648" s="53"/>
      <c r="HQ648" s="53"/>
      <c r="HR648" s="53"/>
      <c r="HS648" s="53"/>
      <c r="HT648" s="53"/>
      <c r="HU648" s="53"/>
      <c r="HV648" s="53"/>
      <c r="HW648" s="53"/>
      <c r="HX648" s="53"/>
      <c r="HY648" s="53"/>
      <c r="HZ648" s="53"/>
      <c r="IA648" s="53"/>
    </row>
    <row r="649" spans="1:235" ht="11.25">
      <c r="A649" s="5" t="s">
        <v>5</v>
      </c>
      <c r="B649" s="6"/>
      <c r="C649" s="6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24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235" ht="27.75" customHeight="1">
      <c r="A650" s="8" t="s">
        <v>48</v>
      </c>
      <c r="B650" s="6"/>
      <c r="C650" s="6"/>
      <c r="D650" s="7">
        <v>16</v>
      </c>
      <c r="E650" s="7"/>
      <c r="F650" s="7">
        <f>D650</f>
        <v>16</v>
      </c>
      <c r="G650" s="7">
        <v>16</v>
      </c>
      <c r="H650" s="7"/>
      <c r="I650" s="7"/>
      <c r="J650" s="7">
        <f>G650</f>
        <v>16</v>
      </c>
      <c r="K650" s="7"/>
      <c r="L650" s="7"/>
      <c r="M650" s="7"/>
      <c r="N650" s="7">
        <v>16</v>
      </c>
      <c r="O650" s="7"/>
      <c r="P650" s="7">
        <f>N650</f>
        <v>16</v>
      </c>
      <c r="Q650" s="24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235" ht="11.25">
      <c r="A651" s="5" t="s">
        <v>7</v>
      </c>
      <c r="B651" s="6"/>
      <c r="C651" s="6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24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  <c r="CZ651" s="53"/>
      <c r="DA651" s="53"/>
      <c r="DB651" s="53"/>
      <c r="DC651" s="53"/>
      <c r="DD651" s="53"/>
      <c r="DE651" s="53"/>
      <c r="DF651" s="53"/>
      <c r="DG651" s="53"/>
      <c r="DH651" s="53"/>
      <c r="DI651" s="53"/>
      <c r="DJ651" s="53"/>
      <c r="DK651" s="53"/>
      <c r="DL651" s="53"/>
      <c r="DM651" s="53"/>
      <c r="DN651" s="53"/>
      <c r="DO651" s="53"/>
      <c r="DP651" s="53"/>
      <c r="DQ651" s="53"/>
      <c r="DR651" s="53"/>
      <c r="DS651" s="53"/>
      <c r="DT651" s="53"/>
      <c r="DU651" s="53"/>
      <c r="DV651" s="53"/>
      <c r="DW651" s="53"/>
      <c r="DX651" s="53"/>
      <c r="DY651" s="53"/>
      <c r="DZ651" s="53"/>
      <c r="EA651" s="53"/>
      <c r="EB651" s="53"/>
      <c r="EC651" s="53"/>
      <c r="ED651" s="53"/>
      <c r="EE651" s="53"/>
      <c r="EF651" s="53"/>
      <c r="EG651" s="53"/>
      <c r="EH651" s="53"/>
      <c r="EI651" s="53"/>
      <c r="EJ651" s="53"/>
      <c r="EK651" s="53"/>
      <c r="EL651" s="53"/>
      <c r="EM651" s="53"/>
      <c r="EN651" s="53"/>
      <c r="EO651" s="53"/>
      <c r="EP651" s="53"/>
      <c r="EQ651" s="53"/>
      <c r="ER651" s="53"/>
      <c r="ES651" s="53"/>
      <c r="ET651" s="53"/>
      <c r="EU651" s="53"/>
      <c r="EV651" s="53"/>
      <c r="EW651" s="53"/>
      <c r="EX651" s="53"/>
      <c r="EY651" s="53"/>
      <c r="EZ651" s="53"/>
      <c r="FA651" s="53"/>
      <c r="FB651" s="53"/>
      <c r="FC651" s="53"/>
      <c r="FD651" s="53"/>
      <c r="FE651" s="53"/>
      <c r="FF651" s="53"/>
      <c r="FG651" s="53"/>
      <c r="FH651" s="53"/>
      <c r="FI651" s="53"/>
      <c r="FJ651" s="53"/>
      <c r="FK651" s="53"/>
      <c r="FL651" s="53"/>
      <c r="FM651" s="53"/>
      <c r="FN651" s="53"/>
      <c r="FO651" s="53"/>
      <c r="FP651" s="53"/>
      <c r="FQ651" s="53"/>
      <c r="FR651" s="53"/>
      <c r="FS651" s="53"/>
      <c r="FT651" s="53"/>
      <c r="FU651" s="53"/>
      <c r="FV651" s="53"/>
      <c r="FW651" s="53"/>
      <c r="FX651" s="53"/>
      <c r="FY651" s="53"/>
      <c r="FZ651" s="53"/>
      <c r="GA651" s="53"/>
      <c r="GB651" s="53"/>
      <c r="GC651" s="53"/>
      <c r="GD651" s="53"/>
      <c r="GE651" s="53"/>
      <c r="GF651" s="53"/>
      <c r="GG651" s="53"/>
      <c r="GH651" s="53"/>
      <c r="GI651" s="53"/>
      <c r="GJ651" s="53"/>
      <c r="GK651" s="53"/>
      <c r="GL651" s="53"/>
      <c r="GM651" s="53"/>
      <c r="GN651" s="53"/>
      <c r="GO651" s="53"/>
      <c r="GP651" s="53"/>
      <c r="GQ651" s="53"/>
      <c r="GR651" s="53"/>
      <c r="GS651" s="53"/>
      <c r="GT651" s="53"/>
      <c r="GU651" s="53"/>
      <c r="GV651" s="53"/>
      <c r="GW651" s="53"/>
      <c r="GX651" s="53"/>
      <c r="GY651" s="53"/>
      <c r="GZ651" s="53"/>
      <c r="HA651" s="53"/>
      <c r="HB651" s="53"/>
      <c r="HC651" s="53"/>
      <c r="HD651" s="53"/>
      <c r="HE651" s="53"/>
      <c r="HF651" s="53"/>
      <c r="HG651" s="53"/>
      <c r="HH651" s="53"/>
      <c r="HI651" s="53"/>
      <c r="HJ651" s="53"/>
      <c r="HK651" s="53"/>
      <c r="HL651" s="53"/>
      <c r="HM651" s="53"/>
      <c r="HN651" s="53"/>
      <c r="HO651" s="53"/>
      <c r="HP651" s="53"/>
      <c r="HQ651" s="53"/>
      <c r="HR651" s="53"/>
      <c r="HS651" s="53"/>
      <c r="HT651" s="53"/>
      <c r="HU651" s="53"/>
      <c r="HV651" s="53"/>
      <c r="HW651" s="53"/>
      <c r="HX651" s="53"/>
      <c r="HY651" s="53"/>
      <c r="HZ651" s="53"/>
      <c r="IA651" s="53"/>
    </row>
    <row r="652" spans="1:235" ht="33.75">
      <c r="A652" s="8" t="s">
        <v>50</v>
      </c>
      <c r="B652" s="6"/>
      <c r="C652" s="6"/>
      <c r="D652" s="7">
        <v>41000</v>
      </c>
      <c r="E652" s="7"/>
      <c r="F652" s="7">
        <v>41000</v>
      </c>
      <c r="G652" s="7">
        <v>51187.5</v>
      </c>
      <c r="H652" s="7"/>
      <c r="I652" s="7"/>
      <c r="J652" s="7">
        <f>G652</f>
        <v>51187.5</v>
      </c>
      <c r="K652" s="7"/>
      <c r="L652" s="7"/>
      <c r="M652" s="7"/>
      <c r="N652" s="7">
        <v>45312.5</v>
      </c>
      <c r="O652" s="7"/>
      <c r="P652" s="7">
        <f>N652</f>
        <v>45312.5</v>
      </c>
      <c r="Q652" s="24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  <c r="GB652" s="53"/>
      <c r="GC652" s="53"/>
      <c r="GD652" s="53"/>
      <c r="GE652" s="53"/>
      <c r="GF652" s="53"/>
      <c r="GG652" s="53"/>
      <c r="GH652" s="53"/>
      <c r="GI652" s="53"/>
      <c r="GJ652" s="53"/>
      <c r="GK652" s="53"/>
      <c r="GL652" s="53"/>
      <c r="GM652" s="53"/>
      <c r="GN652" s="53"/>
      <c r="GO652" s="53"/>
      <c r="GP652" s="53"/>
      <c r="GQ652" s="53"/>
      <c r="GR652" s="53"/>
      <c r="GS652" s="53"/>
      <c r="GT652" s="53"/>
      <c r="GU652" s="53"/>
      <c r="GV652" s="53"/>
      <c r="GW652" s="53"/>
      <c r="GX652" s="53"/>
      <c r="GY652" s="53"/>
      <c r="GZ652" s="53"/>
      <c r="HA652" s="53"/>
      <c r="HB652" s="53"/>
      <c r="HC652" s="53"/>
      <c r="HD652" s="53"/>
      <c r="HE652" s="53"/>
      <c r="HF652" s="53"/>
      <c r="HG652" s="53"/>
      <c r="HH652" s="53"/>
      <c r="HI652" s="53"/>
      <c r="HJ652" s="53"/>
      <c r="HK652" s="53"/>
      <c r="HL652" s="53"/>
      <c r="HM652" s="53"/>
      <c r="HN652" s="53"/>
      <c r="HO652" s="53"/>
      <c r="HP652" s="53"/>
      <c r="HQ652" s="53"/>
      <c r="HR652" s="53"/>
      <c r="HS652" s="53"/>
      <c r="HT652" s="53"/>
      <c r="HU652" s="53"/>
      <c r="HV652" s="53"/>
      <c r="HW652" s="53"/>
      <c r="HX652" s="53"/>
      <c r="HY652" s="53"/>
      <c r="HZ652" s="53"/>
      <c r="IA652" s="53"/>
    </row>
    <row r="653" spans="1:235" ht="11.25">
      <c r="A653" s="37" t="s">
        <v>356</v>
      </c>
      <c r="B653" s="6"/>
      <c r="C653" s="6"/>
      <c r="D653" s="36"/>
      <c r="E653" s="36">
        <f>E655+E668</f>
        <v>94580322</v>
      </c>
      <c r="F653" s="36">
        <f>D653+E653</f>
        <v>94580322</v>
      </c>
      <c r="G653" s="36">
        <f aca="true" t="shared" si="64" ref="G653:P653">G655+G668</f>
        <v>0</v>
      </c>
      <c r="H653" s="36">
        <f t="shared" si="64"/>
        <v>92000000</v>
      </c>
      <c r="I653" s="36">
        <f t="shared" si="64"/>
        <v>0</v>
      </c>
      <c r="J653" s="36">
        <f t="shared" si="64"/>
        <v>92000000</v>
      </c>
      <c r="K653" s="36">
        <f t="shared" si="64"/>
        <v>0</v>
      </c>
      <c r="L653" s="36">
        <f t="shared" si="64"/>
        <v>0</v>
      </c>
      <c r="M653" s="36">
        <f t="shared" si="64"/>
        <v>0</v>
      </c>
      <c r="N653" s="36">
        <f t="shared" si="64"/>
        <v>0</v>
      </c>
      <c r="O653" s="36">
        <f t="shared" si="64"/>
        <v>95000000</v>
      </c>
      <c r="P653" s="36">
        <f t="shared" si="64"/>
        <v>95000000</v>
      </c>
      <c r="Q653" s="24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  <c r="BZ653" s="53"/>
      <c r="CA653" s="53"/>
      <c r="CB653" s="53"/>
      <c r="CC653" s="53"/>
      <c r="CD653" s="53"/>
      <c r="CE653" s="53"/>
      <c r="CF653" s="53"/>
      <c r="CG653" s="53"/>
      <c r="CH653" s="53"/>
      <c r="CI653" s="53"/>
      <c r="CJ653" s="53"/>
      <c r="CK653" s="53"/>
      <c r="CL653" s="53"/>
      <c r="CM653" s="53"/>
      <c r="CN653" s="53"/>
      <c r="CO653" s="53"/>
      <c r="CP653" s="53"/>
      <c r="CQ653" s="53"/>
      <c r="CR653" s="53"/>
      <c r="CS653" s="53"/>
      <c r="CT653" s="53"/>
      <c r="CU653" s="53"/>
      <c r="CV653" s="53"/>
      <c r="CW653" s="53"/>
      <c r="CX653" s="53"/>
      <c r="CY653" s="53"/>
      <c r="CZ653" s="53"/>
      <c r="DA653" s="53"/>
      <c r="DB653" s="53"/>
      <c r="DC653" s="53"/>
      <c r="DD653" s="53"/>
      <c r="DE653" s="53"/>
      <c r="DF653" s="53"/>
      <c r="DG653" s="53"/>
      <c r="DH653" s="53"/>
      <c r="DI653" s="53"/>
      <c r="DJ653" s="53"/>
      <c r="DK653" s="53"/>
      <c r="DL653" s="53"/>
      <c r="DM653" s="53"/>
      <c r="DN653" s="53"/>
      <c r="DO653" s="53"/>
      <c r="DP653" s="53"/>
      <c r="DQ653" s="53"/>
      <c r="DR653" s="53"/>
      <c r="DS653" s="53"/>
      <c r="DT653" s="53"/>
      <c r="DU653" s="53"/>
      <c r="DV653" s="53"/>
      <c r="DW653" s="53"/>
      <c r="DX653" s="53"/>
      <c r="DY653" s="53"/>
      <c r="DZ653" s="53"/>
      <c r="EA653" s="53"/>
      <c r="EB653" s="53"/>
      <c r="EC653" s="53"/>
      <c r="ED653" s="53"/>
      <c r="EE653" s="53"/>
      <c r="EF653" s="53"/>
      <c r="EG653" s="53"/>
      <c r="EH653" s="53"/>
      <c r="EI653" s="53"/>
      <c r="EJ653" s="53"/>
      <c r="EK653" s="53"/>
      <c r="EL653" s="53"/>
      <c r="EM653" s="53"/>
      <c r="EN653" s="53"/>
      <c r="EO653" s="53"/>
      <c r="EP653" s="53"/>
      <c r="EQ653" s="53"/>
      <c r="ER653" s="53"/>
      <c r="ES653" s="53"/>
      <c r="ET653" s="53"/>
      <c r="EU653" s="53"/>
      <c r="EV653" s="53"/>
      <c r="EW653" s="53"/>
      <c r="EX653" s="53"/>
      <c r="EY653" s="53"/>
      <c r="EZ653" s="53"/>
      <c r="FA653" s="53"/>
      <c r="FB653" s="53"/>
      <c r="FC653" s="53"/>
      <c r="FD653" s="53"/>
      <c r="FE653" s="53"/>
      <c r="FF653" s="53"/>
      <c r="FG653" s="53"/>
      <c r="FH653" s="53"/>
      <c r="FI653" s="53"/>
      <c r="FJ653" s="53"/>
      <c r="FK653" s="53"/>
      <c r="FL653" s="53"/>
      <c r="FM653" s="53"/>
      <c r="FN653" s="53"/>
      <c r="FO653" s="53"/>
      <c r="FP653" s="53"/>
      <c r="FQ653" s="53"/>
      <c r="FR653" s="53"/>
      <c r="FS653" s="53"/>
      <c r="FT653" s="53"/>
      <c r="FU653" s="53"/>
      <c r="FV653" s="53"/>
      <c r="FW653" s="53"/>
      <c r="FX653" s="53"/>
      <c r="FY653" s="53"/>
      <c r="FZ653" s="53"/>
      <c r="GA653" s="53"/>
      <c r="GB653" s="53"/>
      <c r="GC653" s="53"/>
      <c r="GD653" s="53"/>
      <c r="GE653" s="53"/>
      <c r="GF653" s="53"/>
      <c r="GG653" s="53"/>
      <c r="GH653" s="53"/>
      <c r="GI653" s="53"/>
      <c r="GJ653" s="53"/>
      <c r="GK653" s="53"/>
      <c r="GL653" s="53"/>
      <c r="GM653" s="53"/>
      <c r="GN653" s="53"/>
      <c r="GO653" s="53"/>
      <c r="GP653" s="53"/>
      <c r="GQ653" s="53"/>
      <c r="GR653" s="53"/>
      <c r="GS653" s="53"/>
      <c r="GT653" s="53"/>
      <c r="GU653" s="53"/>
      <c r="GV653" s="53"/>
      <c r="GW653" s="53"/>
      <c r="GX653" s="53"/>
      <c r="GY653" s="53"/>
      <c r="GZ653" s="53"/>
      <c r="HA653" s="53"/>
      <c r="HB653" s="53"/>
      <c r="HC653" s="53"/>
      <c r="HD653" s="53"/>
      <c r="HE653" s="53"/>
      <c r="HF653" s="53"/>
      <c r="HG653" s="53"/>
      <c r="HH653" s="53"/>
      <c r="HI653" s="53"/>
      <c r="HJ653" s="53"/>
      <c r="HK653" s="53"/>
      <c r="HL653" s="53"/>
      <c r="HM653" s="53"/>
      <c r="HN653" s="53"/>
      <c r="HO653" s="53"/>
      <c r="HP653" s="53"/>
      <c r="HQ653" s="53"/>
      <c r="HR653" s="53"/>
      <c r="HS653" s="53"/>
      <c r="HT653" s="53"/>
      <c r="HU653" s="53"/>
      <c r="HV653" s="53"/>
      <c r="HW653" s="53"/>
      <c r="HX653" s="53"/>
      <c r="HY653" s="53"/>
      <c r="HZ653" s="53"/>
      <c r="IA653" s="53"/>
    </row>
    <row r="654" spans="1:235" ht="22.5">
      <c r="A654" s="8" t="s">
        <v>200</v>
      </c>
      <c r="B654" s="6"/>
      <c r="C654" s="6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24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3"/>
      <c r="BS654" s="53"/>
      <c r="BT654" s="53"/>
      <c r="BU654" s="53"/>
      <c r="BV654" s="53"/>
      <c r="BW654" s="53"/>
      <c r="BX654" s="53"/>
      <c r="BY654" s="53"/>
      <c r="BZ654" s="53"/>
      <c r="CA654" s="53"/>
      <c r="CB654" s="53"/>
      <c r="CC654" s="53"/>
      <c r="CD654" s="53"/>
      <c r="CE654" s="53"/>
      <c r="CF654" s="53"/>
      <c r="CG654" s="53"/>
      <c r="CH654" s="53"/>
      <c r="CI654" s="53"/>
      <c r="CJ654" s="53"/>
      <c r="CK654" s="53"/>
      <c r="CL654" s="53"/>
      <c r="CM654" s="53"/>
      <c r="CN654" s="53"/>
      <c r="CO654" s="53"/>
      <c r="CP654" s="53"/>
      <c r="CQ654" s="53"/>
      <c r="CR654" s="53"/>
      <c r="CS654" s="53"/>
      <c r="CT654" s="53"/>
      <c r="CU654" s="53"/>
      <c r="CV654" s="53"/>
      <c r="CW654" s="53"/>
      <c r="CX654" s="53"/>
      <c r="CY654" s="53"/>
      <c r="CZ654" s="53"/>
      <c r="DA654" s="53"/>
      <c r="DB654" s="53"/>
      <c r="DC654" s="53"/>
      <c r="DD654" s="53"/>
      <c r="DE654" s="53"/>
      <c r="DF654" s="53"/>
      <c r="DG654" s="53"/>
      <c r="DH654" s="53"/>
      <c r="DI654" s="53"/>
      <c r="DJ654" s="53"/>
      <c r="DK654" s="53"/>
      <c r="DL654" s="53"/>
      <c r="DM654" s="53"/>
      <c r="DN654" s="53"/>
      <c r="DO654" s="53"/>
      <c r="DP654" s="53"/>
      <c r="DQ654" s="53"/>
      <c r="DR654" s="53"/>
      <c r="DS654" s="53"/>
      <c r="DT654" s="53"/>
      <c r="DU654" s="53"/>
      <c r="DV654" s="53"/>
      <c r="DW654" s="53"/>
      <c r="DX654" s="53"/>
      <c r="DY654" s="53"/>
      <c r="DZ654" s="53"/>
      <c r="EA654" s="53"/>
      <c r="EB654" s="53"/>
      <c r="EC654" s="53"/>
      <c r="ED654" s="53"/>
      <c r="EE654" s="53"/>
      <c r="EF654" s="53"/>
      <c r="EG654" s="53"/>
      <c r="EH654" s="53"/>
      <c r="EI654" s="53"/>
      <c r="EJ654" s="53"/>
      <c r="EK654" s="53"/>
      <c r="EL654" s="53"/>
      <c r="EM654" s="53"/>
      <c r="EN654" s="53"/>
      <c r="EO654" s="53"/>
      <c r="EP654" s="53"/>
      <c r="EQ654" s="53"/>
      <c r="ER654" s="53"/>
      <c r="ES654" s="53"/>
      <c r="ET654" s="53"/>
      <c r="EU654" s="53"/>
      <c r="EV654" s="53"/>
      <c r="EW654" s="53"/>
      <c r="EX654" s="53"/>
      <c r="EY654" s="53"/>
      <c r="EZ654" s="53"/>
      <c r="FA654" s="53"/>
      <c r="FB654" s="53"/>
      <c r="FC654" s="53"/>
      <c r="FD654" s="53"/>
      <c r="FE654" s="53"/>
      <c r="FF654" s="53"/>
      <c r="FG654" s="53"/>
      <c r="FH654" s="53"/>
      <c r="FI654" s="53"/>
      <c r="FJ654" s="53"/>
      <c r="FK654" s="53"/>
      <c r="FL654" s="53"/>
      <c r="FM654" s="53"/>
      <c r="FN654" s="53"/>
      <c r="FO654" s="53"/>
      <c r="FP654" s="53"/>
      <c r="FQ654" s="53"/>
      <c r="FR654" s="53"/>
      <c r="FS654" s="53"/>
      <c r="FT654" s="53"/>
      <c r="FU654" s="53"/>
      <c r="FV654" s="53"/>
      <c r="FW654" s="53"/>
      <c r="FX654" s="53"/>
      <c r="FY654" s="53"/>
      <c r="FZ654" s="53"/>
      <c r="GA654" s="53"/>
      <c r="GB654" s="53"/>
      <c r="GC654" s="53"/>
      <c r="GD654" s="53"/>
      <c r="GE654" s="53"/>
      <c r="GF654" s="53"/>
      <c r="GG654" s="53"/>
      <c r="GH654" s="53"/>
      <c r="GI654" s="53"/>
      <c r="GJ654" s="53"/>
      <c r="GK654" s="53"/>
      <c r="GL654" s="53"/>
      <c r="GM654" s="53"/>
      <c r="GN654" s="53"/>
      <c r="GO654" s="53"/>
      <c r="GP654" s="53"/>
      <c r="GQ654" s="53"/>
      <c r="GR654" s="53"/>
      <c r="GS654" s="53"/>
      <c r="GT654" s="53"/>
      <c r="GU654" s="53"/>
      <c r="GV654" s="53"/>
      <c r="GW654" s="53"/>
      <c r="GX654" s="53"/>
      <c r="GY654" s="53"/>
      <c r="GZ654" s="53"/>
      <c r="HA654" s="53"/>
      <c r="HB654" s="53"/>
      <c r="HC654" s="53"/>
      <c r="HD654" s="53"/>
      <c r="HE654" s="53"/>
      <c r="HF654" s="53"/>
      <c r="HG654" s="53"/>
      <c r="HH654" s="53"/>
      <c r="HI654" s="53"/>
      <c r="HJ654" s="53"/>
      <c r="HK654" s="53"/>
      <c r="HL654" s="53"/>
      <c r="HM654" s="53"/>
      <c r="HN654" s="53"/>
      <c r="HO654" s="53"/>
      <c r="HP654" s="53"/>
      <c r="HQ654" s="53"/>
      <c r="HR654" s="53"/>
      <c r="HS654" s="53"/>
      <c r="HT654" s="53"/>
      <c r="HU654" s="53"/>
      <c r="HV654" s="53"/>
      <c r="HW654" s="53"/>
      <c r="HX654" s="53"/>
      <c r="HY654" s="53"/>
      <c r="HZ654" s="53"/>
      <c r="IA654" s="53"/>
    </row>
    <row r="655" spans="1:17" s="39" customFormat="1" ht="22.5">
      <c r="A655" s="34" t="s">
        <v>434</v>
      </c>
      <c r="B655" s="35"/>
      <c r="C655" s="35"/>
      <c r="D655" s="86"/>
      <c r="E655" s="86">
        <f>E657+E663+E664+E665</f>
        <v>94580322</v>
      </c>
      <c r="F655" s="86">
        <f>D655+E655</f>
        <v>94580322</v>
      </c>
      <c r="G655" s="36">
        <f>G657</f>
        <v>0</v>
      </c>
      <c r="H655" s="36">
        <f>SUM(H657)</f>
        <v>92000000</v>
      </c>
      <c r="I655" s="36"/>
      <c r="J655" s="36">
        <f>G655+H655+I655</f>
        <v>92000000</v>
      </c>
      <c r="K655" s="36"/>
      <c r="L655" s="36"/>
      <c r="M655" s="36"/>
      <c r="N655" s="36"/>
      <c r="O655" s="36">
        <f>O657</f>
        <v>95000000</v>
      </c>
      <c r="P655" s="36">
        <f>N655+O655</f>
        <v>95000000</v>
      </c>
      <c r="Q655" s="78"/>
    </row>
    <row r="656" spans="1:17" s="39" customFormat="1" ht="11.25">
      <c r="A656" s="34" t="s">
        <v>4</v>
      </c>
      <c r="B656" s="35"/>
      <c r="C656" s="35"/>
      <c r="D656" s="86"/>
      <c r="E656" s="86"/>
      <c r="F656" s="8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78"/>
    </row>
    <row r="657" spans="1:17" s="39" customFormat="1" ht="11.25">
      <c r="A657" s="40" t="s">
        <v>43</v>
      </c>
      <c r="B657" s="41"/>
      <c r="C657" s="41"/>
      <c r="D657" s="80"/>
      <c r="E657" s="80">
        <f>E659*E661+1224322-0.03+30000+1000000+37400</f>
        <v>90291722</v>
      </c>
      <c r="F657" s="80">
        <f>F659*F661+1224322-0.03+30000+1000000</f>
        <v>90254322</v>
      </c>
      <c r="G657" s="87"/>
      <c r="H657" s="87">
        <v>92000000</v>
      </c>
      <c r="I657" s="87"/>
      <c r="J657" s="87">
        <f>H657</f>
        <v>92000000</v>
      </c>
      <c r="K657" s="87"/>
      <c r="L657" s="87"/>
      <c r="M657" s="87"/>
      <c r="N657" s="87"/>
      <c r="O657" s="87">
        <v>95000000</v>
      </c>
      <c r="P657" s="87">
        <f>O657</f>
        <v>95000000</v>
      </c>
      <c r="Q657" s="78"/>
    </row>
    <row r="658" spans="1:17" s="39" customFormat="1" ht="11.25">
      <c r="A658" s="34" t="s">
        <v>5</v>
      </c>
      <c r="B658" s="35"/>
      <c r="C658" s="35"/>
      <c r="D658" s="86"/>
      <c r="E658" s="86"/>
      <c r="F658" s="8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78"/>
    </row>
    <row r="659" spans="1:17" s="39" customFormat="1" ht="11.25">
      <c r="A659" s="40" t="s">
        <v>186</v>
      </c>
      <c r="B659" s="41"/>
      <c r="C659" s="41"/>
      <c r="D659" s="80"/>
      <c r="E659" s="80">
        <v>17</v>
      </c>
      <c r="F659" s="80">
        <v>17</v>
      </c>
      <c r="G659" s="87"/>
      <c r="H659" s="87">
        <v>11</v>
      </c>
      <c r="I659" s="87"/>
      <c r="J659" s="87">
        <f>H659</f>
        <v>11</v>
      </c>
      <c r="K659" s="87">
        <f>H659</f>
        <v>11</v>
      </c>
      <c r="L659" s="87">
        <f>J659</f>
        <v>11</v>
      </c>
      <c r="M659" s="87">
        <f>K659</f>
        <v>11</v>
      </c>
      <c r="N659" s="87"/>
      <c r="O659" s="87">
        <v>16</v>
      </c>
      <c r="P659" s="87">
        <f>O659</f>
        <v>16</v>
      </c>
      <c r="Q659" s="78"/>
    </row>
    <row r="660" spans="1:17" s="39" customFormat="1" ht="11.25">
      <c r="A660" s="40" t="s">
        <v>7</v>
      </c>
      <c r="B660" s="41"/>
      <c r="C660" s="41"/>
      <c r="D660" s="80"/>
      <c r="E660" s="80"/>
      <c r="F660" s="80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78"/>
    </row>
    <row r="661" spans="1:17" s="39" customFormat="1" ht="22.5">
      <c r="A661" s="40" t="s">
        <v>258</v>
      </c>
      <c r="B661" s="41"/>
      <c r="C661" s="41"/>
      <c r="D661" s="80"/>
      <c r="E661" s="87">
        <v>5176470.59</v>
      </c>
      <c r="F661" s="87">
        <v>5176470.59</v>
      </c>
      <c r="G661" s="87"/>
      <c r="H661" s="87">
        <f>SUM(H657)/H659</f>
        <v>8363636.363636363</v>
      </c>
      <c r="I661" s="87"/>
      <c r="J661" s="87">
        <f>SUM(J657)/J659</f>
        <v>8363636.363636363</v>
      </c>
      <c r="K661" s="87"/>
      <c r="L661" s="87"/>
      <c r="M661" s="87"/>
      <c r="N661" s="87"/>
      <c r="O661" s="87">
        <f>SUM(O657)/O659</f>
        <v>5937500</v>
      </c>
      <c r="P661" s="87">
        <f>SUM(P657)/P659</f>
        <v>5937500</v>
      </c>
      <c r="Q661" s="78"/>
    </row>
    <row r="662" spans="1:17" s="52" customFormat="1" ht="11.25">
      <c r="A662" s="34" t="s">
        <v>5</v>
      </c>
      <c r="B662" s="35"/>
      <c r="C662" s="35"/>
      <c r="D662" s="86"/>
      <c r="E662" s="86"/>
      <c r="F662" s="8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75"/>
    </row>
    <row r="663" spans="1:235" ht="33.75">
      <c r="A663" s="88" t="s">
        <v>277</v>
      </c>
      <c r="B663" s="29"/>
      <c r="C663" s="29"/>
      <c r="D663" s="89"/>
      <c r="E663" s="48">
        <v>621600</v>
      </c>
      <c r="F663" s="48">
        <v>621600</v>
      </c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4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11.25">
      <c r="A664" s="88" t="s">
        <v>357</v>
      </c>
      <c r="B664" s="29"/>
      <c r="C664" s="29"/>
      <c r="D664" s="89"/>
      <c r="E664" s="48">
        <v>1247000</v>
      </c>
      <c r="F664" s="48">
        <f>E664</f>
        <v>1247000</v>
      </c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4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235" ht="33.75">
      <c r="A665" s="88" t="s">
        <v>365</v>
      </c>
      <c r="B665" s="29"/>
      <c r="C665" s="29"/>
      <c r="D665" s="89"/>
      <c r="E665" s="48">
        <v>2420000</v>
      </c>
      <c r="F665" s="48">
        <f>E665</f>
        <v>2420000</v>
      </c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4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  <c r="DG665" s="53"/>
      <c r="DH665" s="53"/>
      <c r="DI665" s="53"/>
      <c r="DJ665" s="53"/>
      <c r="DK665" s="53"/>
      <c r="DL665" s="53"/>
      <c r="DM665" s="53"/>
      <c r="DN665" s="53"/>
      <c r="DO665" s="53"/>
      <c r="DP665" s="53"/>
      <c r="DQ665" s="53"/>
      <c r="DR665" s="53"/>
      <c r="DS665" s="53"/>
      <c r="DT665" s="53"/>
      <c r="DU665" s="53"/>
      <c r="DV665" s="53"/>
      <c r="DW665" s="53"/>
      <c r="DX665" s="53"/>
      <c r="DY665" s="53"/>
      <c r="DZ665" s="53"/>
      <c r="EA665" s="53"/>
      <c r="EB665" s="53"/>
      <c r="EC665" s="53"/>
      <c r="ED665" s="53"/>
      <c r="EE665" s="53"/>
      <c r="EF665" s="53"/>
      <c r="EG665" s="53"/>
      <c r="EH665" s="53"/>
      <c r="EI665" s="53"/>
      <c r="EJ665" s="53"/>
      <c r="EK665" s="53"/>
      <c r="EL665" s="53"/>
      <c r="EM665" s="53"/>
      <c r="EN665" s="53"/>
      <c r="EO665" s="53"/>
      <c r="EP665" s="53"/>
      <c r="EQ665" s="53"/>
      <c r="ER665" s="53"/>
      <c r="ES665" s="53"/>
      <c r="ET665" s="53"/>
      <c r="EU665" s="53"/>
      <c r="EV665" s="53"/>
      <c r="EW665" s="53"/>
      <c r="EX665" s="53"/>
      <c r="EY665" s="53"/>
      <c r="EZ665" s="53"/>
      <c r="FA665" s="53"/>
      <c r="FB665" s="53"/>
      <c r="FC665" s="53"/>
      <c r="FD665" s="53"/>
      <c r="FE665" s="53"/>
      <c r="FF665" s="53"/>
      <c r="FG665" s="53"/>
      <c r="FH665" s="53"/>
      <c r="FI665" s="53"/>
      <c r="FJ665" s="53"/>
      <c r="FK665" s="53"/>
      <c r="FL665" s="53"/>
      <c r="FM665" s="53"/>
      <c r="FN665" s="53"/>
      <c r="FO665" s="53"/>
      <c r="FP665" s="53"/>
      <c r="FQ665" s="53"/>
      <c r="FR665" s="53"/>
      <c r="FS665" s="53"/>
      <c r="FT665" s="53"/>
      <c r="FU665" s="53"/>
      <c r="FV665" s="53"/>
      <c r="FW665" s="53"/>
      <c r="FX665" s="53"/>
      <c r="FY665" s="53"/>
      <c r="FZ665" s="53"/>
      <c r="GA665" s="53"/>
      <c r="GB665" s="53"/>
      <c r="GC665" s="53"/>
      <c r="GD665" s="53"/>
      <c r="GE665" s="53"/>
      <c r="GF665" s="53"/>
      <c r="GG665" s="53"/>
      <c r="GH665" s="53"/>
      <c r="GI665" s="53"/>
      <c r="GJ665" s="53"/>
      <c r="GK665" s="53"/>
      <c r="GL665" s="53"/>
      <c r="GM665" s="53"/>
      <c r="GN665" s="53"/>
      <c r="GO665" s="53"/>
      <c r="GP665" s="53"/>
      <c r="GQ665" s="53"/>
      <c r="GR665" s="53"/>
      <c r="GS665" s="53"/>
      <c r="GT665" s="53"/>
      <c r="GU665" s="53"/>
      <c r="GV665" s="53"/>
      <c r="GW665" s="53"/>
      <c r="GX665" s="53"/>
      <c r="GY665" s="53"/>
      <c r="GZ665" s="53"/>
      <c r="HA665" s="53"/>
      <c r="HB665" s="53"/>
      <c r="HC665" s="53"/>
      <c r="HD665" s="53"/>
      <c r="HE665" s="53"/>
      <c r="HF665" s="53"/>
      <c r="HG665" s="53"/>
      <c r="HH665" s="53"/>
      <c r="HI665" s="53"/>
      <c r="HJ665" s="53"/>
      <c r="HK665" s="53"/>
      <c r="HL665" s="53"/>
      <c r="HM665" s="53"/>
      <c r="HN665" s="53"/>
      <c r="HO665" s="53"/>
      <c r="HP665" s="53"/>
      <c r="HQ665" s="53"/>
      <c r="HR665" s="53"/>
      <c r="HS665" s="53"/>
      <c r="HT665" s="53"/>
      <c r="HU665" s="53"/>
      <c r="HV665" s="53"/>
      <c r="HW665" s="53"/>
      <c r="HX665" s="53"/>
      <c r="HY665" s="53"/>
      <c r="HZ665" s="53"/>
      <c r="IA665" s="53"/>
    </row>
    <row r="666" spans="1:17" s="91" customFormat="1" ht="13.5" customHeight="1">
      <c r="A666" s="37" t="s">
        <v>330</v>
      </c>
      <c r="B666" s="37"/>
      <c r="C666" s="37"/>
      <c r="D666" s="81">
        <f>SUM(D668)</f>
        <v>0</v>
      </c>
      <c r="E666" s="81"/>
      <c r="F666" s="81">
        <f>SUM(F668)</f>
        <v>0</v>
      </c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90"/>
    </row>
    <row r="667" spans="1:17" s="22" customFormat="1" ht="20.25" customHeight="1">
      <c r="A667" s="8" t="s">
        <v>332</v>
      </c>
      <c r="B667" s="6"/>
      <c r="C667" s="6"/>
      <c r="D667" s="84"/>
      <c r="E667" s="84"/>
      <c r="F667" s="84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4"/>
    </row>
    <row r="668" spans="1:17" s="95" customFormat="1" ht="16.5" customHeight="1">
      <c r="A668" s="92" t="s">
        <v>435</v>
      </c>
      <c r="B668" s="93"/>
      <c r="C668" s="93"/>
      <c r="D668" s="94">
        <f>SUM(D670)</f>
        <v>0</v>
      </c>
      <c r="E668" s="94">
        <f>SUM(E670)</f>
        <v>0</v>
      </c>
      <c r="F668" s="94">
        <f>SUM(F670)</f>
        <v>0</v>
      </c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78"/>
    </row>
    <row r="669" spans="1:235" ht="11.25">
      <c r="A669" s="34" t="s">
        <v>4</v>
      </c>
      <c r="B669" s="6"/>
      <c r="C669" s="6"/>
      <c r="D669" s="84"/>
      <c r="E669" s="84"/>
      <c r="F669" s="84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24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235" ht="15" customHeight="1">
      <c r="A670" s="40" t="s">
        <v>43</v>
      </c>
      <c r="B670" s="6"/>
      <c r="C670" s="6"/>
      <c r="D670" s="84">
        <v>0</v>
      </c>
      <c r="E670" s="84"/>
      <c r="F670" s="84">
        <f>SUM(D670:E670)</f>
        <v>0</v>
      </c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24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  <c r="GB670" s="53"/>
      <c r="GC670" s="53"/>
      <c r="GD670" s="53"/>
      <c r="GE670" s="53"/>
      <c r="GF670" s="53"/>
      <c r="GG670" s="53"/>
      <c r="GH670" s="53"/>
      <c r="GI670" s="53"/>
      <c r="GJ670" s="53"/>
      <c r="GK670" s="53"/>
      <c r="GL670" s="53"/>
      <c r="GM670" s="53"/>
      <c r="GN670" s="53"/>
      <c r="GO670" s="53"/>
      <c r="GP670" s="53"/>
      <c r="GQ670" s="53"/>
      <c r="GR670" s="53"/>
      <c r="GS670" s="53"/>
      <c r="GT670" s="53"/>
      <c r="GU670" s="53"/>
      <c r="GV670" s="53"/>
      <c r="GW670" s="53"/>
      <c r="GX670" s="53"/>
      <c r="GY670" s="53"/>
      <c r="GZ670" s="53"/>
      <c r="HA670" s="53"/>
      <c r="HB670" s="53"/>
      <c r="HC670" s="53"/>
      <c r="HD670" s="53"/>
      <c r="HE670" s="53"/>
      <c r="HF670" s="53"/>
      <c r="HG670" s="53"/>
      <c r="HH670" s="53"/>
      <c r="HI670" s="53"/>
      <c r="HJ670" s="53"/>
      <c r="HK670" s="53"/>
      <c r="HL670" s="53"/>
      <c r="HM670" s="53"/>
      <c r="HN670" s="53"/>
      <c r="HO670" s="53"/>
      <c r="HP670" s="53"/>
      <c r="HQ670" s="53"/>
      <c r="HR670" s="53"/>
      <c r="HS670" s="53"/>
      <c r="HT670" s="53"/>
      <c r="HU670" s="53"/>
      <c r="HV670" s="53"/>
      <c r="HW670" s="53"/>
      <c r="HX670" s="53"/>
      <c r="HY670" s="53"/>
      <c r="HZ670" s="53"/>
      <c r="IA670" s="53"/>
    </row>
    <row r="671" spans="1:17" s="52" customFormat="1" ht="11.25">
      <c r="A671" s="34" t="s">
        <v>5</v>
      </c>
      <c r="B671" s="37"/>
      <c r="C671" s="37"/>
      <c r="D671" s="81"/>
      <c r="E671" s="81"/>
      <c r="F671" s="81">
        <f>SUM(D671:E671)</f>
        <v>0</v>
      </c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75"/>
    </row>
    <row r="672" spans="1:235" ht="13.5" customHeight="1">
      <c r="A672" s="34" t="s">
        <v>333</v>
      </c>
      <c r="B672" s="6"/>
      <c r="C672" s="6"/>
      <c r="D672" s="84">
        <v>0</v>
      </c>
      <c r="E672" s="84"/>
      <c r="F672" s="84">
        <f>SUM(D672:E672)</f>
        <v>0</v>
      </c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24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17" s="52" customFormat="1" ht="16.5" customHeight="1">
      <c r="A673" s="34" t="s">
        <v>7</v>
      </c>
      <c r="B673" s="37"/>
      <c r="C673" s="37"/>
      <c r="D673" s="81"/>
      <c r="E673" s="81"/>
      <c r="F673" s="81"/>
      <c r="G673" s="81"/>
      <c r="H673" s="81"/>
      <c r="I673" s="81"/>
      <c r="J673" s="30"/>
      <c r="K673" s="81"/>
      <c r="L673" s="81"/>
      <c r="M673" s="81"/>
      <c r="N673" s="81"/>
      <c r="O673" s="81"/>
      <c r="P673" s="81"/>
      <c r="Q673" s="75"/>
    </row>
    <row r="674" spans="1:235" ht="11.25">
      <c r="A674" s="34" t="s">
        <v>331</v>
      </c>
      <c r="B674" s="6"/>
      <c r="C674" s="6"/>
      <c r="D674" s="84">
        <v>0</v>
      </c>
      <c r="E674" s="84"/>
      <c r="F674" s="84">
        <f>SUM(D674:E674)</f>
        <v>0</v>
      </c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24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11.25">
      <c r="A675" s="37" t="s">
        <v>257</v>
      </c>
      <c r="B675" s="6"/>
      <c r="C675" s="6"/>
      <c r="D675" s="81">
        <f>D677</f>
        <v>0</v>
      </c>
      <c r="E675" s="81">
        <f>E677</f>
        <v>-20000</v>
      </c>
      <c r="F675" s="81">
        <f>F677</f>
        <v>-20000</v>
      </c>
      <c r="G675" s="81">
        <f aca="true" t="shared" si="65" ref="G675:Q675">G677</f>
        <v>0</v>
      </c>
      <c r="H675" s="81">
        <f t="shared" si="65"/>
        <v>0</v>
      </c>
      <c r="I675" s="81">
        <f t="shared" si="65"/>
        <v>0</v>
      </c>
      <c r="J675" s="81">
        <f t="shared" si="65"/>
        <v>0</v>
      </c>
      <c r="K675" s="81">
        <f t="shared" si="65"/>
        <v>0</v>
      </c>
      <c r="L675" s="81">
        <f t="shared" si="65"/>
        <v>0</v>
      </c>
      <c r="M675" s="81">
        <f t="shared" si="65"/>
        <v>0</v>
      </c>
      <c r="N675" s="81">
        <f t="shared" si="65"/>
        <v>0</v>
      </c>
      <c r="O675" s="81">
        <f t="shared" si="65"/>
        <v>-2054092</v>
      </c>
      <c r="P675" s="81">
        <f t="shared" si="65"/>
        <v>-2054092</v>
      </c>
      <c r="Q675" s="81">
        <f t="shared" si="65"/>
        <v>0</v>
      </c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17.25" customHeight="1">
      <c r="A676" s="8" t="s">
        <v>197</v>
      </c>
      <c r="B676" s="6"/>
      <c r="C676" s="6"/>
      <c r="D676" s="84"/>
      <c r="E676" s="84"/>
      <c r="F676" s="84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24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17" s="52" customFormat="1" ht="22.5">
      <c r="A677" s="34" t="s">
        <v>437</v>
      </c>
      <c r="B677" s="37"/>
      <c r="C677" s="37"/>
      <c r="D677" s="81"/>
      <c r="E677" s="81">
        <f>E679</f>
        <v>-20000</v>
      </c>
      <c r="F677" s="81">
        <f>D677+E677</f>
        <v>-20000</v>
      </c>
      <c r="G677" s="30"/>
      <c r="H677" s="36">
        <f>H679</f>
        <v>0</v>
      </c>
      <c r="I677" s="36"/>
      <c r="J677" s="36">
        <f>H677</f>
        <v>0</v>
      </c>
      <c r="K677" s="36"/>
      <c r="L677" s="36"/>
      <c r="M677" s="36"/>
      <c r="N677" s="36"/>
      <c r="O677" s="36">
        <f>O679</f>
        <v>-2054092</v>
      </c>
      <c r="P677" s="36">
        <f>O677</f>
        <v>-2054092</v>
      </c>
      <c r="Q677" s="75"/>
    </row>
    <row r="678" spans="1:235" ht="11.25">
      <c r="A678" s="5" t="s">
        <v>4</v>
      </c>
      <c r="B678" s="6"/>
      <c r="C678" s="6"/>
      <c r="D678" s="84"/>
      <c r="E678" s="84"/>
      <c r="F678" s="84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24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22.5">
      <c r="A679" s="8" t="s">
        <v>199</v>
      </c>
      <c r="B679" s="6"/>
      <c r="C679" s="6"/>
      <c r="D679" s="49"/>
      <c r="E679" s="49">
        <f>E681*E683</f>
        <v>-20000</v>
      </c>
      <c r="F679" s="49">
        <f>F681*F683</f>
        <v>-20000</v>
      </c>
      <c r="G679" s="87"/>
      <c r="H679" s="87">
        <f>H681*H683</f>
        <v>0</v>
      </c>
      <c r="I679" s="87"/>
      <c r="J679" s="87">
        <f>H679</f>
        <v>0</v>
      </c>
      <c r="K679" s="87"/>
      <c r="L679" s="87"/>
      <c r="M679" s="87"/>
      <c r="N679" s="87"/>
      <c r="O679" s="87">
        <f>O681*O683</f>
        <v>-2054092</v>
      </c>
      <c r="P679" s="87">
        <f>P681*P683</f>
        <v>-2054092</v>
      </c>
      <c r="Q679" s="24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11.25">
      <c r="A680" s="5" t="s">
        <v>5</v>
      </c>
      <c r="B680" s="6"/>
      <c r="C680" s="6"/>
      <c r="D680" s="49"/>
      <c r="E680" s="49"/>
      <c r="F680" s="49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24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22.5">
      <c r="A681" s="8" t="s">
        <v>198</v>
      </c>
      <c r="B681" s="6"/>
      <c r="C681" s="6"/>
      <c r="D681" s="49"/>
      <c r="E681" s="49">
        <v>1</v>
      </c>
      <c r="F681" s="49">
        <f>D681+E681</f>
        <v>1</v>
      </c>
      <c r="G681" s="87"/>
      <c r="H681" s="96">
        <f>1-1</f>
        <v>0</v>
      </c>
      <c r="I681" s="87"/>
      <c r="J681" s="96">
        <f>H681</f>
        <v>0</v>
      </c>
      <c r="K681" s="87"/>
      <c r="L681" s="87"/>
      <c r="M681" s="87"/>
      <c r="N681" s="87"/>
      <c r="O681" s="96">
        <v>1</v>
      </c>
      <c r="P681" s="96">
        <v>1</v>
      </c>
      <c r="Q681" s="24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11.25">
      <c r="A682" s="34" t="s">
        <v>7</v>
      </c>
      <c r="B682" s="6"/>
      <c r="C682" s="6"/>
      <c r="D682" s="49"/>
      <c r="E682" s="49"/>
      <c r="F682" s="49"/>
      <c r="G682" s="87"/>
      <c r="H682" s="96"/>
      <c r="I682" s="87"/>
      <c r="J682" s="96"/>
      <c r="K682" s="87"/>
      <c r="L682" s="87"/>
      <c r="M682" s="87"/>
      <c r="N682" s="87"/>
      <c r="O682" s="96"/>
      <c r="P682" s="96"/>
      <c r="Q682" s="24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22.5">
      <c r="A683" s="40" t="s">
        <v>339</v>
      </c>
      <c r="B683" s="6"/>
      <c r="C683" s="6"/>
      <c r="D683" s="49"/>
      <c r="E683" s="49">
        <v>-20000</v>
      </c>
      <c r="F683" s="49">
        <f>E683</f>
        <v>-20000</v>
      </c>
      <c r="G683" s="87"/>
      <c r="H683" s="87">
        <f>-2054092+2054092</f>
        <v>0</v>
      </c>
      <c r="I683" s="87"/>
      <c r="J683" s="87">
        <f>H683</f>
        <v>0</v>
      </c>
      <c r="K683" s="87"/>
      <c r="L683" s="87"/>
      <c r="M683" s="87"/>
      <c r="N683" s="87"/>
      <c r="O683" s="96">
        <v>-2054092</v>
      </c>
      <c r="P683" s="96">
        <v>-2054092</v>
      </c>
      <c r="Q683" s="24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11.25">
      <c r="A684" s="37" t="s">
        <v>302</v>
      </c>
      <c r="B684" s="6"/>
      <c r="C684" s="6"/>
      <c r="D684" s="49"/>
      <c r="E684" s="49"/>
      <c r="F684" s="49"/>
      <c r="G684" s="81">
        <f>G686</f>
        <v>0</v>
      </c>
      <c r="H684" s="81">
        <f>H686</f>
        <v>0</v>
      </c>
      <c r="I684" s="81">
        <f>I686</f>
        <v>0</v>
      </c>
      <c r="J684" s="81">
        <f>J686</f>
        <v>0</v>
      </c>
      <c r="K684" s="87"/>
      <c r="L684" s="87"/>
      <c r="M684" s="87"/>
      <c r="N684" s="87"/>
      <c r="O684" s="162">
        <f>O686</f>
        <v>-740000</v>
      </c>
      <c r="P684" s="162">
        <f>P686</f>
        <v>-740000</v>
      </c>
      <c r="Q684" s="24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11.25">
      <c r="A685" s="8" t="s">
        <v>197</v>
      </c>
      <c r="B685" s="6"/>
      <c r="C685" s="6"/>
      <c r="D685" s="49"/>
      <c r="E685" s="49"/>
      <c r="F685" s="49"/>
      <c r="G685" s="7"/>
      <c r="H685" s="7"/>
      <c r="I685" s="7"/>
      <c r="J685" s="7"/>
      <c r="K685" s="87"/>
      <c r="L685" s="87"/>
      <c r="M685" s="87"/>
      <c r="N685" s="87"/>
      <c r="O685" s="96"/>
      <c r="P685" s="96"/>
      <c r="Q685" s="24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22.5">
      <c r="A686" s="34" t="s">
        <v>436</v>
      </c>
      <c r="B686" s="6"/>
      <c r="C686" s="6"/>
      <c r="D686" s="49"/>
      <c r="E686" s="49"/>
      <c r="F686" s="49"/>
      <c r="G686" s="30"/>
      <c r="H686" s="36">
        <f>H688</f>
        <v>0</v>
      </c>
      <c r="I686" s="36"/>
      <c r="J686" s="36">
        <f>H686</f>
        <v>0</v>
      </c>
      <c r="K686" s="87"/>
      <c r="L686" s="87"/>
      <c r="M686" s="87"/>
      <c r="N686" s="87"/>
      <c r="O686" s="161">
        <f>O688</f>
        <v>-740000</v>
      </c>
      <c r="P686" s="161">
        <f>P688</f>
        <v>-740000</v>
      </c>
      <c r="Q686" s="24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11.25">
      <c r="A687" s="5" t="s">
        <v>4</v>
      </c>
      <c r="B687" s="6"/>
      <c r="C687" s="6"/>
      <c r="D687" s="49"/>
      <c r="E687" s="49"/>
      <c r="F687" s="49"/>
      <c r="G687" s="7"/>
      <c r="H687" s="7"/>
      <c r="I687" s="7"/>
      <c r="J687" s="7"/>
      <c r="K687" s="87"/>
      <c r="L687" s="87"/>
      <c r="M687" s="87"/>
      <c r="N687" s="87"/>
      <c r="O687" s="96"/>
      <c r="P687" s="96"/>
      <c r="Q687" s="24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22.5">
      <c r="A688" s="8" t="s">
        <v>199</v>
      </c>
      <c r="B688" s="6"/>
      <c r="C688" s="6"/>
      <c r="D688" s="49"/>
      <c r="E688" s="49"/>
      <c r="F688" s="49"/>
      <c r="G688" s="87"/>
      <c r="H688" s="87">
        <f>H690*H692</f>
        <v>0</v>
      </c>
      <c r="I688" s="87"/>
      <c r="J688" s="87">
        <f>H688</f>
        <v>0</v>
      </c>
      <c r="K688" s="87"/>
      <c r="L688" s="87"/>
      <c r="M688" s="87"/>
      <c r="N688" s="87"/>
      <c r="O688" s="96">
        <f>O690*O692</f>
        <v>-740000</v>
      </c>
      <c r="P688" s="96">
        <f>P690*P692</f>
        <v>-740000</v>
      </c>
      <c r="Q688" s="24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11.25">
      <c r="A689" s="5" t="s">
        <v>5</v>
      </c>
      <c r="B689" s="6"/>
      <c r="C689" s="6"/>
      <c r="D689" s="49"/>
      <c r="E689" s="49"/>
      <c r="F689" s="49"/>
      <c r="G689" s="87"/>
      <c r="H689" s="87"/>
      <c r="I689" s="87"/>
      <c r="J689" s="87"/>
      <c r="K689" s="87"/>
      <c r="L689" s="87"/>
      <c r="M689" s="87"/>
      <c r="N689" s="87"/>
      <c r="O689" s="96"/>
      <c r="P689" s="96"/>
      <c r="Q689" s="24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22.5">
      <c r="A690" s="8" t="s">
        <v>198</v>
      </c>
      <c r="B690" s="6"/>
      <c r="C690" s="6"/>
      <c r="D690" s="49"/>
      <c r="E690" s="49"/>
      <c r="F690" s="49"/>
      <c r="G690" s="87"/>
      <c r="H690" s="96">
        <f>1-1</f>
        <v>0</v>
      </c>
      <c r="I690" s="87"/>
      <c r="J690" s="96">
        <f>H690</f>
        <v>0</v>
      </c>
      <c r="K690" s="87"/>
      <c r="L690" s="87"/>
      <c r="M690" s="87"/>
      <c r="N690" s="87"/>
      <c r="O690" s="96">
        <v>1</v>
      </c>
      <c r="P690" s="96">
        <v>1</v>
      </c>
      <c r="Q690" s="24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11.25">
      <c r="A691" s="34" t="s">
        <v>7</v>
      </c>
      <c r="B691" s="6"/>
      <c r="C691" s="6"/>
      <c r="D691" s="49"/>
      <c r="E691" s="49"/>
      <c r="F691" s="49"/>
      <c r="G691" s="87"/>
      <c r="H691" s="96"/>
      <c r="I691" s="87"/>
      <c r="J691" s="96"/>
      <c r="K691" s="87"/>
      <c r="L691" s="87"/>
      <c r="M691" s="87"/>
      <c r="N691" s="87"/>
      <c r="O691" s="96"/>
      <c r="P691" s="96"/>
      <c r="Q691" s="24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22.5">
      <c r="A692" s="40" t="s">
        <v>339</v>
      </c>
      <c r="B692" s="6"/>
      <c r="C692" s="6"/>
      <c r="D692" s="49"/>
      <c r="E692" s="49"/>
      <c r="F692" s="49"/>
      <c r="G692" s="87"/>
      <c r="H692" s="87">
        <f>-740000+740000</f>
        <v>0</v>
      </c>
      <c r="I692" s="87"/>
      <c r="J692" s="87">
        <f>H692</f>
        <v>0</v>
      </c>
      <c r="K692" s="87"/>
      <c r="L692" s="87"/>
      <c r="M692" s="87"/>
      <c r="N692" s="87"/>
      <c r="O692" s="96">
        <v>-740000</v>
      </c>
      <c r="P692" s="96">
        <v>-740000</v>
      </c>
      <c r="Q692" s="24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13.5" customHeight="1">
      <c r="A693" s="37" t="s">
        <v>264</v>
      </c>
      <c r="B693" s="6"/>
      <c r="C693" s="6"/>
      <c r="D693" s="81">
        <f>D695</f>
        <v>0</v>
      </c>
      <c r="E693" s="81">
        <f aca="true" t="shared" si="66" ref="E693:P693">E695</f>
        <v>74070200</v>
      </c>
      <c r="F693" s="81">
        <f t="shared" si="66"/>
        <v>74070200</v>
      </c>
      <c r="G693" s="81">
        <f t="shared" si="66"/>
        <v>0</v>
      </c>
      <c r="H693" s="81">
        <f t="shared" si="66"/>
        <v>0</v>
      </c>
      <c r="I693" s="81">
        <f t="shared" si="66"/>
        <v>0</v>
      </c>
      <c r="J693" s="81">
        <f t="shared" si="66"/>
        <v>0</v>
      </c>
      <c r="K693" s="81">
        <f t="shared" si="66"/>
        <v>0</v>
      </c>
      <c r="L693" s="81">
        <f t="shared" si="66"/>
        <v>0</v>
      </c>
      <c r="M693" s="81">
        <f t="shared" si="66"/>
        <v>0</v>
      </c>
      <c r="N693" s="81">
        <f t="shared" si="66"/>
        <v>0</v>
      </c>
      <c r="O693" s="81">
        <f t="shared" si="66"/>
        <v>0</v>
      </c>
      <c r="P693" s="81">
        <f t="shared" si="66"/>
        <v>0</v>
      </c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21.75" customHeight="1">
      <c r="A694" s="8" t="s">
        <v>260</v>
      </c>
      <c r="B694" s="6"/>
      <c r="C694" s="6"/>
      <c r="D694" s="84"/>
      <c r="E694" s="84"/>
      <c r="F694" s="84"/>
      <c r="G694" s="7"/>
      <c r="H694" s="7"/>
      <c r="I694" s="7"/>
      <c r="J694" s="7"/>
      <c r="K694" s="7"/>
      <c r="L694" s="7"/>
      <c r="M694" s="7"/>
      <c r="N694" s="7"/>
      <c r="O694" s="7"/>
      <c r="P694" s="7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21.75" customHeight="1">
      <c r="A695" s="34" t="s">
        <v>438</v>
      </c>
      <c r="B695" s="37"/>
      <c r="C695" s="37"/>
      <c r="D695" s="81"/>
      <c r="E695" s="81">
        <f>E697</f>
        <v>74070200</v>
      </c>
      <c r="F695" s="81">
        <f>D695+E695</f>
        <v>74070200</v>
      </c>
      <c r="G695" s="30"/>
      <c r="H695" s="36">
        <f>H697</f>
        <v>0</v>
      </c>
      <c r="I695" s="36"/>
      <c r="J695" s="36">
        <f>H695</f>
        <v>0</v>
      </c>
      <c r="K695" s="36"/>
      <c r="L695" s="36"/>
      <c r="M695" s="36"/>
      <c r="N695" s="36"/>
      <c r="O695" s="36">
        <f>O697</f>
        <v>0</v>
      </c>
      <c r="P695" s="36">
        <f>O695</f>
        <v>0</v>
      </c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21.75" customHeight="1">
      <c r="A696" s="5" t="s">
        <v>4</v>
      </c>
      <c r="B696" s="6"/>
      <c r="C696" s="6"/>
      <c r="D696" s="84"/>
      <c r="E696" s="84"/>
      <c r="F696" s="84"/>
      <c r="G696" s="7"/>
      <c r="H696" s="7"/>
      <c r="I696" s="7"/>
      <c r="J696" s="7"/>
      <c r="K696" s="7"/>
      <c r="L696" s="7"/>
      <c r="M696" s="7"/>
      <c r="N696" s="7"/>
      <c r="O696" s="7"/>
      <c r="P696" s="7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21.75" customHeight="1">
      <c r="A697" s="8" t="s">
        <v>263</v>
      </c>
      <c r="B697" s="6"/>
      <c r="C697" s="6"/>
      <c r="D697" s="49"/>
      <c r="E697" s="49">
        <v>74070200</v>
      </c>
      <c r="F697" s="49">
        <f>D697+E697</f>
        <v>74070200</v>
      </c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21.75" customHeight="1">
      <c r="A698" s="5" t="s">
        <v>5</v>
      </c>
      <c r="B698" s="6"/>
      <c r="C698" s="6"/>
      <c r="D698" s="49"/>
      <c r="E698" s="49"/>
      <c r="F698" s="49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21.75" customHeight="1">
      <c r="A699" s="8" t="s">
        <v>261</v>
      </c>
      <c r="B699" s="6"/>
      <c r="C699" s="6"/>
      <c r="D699" s="49"/>
      <c r="E699" s="49">
        <v>1</v>
      </c>
      <c r="F699" s="49">
        <f>D699+E699</f>
        <v>1</v>
      </c>
      <c r="G699" s="87"/>
      <c r="H699" s="96"/>
      <c r="I699" s="87"/>
      <c r="J699" s="96"/>
      <c r="K699" s="87"/>
      <c r="L699" s="87"/>
      <c r="M699" s="87"/>
      <c r="N699" s="87"/>
      <c r="O699" s="96"/>
      <c r="P699" s="96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21.75" customHeight="1">
      <c r="A700" s="5" t="s">
        <v>7</v>
      </c>
      <c r="B700" s="6"/>
      <c r="C700" s="6"/>
      <c r="D700" s="49"/>
      <c r="E700" s="49"/>
      <c r="F700" s="49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21.75" customHeight="1">
      <c r="A701" s="8" t="s">
        <v>262</v>
      </c>
      <c r="B701" s="127"/>
      <c r="C701" s="127"/>
      <c r="D701" s="36"/>
      <c r="E701" s="87">
        <f>E697/E699</f>
        <v>74070200</v>
      </c>
      <c r="F701" s="49">
        <f>D701+E701</f>
        <v>74070200</v>
      </c>
      <c r="G701" s="128"/>
      <c r="H701" s="128"/>
      <c r="I701" s="128"/>
      <c r="J701" s="30"/>
      <c r="K701" s="30"/>
      <c r="L701" s="30"/>
      <c r="M701" s="30"/>
      <c r="N701" s="30"/>
      <c r="O701" s="30"/>
      <c r="P701" s="30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1.25" customHeight="1">
      <c r="A702" s="97"/>
      <c r="B702" s="98"/>
      <c r="C702" s="98"/>
      <c r="D702" s="99"/>
      <c r="E702" s="4"/>
      <c r="F702" s="4"/>
      <c r="G702" s="4"/>
      <c r="H702" s="4"/>
      <c r="I702" s="4"/>
      <c r="J702" s="100"/>
      <c r="K702" s="100"/>
      <c r="L702" s="100"/>
      <c r="M702" s="100"/>
      <c r="N702" s="100"/>
      <c r="O702" s="100"/>
      <c r="P702" s="100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10.5" customHeight="1">
      <c r="A703" s="97"/>
      <c r="B703" s="98"/>
      <c r="C703" s="98"/>
      <c r="D703" s="99"/>
      <c r="E703" s="4"/>
      <c r="F703" s="4"/>
      <c r="G703" s="4"/>
      <c r="H703" s="4"/>
      <c r="I703" s="4"/>
      <c r="J703" s="100"/>
      <c r="K703" s="100"/>
      <c r="L703" s="100"/>
      <c r="M703" s="100"/>
      <c r="N703" s="100"/>
      <c r="O703" s="100"/>
      <c r="P703" s="100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9.75" customHeight="1">
      <c r="A704" s="98"/>
      <c r="B704" s="98"/>
      <c r="C704" s="98"/>
      <c r="D704" s="99"/>
      <c r="E704" s="2"/>
      <c r="F704" s="2"/>
      <c r="G704" s="2"/>
      <c r="H704" s="2"/>
      <c r="I704" s="2"/>
      <c r="J704" s="100"/>
      <c r="K704" s="100"/>
      <c r="L704" s="100"/>
      <c r="M704" s="100"/>
      <c r="N704" s="100"/>
      <c r="O704" s="100"/>
      <c r="P704" s="100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6.75" customHeight="1">
      <c r="A705" s="98"/>
      <c r="B705" s="98"/>
      <c r="C705" s="98"/>
      <c r="D705" s="99"/>
      <c r="E705" s="2"/>
      <c r="F705" s="2"/>
      <c r="G705" s="2"/>
      <c r="H705" s="2"/>
      <c r="I705" s="2"/>
      <c r="J705" s="100"/>
      <c r="K705" s="100"/>
      <c r="L705" s="100"/>
      <c r="M705" s="100"/>
      <c r="N705" s="100"/>
      <c r="O705" s="100"/>
      <c r="P705" s="100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20.25" customHeight="1">
      <c r="A706" s="165" t="s">
        <v>467</v>
      </c>
      <c r="B706" s="165"/>
      <c r="C706" s="165"/>
      <c r="D706" s="165"/>
      <c r="E706" s="102"/>
      <c r="F706" s="103"/>
      <c r="G706" s="104"/>
      <c r="H706" s="104"/>
      <c r="I706" s="104"/>
      <c r="J706" s="105"/>
      <c r="K706" s="105"/>
      <c r="L706" s="105"/>
      <c r="M706" s="105"/>
      <c r="N706" s="104"/>
      <c r="O706" s="169" t="s">
        <v>468</v>
      </c>
      <c r="P706" s="169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8.25" customHeight="1">
      <c r="A707" s="101"/>
      <c r="B707" s="101"/>
      <c r="C707" s="101"/>
      <c r="D707" s="102"/>
      <c r="E707" s="102"/>
      <c r="F707" s="103"/>
      <c r="G707" s="104"/>
      <c r="H707" s="104"/>
      <c r="I707" s="104"/>
      <c r="J707" s="105"/>
      <c r="K707" s="105"/>
      <c r="L707" s="105"/>
      <c r="M707" s="105"/>
      <c r="N707" s="104"/>
      <c r="O707" s="106"/>
      <c r="P707" s="106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6.75" customHeight="1">
      <c r="A708" s="101"/>
      <c r="B708" s="101"/>
      <c r="C708" s="101"/>
      <c r="D708" s="102"/>
      <c r="E708" s="102"/>
      <c r="F708" s="103"/>
      <c r="G708" s="104"/>
      <c r="H708" s="104"/>
      <c r="I708" s="104"/>
      <c r="J708" s="105"/>
      <c r="K708" s="105"/>
      <c r="L708" s="105"/>
      <c r="M708" s="105"/>
      <c r="N708" s="104"/>
      <c r="O708" s="106"/>
      <c r="P708" s="106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8.75" customHeight="1">
      <c r="A709" s="178" t="s">
        <v>458</v>
      </c>
      <c r="B709" s="178"/>
      <c r="C709" s="107"/>
      <c r="D709" s="108"/>
      <c r="E709" s="102"/>
      <c r="F709" s="104"/>
      <c r="G709" s="102"/>
      <c r="H709" s="102"/>
      <c r="I709" s="102"/>
      <c r="J709" s="109"/>
      <c r="K709" s="109"/>
      <c r="L709" s="109"/>
      <c r="M709" s="109"/>
      <c r="N709" s="109"/>
      <c r="O709" s="109"/>
      <c r="P709" s="109"/>
      <c r="Q709" s="110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0.75" customHeight="1">
      <c r="A710" s="28" t="s">
        <v>149</v>
      </c>
      <c r="B710" s="28"/>
      <c r="C710" s="111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28.5" customHeight="1">
      <c r="A711" s="112"/>
      <c r="B711" s="113"/>
      <c r="C711" s="114"/>
      <c r="D711" s="115"/>
      <c r="E711" s="115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  <row r="741" spans="1:235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104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  <c r="HZ741" s="53"/>
      <c r="IA741" s="53"/>
    </row>
    <row r="742" spans="1:235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104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  <c r="HZ742" s="53"/>
      <c r="IA742" s="53"/>
    </row>
    <row r="743" spans="1:235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104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  <c r="HZ743" s="53"/>
      <c r="IA743" s="53"/>
    </row>
    <row r="744" spans="1:235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4"/>
      <c r="O744" s="104"/>
      <c r="P744" s="104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  <c r="GB744" s="53"/>
      <c r="GC744" s="53"/>
      <c r="GD744" s="53"/>
      <c r="GE744" s="53"/>
      <c r="GF744" s="53"/>
      <c r="GG744" s="53"/>
      <c r="GH744" s="53"/>
      <c r="GI744" s="53"/>
      <c r="GJ744" s="53"/>
      <c r="GK744" s="53"/>
      <c r="GL744" s="53"/>
      <c r="GM744" s="53"/>
      <c r="GN744" s="53"/>
      <c r="GO744" s="53"/>
      <c r="GP744" s="53"/>
      <c r="GQ744" s="53"/>
      <c r="GR744" s="53"/>
      <c r="GS744" s="53"/>
      <c r="GT744" s="53"/>
      <c r="GU744" s="53"/>
      <c r="GV744" s="53"/>
      <c r="GW744" s="53"/>
      <c r="GX744" s="53"/>
      <c r="GY744" s="53"/>
      <c r="GZ744" s="53"/>
      <c r="HA744" s="53"/>
      <c r="HB744" s="53"/>
      <c r="HC744" s="53"/>
      <c r="HD744" s="53"/>
      <c r="HE744" s="53"/>
      <c r="HF744" s="53"/>
      <c r="HG744" s="53"/>
      <c r="HH744" s="53"/>
      <c r="HI744" s="53"/>
      <c r="HJ744" s="53"/>
      <c r="HK744" s="53"/>
      <c r="HL744" s="53"/>
      <c r="HM744" s="53"/>
      <c r="HN744" s="53"/>
      <c r="HO744" s="53"/>
      <c r="HP744" s="53"/>
      <c r="HQ744" s="53"/>
      <c r="HR744" s="53"/>
      <c r="HS744" s="53"/>
      <c r="HT744" s="53"/>
      <c r="HU744" s="53"/>
      <c r="HV744" s="53"/>
      <c r="HW744" s="53"/>
      <c r="HX744" s="53"/>
      <c r="HY744" s="53"/>
      <c r="HZ744" s="53"/>
      <c r="IA744" s="53"/>
    </row>
    <row r="745" spans="1:235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4"/>
      <c r="O745" s="104"/>
      <c r="P745" s="104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  <c r="GB745" s="53"/>
      <c r="GC745" s="53"/>
      <c r="GD745" s="53"/>
      <c r="GE745" s="53"/>
      <c r="GF745" s="53"/>
      <c r="GG745" s="53"/>
      <c r="GH745" s="53"/>
      <c r="GI745" s="53"/>
      <c r="GJ745" s="53"/>
      <c r="GK745" s="53"/>
      <c r="GL745" s="53"/>
      <c r="GM745" s="53"/>
      <c r="GN745" s="53"/>
      <c r="GO745" s="53"/>
      <c r="GP745" s="53"/>
      <c r="GQ745" s="53"/>
      <c r="GR745" s="53"/>
      <c r="GS745" s="53"/>
      <c r="GT745" s="53"/>
      <c r="GU745" s="53"/>
      <c r="GV745" s="53"/>
      <c r="GW745" s="53"/>
      <c r="GX745" s="53"/>
      <c r="GY745" s="53"/>
      <c r="GZ745" s="53"/>
      <c r="HA745" s="53"/>
      <c r="HB745" s="53"/>
      <c r="HC745" s="53"/>
      <c r="HD745" s="53"/>
      <c r="HE745" s="53"/>
      <c r="HF745" s="53"/>
      <c r="HG745" s="53"/>
      <c r="HH745" s="53"/>
      <c r="HI745" s="53"/>
      <c r="HJ745" s="53"/>
      <c r="HK745" s="53"/>
      <c r="HL745" s="53"/>
      <c r="HM745" s="53"/>
      <c r="HN745" s="53"/>
      <c r="HO745" s="53"/>
      <c r="HP745" s="53"/>
      <c r="HQ745" s="53"/>
      <c r="HR745" s="53"/>
      <c r="HS745" s="53"/>
      <c r="HT745" s="53"/>
      <c r="HU745" s="53"/>
      <c r="HV745" s="53"/>
      <c r="HW745" s="53"/>
      <c r="HX745" s="53"/>
      <c r="HY745" s="53"/>
      <c r="HZ745" s="53"/>
      <c r="IA745" s="53"/>
    </row>
    <row r="746" spans="1:235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4"/>
      <c r="O746" s="104"/>
      <c r="P746" s="104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  <c r="GB746" s="53"/>
      <c r="GC746" s="53"/>
      <c r="GD746" s="53"/>
      <c r="GE746" s="53"/>
      <c r="GF746" s="53"/>
      <c r="GG746" s="53"/>
      <c r="GH746" s="53"/>
      <c r="GI746" s="53"/>
      <c r="GJ746" s="53"/>
      <c r="GK746" s="53"/>
      <c r="GL746" s="53"/>
      <c r="GM746" s="53"/>
      <c r="GN746" s="53"/>
      <c r="GO746" s="53"/>
      <c r="GP746" s="53"/>
      <c r="GQ746" s="53"/>
      <c r="GR746" s="53"/>
      <c r="GS746" s="53"/>
      <c r="GT746" s="53"/>
      <c r="GU746" s="53"/>
      <c r="GV746" s="53"/>
      <c r="GW746" s="53"/>
      <c r="GX746" s="53"/>
      <c r="GY746" s="53"/>
      <c r="GZ746" s="53"/>
      <c r="HA746" s="53"/>
      <c r="HB746" s="53"/>
      <c r="HC746" s="53"/>
      <c r="HD746" s="53"/>
      <c r="HE746" s="53"/>
      <c r="HF746" s="53"/>
      <c r="HG746" s="53"/>
      <c r="HH746" s="53"/>
      <c r="HI746" s="53"/>
      <c r="HJ746" s="53"/>
      <c r="HK746" s="53"/>
      <c r="HL746" s="53"/>
      <c r="HM746" s="53"/>
      <c r="HN746" s="53"/>
      <c r="HO746" s="53"/>
      <c r="HP746" s="53"/>
      <c r="HQ746" s="53"/>
      <c r="HR746" s="53"/>
      <c r="HS746" s="53"/>
      <c r="HT746" s="53"/>
      <c r="HU746" s="53"/>
      <c r="HV746" s="53"/>
      <c r="HW746" s="53"/>
      <c r="HX746" s="53"/>
      <c r="HY746" s="53"/>
      <c r="HZ746" s="53"/>
      <c r="IA746" s="53"/>
    </row>
    <row r="747" spans="1:235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4"/>
      <c r="O747" s="104"/>
      <c r="P747" s="104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  <c r="GB747" s="53"/>
      <c r="GC747" s="53"/>
      <c r="GD747" s="53"/>
      <c r="GE747" s="53"/>
      <c r="GF747" s="53"/>
      <c r="GG747" s="53"/>
      <c r="GH747" s="53"/>
      <c r="GI747" s="53"/>
      <c r="GJ747" s="53"/>
      <c r="GK747" s="53"/>
      <c r="GL747" s="53"/>
      <c r="GM747" s="53"/>
      <c r="GN747" s="53"/>
      <c r="GO747" s="53"/>
      <c r="GP747" s="53"/>
      <c r="GQ747" s="53"/>
      <c r="GR747" s="53"/>
      <c r="GS747" s="53"/>
      <c r="GT747" s="53"/>
      <c r="GU747" s="53"/>
      <c r="GV747" s="53"/>
      <c r="GW747" s="53"/>
      <c r="GX747" s="53"/>
      <c r="GY747" s="53"/>
      <c r="GZ747" s="53"/>
      <c r="HA747" s="53"/>
      <c r="HB747" s="53"/>
      <c r="HC747" s="53"/>
      <c r="HD747" s="53"/>
      <c r="HE747" s="53"/>
      <c r="HF747" s="53"/>
      <c r="HG747" s="53"/>
      <c r="HH747" s="53"/>
      <c r="HI747" s="53"/>
      <c r="HJ747" s="53"/>
      <c r="HK747" s="53"/>
      <c r="HL747" s="53"/>
      <c r="HM747" s="53"/>
      <c r="HN747" s="53"/>
      <c r="HO747" s="53"/>
      <c r="HP747" s="53"/>
      <c r="HQ747" s="53"/>
      <c r="HR747" s="53"/>
      <c r="HS747" s="53"/>
      <c r="HT747" s="53"/>
      <c r="HU747" s="53"/>
      <c r="HV747" s="53"/>
      <c r="HW747" s="53"/>
      <c r="HX747" s="53"/>
      <c r="HY747" s="53"/>
      <c r="HZ747" s="53"/>
      <c r="IA747" s="53"/>
    </row>
    <row r="748" spans="1:235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4"/>
      <c r="O748" s="104"/>
      <c r="P748" s="104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  <c r="GB748" s="53"/>
      <c r="GC748" s="53"/>
      <c r="GD748" s="53"/>
      <c r="GE748" s="53"/>
      <c r="GF748" s="53"/>
      <c r="GG748" s="53"/>
      <c r="GH748" s="53"/>
      <c r="GI748" s="53"/>
      <c r="GJ748" s="53"/>
      <c r="GK748" s="53"/>
      <c r="GL748" s="53"/>
      <c r="GM748" s="53"/>
      <c r="GN748" s="53"/>
      <c r="GO748" s="53"/>
      <c r="GP748" s="53"/>
      <c r="GQ748" s="53"/>
      <c r="GR748" s="53"/>
      <c r="GS748" s="53"/>
      <c r="GT748" s="53"/>
      <c r="GU748" s="53"/>
      <c r="GV748" s="53"/>
      <c r="GW748" s="53"/>
      <c r="GX748" s="53"/>
      <c r="GY748" s="53"/>
      <c r="GZ748" s="53"/>
      <c r="HA748" s="53"/>
      <c r="HB748" s="53"/>
      <c r="HC748" s="53"/>
      <c r="HD748" s="53"/>
      <c r="HE748" s="53"/>
      <c r="HF748" s="53"/>
      <c r="HG748" s="53"/>
      <c r="HH748" s="53"/>
      <c r="HI748" s="53"/>
      <c r="HJ748" s="53"/>
      <c r="HK748" s="53"/>
      <c r="HL748" s="53"/>
      <c r="HM748" s="53"/>
      <c r="HN748" s="53"/>
      <c r="HO748" s="53"/>
      <c r="HP748" s="53"/>
      <c r="HQ748" s="53"/>
      <c r="HR748" s="53"/>
      <c r="HS748" s="53"/>
      <c r="HT748" s="53"/>
      <c r="HU748" s="53"/>
      <c r="HV748" s="53"/>
      <c r="HW748" s="53"/>
      <c r="HX748" s="53"/>
      <c r="HY748" s="53"/>
      <c r="HZ748" s="53"/>
      <c r="IA748" s="53"/>
    </row>
    <row r="749" spans="1:235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4"/>
      <c r="O749" s="104"/>
      <c r="P749" s="104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  <c r="GB749" s="53"/>
      <c r="GC749" s="53"/>
      <c r="GD749" s="53"/>
      <c r="GE749" s="53"/>
      <c r="GF749" s="53"/>
      <c r="GG749" s="53"/>
      <c r="GH749" s="53"/>
      <c r="GI749" s="53"/>
      <c r="GJ749" s="53"/>
      <c r="GK749" s="53"/>
      <c r="GL749" s="53"/>
      <c r="GM749" s="53"/>
      <c r="GN749" s="53"/>
      <c r="GO749" s="53"/>
      <c r="GP749" s="53"/>
      <c r="GQ749" s="53"/>
      <c r="GR749" s="53"/>
      <c r="GS749" s="53"/>
      <c r="GT749" s="53"/>
      <c r="GU749" s="53"/>
      <c r="GV749" s="53"/>
      <c r="GW749" s="53"/>
      <c r="GX749" s="53"/>
      <c r="GY749" s="53"/>
      <c r="GZ749" s="53"/>
      <c r="HA749" s="53"/>
      <c r="HB749" s="53"/>
      <c r="HC749" s="53"/>
      <c r="HD749" s="53"/>
      <c r="HE749" s="53"/>
      <c r="HF749" s="53"/>
      <c r="HG749" s="53"/>
      <c r="HH749" s="53"/>
      <c r="HI749" s="53"/>
      <c r="HJ749" s="53"/>
      <c r="HK749" s="53"/>
      <c r="HL749" s="53"/>
      <c r="HM749" s="53"/>
      <c r="HN749" s="53"/>
      <c r="HO749" s="53"/>
      <c r="HP749" s="53"/>
      <c r="HQ749" s="53"/>
      <c r="HR749" s="53"/>
      <c r="HS749" s="53"/>
      <c r="HT749" s="53"/>
      <c r="HU749" s="53"/>
      <c r="HV749" s="53"/>
      <c r="HW749" s="53"/>
      <c r="HX749" s="53"/>
      <c r="HY749" s="53"/>
      <c r="HZ749" s="53"/>
      <c r="IA749" s="53"/>
    </row>
    <row r="750" spans="1:235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4"/>
      <c r="O750" s="104"/>
      <c r="P750" s="104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  <c r="GB750" s="53"/>
      <c r="GC750" s="53"/>
      <c r="GD750" s="53"/>
      <c r="GE750" s="53"/>
      <c r="GF750" s="53"/>
      <c r="GG750" s="53"/>
      <c r="GH750" s="53"/>
      <c r="GI750" s="53"/>
      <c r="GJ750" s="53"/>
      <c r="GK750" s="53"/>
      <c r="GL750" s="53"/>
      <c r="GM750" s="53"/>
      <c r="GN750" s="53"/>
      <c r="GO750" s="53"/>
      <c r="GP750" s="53"/>
      <c r="GQ750" s="53"/>
      <c r="GR750" s="53"/>
      <c r="GS750" s="53"/>
      <c r="GT750" s="53"/>
      <c r="GU750" s="53"/>
      <c r="GV750" s="53"/>
      <c r="GW750" s="53"/>
      <c r="GX750" s="53"/>
      <c r="GY750" s="53"/>
      <c r="GZ750" s="53"/>
      <c r="HA750" s="53"/>
      <c r="HB750" s="53"/>
      <c r="HC750" s="53"/>
      <c r="HD750" s="53"/>
      <c r="HE750" s="53"/>
      <c r="HF750" s="53"/>
      <c r="HG750" s="53"/>
      <c r="HH750" s="53"/>
      <c r="HI750" s="53"/>
      <c r="HJ750" s="53"/>
      <c r="HK750" s="53"/>
      <c r="HL750" s="53"/>
      <c r="HM750" s="53"/>
      <c r="HN750" s="53"/>
      <c r="HO750" s="53"/>
      <c r="HP750" s="53"/>
      <c r="HQ750" s="53"/>
      <c r="HR750" s="53"/>
      <c r="HS750" s="53"/>
      <c r="HT750" s="53"/>
      <c r="HU750" s="53"/>
      <c r="HV750" s="53"/>
      <c r="HW750" s="53"/>
      <c r="HX750" s="53"/>
      <c r="HY750" s="53"/>
      <c r="HZ750" s="53"/>
      <c r="IA750" s="53"/>
    </row>
    <row r="751" spans="1:235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4"/>
      <c r="O751" s="104"/>
      <c r="P751" s="104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  <c r="GB751" s="53"/>
      <c r="GC751" s="53"/>
      <c r="GD751" s="53"/>
      <c r="GE751" s="53"/>
      <c r="GF751" s="53"/>
      <c r="GG751" s="53"/>
      <c r="GH751" s="53"/>
      <c r="GI751" s="53"/>
      <c r="GJ751" s="53"/>
      <c r="GK751" s="53"/>
      <c r="GL751" s="53"/>
      <c r="GM751" s="53"/>
      <c r="GN751" s="53"/>
      <c r="GO751" s="53"/>
      <c r="GP751" s="53"/>
      <c r="GQ751" s="53"/>
      <c r="GR751" s="53"/>
      <c r="GS751" s="53"/>
      <c r="GT751" s="53"/>
      <c r="GU751" s="53"/>
      <c r="GV751" s="53"/>
      <c r="GW751" s="53"/>
      <c r="GX751" s="53"/>
      <c r="GY751" s="53"/>
      <c r="GZ751" s="53"/>
      <c r="HA751" s="53"/>
      <c r="HB751" s="53"/>
      <c r="HC751" s="53"/>
      <c r="HD751" s="53"/>
      <c r="HE751" s="53"/>
      <c r="HF751" s="53"/>
      <c r="HG751" s="53"/>
      <c r="HH751" s="53"/>
      <c r="HI751" s="53"/>
      <c r="HJ751" s="53"/>
      <c r="HK751" s="53"/>
      <c r="HL751" s="53"/>
      <c r="HM751" s="53"/>
      <c r="HN751" s="53"/>
      <c r="HO751" s="53"/>
      <c r="HP751" s="53"/>
      <c r="HQ751" s="53"/>
      <c r="HR751" s="53"/>
      <c r="HS751" s="53"/>
      <c r="HT751" s="53"/>
      <c r="HU751" s="53"/>
      <c r="HV751" s="53"/>
      <c r="HW751" s="53"/>
      <c r="HX751" s="53"/>
      <c r="HY751" s="53"/>
      <c r="HZ751" s="53"/>
      <c r="IA751" s="53"/>
    </row>
    <row r="752" spans="1:235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4"/>
      <c r="O752" s="104"/>
      <c r="P752" s="104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  <c r="GB752" s="53"/>
      <c r="GC752" s="53"/>
      <c r="GD752" s="53"/>
      <c r="GE752" s="53"/>
      <c r="GF752" s="53"/>
      <c r="GG752" s="53"/>
      <c r="GH752" s="53"/>
      <c r="GI752" s="53"/>
      <c r="GJ752" s="53"/>
      <c r="GK752" s="53"/>
      <c r="GL752" s="53"/>
      <c r="GM752" s="53"/>
      <c r="GN752" s="53"/>
      <c r="GO752" s="53"/>
      <c r="GP752" s="53"/>
      <c r="GQ752" s="53"/>
      <c r="GR752" s="53"/>
      <c r="GS752" s="53"/>
      <c r="GT752" s="53"/>
      <c r="GU752" s="53"/>
      <c r="GV752" s="53"/>
      <c r="GW752" s="53"/>
      <c r="GX752" s="53"/>
      <c r="GY752" s="53"/>
      <c r="GZ752" s="53"/>
      <c r="HA752" s="53"/>
      <c r="HB752" s="53"/>
      <c r="HC752" s="53"/>
      <c r="HD752" s="53"/>
      <c r="HE752" s="53"/>
      <c r="HF752" s="53"/>
      <c r="HG752" s="53"/>
      <c r="HH752" s="53"/>
      <c r="HI752" s="53"/>
      <c r="HJ752" s="53"/>
      <c r="HK752" s="53"/>
      <c r="HL752" s="53"/>
      <c r="HM752" s="53"/>
      <c r="HN752" s="53"/>
      <c r="HO752" s="53"/>
      <c r="HP752" s="53"/>
      <c r="HQ752" s="53"/>
      <c r="HR752" s="53"/>
      <c r="HS752" s="53"/>
      <c r="HT752" s="53"/>
      <c r="HU752" s="53"/>
      <c r="HV752" s="53"/>
      <c r="HW752" s="53"/>
      <c r="HX752" s="53"/>
      <c r="HY752" s="53"/>
      <c r="HZ752" s="53"/>
      <c r="IA752" s="53"/>
    </row>
    <row r="753" spans="1:235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4"/>
      <c r="O753" s="104"/>
      <c r="P753" s="104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  <c r="GB753" s="53"/>
      <c r="GC753" s="53"/>
      <c r="GD753" s="53"/>
      <c r="GE753" s="53"/>
      <c r="GF753" s="53"/>
      <c r="GG753" s="53"/>
      <c r="GH753" s="53"/>
      <c r="GI753" s="53"/>
      <c r="GJ753" s="53"/>
      <c r="GK753" s="53"/>
      <c r="GL753" s="53"/>
      <c r="GM753" s="53"/>
      <c r="GN753" s="53"/>
      <c r="GO753" s="53"/>
      <c r="GP753" s="53"/>
      <c r="GQ753" s="53"/>
      <c r="GR753" s="53"/>
      <c r="GS753" s="53"/>
      <c r="GT753" s="53"/>
      <c r="GU753" s="53"/>
      <c r="GV753" s="53"/>
      <c r="GW753" s="53"/>
      <c r="GX753" s="53"/>
      <c r="GY753" s="53"/>
      <c r="GZ753" s="53"/>
      <c r="HA753" s="53"/>
      <c r="HB753" s="53"/>
      <c r="HC753" s="53"/>
      <c r="HD753" s="53"/>
      <c r="HE753" s="53"/>
      <c r="HF753" s="53"/>
      <c r="HG753" s="53"/>
      <c r="HH753" s="53"/>
      <c r="HI753" s="53"/>
      <c r="HJ753" s="53"/>
      <c r="HK753" s="53"/>
      <c r="HL753" s="53"/>
      <c r="HM753" s="53"/>
      <c r="HN753" s="53"/>
      <c r="HO753" s="53"/>
      <c r="HP753" s="53"/>
      <c r="HQ753" s="53"/>
      <c r="HR753" s="53"/>
      <c r="HS753" s="53"/>
      <c r="HT753" s="53"/>
      <c r="HU753" s="53"/>
      <c r="HV753" s="53"/>
      <c r="HW753" s="53"/>
      <c r="HX753" s="53"/>
      <c r="HY753" s="53"/>
      <c r="HZ753" s="53"/>
      <c r="IA753" s="53"/>
    </row>
    <row r="754" spans="1:235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4"/>
      <c r="O754" s="104"/>
      <c r="P754" s="104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  <c r="GB754" s="53"/>
      <c r="GC754" s="53"/>
      <c r="GD754" s="53"/>
      <c r="GE754" s="53"/>
      <c r="GF754" s="53"/>
      <c r="GG754" s="53"/>
      <c r="GH754" s="53"/>
      <c r="GI754" s="53"/>
      <c r="GJ754" s="53"/>
      <c r="GK754" s="53"/>
      <c r="GL754" s="53"/>
      <c r="GM754" s="53"/>
      <c r="GN754" s="53"/>
      <c r="GO754" s="53"/>
      <c r="GP754" s="53"/>
      <c r="GQ754" s="53"/>
      <c r="GR754" s="53"/>
      <c r="GS754" s="53"/>
      <c r="GT754" s="53"/>
      <c r="GU754" s="53"/>
      <c r="GV754" s="53"/>
      <c r="GW754" s="53"/>
      <c r="GX754" s="53"/>
      <c r="GY754" s="53"/>
      <c r="GZ754" s="53"/>
      <c r="HA754" s="53"/>
      <c r="HB754" s="53"/>
      <c r="HC754" s="53"/>
      <c r="HD754" s="53"/>
      <c r="HE754" s="53"/>
      <c r="HF754" s="53"/>
      <c r="HG754" s="53"/>
      <c r="HH754" s="53"/>
      <c r="HI754" s="53"/>
      <c r="HJ754" s="53"/>
      <c r="HK754" s="53"/>
      <c r="HL754" s="53"/>
      <c r="HM754" s="53"/>
      <c r="HN754" s="53"/>
      <c r="HO754" s="53"/>
      <c r="HP754" s="53"/>
      <c r="HQ754" s="53"/>
      <c r="HR754" s="53"/>
      <c r="HS754" s="53"/>
      <c r="HT754" s="53"/>
      <c r="HU754" s="53"/>
      <c r="HV754" s="53"/>
      <c r="HW754" s="53"/>
      <c r="HX754" s="53"/>
      <c r="HY754" s="53"/>
      <c r="HZ754" s="53"/>
      <c r="IA754" s="53"/>
    </row>
    <row r="755" spans="1:235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4"/>
      <c r="O755" s="104"/>
      <c r="P755" s="104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  <c r="GB755" s="53"/>
      <c r="GC755" s="53"/>
      <c r="GD755" s="53"/>
      <c r="GE755" s="53"/>
      <c r="GF755" s="53"/>
      <c r="GG755" s="53"/>
      <c r="GH755" s="53"/>
      <c r="GI755" s="53"/>
      <c r="GJ755" s="53"/>
      <c r="GK755" s="53"/>
      <c r="GL755" s="53"/>
      <c r="GM755" s="53"/>
      <c r="GN755" s="53"/>
      <c r="GO755" s="53"/>
      <c r="GP755" s="53"/>
      <c r="GQ755" s="53"/>
      <c r="GR755" s="53"/>
      <c r="GS755" s="53"/>
      <c r="GT755" s="53"/>
      <c r="GU755" s="53"/>
      <c r="GV755" s="53"/>
      <c r="GW755" s="53"/>
      <c r="GX755" s="53"/>
      <c r="GY755" s="53"/>
      <c r="GZ755" s="53"/>
      <c r="HA755" s="53"/>
      <c r="HB755" s="53"/>
      <c r="HC755" s="53"/>
      <c r="HD755" s="53"/>
      <c r="HE755" s="53"/>
      <c r="HF755" s="53"/>
      <c r="HG755" s="53"/>
      <c r="HH755" s="53"/>
      <c r="HI755" s="53"/>
      <c r="HJ755" s="53"/>
      <c r="HK755" s="53"/>
      <c r="HL755" s="53"/>
      <c r="HM755" s="53"/>
      <c r="HN755" s="53"/>
      <c r="HO755" s="53"/>
      <c r="HP755" s="53"/>
      <c r="HQ755" s="53"/>
      <c r="HR755" s="53"/>
      <c r="HS755" s="53"/>
      <c r="HT755" s="53"/>
      <c r="HU755" s="53"/>
      <c r="HV755" s="53"/>
      <c r="HW755" s="53"/>
      <c r="HX755" s="53"/>
      <c r="HY755" s="53"/>
      <c r="HZ755" s="53"/>
      <c r="IA755" s="53"/>
    </row>
    <row r="756" spans="1:235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4"/>
      <c r="O756" s="104"/>
      <c r="P756" s="104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  <c r="GB756" s="53"/>
      <c r="GC756" s="53"/>
      <c r="GD756" s="53"/>
      <c r="GE756" s="53"/>
      <c r="GF756" s="53"/>
      <c r="GG756" s="53"/>
      <c r="GH756" s="53"/>
      <c r="GI756" s="53"/>
      <c r="GJ756" s="53"/>
      <c r="GK756" s="53"/>
      <c r="GL756" s="53"/>
      <c r="GM756" s="53"/>
      <c r="GN756" s="53"/>
      <c r="GO756" s="53"/>
      <c r="GP756" s="53"/>
      <c r="GQ756" s="53"/>
      <c r="GR756" s="53"/>
      <c r="GS756" s="53"/>
      <c r="GT756" s="53"/>
      <c r="GU756" s="53"/>
      <c r="GV756" s="53"/>
      <c r="GW756" s="53"/>
      <c r="GX756" s="53"/>
      <c r="GY756" s="53"/>
      <c r="GZ756" s="53"/>
      <c r="HA756" s="53"/>
      <c r="HB756" s="53"/>
      <c r="HC756" s="53"/>
      <c r="HD756" s="53"/>
      <c r="HE756" s="53"/>
      <c r="HF756" s="53"/>
      <c r="HG756" s="53"/>
      <c r="HH756" s="53"/>
      <c r="HI756" s="53"/>
      <c r="HJ756" s="53"/>
      <c r="HK756" s="53"/>
      <c r="HL756" s="53"/>
      <c r="HM756" s="53"/>
      <c r="HN756" s="53"/>
      <c r="HO756" s="53"/>
      <c r="HP756" s="53"/>
      <c r="HQ756" s="53"/>
      <c r="HR756" s="53"/>
      <c r="HS756" s="53"/>
      <c r="HT756" s="53"/>
      <c r="HU756" s="53"/>
      <c r="HV756" s="53"/>
      <c r="HW756" s="53"/>
      <c r="HX756" s="53"/>
      <c r="HY756" s="53"/>
      <c r="HZ756" s="53"/>
      <c r="IA756" s="53"/>
    </row>
    <row r="757" spans="1:235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4"/>
      <c r="O757" s="104"/>
      <c r="P757" s="104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  <c r="GB757" s="53"/>
      <c r="GC757" s="53"/>
      <c r="GD757" s="53"/>
      <c r="GE757" s="53"/>
      <c r="GF757" s="53"/>
      <c r="GG757" s="53"/>
      <c r="GH757" s="53"/>
      <c r="GI757" s="53"/>
      <c r="GJ757" s="53"/>
      <c r="GK757" s="53"/>
      <c r="GL757" s="53"/>
      <c r="GM757" s="53"/>
      <c r="GN757" s="53"/>
      <c r="GO757" s="53"/>
      <c r="GP757" s="53"/>
      <c r="GQ757" s="53"/>
      <c r="GR757" s="53"/>
      <c r="GS757" s="53"/>
      <c r="GT757" s="53"/>
      <c r="GU757" s="53"/>
      <c r="GV757" s="53"/>
      <c r="GW757" s="53"/>
      <c r="GX757" s="53"/>
      <c r="GY757" s="53"/>
      <c r="GZ757" s="53"/>
      <c r="HA757" s="53"/>
      <c r="HB757" s="53"/>
      <c r="HC757" s="53"/>
      <c r="HD757" s="53"/>
      <c r="HE757" s="53"/>
      <c r="HF757" s="53"/>
      <c r="HG757" s="53"/>
      <c r="HH757" s="53"/>
      <c r="HI757" s="53"/>
      <c r="HJ757" s="53"/>
      <c r="HK757" s="53"/>
      <c r="HL757" s="53"/>
      <c r="HM757" s="53"/>
      <c r="HN757" s="53"/>
      <c r="HO757" s="53"/>
      <c r="HP757" s="53"/>
      <c r="HQ757" s="53"/>
      <c r="HR757" s="53"/>
      <c r="HS757" s="53"/>
      <c r="HT757" s="53"/>
      <c r="HU757" s="53"/>
      <c r="HV757" s="53"/>
      <c r="HW757" s="53"/>
      <c r="HX757" s="53"/>
      <c r="HY757" s="53"/>
      <c r="HZ757" s="53"/>
      <c r="IA757" s="53"/>
    </row>
    <row r="758" spans="1:235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4"/>
      <c r="O758" s="104"/>
      <c r="P758" s="104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  <c r="GB758" s="53"/>
      <c r="GC758" s="53"/>
      <c r="GD758" s="53"/>
      <c r="GE758" s="53"/>
      <c r="GF758" s="53"/>
      <c r="GG758" s="53"/>
      <c r="GH758" s="53"/>
      <c r="GI758" s="53"/>
      <c r="GJ758" s="53"/>
      <c r="GK758" s="53"/>
      <c r="GL758" s="53"/>
      <c r="GM758" s="53"/>
      <c r="GN758" s="53"/>
      <c r="GO758" s="53"/>
      <c r="GP758" s="53"/>
      <c r="GQ758" s="53"/>
      <c r="GR758" s="53"/>
      <c r="GS758" s="53"/>
      <c r="GT758" s="53"/>
      <c r="GU758" s="53"/>
      <c r="GV758" s="53"/>
      <c r="GW758" s="53"/>
      <c r="GX758" s="53"/>
      <c r="GY758" s="53"/>
      <c r="GZ758" s="53"/>
      <c r="HA758" s="53"/>
      <c r="HB758" s="53"/>
      <c r="HC758" s="53"/>
      <c r="HD758" s="53"/>
      <c r="HE758" s="53"/>
      <c r="HF758" s="53"/>
      <c r="HG758" s="53"/>
      <c r="HH758" s="53"/>
      <c r="HI758" s="53"/>
      <c r="HJ758" s="53"/>
      <c r="HK758" s="53"/>
      <c r="HL758" s="53"/>
      <c r="HM758" s="53"/>
      <c r="HN758" s="53"/>
      <c r="HO758" s="53"/>
      <c r="HP758" s="53"/>
      <c r="HQ758" s="53"/>
      <c r="HR758" s="53"/>
      <c r="HS758" s="53"/>
      <c r="HT758" s="53"/>
      <c r="HU758" s="53"/>
      <c r="HV758" s="53"/>
      <c r="HW758" s="53"/>
      <c r="HX758" s="53"/>
      <c r="HY758" s="53"/>
      <c r="HZ758" s="53"/>
      <c r="IA758" s="53"/>
    </row>
    <row r="759" spans="1:235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4"/>
      <c r="O759" s="104"/>
      <c r="P759" s="104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  <c r="BZ759" s="53"/>
      <c r="CA759" s="53"/>
      <c r="CB759" s="53"/>
      <c r="CC759" s="53"/>
      <c r="CD759" s="53"/>
      <c r="CE759" s="53"/>
      <c r="CF759" s="53"/>
      <c r="CG759" s="53"/>
      <c r="CH759" s="53"/>
      <c r="CI759" s="53"/>
      <c r="CJ759" s="53"/>
      <c r="CK759" s="53"/>
      <c r="CL759" s="53"/>
      <c r="CM759" s="53"/>
      <c r="CN759" s="53"/>
      <c r="CO759" s="53"/>
      <c r="CP759" s="53"/>
      <c r="CQ759" s="53"/>
      <c r="CR759" s="53"/>
      <c r="CS759" s="53"/>
      <c r="CT759" s="53"/>
      <c r="CU759" s="53"/>
      <c r="CV759" s="53"/>
      <c r="CW759" s="53"/>
      <c r="CX759" s="53"/>
      <c r="CY759" s="53"/>
      <c r="CZ759" s="53"/>
      <c r="DA759" s="53"/>
      <c r="DB759" s="53"/>
      <c r="DC759" s="53"/>
      <c r="DD759" s="53"/>
      <c r="DE759" s="53"/>
      <c r="DF759" s="53"/>
      <c r="DG759" s="53"/>
      <c r="DH759" s="53"/>
      <c r="DI759" s="53"/>
      <c r="DJ759" s="53"/>
      <c r="DK759" s="53"/>
      <c r="DL759" s="53"/>
      <c r="DM759" s="53"/>
      <c r="DN759" s="53"/>
      <c r="DO759" s="53"/>
      <c r="DP759" s="53"/>
      <c r="DQ759" s="53"/>
      <c r="DR759" s="53"/>
      <c r="DS759" s="53"/>
      <c r="DT759" s="53"/>
      <c r="DU759" s="53"/>
      <c r="DV759" s="53"/>
      <c r="DW759" s="53"/>
      <c r="DX759" s="53"/>
      <c r="DY759" s="53"/>
      <c r="DZ759" s="53"/>
      <c r="EA759" s="53"/>
      <c r="EB759" s="53"/>
      <c r="EC759" s="53"/>
      <c r="ED759" s="53"/>
      <c r="EE759" s="53"/>
      <c r="EF759" s="53"/>
      <c r="EG759" s="53"/>
      <c r="EH759" s="53"/>
      <c r="EI759" s="53"/>
      <c r="EJ759" s="53"/>
      <c r="EK759" s="53"/>
      <c r="EL759" s="53"/>
      <c r="EM759" s="53"/>
      <c r="EN759" s="53"/>
      <c r="EO759" s="53"/>
      <c r="EP759" s="53"/>
      <c r="EQ759" s="53"/>
      <c r="ER759" s="53"/>
      <c r="ES759" s="53"/>
      <c r="ET759" s="53"/>
      <c r="EU759" s="53"/>
      <c r="EV759" s="53"/>
      <c r="EW759" s="53"/>
      <c r="EX759" s="53"/>
      <c r="EY759" s="53"/>
      <c r="EZ759" s="53"/>
      <c r="FA759" s="53"/>
      <c r="FB759" s="53"/>
      <c r="FC759" s="53"/>
      <c r="FD759" s="53"/>
      <c r="FE759" s="53"/>
      <c r="FF759" s="53"/>
      <c r="FG759" s="53"/>
      <c r="FH759" s="53"/>
      <c r="FI759" s="53"/>
      <c r="FJ759" s="53"/>
      <c r="FK759" s="53"/>
      <c r="FL759" s="53"/>
      <c r="FM759" s="53"/>
      <c r="FN759" s="53"/>
      <c r="FO759" s="53"/>
      <c r="FP759" s="53"/>
      <c r="FQ759" s="53"/>
      <c r="FR759" s="53"/>
      <c r="FS759" s="53"/>
      <c r="FT759" s="53"/>
      <c r="FU759" s="53"/>
      <c r="FV759" s="53"/>
      <c r="FW759" s="53"/>
      <c r="FX759" s="53"/>
      <c r="FY759" s="53"/>
      <c r="FZ759" s="53"/>
      <c r="GA759" s="53"/>
      <c r="GB759" s="53"/>
      <c r="GC759" s="53"/>
      <c r="GD759" s="53"/>
      <c r="GE759" s="53"/>
      <c r="GF759" s="53"/>
      <c r="GG759" s="53"/>
      <c r="GH759" s="53"/>
      <c r="GI759" s="53"/>
      <c r="GJ759" s="53"/>
      <c r="GK759" s="53"/>
      <c r="GL759" s="53"/>
      <c r="GM759" s="53"/>
      <c r="GN759" s="53"/>
      <c r="GO759" s="53"/>
      <c r="GP759" s="53"/>
      <c r="GQ759" s="53"/>
      <c r="GR759" s="53"/>
      <c r="GS759" s="53"/>
      <c r="GT759" s="53"/>
      <c r="GU759" s="53"/>
      <c r="GV759" s="53"/>
      <c r="GW759" s="53"/>
      <c r="GX759" s="53"/>
      <c r="GY759" s="53"/>
      <c r="GZ759" s="53"/>
      <c r="HA759" s="53"/>
      <c r="HB759" s="53"/>
      <c r="HC759" s="53"/>
      <c r="HD759" s="53"/>
      <c r="HE759" s="53"/>
      <c r="HF759" s="53"/>
      <c r="HG759" s="53"/>
      <c r="HH759" s="53"/>
      <c r="HI759" s="53"/>
      <c r="HJ759" s="53"/>
      <c r="HK759" s="53"/>
      <c r="HL759" s="53"/>
      <c r="HM759" s="53"/>
      <c r="HN759" s="53"/>
      <c r="HO759" s="53"/>
      <c r="HP759" s="53"/>
      <c r="HQ759" s="53"/>
      <c r="HR759" s="53"/>
      <c r="HS759" s="53"/>
      <c r="HT759" s="53"/>
      <c r="HU759" s="53"/>
      <c r="HV759" s="53"/>
      <c r="HW759" s="53"/>
      <c r="HX759" s="53"/>
      <c r="HY759" s="53"/>
      <c r="HZ759" s="53"/>
      <c r="IA759" s="53"/>
    </row>
    <row r="760" spans="1:235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4"/>
      <c r="O760" s="104"/>
      <c r="P760" s="104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  <c r="CZ760" s="53"/>
      <c r="DA760" s="53"/>
      <c r="DB760" s="53"/>
      <c r="DC760" s="53"/>
      <c r="DD760" s="53"/>
      <c r="DE760" s="53"/>
      <c r="DF760" s="53"/>
      <c r="DG760" s="53"/>
      <c r="DH760" s="53"/>
      <c r="DI760" s="53"/>
      <c r="DJ760" s="53"/>
      <c r="DK760" s="53"/>
      <c r="DL760" s="53"/>
      <c r="DM760" s="53"/>
      <c r="DN760" s="53"/>
      <c r="DO760" s="53"/>
      <c r="DP760" s="53"/>
      <c r="DQ760" s="53"/>
      <c r="DR760" s="53"/>
      <c r="DS760" s="53"/>
      <c r="DT760" s="53"/>
      <c r="DU760" s="53"/>
      <c r="DV760" s="53"/>
      <c r="DW760" s="53"/>
      <c r="DX760" s="53"/>
      <c r="DY760" s="53"/>
      <c r="DZ760" s="53"/>
      <c r="EA760" s="53"/>
      <c r="EB760" s="53"/>
      <c r="EC760" s="53"/>
      <c r="ED760" s="53"/>
      <c r="EE760" s="53"/>
      <c r="EF760" s="53"/>
      <c r="EG760" s="53"/>
      <c r="EH760" s="53"/>
      <c r="EI760" s="53"/>
      <c r="EJ760" s="53"/>
      <c r="EK760" s="53"/>
      <c r="EL760" s="53"/>
      <c r="EM760" s="53"/>
      <c r="EN760" s="53"/>
      <c r="EO760" s="53"/>
      <c r="EP760" s="53"/>
      <c r="EQ760" s="53"/>
      <c r="ER760" s="53"/>
      <c r="ES760" s="53"/>
      <c r="ET760" s="53"/>
      <c r="EU760" s="53"/>
      <c r="EV760" s="53"/>
      <c r="EW760" s="53"/>
      <c r="EX760" s="53"/>
      <c r="EY760" s="53"/>
      <c r="EZ760" s="53"/>
      <c r="FA760" s="53"/>
      <c r="FB760" s="53"/>
      <c r="FC760" s="53"/>
      <c r="FD760" s="53"/>
      <c r="FE760" s="53"/>
      <c r="FF760" s="53"/>
      <c r="FG760" s="53"/>
      <c r="FH760" s="53"/>
      <c r="FI760" s="53"/>
      <c r="FJ760" s="53"/>
      <c r="FK760" s="53"/>
      <c r="FL760" s="53"/>
      <c r="FM760" s="53"/>
      <c r="FN760" s="53"/>
      <c r="FO760" s="53"/>
      <c r="FP760" s="53"/>
      <c r="FQ760" s="53"/>
      <c r="FR760" s="53"/>
      <c r="FS760" s="53"/>
      <c r="FT760" s="53"/>
      <c r="FU760" s="53"/>
      <c r="FV760" s="53"/>
      <c r="FW760" s="53"/>
      <c r="FX760" s="53"/>
      <c r="FY760" s="53"/>
      <c r="FZ760" s="53"/>
      <c r="GA760" s="53"/>
      <c r="GB760" s="53"/>
      <c r="GC760" s="53"/>
      <c r="GD760" s="53"/>
      <c r="GE760" s="53"/>
      <c r="GF760" s="53"/>
      <c r="GG760" s="53"/>
      <c r="GH760" s="53"/>
      <c r="GI760" s="53"/>
      <c r="GJ760" s="53"/>
      <c r="GK760" s="53"/>
      <c r="GL760" s="53"/>
      <c r="GM760" s="53"/>
      <c r="GN760" s="53"/>
      <c r="GO760" s="53"/>
      <c r="GP760" s="53"/>
      <c r="GQ760" s="53"/>
      <c r="GR760" s="53"/>
      <c r="GS760" s="53"/>
      <c r="GT760" s="53"/>
      <c r="GU760" s="53"/>
      <c r="GV760" s="53"/>
      <c r="GW760" s="53"/>
      <c r="GX760" s="53"/>
      <c r="GY760" s="53"/>
      <c r="GZ760" s="53"/>
      <c r="HA760" s="53"/>
      <c r="HB760" s="53"/>
      <c r="HC760" s="53"/>
      <c r="HD760" s="53"/>
      <c r="HE760" s="53"/>
      <c r="HF760" s="53"/>
      <c r="HG760" s="53"/>
      <c r="HH760" s="53"/>
      <c r="HI760" s="53"/>
      <c r="HJ760" s="53"/>
      <c r="HK760" s="53"/>
      <c r="HL760" s="53"/>
      <c r="HM760" s="53"/>
      <c r="HN760" s="53"/>
      <c r="HO760" s="53"/>
      <c r="HP760" s="53"/>
      <c r="HQ760" s="53"/>
      <c r="HR760" s="53"/>
      <c r="HS760" s="53"/>
      <c r="HT760" s="53"/>
      <c r="HU760" s="53"/>
      <c r="HV760" s="53"/>
      <c r="HW760" s="53"/>
      <c r="HX760" s="53"/>
      <c r="HY760" s="53"/>
      <c r="HZ760" s="53"/>
      <c r="IA760" s="53"/>
    </row>
    <row r="761" spans="1:235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4"/>
      <c r="O761" s="104"/>
      <c r="P761" s="104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  <c r="CZ761" s="53"/>
      <c r="DA761" s="53"/>
      <c r="DB761" s="53"/>
      <c r="DC761" s="53"/>
      <c r="DD761" s="53"/>
      <c r="DE761" s="53"/>
      <c r="DF761" s="53"/>
      <c r="DG761" s="53"/>
      <c r="DH761" s="53"/>
      <c r="DI761" s="53"/>
      <c r="DJ761" s="53"/>
      <c r="DK761" s="53"/>
      <c r="DL761" s="53"/>
      <c r="DM761" s="53"/>
      <c r="DN761" s="53"/>
      <c r="DO761" s="53"/>
      <c r="DP761" s="53"/>
      <c r="DQ761" s="53"/>
      <c r="DR761" s="53"/>
      <c r="DS761" s="53"/>
      <c r="DT761" s="53"/>
      <c r="DU761" s="53"/>
      <c r="DV761" s="53"/>
      <c r="DW761" s="53"/>
      <c r="DX761" s="53"/>
      <c r="DY761" s="53"/>
      <c r="DZ761" s="53"/>
      <c r="EA761" s="53"/>
      <c r="EB761" s="53"/>
      <c r="EC761" s="53"/>
      <c r="ED761" s="53"/>
      <c r="EE761" s="53"/>
      <c r="EF761" s="53"/>
      <c r="EG761" s="53"/>
      <c r="EH761" s="53"/>
      <c r="EI761" s="53"/>
      <c r="EJ761" s="53"/>
      <c r="EK761" s="53"/>
      <c r="EL761" s="53"/>
      <c r="EM761" s="53"/>
      <c r="EN761" s="53"/>
      <c r="EO761" s="53"/>
      <c r="EP761" s="53"/>
      <c r="EQ761" s="53"/>
      <c r="ER761" s="53"/>
      <c r="ES761" s="53"/>
      <c r="ET761" s="53"/>
      <c r="EU761" s="53"/>
      <c r="EV761" s="53"/>
      <c r="EW761" s="53"/>
      <c r="EX761" s="53"/>
      <c r="EY761" s="53"/>
      <c r="EZ761" s="53"/>
      <c r="FA761" s="53"/>
      <c r="FB761" s="53"/>
      <c r="FC761" s="53"/>
      <c r="FD761" s="53"/>
      <c r="FE761" s="53"/>
      <c r="FF761" s="53"/>
      <c r="FG761" s="53"/>
      <c r="FH761" s="53"/>
      <c r="FI761" s="53"/>
      <c r="FJ761" s="53"/>
      <c r="FK761" s="53"/>
      <c r="FL761" s="53"/>
      <c r="FM761" s="53"/>
      <c r="FN761" s="53"/>
      <c r="FO761" s="53"/>
      <c r="FP761" s="53"/>
      <c r="FQ761" s="53"/>
      <c r="FR761" s="53"/>
      <c r="FS761" s="53"/>
      <c r="FT761" s="53"/>
      <c r="FU761" s="53"/>
      <c r="FV761" s="53"/>
      <c r="FW761" s="53"/>
      <c r="FX761" s="53"/>
      <c r="FY761" s="53"/>
      <c r="FZ761" s="53"/>
      <c r="GA761" s="53"/>
      <c r="GB761" s="53"/>
      <c r="GC761" s="53"/>
      <c r="GD761" s="53"/>
      <c r="GE761" s="53"/>
      <c r="GF761" s="53"/>
      <c r="GG761" s="53"/>
      <c r="GH761" s="53"/>
      <c r="GI761" s="53"/>
      <c r="GJ761" s="53"/>
      <c r="GK761" s="53"/>
      <c r="GL761" s="53"/>
      <c r="GM761" s="53"/>
      <c r="GN761" s="53"/>
      <c r="GO761" s="53"/>
      <c r="GP761" s="53"/>
      <c r="GQ761" s="53"/>
      <c r="GR761" s="53"/>
      <c r="GS761" s="53"/>
      <c r="GT761" s="53"/>
      <c r="GU761" s="53"/>
      <c r="GV761" s="53"/>
      <c r="GW761" s="53"/>
      <c r="GX761" s="53"/>
      <c r="GY761" s="53"/>
      <c r="GZ761" s="53"/>
      <c r="HA761" s="53"/>
      <c r="HB761" s="53"/>
      <c r="HC761" s="53"/>
      <c r="HD761" s="53"/>
      <c r="HE761" s="53"/>
      <c r="HF761" s="53"/>
      <c r="HG761" s="53"/>
      <c r="HH761" s="53"/>
      <c r="HI761" s="53"/>
      <c r="HJ761" s="53"/>
      <c r="HK761" s="53"/>
      <c r="HL761" s="53"/>
      <c r="HM761" s="53"/>
      <c r="HN761" s="53"/>
      <c r="HO761" s="53"/>
      <c r="HP761" s="53"/>
      <c r="HQ761" s="53"/>
      <c r="HR761" s="53"/>
      <c r="HS761" s="53"/>
      <c r="HT761" s="53"/>
      <c r="HU761" s="53"/>
      <c r="HV761" s="53"/>
      <c r="HW761" s="53"/>
      <c r="HX761" s="53"/>
      <c r="HY761" s="53"/>
      <c r="HZ761" s="53"/>
      <c r="IA761" s="53"/>
    </row>
    <row r="762" spans="1:235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4"/>
      <c r="O762" s="104"/>
      <c r="P762" s="104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  <c r="CZ762" s="53"/>
      <c r="DA762" s="53"/>
      <c r="DB762" s="53"/>
      <c r="DC762" s="53"/>
      <c r="DD762" s="53"/>
      <c r="DE762" s="53"/>
      <c r="DF762" s="53"/>
      <c r="DG762" s="53"/>
      <c r="DH762" s="53"/>
      <c r="DI762" s="53"/>
      <c r="DJ762" s="53"/>
      <c r="DK762" s="53"/>
      <c r="DL762" s="53"/>
      <c r="DM762" s="53"/>
      <c r="DN762" s="53"/>
      <c r="DO762" s="53"/>
      <c r="DP762" s="53"/>
      <c r="DQ762" s="53"/>
      <c r="DR762" s="53"/>
      <c r="DS762" s="53"/>
      <c r="DT762" s="53"/>
      <c r="DU762" s="53"/>
      <c r="DV762" s="53"/>
      <c r="DW762" s="53"/>
      <c r="DX762" s="53"/>
      <c r="DY762" s="53"/>
      <c r="DZ762" s="53"/>
      <c r="EA762" s="53"/>
      <c r="EB762" s="53"/>
      <c r="EC762" s="53"/>
      <c r="ED762" s="53"/>
      <c r="EE762" s="53"/>
      <c r="EF762" s="53"/>
      <c r="EG762" s="53"/>
      <c r="EH762" s="53"/>
      <c r="EI762" s="53"/>
      <c r="EJ762" s="53"/>
      <c r="EK762" s="53"/>
      <c r="EL762" s="53"/>
      <c r="EM762" s="53"/>
      <c r="EN762" s="53"/>
      <c r="EO762" s="53"/>
      <c r="EP762" s="53"/>
      <c r="EQ762" s="53"/>
      <c r="ER762" s="53"/>
      <c r="ES762" s="53"/>
      <c r="ET762" s="53"/>
      <c r="EU762" s="53"/>
      <c r="EV762" s="53"/>
      <c r="EW762" s="53"/>
      <c r="EX762" s="53"/>
      <c r="EY762" s="53"/>
      <c r="EZ762" s="53"/>
      <c r="FA762" s="53"/>
      <c r="FB762" s="53"/>
      <c r="FC762" s="53"/>
      <c r="FD762" s="53"/>
      <c r="FE762" s="53"/>
      <c r="FF762" s="53"/>
      <c r="FG762" s="53"/>
      <c r="FH762" s="53"/>
      <c r="FI762" s="53"/>
      <c r="FJ762" s="53"/>
      <c r="FK762" s="53"/>
      <c r="FL762" s="53"/>
      <c r="FM762" s="53"/>
      <c r="FN762" s="53"/>
      <c r="FO762" s="53"/>
      <c r="FP762" s="53"/>
      <c r="FQ762" s="53"/>
      <c r="FR762" s="53"/>
      <c r="FS762" s="53"/>
      <c r="FT762" s="53"/>
      <c r="FU762" s="53"/>
      <c r="FV762" s="53"/>
      <c r="FW762" s="53"/>
      <c r="FX762" s="53"/>
      <c r="FY762" s="53"/>
      <c r="FZ762" s="53"/>
      <c r="GA762" s="53"/>
      <c r="GB762" s="53"/>
      <c r="GC762" s="53"/>
      <c r="GD762" s="53"/>
      <c r="GE762" s="53"/>
      <c r="GF762" s="53"/>
      <c r="GG762" s="53"/>
      <c r="GH762" s="53"/>
      <c r="GI762" s="53"/>
      <c r="GJ762" s="53"/>
      <c r="GK762" s="53"/>
      <c r="GL762" s="53"/>
      <c r="GM762" s="53"/>
      <c r="GN762" s="53"/>
      <c r="GO762" s="53"/>
      <c r="GP762" s="53"/>
      <c r="GQ762" s="53"/>
      <c r="GR762" s="53"/>
      <c r="GS762" s="53"/>
      <c r="GT762" s="53"/>
      <c r="GU762" s="53"/>
      <c r="GV762" s="53"/>
      <c r="GW762" s="53"/>
      <c r="GX762" s="53"/>
      <c r="GY762" s="53"/>
      <c r="GZ762" s="53"/>
      <c r="HA762" s="53"/>
      <c r="HB762" s="53"/>
      <c r="HC762" s="53"/>
      <c r="HD762" s="53"/>
      <c r="HE762" s="53"/>
      <c r="HF762" s="53"/>
      <c r="HG762" s="53"/>
      <c r="HH762" s="53"/>
      <c r="HI762" s="53"/>
      <c r="HJ762" s="53"/>
      <c r="HK762" s="53"/>
      <c r="HL762" s="53"/>
      <c r="HM762" s="53"/>
      <c r="HN762" s="53"/>
      <c r="HO762" s="53"/>
      <c r="HP762" s="53"/>
      <c r="HQ762" s="53"/>
      <c r="HR762" s="53"/>
      <c r="HS762" s="53"/>
      <c r="HT762" s="53"/>
      <c r="HU762" s="53"/>
      <c r="HV762" s="53"/>
      <c r="HW762" s="53"/>
      <c r="HX762" s="53"/>
      <c r="HY762" s="53"/>
      <c r="HZ762" s="53"/>
      <c r="IA762" s="53"/>
    </row>
    <row r="763" spans="1:235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4"/>
      <c r="O763" s="104"/>
      <c r="P763" s="104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  <c r="CZ763" s="53"/>
      <c r="DA763" s="53"/>
      <c r="DB763" s="53"/>
      <c r="DC763" s="53"/>
      <c r="DD763" s="53"/>
      <c r="DE763" s="53"/>
      <c r="DF763" s="53"/>
      <c r="DG763" s="53"/>
      <c r="DH763" s="53"/>
      <c r="DI763" s="53"/>
      <c r="DJ763" s="53"/>
      <c r="DK763" s="53"/>
      <c r="DL763" s="53"/>
      <c r="DM763" s="53"/>
      <c r="DN763" s="53"/>
      <c r="DO763" s="53"/>
      <c r="DP763" s="53"/>
      <c r="DQ763" s="53"/>
      <c r="DR763" s="53"/>
      <c r="DS763" s="53"/>
      <c r="DT763" s="53"/>
      <c r="DU763" s="53"/>
      <c r="DV763" s="53"/>
      <c r="DW763" s="53"/>
      <c r="DX763" s="53"/>
      <c r="DY763" s="53"/>
      <c r="DZ763" s="53"/>
      <c r="EA763" s="53"/>
      <c r="EB763" s="53"/>
      <c r="EC763" s="53"/>
      <c r="ED763" s="53"/>
      <c r="EE763" s="53"/>
      <c r="EF763" s="53"/>
      <c r="EG763" s="53"/>
      <c r="EH763" s="53"/>
      <c r="EI763" s="53"/>
      <c r="EJ763" s="53"/>
      <c r="EK763" s="53"/>
      <c r="EL763" s="53"/>
      <c r="EM763" s="53"/>
      <c r="EN763" s="53"/>
      <c r="EO763" s="53"/>
      <c r="EP763" s="53"/>
      <c r="EQ763" s="53"/>
      <c r="ER763" s="53"/>
      <c r="ES763" s="53"/>
      <c r="ET763" s="53"/>
      <c r="EU763" s="53"/>
      <c r="EV763" s="53"/>
      <c r="EW763" s="53"/>
      <c r="EX763" s="53"/>
      <c r="EY763" s="53"/>
      <c r="EZ763" s="53"/>
      <c r="FA763" s="53"/>
      <c r="FB763" s="53"/>
      <c r="FC763" s="53"/>
      <c r="FD763" s="53"/>
      <c r="FE763" s="53"/>
      <c r="FF763" s="53"/>
      <c r="FG763" s="53"/>
      <c r="FH763" s="53"/>
      <c r="FI763" s="53"/>
      <c r="FJ763" s="53"/>
      <c r="FK763" s="53"/>
      <c r="FL763" s="53"/>
      <c r="FM763" s="53"/>
      <c r="FN763" s="53"/>
      <c r="FO763" s="53"/>
      <c r="FP763" s="53"/>
      <c r="FQ763" s="53"/>
      <c r="FR763" s="53"/>
      <c r="FS763" s="53"/>
      <c r="FT763" s="53"/>
      <c r="FU763" s="53"/>
      <c r="FV763" s="53"/>
      <c r="FW763" s="53"/>
      <c r="FX763" s="53"/>
      <c r="FY763" s="53"/>
      <c r="FZ763" s="53"/>
      <c r="GA763" s="53"/>
      <c r="GB763" s="53"/>
      <c r="GC763" s="53"/>
      <c r="GD763" s="53"/>
      <c r="GE763" s="53"/>
      <c r="GF763" s="53"/>
      <c r="GG763" s="53"/>
      <c r="GH763" s="53"/>
      <c r="GI763" s="53"/>
      <c r="GJ763" s="53"/>
      <c r="GK763" s="53"/>
      <c r="GL763" s="53"/>
      <c r="GM763" s="53"/>
      <c r="GN763" s="53"/>
      <c r="GO763" s="53"/>
      <c r="GP763" s="53"/>
      <c r="GQ763" s="53"/>
      <c r="GR763" s="53"/>
      <c r="GS763" s="53"/>
      <c r="GT763" s="53"/>
      <c r="GU763" s="53"/>
      <c r="GV763" s="53"/>
      <c r="GW763" s="53"/>
      <c r="GX763" s="53"/>
      <c r="GY763" s="53"/>
      <c r="GZ763" s="53"/>
      <c r="HA763" s="53"/>
      <c r="HB763" s="53"/>
      <c r="HC763" s="53"/>
      <c r="HD763" s="53"/>
      <c r="HE763" s="53"/>
      <c r="HF763" s="53"/>
      <c r="HG763" s="53"/>
      <c r="HH763" s="53"/>
      <c r="HI763" s="53"/>
      <c r="HJ763" s="53"/>
      <c r="HK763" s="53"/>
      <c r="HL763" s="53"/>
      <c r="HM763" s="53"/>
      <c r="HN763" s="53"/>
      <c r="HO763" s="53"/>
      <c r="HP763" s="53"/>
      <c r="HQ763" s="53"/>
      <c r="HR763" s="53"/>
      <c r="HS763" s="53"/>
      <c r="HT763" s="53"/>
      <c r="HU763" s="53"/>
      <c r="HV763" s="53"/>
      <c r="HW763" s="53"/>
      <c r="HX763" s="53"/>
      <c r="HY763" s="53"/>
      <c r="HZ763" s="53"/>
      <c r="IA763" s="53"/>
    </row>
    <row r="764" spans="1:235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4"/>
      <c r="O764" s="104"/>
      <c r="P764" s="104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  <c r="CZ764" s="53"/>
      <c r="DA764" s="53"/>
      <c r="DB764" s="53"/>
      <c r="DC764" s="53"/>
      <c r="DD764" s="53"/>
      <c r="DE764" s="53"/>
      <c r="DF764" s="53"/>
      <c r="DG764" s="53"/>
      <c r="DH764" s="53"/>
      <c r="DI764" s="53"/>
      <c r="DJ764" s="53"/>
      <c r="DK764" s="53"/>
      <c r="DL764" s="53"/>
      <c r="DM764" s="53"/>
      <c r="DN764" s="53"/>
      <c r="DO764" s="53"/>
      <c r="DP764" s="53"/>
      <c r="DQ764" s="53"/>
      <c r="DR764" s="53"/>
      <c r="DS764" s="53"/>
      <c r="DT764" s="53"/>
      <c r="DU764" s="53"/>
      <c r="DV764" s="53"/>
      <c r="DW764" s="53"/>
      <c r="DX764" s="53"/>
      <c r="DY764" s="53"/>
      <c r="DZ764" s="53"/>
      <c r="EA764" s="53"/>
      <c r="EB764" s="53"/>
      <c r="EC764" s="53"/>
      <c r="ED764" s="53"/>
      <c r="EE764" s="53"/>
      <c r="EF764" s="53"/>
      <c r="EG764" s="53"/>
      <c r="EH764" s="53"/>
      <c r="EI764" s="53"/>
      <c r="EJ764" s="53"/>
      <c r="EK764" s="53"/>
      <c r="EL764" s="53"/>
      <c r="EM764" s="53"/>
      <c r="EN764" s="53"/>
      <c r="EO764" s="53"/>
      <c r="EP764" s="53"/>
      <c r="EQ764" s="53"/>
      <c r="ER764" s="53"/>
      <c r="ES764" s="53"/>
      <c r="ET764" s="53"/>
      <c r="EU764" s="53"/>
      <c r="EV764" s="53"/>
      <c r="EW764" s="53"/>
      <c r="EX764" s="53"/>
      <c r="EY764" s="53"/>
      <c r="EZ764" s="53"/>
      <c r="FA764" s="53"/>
      <c r="FB764" s="53"/>
      <c r="FC764" s="53"/>
      <c r="FD764" s="53"/>
      <c r="FE764" s="53"/>
      <c r="FF764" s="53"/>
      <c r="FG764" s="53"/>
      <c r="FH764" s="53"/>
      <c r="FI764" s="53"/>
      <c r="FJ764" s="53"/>
      <c r="FK764" s="53"/>
      <c r="FL764" s="53"/>
      <c r="FM764" s="53"/>
      <c r="FN764" s="53"/>
      <c r="FO764" s="53"/>
      <c r="FP764" s="53"/>
      <c r="FQ764" s="53"/>
      <c r="FR764" s="53"/>
      <c r="FS764" s="53"/>
      <c r="FT764" s="53"/>
      <c r="FU764" s="53"/>
      <c r="FV764" s="53"/>
      <c r="FW764" s="53"/>
      <c r="FX764" s="53"/>
      <c r="FY764" s="53"/>
      <c r="FZ764" s="53"/>
      <c r="GA764" s="53"/>
      <c r="GB764" s="53"/>
      <c r="GC764" s="53"/>
      <c r="GD764" s="53"/>
      <c r="GE764" s="53"/>
      <c r="GF764" s="53"/>
      <c r="GG764" s="53"/>
      <c r="GH764" s="53"/>
      <c r="GI764" s="53"/>
      <c r="GJ764" s="53"/>
      <c r="GK764" s="53"/>
      <c r="GL764" s="53"/>
      <c r="GM764" s="53"/>
      <c r="GN764" s="53"/>
      <c r="GO764" s="53"/>
      <c r="GP764" s="53"/>
      <c r="GQ764" s="53"/>
      <c r="GR764" s="53"/>
      <c r="GS764" s="53"/>
      <c r="GT764" s="53"/>
      <c r="GU764" s="53"/>
      <c r="GV764" s="53"/>
      <c r="GW764" s="53"/>
      <c r="GX764" s="53"/>
      <c r="GY764" s="53"/>
      <c r="GZ764" s="53"/>
      <c r="HA764" s="53"/>
      <c r="HB764" s="53"/>
      <c r="HC764" s="53"/>
      <c r="HD764" s="53"/>
      <c r="HE764" s="53"/>
      <c r="HF764" s="53"/>
      <c r="HG764" s="53"/>
      <c r="HH764" s="53"/>
      <c r="HI764" s="53"/>
      <c r="HJ764" s="53"/>
      <c r="HK764" s="53"/>
      <c r="HL764" s="53"/>
      <c r="HM764" s="53"/>
      <c r="HN764" s="53"/>
      <c r="HO764" s="53"/>
      <c r="HP764" s="53"/>
      <c r="HQ764" s="53"/>
      <c r="HR764" s="53"/>
      <c r="HS764" s="53"/>
      <c r="HT764" s="53"/>
      <c r="HU764" s="53"/>
      <c r="HV764" s="53"/>
      <c r="HW764" s="53"/>
      <c r="HX764" s="53"/>
      <c r="HY764" s="53"/>
      <c r="HZ764" s="53"/>
      <c r="IA764" s="53"/>
    </row>
    <row r="765" spans="1:235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4"/>
      <c r="O765" s="104"/>
      <c r="P765" s="104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  <c r="CZ765" s="53"/>
      <c r="DA765" s="53"/>
      <c r="DB765" s="53"/>
      <c r="DC765" s="53"/>
      <c r="DD765" s="53"/>
      <c r="DE765" s="53"/>
      <c r="DF765" s="53"/>
      <c r="DG765" s="53"/>
      <c r="DH765" s="53"/>
      <c r="DI765" s="53"/>
      <c r="DJ765" s="53"/>
      <c r="DK765" s="53"/>
      <c r="DL765" s="53"/>
      <c r="DM765" s="53"/>
      <c r="DN765" s="53"/>
      <c r="DO765" s="53"/>
      <c r="DP765" s="53"/>
      <c r="DQ765" s="53"/>
      <c r="DR765" s="53"/>
      <c r="DS765" s="53"/>
      <c r="DT765" s="53"/>
      <c r="DU765" s="53"/>
      <c r="DV765" s="53"/>
      <c r="DW765" s="53"/>
      <c r="DX765" s="53"/>
      <c r="DY765" s="53"/>
      <c r="DZ765" s="53"/>
      <c r="EA765" s="53"/>
      <c r="EB765" s="53"/>
      <c r="EC765" s="53"/>
      <c r="ED765" s="53"/>
      <c r="EE765" s="53"/>
      <c r="EF765" s="53"/>
      <c r="EG765" s="53"/>
      <c r="EH765" s="53"/>
      <c r="EI765" s="53"/>
      <c r="EJ765" s="53"/>
      <c r="EK765" s="53"/>
      <c r="EL765" s="53"/>
      <c r="EM765" s="53"/>
      <c r="EN765" s="53"/>
      <c r="EO765" s="53"/>
      <c r="EP765" s="53"/>
      <c r="EQ765" s="53"/>
      <c r="ER765" s="53"/>
      <c r="ES765" s="53"/>
      <c r="ET765" s="53"/>
      <c r="EU765" s="53"/>
      <c r="EV765" s="53"/>
      <c r="EW765" s="53"/>
      <c r="EX765" s="53"/>
      <c r="EY765" s="53"/>
      <c r="EZ765" s="53"/>
      <c r="FA765" s="53"/>
      <c r="FB765" s="53"/>
      <c r="FC765" s="53"/>
      <c r="FD765" s="53"/>
      <c r="FE765" s="53"/>
      <c r="FF765" s="53"/>
      <c r="FG765" s="53"/>
      <c r="FH765" s="53"/>
      <c r="FI765" s="53"/>
      <c r="FJ765" s="53"/>
      <c r="FK765" s="53"/>
      <c r="FL765" s="53"/>
      <c r="FM765" s="53"/>
      <c r="FN765" s="53"/>
      <c r="FO765" s="53"/>
      <c r="FP765" s="53"/>
      <c r="FQ765" s="53"/>
      <c r="FR765" s="53"/>
      <c r="FS765" s="53"/>
      <c r="FT765" s="53"/>
      <c r="FU765" s="53"/>
      <c r="FV765" s="53"/>
      <c r="FW765" s="53"/>
      <c r="FX765" s="53"/>
      <c r="FY765" s="53"/>
      <c r="FZ765" s="53"/>
      <c r="GA765" s="53"/>
      <c r="GB765" s="53"/>
      <c r="GC765" s="53"/>
      <c r="GD765" s="53"/>
      <c r="GE765" s="53"/>
      <c r="GF765" s="53"/>
      <c r="GG765" s="53"/>
      <c r="GH765" s="53"/>
      <c r="GI765" s="53"/>
      <c r="GJ765" s="53"/>
      <c r="GK765" s="53"/>
      <c r="GL765" s="53"/>
      <c r="GM765" s="53"/>
      <c r="GN765" s="53"/>
      <c r="GO765" s="53"/>
      <c r="GP765" s="53"/>
      <c r="GQ765" s="53"/>
      <c r="GR765" s="53"/>
      <c r="GS765" s="53"/>
      <c r="GT765" s="53"/>
      <c r="GU765" s="53"/>
      <c r="GV765" s="53"/>
      <c r="GW765" s="53"/>
      <c r="GX765" s="53"/>
      <c r="GY765" s="53"/>
      <c r="GZ765" s="53"/>
      <c r="HA765" s="53"/>
      <c r="HB765" s="53"/>
      <c r="HC765" s="53"/>
      <c r="HD765" s="53"/>
      <c r="HE765" s="53"/>
      <c r="HF765" s="53"/>
      <c r="HG765" s="53"/>
      <c r="HH765" s="53"/>
      <c r="HI765" s="53"/>
      <c r="HJ765" s="53"/>
      <c r="HK765" s="53"/>
      <c r="HL765" s="53"/>
      <c r="HM765" s="53"/>
      <c r="HN765" s="53"/>
      <c r="HO765" s="53"/>
      <c r="HP765" s="53"/>
      <c r="HQ765" s="53"/>
      <c r="HR765" s="53"/>
      <c r="HS765" s="53"/>
      <c r="HT765" s="53"/>
      <c r="HU765" s="53"/>
      <c r="HV765" s="53"/>
      <c r="HW765" s="53"/>
      <c r="HX765" s="53"/>
      <c r="HY765" s="53"/>
      <c r="HZ765" s="53"/>
      <c r="IA765" s="53"/>
    </row>
    <row r="766" spans="1:235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4"/>
      <c r="O766" s="104"/>
      <c r="P766" s="104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  <c r="CZ766" s="53"/>
      <c r="DA766" s="53"/>
      <c r="DB766" s="53"/>
      <c r="DC766" s="53"/>
      <c r="DD766" s="53"/>
      <c r="DE766" s="53"/>
      <c r="DF766" s="53"/>
      <c r="DG766" s="53"/>
      <c r="DH766" s="53"/>
      <c r="DI766" s="53"/>
      <c r="DJ766" s="53"/>
      <c r="DK766" s="53"/>
      <c r="DL766" s="53"/>
      <c r="DM766" s="53"/>
      <c r="DN766" s="53"/>
      <c r="DO766" s="53"/>
      <c r="DP766" s="53"/>
      <c r="DQ766" s="53"/>
      <c r="DR766" s="53"/>
      <c r="DS766" s="53"/>
      <c r="DT766" s="53"/>
      <c r="DU766" s="53"/>
      <c r="DV766" s="53"/>
      <c r="DW766" s="53"/>
      <c r="DX766" s="53"/>
      <c r="DY766" s="53"/>
      <c r="DZ766" s="53"/>
      <c r="EA766" s="53"/>
      <c r="EB766" s="53"/>
      <c r="EC766" s="53"/>
      <c r="ED766" s="53"/>
      <c r="EE766" s="53"/>
      <c r="EF766" s="53"/>
      <c r="EG766" s="53"/>
      <c r="EH766" s="53"/>
      <c r="EI766" s="53"/>
      <c r="EJ766" s="53"/>
      <c r="EK766" s="53"/>
      <c r="EL766" s="53"/>
      <c r="EM766" s="53"/>
      <c r="EN766" s="53"/>
      <c r="EO766" s="53"/>
      <c r="EP766" s="53"/>
      <c r="EQ766" s="53"/>
      <c r="ER766" s="53"/>
      <c r="ES766" s="53"/>
      <c r="ET766" s="53"/>
      <c r="EU766" s="53"/>
      <c r="EV766" s="53"/>
      <c r="EW766" s="53"/>
      <c r="EX766" s="53"/>
      <c r="EY766" s="53"/>
      <c r="EZ766" s="53"/>
      <c r="FA766" s="53"/>
      <c r="FB766" s="53"/>
      <c r="FC766" s="53"/>
      <c r="FD766" s="53"/>
      <c r="FE766" s="53"/>
      <c r="FF766" s="53"/>
      <c r="FG766" s="53"/>
      <c r="FH766" s="53"/>
      <c r="FI766" s="53"/>
      <c r="FJ766" s="53"/>
      <c r="FK766" s="53"/>
      <c r="FL766" s="53"/>
      <c r="FM766" s="53"/>
      <c r="FN766" s="53"/>
      <c r="FO766" s="53"/>
      <c r="FP766" s="53"/>
      <c r="FQ766" s="53"/>
      <c r="FR766" s="53"/>
      <c r="FS766" s="53"/>
      <c r="FT766" s="53"/>
      <c r="FU766" s="53"/>
      <c r="FV766" s="53"/>
      <c r="FW766" s="53"/>
      <c r="FX766" s="53"/>
      <c r="FY766" s="53"/>
      <c r="FZ766" s="53"/>
      <c r="GA766" s="53"/>
      <c r="GB766" s="53"/>
      <c r="GC766" s="53"/>
      <c r="GD766" s="53"/>
      <c r="GE766" s="53"/>
      <c r="GF766" s="53"/>
      <c r="GG766" s="53"/>
      <c r="GH766" s="53"/>
      <c r="GI766" s="53"/>
      <c r="GJ766" s="53"/>
      <c r="GK766" s="53"/>
      <c r="GL766" s="53"/>
      <c r="GM766" s="53"/>
      <c r="GN766" s="53"/>
      <c r="GO766" s="53"/>
      <c r="GP766" s="53"/>
      <c r="GQ766" s="53"/>
      <c r="GR766" s="53"/>
      <c r="GS766" s="53"/>
      <c r="GT766" s="53"/>
      <c r="GU766" s="53"/>
      <c r="GV766" s="53"/>
      <c r="GW766" s="53"/>
      <c r="GX766" s="53"/>
      <c r="GY766" s="53"/>
      <c r="GZ766" s="53"/>
      <c r="HA766" s="53"/>
      <c r="HB766" s="53"/>
      <c r="HC766" s="53"/>
      <c r="HD766" s="53"/>
      <c r="HE766" s="53"/>
      <c r="HF766" s="53"/>
      <c r="HG766" s="53"/>
      <c r="HH766" s="53"/>
      <c r="HI766" s="53"/>
      <c r="HJ766" s="53"/>
      <c r="HK766" s="53"/>
      <c r="HL766" s="53"/>
      <c r="HM766" s="53"/>
      <c r="HN766" s="53"/>
      <c r="HO766" s="53"/>
      <c r="HP766" s="53"/>
      <c r="HQ766" s="53"/>
      <c r="HR766" s="53"/>
      <c r="HS766" s="53"/>
      <c r="HT766" s="53"/>
      <c r="HU766" s="53"/>
      <c r="HV766" s="53"/>
      <c r="HW766" s="53"/>
      <c r="HX766" s="53"/>
      <c r="HY766" s="53"/>
      <c r="HZ766" s="53"/>
      <c r="IA766" s="53"/>
    </row>
    <row r="767" spans="1:235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4"/>
      <c r="O767" s="104"/>
      <c r="P767" s="104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  <c r="CZ767" s="53"/>
      <c r="DA767" s="53"/>
      <c r="DB767" s="53"/>
      <c r="DC767" s="53"/>
      <c r="DD767" s="53"/>
      <c r="DE767" s="53"/>
      <c r="DF767" s="53"/>
      <c r="DG767" s="53"/>
      <c r="DH767" s="53"/>
      <c r="DI767" s="53"/>
      <c r="DJ767" s="53"/>
      <c r="DK767" s="53"/>
      <c r="DL767" s="53"/>
      <c r="DM767" s="53"/>
      <c r="DN767" s="53"/>
      <c r="DO767" s="53"/>
      <c r="DP767" s="53"/>
      <c r="DQ767" s="53"/>
      <c r="DR767" s="53"/>
      <c r="DS767" s="53"/>
      <c r="DT767" s="53"/>
      <c r="DU767" s="53"/>
      <c r="DV767" s="53"/>
      <c r="DW767" s="53"/>
      <c r="DX767" s="53"/>
      <c r="DY767" s="53"/>
      <c r="DZ767" s="53"/>
      <c r="EA767" s="53"/>
      <c r="EB767" s="53"/>
      <c r="EC767" s="53"/>
      <c r="ED767" s="53"/>
      <c r="EE767" s="53"/>
      <c r="EF767" s="53"/>
      <c r="EG767" s="53"/>
      <c r="EH767" s="53"/>
      <c r="EI767" s="53"/>
      <c r="EJ767" s="53"/>
      <c r="EK767" s="53"/>
      <c r="EL767" s="53"/>
      <c r="EM767" s="53"/>
      <c r="EN767" s="53"/>
      <c r="EO767" s="53"/>
      <c r="EP767" s="53"/>
      <c r="EQ767" s="53"/>
      <c r="ER767" s="53"/>
      <c r="ES767" s="53"/>
      <c r="ET767" s="53"/>
      <c r="EU767" s="53"/>
      <c r="EV767" s="53"/>
      <c r="EW767" s="53"/>
      <c r="EX767" s="53"/>
      <c r="EY767" s="53"/>
      <c r="EZ767" s="53"/>
      <c r="FA767" s="53"/>
      <c r="FB767" s="53"/>
      <c r="FC767" s="53"/>
      <c r="FD767" s="53"/>
      <c r="FE767" s="53"/>
      <c r="FF767" s="53"/>
      <c r="FG767" s="53"/>
      <c r="FH767" s="53"/>
      <c r="FI767" s="53"/>
      <c r="FJ767" s="53"/>
      <c r="FK767" s="53"/>
      <c r="FL767" s="53"/>
      <c r="FM767" s="53"/>
      <c r="FN767" s="53"/>
      <c r="FO767" s="53"/>
      <c r="FP767" s="53"/>
      <c r="FQ767" s="53"/>
      <c r="FR767" s="53"/>
      <c r="FS767" s="53"/>
      <c r="FT767" s="53"/>
      <c r="FU767" s="53"/>
      <c r="FV767" s="53"/>
      <c r="FW767" s="53"/>
      <c r="FX767" s="53"/>
      <c r="FY767" s="53"/>
      <c r="FZ767" s="53"/>
      <c r="GA767" s="53"/>
      <c r="GB767" s="53"/>
      <c r="GC767" s="53"/>
      <c r="GD767" s="53"/>
      <c r="GE767" s="53"/>
      <c r="GF767" s="53"/>
      <c r="GG767" s="53"/>
      <c r="GH767" s="53"/>
      <c r="GI767" s="53"/>
      <c r="GJ767" s="53"/>
      <c r="GK767" s="53"/>
      <c r="GL767" s="53"/>
      <c r="GM767" s="53"/>
      <c r="GN767" s="53"/>
      <c r="GO767" s="53"/>
      <c r="GP767" s="53"/>
      <c r="GQ767" s="53"/>
      <c r="GR767" s="53"/>
      <c r="GS767" s="53"/>
      <c r="GT767" s="53"/>
      <c r="GU767" s="53"/>
      <c r="GV767" s="53"/>
      <c r="GW767" s="53"/>
      <c r="GX767" s="53"/>
      <c r="GY767" s="53"/>
      <c r="GZ767" s="53"/>
      <c r="HA767" s="53"/>
      <c r="HB767" s="53"/>
      <c r="HC767" s="53"/>
      <c r="HD767" s="53"/>
      <c r="HE767" s="53"/>
      <c r="HF767" s="53"/>
      <c r="HG767" s="53"/>
      <c r="HH767" s="53"/>
      <c r="HI767" s="53"/>
      <c r="HJ767" s="53"/>
      <c r="HK767" s="53"/>
      <c r="HL767" s="53"/>
      <c r="HM767" s="53"/>
      <c r="HN767" s="53"/>
      <c r="HO767" s="53"/>
      <c r="HP767" s="53"/>
      <c r="HQ767" s="53"/>
      <c r="HR767" s="53"/>
      <c r="HS767" s="53"/>
      <c r="HT767" s="53"/>
      <c r="HU767" s="53"/>
      <c r="HV767" s="53"/>
      <c r="HW767" s="53"/>
      <c r="HX767" s="53"/>
      <c r="HY767" s="53"/>
      <c r="HZ767" s="53"/>
      <c r="IA767" s="53"/>
    </row>
    <row r="768" spans="1:235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4"/>
      <c r="O768" s="104"/>
      <c r="P768" s="104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  <c r="CZ768" s="53"/>
      <c r="DA768" s="53"/>
      <c r="DB768" s="53"/>
      <c r="DC768" s="53"/>
      <c r="DD768" s="53"/>
      <c r="DE768" s="53"/>
      <c r="DF768" s="53"/>
      <c r="DG768" s="53"/>
      <c r="DH768" s="53"/>
      <c r="DI768" s="53"/>
      <c r="DJ768" s="53"/>
      <c r="DK768" s="53"/>
      <c r="DL768" s="53"/>
      <c r="DM768" s="53"/>
      <c r="DN768" s="53"/>
      <c r="DO768" s="53"/>
      <c r="DP768" s="53"/>
      <c r="DQ768" s="53"/>
      <c r="DR768" s="53"/>
      <c r="DS768" s="53"/>
      <c r="DT768" s="53"/>
      <c r="DU768" s="53"/>
      <c r="DV768" s="53"/>
      <c r="DW768" s="53"/>
      <c r="DX768" s="53"/>
      <c r="DY768" s="53"/>
      <c r="DZ768" s="53"/>
      <c r="EA768" s="53"/>
      <c r="EB768" s="53"/>
      <c r="EC768" s="53"/>
      <c r="ED768" s="53"/>
      <c r="EE768" s="53"/>
      <c r="EF768" s="53"/>
      <c r="EG768" s="53"/>
      <c r="EH768" s="53"/>
      <c r="EI768" s="53"/>
      <c r="EJ768" s="53"/>
      <c r="EK768" s="53"/>
      <c r="EL768" s="53"/>
      <c r="EM768" s="53"/>
      <c r="EN768" s="53"/>
      <c r="EO768" s="53"/>
      <c r="EP768" s="53"/>
      <c r="EQ768" s="53"/>
      <c r="ER768" s="53"/>
      <c r="ES768" s="53"/>
      <c r="ET768" s="53"/>
      <c r="EU768" s="53"/>
      <c r="EV768" s="53"/>
      <c r="EW768" s="53"/>
      <c r="EX768" s="53"/>
      <c r="EY768" s="53"/>
      <c r="EZ768" s="53"/>
      <c r="FA768" s="53"/>
      <c r="FB768" s="53"/>
      <c r="FC768" s="53"/>
      <c r="FD768" s="53"/>
      <c r="FE768" s="53"/>
      <c r="FF768" s="53"/>
      <c r="FG768" s="53"/>
      <c r="FH768" s="53"/>
      <c r="FI768" s="53"/>
      <c r="FJ768" s="53"/>
      <c r="FK768" s="53"/>
      <c r="FL768" s="53"/>
      <c r="FM768" s="53"/>
      <c r="FN768" s="53"/>
      <c r="FO768" s="53"/>
      <c r="FP768" s="53"/>
      <c r="FQ768" s="53"/>
      <c r="FR768" s="53"/>
      <c r="FS768" s="53"/>
      <c r="FT768" s="53"/>
      <c r="FU768" s="53"/>
      <c r="FV768" s="53"/>
      <c r="FW768" s="53"/>
      <c r="FX768" s="53"/>
      <c r="FY768" s="53"/>
      <c r="FZ768" s="53"/>
      <c r="GA768" s="53"/>
      <c r="GB768" s="53"/>
      <c r="GC768" s="53"/>
      <c r="GD768" s="53"/>
      <c r="GE768" s="53"/>
      <c r="GF768" s="53"/>
      <c r="GG768" s="53"/>
      <c r="GH768" s="53"/>
      <c r="GI768" s="53"/>
      <c r="GJ768" s="53"/>
      <c r="GK768" s="53"/>
      <c r="GL768" s="53"/>
      <c r="GM768" s="53"/>
      <c r="GN768" s="53"/>
      <c r="GO768" s="53"/>
      <c r="GP768" s="53"/>
      <c r="GQ768" s="53"/>
      <c r="GR768" s="53"/>
      <c r="GS768" s="53"/>
      <c r="GT768" s="53"/>
      <c r="GU768" s="53"/>
      <c r="GV768" s="53"/>
      <c r="GW768" s="53"/>
      <c r="GX768" s="53"/>
      <c r="GY768" s="53"/>
      <c r="GZ768" s="53"/>
      <c r="HA768" s="53"/>
      <c r="HB768" s="53"/>
      <c r="HC768" s="53"/>
      <c r="HD768" s="53"/>
      <c r="HE768" s="53"/>
      <c r="HF768" s="53"/>
      <c r="HG768" s="53"/>
      <c r="HH768" s="53"/>
      <c r="HI768" s="53"/>
      <c r="HJ768" s="53"/>
      <c r="HK768" s="53"/>
      <c r="HL768" s="53"/>
      <c r="HM768" s="53"/>
      <c r="HN768" s="53"/>
      <c r="HO768" s="53"/>
      <c r="HP768" s="53"/>
      <c r="HQ768" s="53"/>
      <c r="HR768" s="53"/>
      <c r="HS768" s="53"/>
      <c r="HT768" s="53"/>
      <c r="HU768" s="53"/>
      <c r="HV768" s="53"/>
      <c r="HW768" s="53"/>
      <c r="HX768" s="53"/>
      <c r="HY768" s="53"/>
      <c r="HZ768" s="53"/>
      <c r="IA768" s="53"/>
    </row>
    <row r="769" spans="1:235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4"/>
      <c r="O769" s="104"/>
      <c r="P769" s="104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  <c r="CZ769" s="53"/>
      <c r="DA769" s="53"/>
      <c r="DB769" s="53"/>
      <c r="DC769" s="53"/>
      <c r="DD769" s="53"/>
      <c r="DE769" s="53"/>
      <c r="DF769" s="53"/>
      <c r="DG769" s="53"/>
      <c r="DH769" s="53"/>
      <c r="DI769" s="53"/>
      <c r="DJ769" s="53"/>
      <c r="DK769" s="53"/>
      <c r="DL769" s="53"/>
      <c r="DM769" s="53"/>
      <c r="DN769" s="53"/>
      <c r="DO769" s="53"/>
      <c r="DP769" s="53"/>
      <c r="DQ769" s="53"/>
      <c r="DR769" s="53"/>
      <c r="DS769" s="53"/>
      <c r="DT769" s="53"/>
      <c r="DU769" s="53"/>
      <c r="DV769" s="53"/>
      <c r="DW769" s="53"/>
      <c r="DX769" s="53"/>
      <c r="DY769" s="53"/>
      <c r="DZ769" s="53"/>
      <c r="EA769" s="53"/>
      <c r="EB769" s="53"/>
      <c r="EC769" s="53"/>
      <c r="ED769" s="53"/>
      <c r="EE769" s="53"/>
      <c r="EF769" s="53"/>
      <c r="EG769" s="53"/>
      <c r="EH769" s="53"/>
      <c r="EI769" s="53"/>
      <c r="EJ769" s="53"/>
      <c r="EK769" s="53"/>
      <c r="EL769" s="53"/>
      <c r="EM769" s="53"/>
      <c r="EN769" s="53"/>
      <c r="EO769" s="53"/>
      <c r="EP769" s="53"/>
      <c r="EQ769" s="53"/>
      <c r="ER769" s="53"/>
      <c r="ES769" s="53"/>
      <c r="ET769" s="53"/>
      <c r="EU769" s="53"/>
      <c r="EV769" s="53"/>
      <c r="EW769" s="53"/>
      <c r="EX769" s="53"/>
      <c r="EY769" s="53"/>
      <c r="EZ769" s="53"/>
      <c r="FA769" s="53"/>
      <c r="FB769" s="53"/>
      <c r="FC769" s="53"/>
      <c r="FD769" s="53"/>
      <c r="FE769" s="53"/>
      <c r="FF769" s="53"/>
      <c r="FG769" s="53"/>
      <c r="FH769" s="53"/>
      <c r="FI769" s="53"/>
      <c r="FJ769" s="53"/>
      <c r="FK769" s="53"/>
      <c r="FL769" s="53"/>
      <c r="FM769" s="53"/>
      <c r="FN769" s="53"/>
      <c r="FO769" s="53"/>
      <c r="FP769" s="53"/>
      <c r="FQ769" s="53"/>
      <c r="FR769" s="53"/>
      <c r="FS769" s="53"/>
      <c r="FT769" s="53"/>
      <c r="FU769" s="53"/>
      <c r="FV769" s="53"/>
      <c r="FW769" s="53"/>
      <c r="FX769" s="53"/>
      <c r="FY769" s="53"/>
      <c r="FZ769" s="53"/>
      <c r="GA769" s="53"/>
      <c r="GB769" s="53"/>
      <c r="GC769" s="53"/>
      <c r="GD769" s="53"/>
      <c r="GE769" s="53"/>
      <c r="GF769" s="53"/>
      <c r="GG769" s="53"/>
      <c r="GH769" s="53"/>
      <c r="GI769" s="53"/>
      <c r="GJ769" s="53"/>
      <c r="GK769" s="53"/>
      <c r="GL769" s="53"/>
      <c r="GM769" s="53"/>
      <c r="GN769" s="53"/>
      <c r="GO769" s="53"/>
      <c r="GP769" s="53"/>
      <c r="GQ769" s="53"/>
      <c r="GR769" s="53"/>
      <c r="GS769" s="53"/>
      <c r="GT769" s="53"/>
      <c r="GU769" s="53"/>
      <c r="GV769" s="53"/>
      <c r="GW769" s="53"/>
      <c r="GX769" s="53"/>
      <c r="GY769" s="53"/>
      <c r="GZ769" s="53"/>
      <c r="HA769" s="53"/>
      <c r="HB769" s="53"/>
      <c r="HC769" s="53"/>
      <c r="HD769" s="53"/>
      <c r="HE769" s="53"/>
      <c r="HF769" s="53"/>
      <c r="HG769" s="53"/>
      <c r="HH769" s="53"/>
      <c r="HI769" s="53"/>
      <c r="HJ769" s="53"/>
      <c r="HK769" s="53"/>
      <c r="HL769" s="53"/>
      <c r="HM769" s="53"/>
      <c r="HN769" s="53"/>
      <c r="HO769" s="53"/>
      <c r="HP769" s="53"/>
      <c r="HQ769" s="53"/>
      <c r="HR769" s="53"/>
      <c r="HS769" s="53"/>
      <c r="HT769" s="53"/>
      <c r="HU769" s="53"/>
      <c r="HV769" s="53"/>
      <c r="HW769" s="53"/>
      <c r="HX769" s="53"/>
      <c r="HY769" s="53"/>
      <c r="HZ769" s="53"/>
      <c r="IA769" s="53"/>
    </row>
    <row r="770" spans="1:235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4"/>
      <c r="O770" s="104"/>
      <c r="P770" s="104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  <c r="CZ770" s="53"/>
      <c r="DA770" s="53"/>
      <c r="DB770" s="53"/>
      <c r="DC770" s="53"/>
      <c r="DD770" s="53"/>
      <c r="DE770" s="53"/>
      <c r="DF770" s="53"/>
      <c r="DG770" s="53"/>
      <c r="DH770" s="53"/>
      <c r="DI770" s="53"/>
      <c r="DJ770" s="53"/>
      <c r="DK770" s="53"/>
      <c r="DL770" s="53"/>
      <c r="DM770" s="53"/>
      <c r="DN770" s="53"/>
      <c r="DO770" s="53"/>
      <c r="DP770" s="53"/>
      <c r="DQ770" s="53"/>
      <c r="DR770" s="53"/>
      <c r="DS770" s="53"/>
      <c r="DT770" s="53"/>
      <c r="DU770" s="53"/>
      <c r="DV770" s="53"/>
      <c r="DW770" s="53"/>
      <c r="DX770" s="53"/>
      <c r="DY770" s="53"/>
      <c r="DZ770" s="53"/>
      <c r="EA770" s="53"/>
      <c r="EB770" s="53"/>
      <c r="EC770" s="53"/>
      <c r="ED770" s="53"/>
      <c r="EE770" s="53"/>
      <c r="EF770" s="53"/>
      <c r="EG770" s="53"/>
      <c r="EH770" s="53"/>
      <c r="EI770" s="53"/>
      <c r="EJ770" s="53"/>
      <c r="EK770" s="53"/>
      <c r="EL770" s="53"/>
      <c r="EM770" s="53"/>
      <c r="EN770" s="53"/>
      <c r="EO770" s="53"/>
      <c r="EP770" s="53"/>
      <c r="EQ770" s="53"/>
      <c r="ER770" s="53"/>
      <c r="ES770" s="53"/>
      <c r="ET770" s="53"/>
      <c r="EU770" s="53"/>
      <c r="EV770" s="53"/>
      <c r="EW770" s="53"/>
      <c r="EX770" s="53"/>
      <c r="EY770" s="53"/>
      <c r="EZ770" s="53"/>
      <c r="FA770" s="53"/>
      <c r="FB770" s="53"/>
      <c r="FC770" s="53"/>
      <c r="FD770" s="53"/>
      <c r="FE770" s="53"/>
      <c r="FF770" s="53"/>
      <c r="FG770" s="53"/>
      <c r="FH770" s="53"/>
      <c r="FI770" s="53"/>
      <c r="FJ770" s="53"/>
      <c r="FK770" s="53"/>
      <c r="FL770" s="53"/>
      <c r="FM770" s="53"/>
      <c r="FN770" s="53"/>
      <c r="FO770" s="53"/>
      <c r="FP770" s="53"/>
      <c r="FQ770" s="53"/>
      <c r="FR770" s="53"/>
      <c r="FS770" s="53"/>
      <c r="FT770" s="53"/>
      <c r="FU770" s="53"/>
      <c r="FV770" s="53"/>
      <c r="FW770" s="53"/>
      <c r="FX770" s="53"/>
      <c r="FY770" s="53"/>
      <c r="FZ770" s="53"/>
      <c r="GA770" s="53"/>
      <c r="GB770" s="53"/>
      <c r="GC770" s="53"/>
      <c r="GD770" s="53"/>
      <c r="GE770" s="53"/>
      <c r="GF770" s="53"/>
      <c r="GG770" s="53"/>
      <c r="GH770" s="53"/>
      <c r="GI770" s="53"/>
      <c r="GJ770" s="53"/>
      <c r="GK770" s="53"/>
      <c r="GL770" s="53"/>
      <c r="GM770" s="53"/>
      <c r="GN770" s="53"/>
      <c r="GO770" s="53"/>
      <c r="GP770" s="53"/>
      <c r="GQ770" s="53"/>
      <c r="GR770" s="53"/>
      <c r="GS770" s="53"/>
      <c r="GT770" s="53"/>
      <c r="GU770" s="53"/>
      <c r="GV770" s="53"/>
      <c r="GW770" s="53"/>
      <c r="GX770" s="53"/>
      <c r="GY770" s="53"/>
      <c r="GZ770" s="53"/>
      <c r="HA770" s="53"/>
      <c r="HB770" s="53"/>
      <c r="HC770" s="53"/>
      <c r="HD770" s="53"/>
      <c r="HE770" s="53"/>
      <c r="HF770" s="53"/>
      <c r="HG770" s="53"/>
      <c r="HH770" s="53"/>
      <c r="HI770" s="53"/>
      <c r="HJ770" s="53"/>
      <c r="HK770" s="53"/>
      <c r="HL770" s="53"/>
      <c r="HM770" s="53"/>
      <c r="HN770" s="53"/>
      <c r="HO770" s="53"/>
      <c r="HP770" s="53"/>
      <c r="HQ770" s="53"/>
      <c r="HR770" s="53"/>
      <c r="HS770" s="53"/>
      <c r="HT770" s="53"/>
      <c r="HU770" s="53"/>
      <c r="HV770" s="53"/>
      <c r="HW770" s="53"/>
      <c r="HX770" s="53"/>
      <c r="HY770" s="53"/>
      <c r="HZ770" s="53"/>
      <c r="IA770" s="53"/>
    </row>
    <row r="771" spans="1:235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4"/>
      <c r="O771" s="104"/>
      <c r="P771" s="104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  <c r="CZ771" s="53"/>
      <c r="DA771" s="53"/>
      <c r="DB771" s="53"/>
      <c r="DC771" s="53"/>
      <c r="DD771" s="53"/>
      <c r="DE771" s="53"/>
      <c r="DF771" s="53"/>
      <c r="DG771" s="53"/>
      <c r="DH771" s="53"/>
      <c r="DI771" s="53"/>
      <c r="DJ771" s="53"/>
      <c r="DK771" s="53"/>
      <c r="DL771" s="53"/>
      <c r="DM771" s="53"/>
      <c r="DN771" s="53"/>
      <c r="DO771" s="53"/>
      <c r="DP771" s="53"/>
      <c r="DQ771" s="53"/>
      <c r="DR771" s="53"/>
      <c r="DS771" s="53"/>
      <c r="DT771" s="53"/>
      <c r="DU771" s="53"/>
      <c r="DV771" s="53"/>
      <c r="DW771" s="53"/>
      <c r="DX771" s="53"/>
      <c r="DY771" s="53"/>
      <c r="DZ771" s="53"/>
      <c r="EA771" s="53"/>
      <c r="EB771" s="53"/>
      <c r="EC771" s="53"/>
      <c r="ED771" s="53"/>
      <c r="EE771" s="53"/>
      <c r="EF771" s="53"/>
      <c r="EG771" s="53"/>
      <c r="EH771" s="53"/>
      <c r="EI771" s="53"/>
      <c r="EJ771" s="53"/>
      <c r="EK771" s="53"/>
      <c r="EL771" s="53"/>
      <c r="EM771" s="53"/>
      <c r="EN771" s="53"/>
      <c r="EO771" s="53"/>
      <c r="EP771" s="53"/>
      <c r="EQ771" s="53"/>
      <c r="ER771" s="53"/>
      <c r="ES771" s="53"/>
      <c r="ET771" s="53"/>
      <c r="EU771" s="53"/>
      <c r="EV771" s="53"/>
      <c r="EW771" s="53"/>
      <c r="EX771" s="53"/>
      <c r="EY771" s="53"/>
      <c r="EZ771" s="53"/>
      <c r="FA771" s="53"/>
      <c r="FB771" s="53"/>
      <c r="FC771" s="53"/>
      <c r="FD771" s="53"/>
      <c r="FE771" s="53"/>
      <c r="FF771" s="53"/>
      <c r="FG771" s="53"/>
      <c r="FH771" s="53"/>
      <c r="FI771" s="53"/>
      <c r="FJ771" s="53"/>
      <c r="FK771" s="53"/>
      <c r="FL771" s="53"/>
      <c r="FM771" s="53"/>
      <c r="FN771" s="53"/>
      <c r="FO771" s="53"/>
      <c r="FP771" s="53"/>
      <c r="FQ771" s="53"/>
      <c r="FR771" s="53"/>
      <c r="FS771" s="53"/>
      <c r="FT771" s="53"/>
      <c r="FU771" s="53"/>
      <c r="FV771" s="53"/>
      <c r="FW771" s="53"/>
      <c r="FX771" s="53"/>
      <c r="FY771" s="53"/>
      <c r="FZ771" s="53"/>
      <c r="GA771" s="53"/>
      <c r="GB771" s="53"/>
      <c r="GC771" s="53"/>
      <c r="GD771" s="53"/>
      <c r="GE771" s="53"/>
      <c r="GF771" s="53"/>
      <c r="GG771" s="53"/>
      <c r="GH771" s="53"/>
      <c r="GI771" s="53"/>
      <c r="GJ771" s="53"/>
      <c r="GK771" s="53"/>
      <c r="GL771" s="53"/>
      <c r="GM771" s="53"/>
      <c r="GN771" s="53"/>
      <c r="GO771" s="53"/>
      <c r="GP771" s="53"/>
      <c r="GQ771" s="53"/>
      <c r="GR771" s="53"/>
      <c r="GS771" s="53"/>
      <c r="GT771" s="53"/>
      <c r="GU771" s="53"/>
      <c r="GV771" s="53"/>
      <c r="GW771" s="53"/>
      <c r="GX771" s="53"/>
      <c r="GY771" s="53"/>
      <c r="GZ771" s="53"/>
      <c r="HA771" s="53"/>
      <c r="HB771" s="53"/>
      <c r="HC771" s="53"/>
      <c r="HD771" s="53"/>
      <c r="HE771" s="53"/>
      <c r="HF771" s="53"/>
      <c r="HG771" s="53"/>
      <c r="HH771" s="53"/>
      <c r="HI771" s="53"/>
      <c r="HJ771" s="53"/>
      <c r="HK771" s="53"/>
      <c r="HL771" s="53"/>
      <c r="HM771" s="53"/>
      <c r="HN771" s="53"/>
      <c r="HO771" s="53"/>
      <c r="HP771" s="53"/>
      <c r="HQ771" s="53"/>
      <c r="HR771" s="53"/>
      <c r="HS771" s="53"/>
      <c r="HT771" s="53"/>
      <c r="HU771" s="53"/>
      <c r="HV771" s="53"/>
      <c r="HW771" s="53"/>
      <c r="HX771" s="53"/>
      <c r="HY771" s="53"/>
      <c r="HZ771" s="53"/>
      <c r="IA771" s="53"/>
    </row>
    <row r="772" spans="1:235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4"/>
      <c r="O772" s="104"/>
      <c r="P772" s="104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  <c r="FZ772" s="53"/>
      <c r="GA772" s="53"/>
      <c r="GB772" s="53"/>
      <c r="GC772" s="53"/>
      <c r="GD772" s="53"/>
      <c r="GE772" s="53"/>
      <c r="GF772" s="53"/>
      <c r="GG772" s="53"/>
      <c r="GH772" s="53"/>
      <c r="GI772" s="53"/>
      <c r="GJ772" s="53"/>
      <c r="GK772" s="53"/>
      <c r="GL772" s="53"/>
      <c r="GM772" s="53"/>
      <c r="GN772" s="53"/>
      <c r="GO772" s="53"/>
      <c r="GP772" s="53"/>
      <c r="GQ772" s="53"/>
      <c r="GR772" s="53"/>
      <c r="GS772" s="53"/>
      <c r="GT772" s="53"/>
      <c r="GU772" s="53"/>
      <c r="GV772" s="53"/>
      <c r="GW772" s="53"/>
      <c r="GX772" s="53"/>
      <c r="GY772" s="53"/>
      <c r="GZ772" s="53"/>
      <c r="HA772" s="53"/>
      <c r="HB772" s="53"/>
      <c r="HC772" s="53"/>
      <c r="HD772" s="53"/>
      <c r="HE772" s="53"/>
      <c r="HF772" s="53"/>
      <c r="HG772" s="53"/>
      <c r="HH772" s="53"/>
      <c r="HI772" s="53"/>
      <c r="HJ772" s="53"/>
      <c r="HK772" s="53"/>
      <c r="HL772" s="53"/>
      <c r="HM772" s="53"/>
      <c r="HN772" s="53"/>
      <c r="HO772" s="53"/>
      <c r="HP772" s="53"/>
      <c r="HQ772" s="53"/>
      <c r="HR772" s="53"/>
      <c r="HS772" s="53"/>
      <c r="HT772" s="53"/>
      <c r="HU772" s="53"/>
      <c r="HV772" s="53"/>
      <c r="HW772" s="53"/>
      <c r="HX772" s="53"/>
      <c r="HY772" s="53"/>
      <c r="HZ772" s="53"/>
      <c r="IA772" s="53"/>
    </row>
    <row r="773" spans="1:235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4"/>
      <c r="O773" s="104"/>
      <c r="P773" s="104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  <c r="CZ773" s="53"/>
      <c r="DA773" s="53"/>
      <c r="DB773" s="53"/>
      <c r="DC773" s="53"/>
      <c r="DD773" s="53"/>
      <c r="DE773" s="53"/>
      <c r="DF773" s="53"/>
      <c r="DG773" s="53"/>
      <c r="DH773" s="53"/>
      <c r="DI773" s="53"/>
      <c r="DJ773" s="53"/>
      <c r="DK773" s="53"/>
      <c r="DL773" s="53"/>
      <c r="DM773" s="53"/>
      <c r="DN773" s="53"/>
      <c r="DO773" s="53"/>
      <c r="DP773" s="53"/>
      <c r="DQ773" s="53"/>
      <c r="DR773" s="53"/>
      <c r="DS773" s="53"/>
      <c r="DT773" s="53"/>
      <c r="DU773" s="53"/>
      <c r="DV773" s="53"/>
      <c r="DW773" s="53"/>
      <c r="DX773" s="53"/>
      <c r="DY773" s="53"/>
      <c r="DZ773" s="53"/>
      <c r="EA773" s="53"/>
      <c r="EB773" s="53"/>
      <c r="EC773" s="53"/>
      <c r="ED773" s="53"/>
      <c r="EE773" s="53"/>
      <c r="EF773" s="53"/>
      <c r="EG773" s="53"/>
      <c r="EH773" s="53"/>
      <c r="EI773" s="53"/>
      <c r="EJ773" s="53"/>
      <c r="EK773" s="53"/>
      <c r="EL773" s="53"/>
      <c r="EM773" s="53"/>
      <c r="EN773" s="53"/>
      <c r="EO773" s="53"/>
      <c r="EP773" s="53"/>
      <c r="EQ773" s="53"/>
      <c r="ER773" s="53"/>
      <c r="ES773" s="53"/>
      <c r="ET773" s="53"/>
      <c r="EU773" s="53"/>
      <c r="EV773" s="53"/>
      <c r="EW773" s="53"/>
      <c r="EX773" s="53"/>
      <c r="EY773" s="53"/>
      <c r="EZ773" s="53"/>
      <c r="FA773" s="53"/>
      <c r="FB773" s="53"/>
      <c r="FC773" s="53"/>
      <c r="FD773" s="53"/>
      <c r="FE773" s="53"/>
      <c r="FF773" s="53"/>
      <c r="FG773" s="53"/>
      <c r="FH773" s="53"/>
      <c r="FI773" s="53"/>
      <c r="FJ773" s="53"/>
      <c r="FK773" s="53"/>
      <c r="FL773" s="53"/>
      <c r="FM773" s="53"/>
      <c r="FN773" s="53"/>
      <c r="FO773" s="53"/>
      <c r="FP773" s="53"/>
      <c r="FQ773" s="53"/>
      <c r="FR773" s="53"/>
      <c r="FS773" s="53"/>
      <c r="FT773" s="53"/>
      <c r="FU773" s="53"/>
      <c r="FV773" s="53"/>
      <c r="FW773" s="53"/>
      <c r="FX773" s="53"/>
      <c r="FY773" s="53"/>
      <c r="FZ773" s="53"/>
      <c r="GA773" s="53"/>
      <c r="GB773" s="53"/>
      <c r="GC773" s="53"/>
      <c r="GD773" s="53"/>
      <c r="GE773" s="53"/>
      <c r="GF773" s="53"/>
      <c r="GG773" s="53"/>
      <c r="GH773" s="53"/>
      <c r="GI773" s="53"/>
      <c r="GJ773" s="53"/>
      <c r="GK773" s="53"/>
      <c r="GL773" s="53"/>
      <c r="GM773" s="53"/>
      <c r="GN773" s="53"/>
      <c r="GO773" s="53"/>
      <c r="GP773" s="53"/>
      <c r="GQ773" s="53"/>
      <c r="GR773" s="53"/>
      <c r="GS773" s="53"/>
      <c r="GT773" s="53"/>
      <c r="GU773" s="53"/>
      <c r="GV773" s="53"/>
      <c r="GW773" s="53"/>
      <c r="GX773" s="53"/>
      <c r="GY773" s="53"/>
      <c r="GZ773" s="53"/>
      <c r="HA773" s="53"/>
      <c r="HB773" s="53"/>
      <c r="HC773" s="53"/>
      <c r="HD773" s="53"/>
      <c r="HE773" s="53"/>
      <c r="HF773" s="53"/>
      <c r="HG773" s="53"/>
      <c r="HH773" s="53"/>
      <c r="HI773" s="53"/>
      <c r="HJ773" s="53"/>
      <c r="HK773" s="53"/>
      <c r="HL773" s="53"/>
      <c r="HM773" s="53"/>
      <c r="HN773" s="53"/>
      <c r="HO773" s="53"/>
      <c r="HP773" s="53"/>
      <c r="HQ773" s="53"/>
      <c r="HR773" s="53"/>
      <c r="HS773" s="53"/>
      <c r="HT773" s="53"/>
      <c r="HU773" s="53"/>
      <c r="HV773" s="53"/>
      <c r="HW773" s="53"/>
      <c r="HX773" s="53"/>
      <c r="HY773" s="53"/>
      <c r="HZ773" s="53"/>
      <c r="IA773" s="53"/>
    </row>
    <row r="774" spans="1:235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4"/>
      <c r="O774" s="104"/>
      <c r="P774" s="104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  <c r="CZ774" s="53"/>
      <c r="DA774" s="53"/>
      <c r="DB774" s="53"/>
      <c r="DC774" s="53"/>
      <c r="DD774" s="53"/>
      <c r="DE774" s="53"/>
      <c r="DF774" s="53"/>
      <c r="DG774" s="53"/>
      <c r="DH774" s="53"/>
      <c r="DI774" s="53"/>
      <c r="DJ774" s="53"/>
      <c r="DK774" s="53"/>
      <c r="DL774" s="53"/>
      <c r="DM774" s="53"/>
      <c r="DN774" s="53"/>
      <c r="DO774" s="53"/>
      <c r="DP774" s="53"/>
      <c r="DQ774" s="53"/>
      <c r="DR774" s="53"/>
      <c r="DS774" s="53"/>
      <c r="DT774" s="53"/>
      <c r="DU774" s="53"/>
      <c r="DV774" s="53"/>
      <c r="DW774" s="53"/>
      <c r="DX774" s="53"/>
      <c r="DY774" s="53"/>
      <c r="DZ774" s="53"/>
      <c r="EA774" s="53"/>
      <c r="EB774" s="53"/>
      <c r="EC774" s="53"/>
      <c r="ED774" s="53"/>
      <c r="EE774" s="53"/>
      <c r="EF774" s="53"/>
      <c r="EG774" s="53"/>
      <c r="EH774" s="53"/>
      <c r="EI774" s="53"/>
      <c r="EJ774" s="53"/>
      <c r="EK774" s="53"/>
      <c r="EL774" s="53"/>
      <c r="EM774" s="53"/>
      <c r="EN774" s="53"/>
      <c r="EO774" s="53"/>
      <c r="EP774" s="53"/>
      <c r="EQ774" s="53"/>
      <c r="ER774" s="53"/>
      <c r="ES774" s="53"/>
      <c r="ET774" s="53"/>
      <c r="EU774" s="53"/>
      <c r="EV774" s="53"/>
      <c r="EW774" s="53"/>
      <c r="EX774" s="53"/>
      <c r="EY774" s="53"/>
      <c r="EZ774" s="53"/>
      <c r="FA774" s="53"/>
      <c r="FB774" s="53"/>
      <c r="FC774" s="53"/>
      <c r="FD774" s="53"/>
      <c r="FE774" s="53"/>
      <c r="FF774" s="53"/>
      <c r="FG774" s="53"/>
      <c r="FH774" s="53"/>
      <c r="FI774" s="53"/>
      <c r="FJ774" s="53"/>
      <c r="FK774" s="53"/>
      <c r="FL774" s="53"/>
      <c r="FM774" s="53"/>
      <c r="FN774" s="53"/>
      <c r="FO774" s="53"/>
      <c r="FP774" s="53"/>
      <c r="FQ774" s="53"/>
      <c r="FR774" s="53"/>
      <c r="FS774" s="53"/>
      <c r="FT774" s="53"/>
      <c r="FU774" s="53"/>
      <c r="FV774" s="53"/>
      <c r="FW774" s="53"/>
      <c r="FX774" s="53"/>
      <c r="FY774" s="53"/>
      <c r="FZ774" s="53"/>
      <c r="GA774" s="53"/>
      <c r="GB774" s="53"/>
      <c r="GC774" s="53"/>
      <c r="GD774" s="53"/>
      <c r="GE774" s="53"/>
      <c r="GF774" s="53"/>
      <c r="GG774" s="53"/>
      <c r="GH774" s="53"/>
      <c r="GI774" s="53"/>
      <c r="GJ774" s="53"/>
      <c r="GK774" s="53"/>
      <c r="GL774" s="53"/>
      <c r="GM774" s="53"/>
      <c r="GN774" s="53"/>
      <c r="GO774" s="53"/>
      <c r="GP774" s="53"/>
      <c r="GQ774" s="53"/>
      <c r="GR774" s="53"/>
      <c r="GS774" s="53"/>
      <c r="GT774" s="53"/>
      <c r="GU774" s="53"/>
      <c r="GV774" s="53"/>
      <c r="GW774" s="53"/>
      <c r="GX774" s="53"/>
      <c r="GY774" s="53"/>
      <c r="GZ774" s="53"/>
      <c r="HA774" s="53"/>
      <c r="HB774" s="53"/>
      <c r="HC774" s="53"/>
      <c r="HD774" s="53"/>
      <c r="HE774" s="53"/>
      <c r="HF774" s="53"/>
      <c r="HG774" s="53"/>
      <c r="HH774" s="53"/>
      <c r="HI774" s="53"/>
      <c r="HJ774" s="53"/>
      <c r="HK774" s="53"/>
      <c r="HL774" s="53"/>
      <c r="HM774" s="53"/>
      <c r="HN774" s="53"/>
      <c r="HO774" s="53"/>
      <c r="HP774" s="53"/>
      <c r="HQ774" s="53"/>
      <c r="HR774" s="53"/>
      <c r="HS774" s="53"/>
      <c r="HT774" s="53"/>
      <c r="HU774" s="53"/>
      <c r="HV774" s="53"/>
      <c r="HW774" s="53"/>
      <c r="HX774" s="53"/>
      <c r="HY774" s="53"/>
      <c r="HZ774" s="53"/>
      <c r="IA774" s="53"/>
    </row>
    <row r="775" spans="1:235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4"/>
      <c r="O775" s="104"/>
      <c r="P775" s="104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  <c r="CZ775" s="53"/>
      <c r="DA775" s="53"/>
      <c r="DB775" s="53"/>
      <c r="DC775" s="53"/>
      <c r="DD775" s="53"/>
      <c r="DE775" s="53"/>
      <c r="DF775" s="53"/>
      <c r="DG775" s="53"/>
      <c r="DH775" s="53"/>
      <c r="DI775" s="53"/>
      <c r="DJ775" s="53"/>
      <c r="DK775" s="53"/>
      <c r="DL775" s="53"/>
      <c r="DM775" s="53"/>
      <c r="DN775" s="53"/>
      <c r="DO775" s="53"/>
      <c r="DP775" s="53"/>
      <c r="DQ775" s="53"/>
      <c r="DR775" s="53"/>
      <c r="DS775" s="53"/>
      <c r="DT775" s="53"/>
      <c r="DU775" s="53"/>
      <c r="DV775" s="53"/>
      <c r="DW775" s="53"/>
      <c r="DX775" s="53"/>
      <c r="DY775" s="53"/>
      <c r="DZ775" s="53"/>
      <c r="EA775" s="53"/>
      <c r="EB775" s="53"/>
      <c r="EC775" s="53"/>
      <c r="ED775" s="53"/>
      <c r="EE775" s="53"/>
      <c r="EF775" s="53"/>
      <c r="EG775" s="53"/>
      <c r="EH775" s="53"/>
      <c r="EI775" s="53"/>
      <c r="EJ775" s="53"/>
      <c r="EK775" s="53"/>
      <c r="EL775" s="53"/>
      <c r="EM775" s="53"/>
      <c r="EN775" s="53"/>
      <c r="EO775" s="53"/>
      <c r="EP775" s="53"/>
      <c r="EQ775" s="53"/>
      <c r="ER775" s="53"/>
      <c r="ES775" s="53"/>
      <c r="ET775" s="53"/>
      <c r="EU775" s="53"/>
      <c r="EV775" s="53"/>
      <c r="EW775" s="53"/>
      <c r="EX775" s="53"/>
      <c r="EY775" s="53"/>
      <c r="EZ775" s="53"/>
      <c r="FA775" s="53"/>
      <c r="FB775" s="53"/>
      <c r="FC775" s="53"/>
      <c r="FD775" s="53"/>
      <c r="FE775" s="53"/>
      <c r="FF775" s="53"/>
      <c r="FG775" s="53"/>
      <c r="FH775" s="53"/>
      <c r="FI775" s="53"/>
      <c r="FJ775" s="53"/>
      <c r="FK775" s="53"/>
      <c r="FL775" s="53"/>
      <c r="FM775" s="53"/>
      <c r="FN775" s="53"/>
      <c r="FO775" s="53"/>
      <c r="FP775" s="53"/>
      <c r="FQ775" s="53"/>
      <c r="FR775" s="53"/>
      <c r="FS775" s="53"/>
      <c r="FT775" s="53"/>
      <c r="FU775" s="53"/>
      <c r="FV775" s="53"/>
      <c r="FW775" s="53"/>
      <c r="FX775" s="53"/>
      <c r="FY775" s="53"/>
      <c r="FZ775" s="53"/>
      <c r="GA775" s="53"/>
      <c r="GB775" s="53"/>
      <c r="GC775" s="53"/>
      <c r="GD775" s="53"/>
      <c r="GE775" s="53"/>
      <c r="GF775" s="53"/>
      <c r="GG775" s="53"/>
      <c r="GH775" s="53"/>
      <c r="GI775" s="53"/>
      <c r="GJ775" s="53"/>
      <c r="GK775" s="53"/>
      <c r="GL775" s="53"/>
      <c r="GM775" s="53"/>
      <c r="GN775" s="53"/>
      <c r="GO775" s="53"/>
      <c r="GP775" s="53"/>
      <c r="GQ775" s="53"/>
      <c r="GR775" s="53"/>
      <c r="GS775" s="53"/>
      <c r="GT775" s="53"/>
      <c r="GU775" s="53"/>
      <c r="GV775" s="53"/>
      <c r="GW775" s="53"/>
      <c r="GX775" s="53"/>
      <c r="GY775" s="53"/>
      <c r="GZ775" s="53"/>
      <c r="HA775" s="53"/>
      <c r="HB775" s="53"/>
      <c r="HC775" s="53"/>
      <c r="HD775" s="53"/>
      <c r="HE775" s="53"/>
      <c r="HF775" s="53"/>
      <c r="HG775" s="53"/>
      <c r="HH775" s="53"/>
      <c r="HI775" s="53"/>
      <c r="HJ775" s="53"/>
      <c r="HK775" s="53"/>
      <c r="HL775" s="53"/>
      <c r="HM775" s="53"/>
      <c r="HN775" s="53"/>
      <c r="HO775" s="53"/>
      <c r="HP775" s="53"/>
      <c r="HQ775" s="53"/>
      <c r="HR775" s="53"/>
      <c r="HS775" s="53"/>
      <c r="HT775" s="53"/>
      <c r="HU775" s="53"/>
      <c r="HV775" s="53"/>
      <c r="HW775" s="53"/>
      <c r="HX775" s="53"/>
      <c r="HY775" s="53"/>
      <c r="HZ775" s="53"/>
      <c r="IA775" s="53"/>
    </row>
    <row r="776" spans="1:235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4"/>
      <c r="O776" s="104"/>
      <c r="P776" s="104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  <c r="CZ776" s="53"/>
      <c r="DA776" s="53"/>
      <c r="DB776" s="53"/>
      <c r="DC776" s="53"/>
      <c r="DD776" s="53"/>
      <c r="DE776" s="53"/>
      <c r="DF776" s="53"/>
      <c r="DG776" s="53"/>
      <c r="DH776" s="53"/>
      <c r="DI776" s="53"/>
      <c r="DJ776" s="53"/>
      <c r="DK776" s="53"/>
      <c r="DL776" s="53"/>
      <c r="DM776" s="53"/>
      <c r="DN776" s="53"/>
      <c r="DO776" s="53"/>
      <c r="DP776" s="53"/>
      <c r="DQ776" s="53"/>
      <c r="DR776" s="53"/>
      <c r="DS776" s="53"/>
      <c r="DT776" s="53"/>
      <c r="DU776" s="53"/>
      <c r="DV776" s="53"/>
      <c r="DW776" s="53"/>
      <c r="DX776" s="53"/>
      <c r="DY776" s="53"/>
      <c r="DZ776" s="53"/>
      <c r="EA776" s="53"/>
      <c r="EB776" s="53"/>
      <c r="EC776" s="53"/>
      <c r="ED776" s="53"/>
      <c r="EE776" s="53"/>
      <c r="EF776" s="53"/>
      <c r="EG776" s="53"/>
      <c r="EH776" s="53"/>
      <c r="EI776" s="53"/>
      <c r="EJ776" s="53"/>
      <c r="EK776" s="53"/>
      <c r="EL776" s="53"/>
      <c r="EM776" s="53"/>
      <c r="EN776" s="53"/>
      <c r="EO776" s="53"/>
      <c r="EP776" s="53"/>
      <c r="EQ776" s="53"/>
      <c r="ER776" s="53"/>
      <c r="ES776" s="53"/>
      <c r="ET776" s="53"/>
      <c r="EU776" s="53"/>
      <c r="EV776" s="53"/>
      <c r="EW776" s="53"/>
      <c r="EX776" s="53"/>
      <c r="EY776" s="53"/>
      <c r="EZ776" s="53"/>
      <c r="FA776" s="53"/>
      <c r="FB776" s="53"/>
      <c r="FC776" s="53"/>
      <c r="FD776" s="53"/>
      <c r="FE776" s="53"/>
      <c r="FF776" s="53"/>
      <c r="FG776" s="53"/>
      <c r="FH776" s="53"/>
      <c r="FI776" s="53"/>
      <c r="FJ776" s="53"/>
      <c r="FK776" s="53"/>
      <c r="FL776" s="53"/>
      <c r="FM776" s="53"/>
      <c r="FN776" s="53"/>
      <c r="FO776" s="53"/>
      <c r="FP776" s="53"/>
      <c r="FQ776" s="53"/>
      <c r="FR776" s="53"/>
      <c r="FS776" s="53"/>
      <c r="FT776" s="53"/>
      <c r="FU776" s="53"/>
      <c r="FV776" s="53"/>
      <c r="FW776" s="53"/>
      <c r="FX776" s="53"/>
      <c r="FY776" s="53"/>
      <c r="FZ776" s="53"/>
      <c r="GA776" s="53"/>
      <c r="GB776" s="53"/>
      <c r="GC776" s="53"/>
      <c r="GD776" s="53"/>
      <c r="GE776" s="53"/>
      <c r="GF776" s="53"/>
      <c r="GG776" s="53"/>
      <c r="GH776" s="53"/>
      <c r="GI776" s="53"/>
      <c r="GJ776" s="53"/>
      <c r="GK776" s="53"/>
      <c r="GL776" s="53"/>
      <c r="GM776" s="53"/>
      <c r="GN776" s="53"/>
      <c r="GO776" s="53"/>
      <c r="GP776" s="53"/>
      <c r="GQ776" s="53"/>
      <c r="GR776" s="53"/>
      <c r="GS776" s="53"/>
      <c r="GT776" s="53"/>
      <c r="GU776" s="53"/>
      <c r="GV776" s="53"/>
      <c r="GW776" s="53"/>
      <c r="GX776" s="53"/>
      <c r="GY776" s="53"/>
      <c r="GZ776" s="53"/>
      <c r="HA776" s="53"/>
      <c r="HB776" s="53"/>
      <c r="HC776" s="53"/>
      <c r="HD776" s="53"/>
      <c r="HE776" s="53"/>
      <c r="HF776" s="53"/>
      <c r="HG776" s="53"/>
      <c r="HH776" s="53"/>
      <c r="HI776" s="53"/>
      <c r="HJ776" s="53"/>
      <c r="HK776" s="53"/>
      <c r="HL776" s="53"/>
      <c r="HM776" s="53"/>
      <c r="HN776" s="53"/>
      <c r="HO776" s="53"/>
      <c r="HP776" s="53"/>
      <c r="HQ776" s="53"/>
      <c r="HR776" s="53"/>
      <c r="HS776" s="53"/>
      <c r="HT776" s="53"/>
      <c r="HU776" s="53"/>
      <c r="HV776" s="53"/>
      <c r="HW776" s="53"/>
      <c r="HX776" s="53"/>
      <c r="HY776" s="53"/>
      <c r="HZ776" s="53"/>
      <c r="IA776" s="53"/>
    </row>
    <row r="777" spans="1:235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4"/>
      <c r="O777" s="104"/>
      <c r="P777" s="104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  <c r="CZ777" s="53"/>
      <c r="DA777" s="53"/>
      <c r="DB777" s="53"/>
      <c r="DC777" s="53"/>
      <c r="DD777" s="53"/>
      <c r="DE777" s="53"/>
      <c r="DF777" s="53"/>
      <c r="DG777" s="53"/>
      <c r="DH777" s="53"/>
      <c r="DI777" s="53"/>
      <c r="DJ777" s="53"/>
      <c r="DK777" s="53"/>
      <c r="DL777" s="53"/>
      <c r="DM777" s="53"/>
      <c r="DN777" s="53"/>
      <c r="DO777" s="53"/>
      <c r="DP777" s="53"/>
      <c r="DQ777" s="53"/>
      <c r="DR777" s="53"/>
      <c r="DS777" s="53"/>
      <c r="DT777" s="53"/>
      <c r="DU777" s="53"/>
      <c r="DV777" s="53"/>
      <c r="DW777" s="53"/>
      <c r="DX777" s="53"/>
      <c r="DY777" s="53"/>
      <c r="DZ777" s="53"/>
      <c r="EA777" s="53"/>
      <c r="EB777" s="53"/>
      <c r="EC777" s="53"/>
      <c r="ED777" s="53"/>
      <c r="EE777" s="53"/>
      <c r="EF777" s="53"/>
      <c r="EG777" s="53"/>
      <c r="EH777" s="53"/>
      <c r="EI777" s="53"/>
      <c r="EJ777" s="53"/>
      <c r="EK777" s="53"/>
      <c r="EL777" s="53"/>
      <c r="EM777" s="53"/>
      <c r="EN777" s="53"/>
      <c r="EO777" s="53"/>
      <c r="EP777" s="53"/>
      <c r="EQ777" s="53"/>
      <c r="ER777" s="53"/>
      <c r="ES777" s="53"/>
      <c r="ET777" s="53"/>
      <c r="EU777" s="53"/>
      <c r="EV777" s="53"/>
      <c r="EW777" s="53"/>
      <c r="EX777" s="53"/>
      <c r="EY777" s="53"/>
      <c r="EZ777" s="53"/>
      <c r="FA777" s="53"/>
      <c r="FB777" s="53"/>
      <c r="FC777" s="53"/>
      <c r="FD777" s="53"/>
      <c r="FE777" s="53"/>
      <c r="FF777" s="53"/>
      <c r="FG777" s="53"/>
      <c r="FH777" s="53"/>
      <c r="FI777" s="53"/>
      <c r="FJ777" s="53"/>
      <c r="FK777" s="53"/>
      <c r="FL777" s="53"/>
      <c r="FM777" s="53"/>
      <c r="FN777" s="53"/>
      <c r="FO777" s="53"/>
      <c r="FP777" s="53"/>
      <c r="FQ777" s="53"/>
      <c r="FR777" s="53"/>
      <c r="FS777" s="53"/>
      <c r="FT777" s="53"/>
      <c r="FU777" s="53"/>
      <c r="FV777" s="53"/>
      <c r="FW777" s="53"/>
      <c r="FX777" s="53"/>
      <c r="FY777" s="53"/>
      <c r="FZ777" s="53"/>
      <c r="GA777" s="53"/>
      <c r="GB777" s="53"/>
      <c r="GC777" s="53"/>
      <c r="GD777" s="53"/>
      <c r="GE777" s="53"/>
      <c r="GF777" s="53"/>
      <c r="GG777" s="53"/>
      <c r="GH777" s="53"/>
      <c r="GI777" s="53"/>
      <c r="GJ777" s="53"/>
      <c r="GK777" s="53"/>
      <c r="GL777" s="53"/>
      <c r="GM777" s="53"/>
      <c r="GN777" s="53"/>
      <c r="GO777" s="53"/>
      <c r="GP777" s="53"/>
      <c r="GQ777" s="53"/>
      <c r="GR777" s="53"/>
      <c r="GS777" s="53"/>
      <c r="GT777" s="53"/>
      <c r="GU777" s="53"/>
      <c r="GV777" s="53"/>
      <c r="GW777" s="53"/>
      <c r="GX777" s="53"/>
      <c r="GY777" s="53"/>
      <c r="GZ777" s="53"/>
      <c r="HA777" s="53"/>
      <c r="HB777" s="53"/>
      <c r="HC777" s="53"/>
      <c r="HD777" s="53"/>
      <c r="HE777" s="53"/>
      <c r="HF777" s="53"/>
      <c r="HG777" s="53"/>
      <c r="HH777" s="53"/>
      <c r="HI777" s="53"/>
      <c r="HJ777" s="53"/>
      <c r="HK777" s="53"/>
      <c r="HL777" s="53"/>
      <c r="HM777" s="53"/>
      <c r="HN777" s="53"/>
      <c r="HO777" s="53"/>
      <c r="HP777" s="53"/>
      <c r="HQ777" s="53"/>
      <c r="HR777" s="53"/>
      <c r="HS777" s="53"/>
      <c r="HT777" s="53"/>
      <c r="HU777" s="53"/>
      <c r="HV777" s="53"/>
      <c r="HW777" s="53"/>
      <c r="HX777" s="53"/>
      <c r="HY777" s="53"/>
      <c r="HZ777" s="53"/>
      <c r="IA777" s="53"/>
    </row>
    <row r="778" spans="1:235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4"/>
      <c r="O778" s="104"/>
      <c r="P778" s="104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  <c r="CZ778" s="53"/>
      <c r="DA778" s="53"/>
      <c r="DB778" s="53"/>
      <c r="DC778" s="53"/>
      <c r="DD778" s="53"/>
      <c r="DE778" s="53"/>
      <c r="DF778" s="53"/>
      <c r="DG778" s="53"/>
      <c r="DH778" s="53"/>
      <c r="DI778" s="53"/>
      <c r="DJ778" s="53"/>
      <c r="DK778" s="53"/>
      <c r="DL778" s="53"/>
      <c r="DM778" s="53"/>
      <c r="DN778" s="53"/>
      <c r="DO778" s="53"/>
      <c r="DP778" s="53"/>
      <c r="DQ778" s="53"/>
      <c r="DR778" s="53"/>
      <c r="DS778" s="53"/>
      <c r="DT778" s="53"/>
      <c r="DU778" s="53"/>
      <c r="DV778" s="53"/>
      <c r="DW778" s="53"/>
      <c r="DX778" s="53"/>
      <c r="DY778" s="53"/>
      <c r="DZ778" s="53"/>
      <c r="EA778" s="53"/>
      <c r="EB778" s="53"/>
      <c r="EC778" s="53"/>
      <c r="ED778" s="53"/>
      <c r="EE778" s="53"/>
      <c r="EF778" s="53"/>
      <c r="EG778" s="53"/>
      <c r="EH778" s="53"/>
      <c r="EI778" s="53"/>
      <c r="EJ778" s="53"/>
      <c r="EK778" s="53"/>
      <c r="EL778" s="53"/>
      <c r="EM778" s="53"/>
      <c r="EN778" s="53"/>
      <c r="EO778" s="53"/>
      <c r="EP778" s="53"/>
      <c r="EQ778" s="53"/>
      <c r="ER778" s="53"/>
      <c r="ES778" s="53"/>
      <c r="ET778" s="53"/>
      <c r="EU778" s="53"/>
      <c r="EV778" s="53"/>
      <c r="EW778" s="53"/>
      <c r="EX778" s="53"/>
      <c r="EY778" s="53"/>
      <c r="EZ778" s="53"/>
      <c r="FA778" s="53"/>
      <c r="FB778" s="53"/>
      <c r="FC778" s="53"/>
      <c r="FD778" s="53"/>
      <c r="FE778" s="53"/>
      <c r="FF778" s="53"/>
      <c r="FG778" s="53"/>
      <c r="FH778" s="53"/>
      <c r="FI778" s="53"/>
      <c r="FJ778" s="53"/>
      <c r="FK778" s="53"/>
      <c r="FL778" s="53"/>
      <c r="FM778" s="53"/>
      <c r="FN778" s="53"/>
      <c r="FO778" s="53"/>
      <c r="FP778" s="53"/>
      <c r="FQ778" s="53"/>
      <c r="FR778" s="53"/>
      <c r="FS778" s="53"/>
      <c r="FT778" s="53"/>
      <c r="FU778" s="53"/>
      <c r="FV778" s="53"/>
      <c r="FW778" s="53"/>
      <c r="FX778" s="53"/>
      <c r="FY778" s="53"/>
      <c r="FZ778" s="53"/>
      <c r="GA778" s="53"/>
      <c r="GB778" s="53"/>
      <c r="GC778" s="53"/>
      <c r="GD778" s="53"/>
      <c r="GE778" s="53"/>
      <c r="GF778" s="53"/>
      <c r="GG778" s="53"/>
      <c r="GH778" s="53"/>
      <c r="GI778" s="53"/>
      <c r="GJ778" s="53"/>
      <c r="GK778" s="53"/>
      <c r="GL778" s="53"/>
      <c r="GM778" s="53"/>
      <c r="GN778" s="53"/>
      <c r="GO778" s="53"/>
      <c r="GP778" s="53"/>
      <c r="GQ778" s="53"/>
      <c r="GR778" s="53"/>
      <c r="GS778" s="53"/>
      <c r="GT778" s="53"/>
      <c r="GU778" s="53"/>
      <c r="GV778" s="53"/>
      <c r="GW778" s="53"/>
      <c r="GX778" s="53"/>
      <c r="GY778" s="53"/>
      <c r="GZ778" s="53"/>
      <c r="HA778" s="53"/>
      <c r="HB778" s="53"/>
      <c r="HC778" s="53"/>
      <c r="HD778" s="53"/>
      <c r="HE778" s="53"/>
      <c r="HF778" s="53"/>
      <c r="HG778" s="53"/>
      <c r="HH778" s="53"/>
      <c r="HI778" s="53"/>
      <c r="HJ778" s="53"/>
      <c r="HK778" s="53"/>
      <c r="HL778" s="53"/>
      <c r="HM778" s="53"/>
      <c r="HN778" s="53"/>
      <c r="HO778" s="53"/>
      <c r="HP778" s="53"/>
      <c r="HQ778" s="53"/>
      <c r="HR778" s="53"/>
      <c r="HS778" s="53"/>
      <c r="HT778" s="53"/>
      <c r="HU778" s="53"/>
      <c r="HV778" s="53"/>
      <c r="HW778" s="53"/>
      <c r="HX778" s="53"/>
      <c r="HY778" s="53"/>
      <c r="HZ778" s="53"/>
      <c r="IA778" s="53"/>
    </row>
    <row r="779" spans="1:235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4"/>
      <c r="O779" s="104"/>
      <c r="P779" s="104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3"/>
      <c r="BS779" s="53"/>
      <c r="BT779" s="53"/>
      <c r="BU779" s="53"/>
      <c r="BV779" s="53"/>
      <c r="BW779" s="53"/>
      <c r="BX779" s="53"/>
      <c r="BY779" s="53"/>
      <c r="BZ779" s="53"/>
      <c r="CA779" s="53"/>
      <c r="CB779" s="53"/>
      <c r="CC779" s="53"/>
      <c r="CD779" s="53"/>
      <c r="CE779" s="53"/>
      <c r="CF779" s="53"/>
      <c r="CG779" s="53"/>
      <c r="CH779" s="53"/>
      <c r="CI779" s="53"/>
      <c r="CJ779" s="53"/>
      <c r="CK779" s="53"/>
      <c r="CL779" s="53"/>
      <c r="CM779" s="53"/>
      <c r="CN779" s="53"/>
      <c r="CO779" s="53"/>
      <c r="CP779" s="53"/>
      <c r="CQ779" s="53"/>
      <c r="CR779" s="53"/>
      <c r="CS779" s="53"/>
      <c r="CT779" s="53"/>
      <c r="CU779" s="53"/>
      <c r="CV779" s="53"/>
      <c r="CW779" s="53"/>
      <c r="CX779" s="53"/>
      <c r="CY779" s="53"/>
      <c r="CZ779" s="53"/>
      <c r="DA779" s="53"/>
      <c r="DB779" s="53"/>
      <c r="DC779" s="53"/>
      <c r="DD779" s="53"/>
      <c r="DE779" s="53"/>
      <c r="DF779" s="53"/>
      <c r="DG779" s="53"/>
      <c r="DH779" s="53"/>
      <c r="DI779" s="53"/>
      <c r="DJ779" s="53"/>
      <c r="DK779" s="53"/>
      <c r="DL779" s="53"/>
      <c r="DM779" s="53"/>
      <c r="DN779" s="53"/>
      <c r="DO779" s="53"/>
      <c r="DP779" s="53"/>
      <c r="DQ779" s="53"/>
      <c r="DR779" s="53"/>
      <c r="DS779" s="53"/>
      <c r="DT779" s="53"/>
      <c r="DU779" s="53"/>
      <c r="DV779" s="53"/>
      <c r="DW779" s="53"/>
      <c r="DX779" s="53"/>
      <c r="DY779" s="53"/>
      <c r="DZ779" s="53"/>
      <c r="EA779" s="53"/>
      <c r="EB779" s="53"/>
      <c r="EC779" s="53"/>
      <c r="ED779" s="53"/>
      <c r="EE779" s="53"/>
      <c r="EF779" s="53"/>
      <c r="EG779" s="53"/>
      <c r="EH779" s="53"/>
      <c r="EI779" s="53"/>
      <c r="EJ779" s="53"/>
      <c r="EK779" s="53"/>
      <c r="EL779" s="53"/>
      <c r="EM779" s="53"/>
      <c r="EN779" s="53"/>
      <c r="EO779" s="53"/>
      <c r="EP779" s="53"/>
      <c r="EQ779" s="53"/>
      <c r="ER779" s="53"/>
      <c r="ES779" s="53"/>
      <c r="ET779" s="53"/>
      <c r="EU779" s="53"/>
      <c r="EV779" s="53"/>
      <c r="EW779" s="53"/>
      <c r="EX779" s="53"/>
      <c r="EY779" s="53"/>
      <c r="EZ779" s="53"/>
      <c r="FA779" s="53"/>
      <c r="FB779" s="53"/>
      <c r="FC779" s="53"/>
      <c r="FD779" s="53"/>
      <c r="FE779" s="53"/>
      <c r="FF779" s="53"/>
      <c r="FG779" s="53"/>
      <c r="FH779" s="53"/>
      <c r="FI779" s="53"/>
      <c r="FJ779" s="53"/>
      <c r="FK779" s="53"/>
      <c r="FL779" s="53"/>
      <c r="FM779" s="53"/>
      <c r="FN779" s="53"/>
      <c r="FO779" s="53"/>
      <c r="FP779" s="53"/>
      <c r="FQ779" s="53"/>
      <c r="FR779" s="53"/>
      <c r="FS779" s="53"/>
      <c r="FT779" s="53"/>
      <c r="FU779" s="53"/>
      <c r="FV779" s="53"/>
      <c r="FW779" s="53"/>
      <c r="FX779" s="53"/>
      <c r="FY779" s="53"/>
      <c r="FZ779" s="53"/>
      <c r="GA779" s="53"/>
      <c r="GB779" s="53"/>
      <c r="GC779" s="53"/>
      <c r="GD779" s="53"/>
      <c r="GE779" s="53"/>
      <c r="GF779" s="53"/>
      <c r="GG779" s="53"/>
      <c r="GH779" s="53"/>
      <c r="GI779" s="53"/>
      <c r="GJ779" s="53"/>
      <c r="GK779" s="53"/>
      <c r="GL779" s="53"/>
      <c r="GM779" s="53"/>
      <c r="GN779" s="53"/>
      <c r="GO779" s="53"/>
      <c r="GP779" s="53"/>
      <c r="GQ779" s="53"/>
      <c r="GR779" s="53"/>
      <c r="GS779" s="53"/>
      <c r="GT779" s="53"/>
      <c r="GU779" s="53"/>
      <c r="GV779" s="53"/>
      <c r="GW779" s="53"/>
      <c r="GX779" s="53"/>
      <c r="GY779" s="53"/>
      <c r="GZ779" s="53"/>
      <c r="HA779" s="53"/>
      <c r="HB779" s="53"/>
      <c r="HC779" s="53"/>
      <c r="HD779" s="53"/>
      <c r="HE779" s="53"/>
      <c r="HF779" s="53"/>
      <c r="HG779" s="53"/>
      <c r="HH779" s="53"/>
      <c r="HI779" s="53"/>
      <c r="HJ779" s="53"/>
      <c r="HK779" s="53"/>
      <c r="HL779" s="53"/>
      <c r="HM779" s="53"/>
      <c r="HN779" s="53"/>
      <c r="HO779" s="53"/>
      <c r="HP779" s="53"/>
      <c r="HQ779" s="53"/>
      <c r="HR779" s="53"/>
      <c r="HS779" s="53"/>
      <c r="HT779" s="53"/>
      <c r="HU779" s="53"/>
      <c r="HV779" s="53"/>
      <c r="HW779" s="53"/>
      <c r="HX779" s="53"/>
      <c r="HY779" s="53"/>
      <c r="HZ779" s="53"/>
      <c r="IA779" s="53"/>
    </row>
    <row r="780" spans="1:235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4"/>
      <c r="O780" s="104"/>
      <c r="P780" s="104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53"/>
      <c r="BU780" s="53"/>
      <c r="BV780" s="53"/>
      <c r="BW780" s="53"/>
      <c r="BX780" s="53"/>
      <c r="BY780" s="53"/>
      <c r="BZ780" s="53"/>
      <c r="CA780" s="53"/>
      <c r="CB780" s="53"/>
      <c r="CC780" s="53"/>
      <c r="CD780" s="53"/>
      <c r="CE780" s="53"/>
      <c r="CF780" s="53"/>
      <c r="CG780" s="53"/>
      <c r="CH780" s="53"/>
      <c r="CI780" s="53"/>
      <c r="CJ780" s="53"/>
      <c r="CK780" s="53"/>
      <c r="CL780" s="53"/>
      <c r="CM780" s="53"/>
      <c r="CN780" s="53"/>
      <c r="CO780" s="53"/>
      <c r="CP780" s="53"/>
      <c r="CQ780" s="53"/>
      <c r="CR780" s="53"/>
      <c r="CS780" s="53"/>
      <c r="CT780" s="53"/>
      <c r="CU780" s="53"/>
      <c r="CV780" s="53"/>
      <c r="CW780" s="53"/>
      <c r="CX780" s="53"/>
      <c r="CY780" s="53"/>
      <c r="CZ780" s="53"/>
      <c r="DA780" s="53"/>
      <c r="DB780" s="53"/>
      <c r="DC780" s="53"/>
      <c r="DD780" s="53"/>
      <c r="DE780" s="53"/>
      <c r="DF780" s="53"/>
      <c r="DG780" s="53"/>
      <c r="DH780" s="53"/>
      <c r="DI780" s="53"/>
      <c r="DJ780" s="53"/>
      <c r="DK780" s="53"/>
      <c r="DL780" s="53"/>
      <c r="DM780" s="53"/>
      <c r="DN780" s="53"/>
      <c r="DO780" s="53"/>
      <c r="DP780" s="53"/>
      <c r="DQ780" s="53"/>
      <c r="DR780" s="53"/>
      <c r="DS780" s="53"/>
      <c r="DT780" s="53"/>
      <c r="DU780" s="53"/>
      <c r="DV780" s="53"/>
      <c r="DW780" s="53"/>
      <c r="DX780" s="53"/>
      <c r="DY780" s="53"/>
      <c r="DZ780" s="53"/>
      <c r="EA780" s="53"/>
      <c r="EB780" s="53"/>
      <c r="EC780" s="53"/>
      <c r="ED780" s="53"/>
      <c r="EE780" s="53"/>
      <c r="EF780" s="53"/>
      <c r="EG780" s="53"/>
      <c r="EH780" s="53"/>
      <c r="EI780" s="53"/>
      <c r="EJ780" s="53"/>
      <c r="EK780" s="53"/>
      <c r="EL780" s="53"/>
      <c r="EM780" s="53"/>
      <c r="EN780" s="53"/>
      <c r="EO780" s="53"/>
      <c r="EP780" s="53"/>
      <c r="EQ780" s="53"/>
      <c r="ER780" s="53"/>
      <c r="ES780" s="53"/>
      <c r="ET780" s="53"/>
      <c r="EU780" s="53"/>
      <c r="EV780" s="53"/>
      <c r="EW780" s="53"/>
      <c r="EX780" s="53"/>
      <c r="EY780" s="53"/>
      <c r="EZ780" s="53"/>
      <c r="FA780" s="53"/>
      <c r="FB780" s="53"/>
      <c r="FC780" s="53"/>
      <c r="FD780" s="53"/>
      <c r="FE780" s="53"/>
      <c r="FF780" s="53"/>
      <c r="FG780" s="53"/>
      <c r="FH780" s="53"/>
      <c r="FI780" s="53"/>
      <c r="FJ780" s="53"/>
      <c r="FK780" s="53"/>
      <c r="FL780" s="53"/>
      <c r="FM780" s="53"/>
      <c r="FN780" s="53"/>
      <c r="FO780" s="53"/>
      <c r="FP780" s="53"/>
      <c r="FQ780" s="53"/>
      <c r="FR780" s="53"/>
      <c r="FS780" s="53"/>
      <c r="FT780" s="53"/>
      <c r="FU780" s="53"/>
      <c r="FV780" s="53"/>
      <c r="FW780" s="53"/>
      <c r="FX780" s="53"/>
      <c r="FY780" s="53"/>
      <c r="FZ780" s="53"/>
      <c r="GA780" s="53"/>
      <c r="GB780" s="53"/>
      <c r="GC780" s="53"/>
      <c r="GD780" s="53"/>
      <c r="GE780" s="53"/>
      <c r="GF780" s="53"/>
      <c r="GG780" s="53"/>
      <c r="GH780" s="53"/>
      <c r="GI780" s="53"/>
      <c r="GJ780" s="53"/>
      <c r="GK780" s="53"/>
      <c r="GL780" s="53"/>
      <c r="GM780" s="53"/>
      <c r="GN780" s="53"/>
      <c r="GO780" s="53"/>
      <c r="GP780" s="53"/>
      <c r="GQ780" s="53"/>
      <c r="GR780" s="53"/>
      <c r="GS780" s="53"/>
      <c r="GT780" s="53"/>
      <c r="GU780" s="53"/>
      <c r="GV780" s="53"/>
      <c r="GW780" s="53"/>
      <c r="GX780" s="53"/>
      <c r="GY780" s="53"/>
      <c r="GZ780" s="53"/>
      <c r="HA780" s="53"/>
      <c r="HB780" s="53"/>
      <c r="HC780" s="53"/>
      <c r="HD780" s="53"/>
      <c r="HE780" s="53"/>
      <c r="HF780" s="53"/>
      <c r="HG780" s="53"/>
      <c r="HH780" s="53"/>
      <c r="HI780" s="53"/>
      <c r="HJ780" s="53"/>
      <c r="HK780" s="53"/>
      <c r="HL780" s="53"/>
      <c r="HM780" s="53"/>
      <c r="HN780" s="53"/>
      <c r="HO780" s="53"/>
      <c r="HP780" s="53"/>
      <c r="HQ780" s="53"/>
      <c r="HR780" s="53"/>
      <c r="HS780" s="53"/>
      <c r="HT780" s="53"/>
      <c r="HU780" s="53"/>
      <c r="HV780" s="53"/>
      <c r="HW780" s="53"/>
      <c r="HX780" s="53"/>
      <c r="HY780" s="53"/>
      <c r="HZ780" s="53"/>
      <c r="IA780" s="53"/>
    </row>
    <row r="781" spans="1:235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4"/>
      <c r="O781" s="104"/>
      <c r="P781" s="104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3"/>
      <c r="BS781" s="53"/>
      <c r="BT781" s="53"/>
      <c r="BU781" s="53"/>
      <c r="BV781" s="53"/>
      <c r="BW781" s="53"/>
      <c r="BX781" s="53"/>
      <c r="BY781" s="53"/>
      <c r="BZ781" s="53"/>
      <c r="CA781" s="53"/>
      <c r="CB781" s="53"/>
      <c r="CC781" s="53"/>
      <c r="CD781" s="53"/>
      <c r="CE781" s="53"/>
      <c r="CF781" s="53"/>
      <c r="CG781" s="53"/>
      <c r="CH781" s="53"/>
      <c r="CI781" s="53"/>
      <c r="CJ781" s="53"/>
      <c r="CK781" s="53"/>
      <c r="CL781" s="53"/>
      <c r="CM781" s="53"/>
      <c r="CN781" s="53"/>
      <c r="CO781" s="53"/>
      <c r="CP781" s="53"/>
      <c r="CQ781" s="53"/>
      <c r="CR781" s="53"/>
      <c r="CS781" s="53"/>
      <c r="CT781" s="53"/>
      <c r="CU781" s="53"/>
      <c r="CV781" s="53"/>
      <c r="CW781" s="53"/>
      <c r="CX781" s="53"/>
      <c r="CY781" s="53"/>
      <c r="CZ781" s="53"/>
      <c r="DA781" s="53"/>
      <c r="DB781" s="53"/>
      <c r="DC781" s="53"/>
      <c r="DD781" s="53"/>
      <c r="DE781" s="53"/>
      <c r="DF781" s="53"/>
      <c r="DG781" s="53"/>
      <c r="DH781" s="53"/>
      <c r="DI781" s="53"/>
      <c r="DJ781" s="53"/>
      <c r="DK781" s="53"/>
      <c r="DL781" s="53"/>
      <c r="DM781" s="53"/>
      <c r="DN781" s="53"/>
      <c r="DO781" s="53"/>
      <c r="DP781" s="53"/>
      <c r="DQ781" s="53"/>
      <c r="DR781" s="53"/>
      <c r="DS781" s="53"/>
      <c r="DT781" s="53"/>
      <c r="DU781" s="53"/>
      <c r="DV781" s="53"/>
      <c r="DW781" s="53"/>
      <c r="DX781" s="53"/>
      <c r="DY781" s="53"/>
      <c r="DZ781" s="53"/>
      <c r="EA781" s="53"/>
      <c r="EB781" s="53"/>
      <c r="EC781" s="53"/>
      <c r="ED781" s="53"/>
      <c r="EE781" s="53"/>
      <c r="EF781" s="53"/>
      <c r="EG781" s="53"/>
      <c r="EH781" s="53"/>
      <c r="EI781" s="53"/>
      <c r="EJ781" s="53"/>
      <c r="EK781" s="53"/>
      <c r="EL781" s="53"/>
      <c r="EM781" s="53"/>
      <c r="EN781" s="53"/>
      <c r="EO781" s="53"/>
      <c r="EP781" s="53"/>
      <c r="EQ781" s="53"/>
      <c r="ER781" s="53"/>
      <c r="ES781" s="53"/>
      <c r="ET781" s="53"/>
      <c r="EU781" s="53"/>
      <c r="EV781" s="53"/>
      <c r="EW781" s="53"/>
      <c r="EX781" s="53"/>
      <c r="EY781" s="53"/>
      <c r="EZ781" s="53"/>
      <c r="FA781" s="53"/>
      <c r="FB781" s="53"/>
      <c r="FC781" s="53"/>
      <c r="FD781" s="53"/>
      <c r="FE781" s="53"/>
      <c r="FF781" s="53"/>
      <c r="FG781" s="53"/>
      <c r="FH781" s="53"/>
      <c r="FI781" s="53"/>
      <c r="FJ781" s="53"/>
      <c r="FK781" s="53"/>
      <c r="FL781" s="53"/>
      <c r="FM781" s="53"/>
      <c r="FN781" s="53"/>
      <c r="FO781" s="53"/>
      <c r="FP781" s="53"/>
      <c r="FQ781" s="53"/>
      <c r="FR781" s="53"/>
      <c r="FS781" s="53"/>
      <c r="FT781" s="53"/>
      <c r="FU781" s="53"/>
      <c r="FV781" s="53"/>
      <c r="FW781" s="53"/>
      <c r="FX781" s="53"/>
      <c r="FY781" s="53"/>
      <c r="FZ781" s="53"/>
      <c r="GA781" s="53"/>
      <c r="GB781" s="53"/>
      <c r="GC781" s="53"/>
      <c r="GD781" s="53"/>
      <c r="GE781" s="53"/>
      <c r="GF781" s="53"/>
      <c r="GG781" s="53"/>
      <c r="GH781" s="53"/>
      <c r="GI781" s="53"/>
      <c r="GJ781" s="53"/>
      <c r="GK781" s="53"/>
      <c r="GL781" s="53"/>
      <c r="GM781" s="53"/>
      <c r="GN781" s="53"/>
      <c r="GO781" s="53"/>
      <c r="GP781" s="53"/>
      <c r="GQ781" s="53"/>
      <c r="GR781" s="53"/>
      <c r="GS781" s="53"/>
      <c r="GT781" s="53"/>
      <c r="GU781" s="53"/>
      <c r="GV781" s="53"/>
      <c r="GW781" s="53"/>
      <c r="GX781" s="53"/>
      <c r="GY781" s="53"/>
      <c r="GZ781" s="53"/>
      <c r="HA781" s="53"/>
      <c r="HB781" s="53"/>
      <c r="HC781" s="53"/>
      <c r="HD781" s="53"/>
      <c r="HE781" s="53"/>
      <c r="HF781" s="53"/>
      <c r="HG781" s="53"/>
      <c r="HH781" s="53"/>
      <c r="HI781" s="53"/>
      <c r="HJ781" s="53"/>
      <c r="HK781" s="53"/>
      <c r="HL781" s="53"/>
      <c r="HM781" s="53"/>
      <c r="HN781" s="53"/>
      <c r="HO781" s="53"/>
      <c r="HP781" s="53"/>
      <c r="HQ781" s="53"/>
      <c r="HR781" s="53"/>
      <c r="HS781" s="53"/>
      <c r="HT781" s="53"/>
      <c r="HU781" s="53"/>
      <c r="HV781" s="53"/>
      <c r="HW781" s="53"/>
      <c r="HX781" s="53"/>
      <c r="HY781" s="53"/>
      <c r="HZ781" s="53"/>
      <c r="IA781" s="53"/>
    </row>
    <row r="782" spans="1:235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4"/>
      <c r="O782" s="104"/>
      <c r="P782" s="104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3"/>
      <c r="BS782" s="53"/>
      <c r="BT782" s="53"/>
      <c r="BU782" s="53"/>
      <c r="BV782" s="53"/>
      <c r="BW782" s="53"/>
      <c r="BX782" s="53"/>
      <c r="BY782" s="53"/>
      <c r="BZ782" s="53"/>
      <c r="CA782" s="53"/>
      <c r="CB782" s="53"/>
      <c r="CC782" s="53"/>
      <c r="CD782" s="53"/>
      <c r="CE782" s="53"/>
      <c r="CF782" s="53"/>
      <c r="CG782" s="53"/>
      <c r="CH782" s="53"/>
      <c r="CI782" s="53"/>
      <c r="CJ782" s="53"/>
      <c r="CK782" s="53"/>
      <c r="CL782" s="53"/>
      <c r="CM782" s="53"/>
      <c r="CN782" s="53"/>
      <c r="CO782" s="53"/>
      <c r="CP782" s="53"/>
      <c r="CQ782" s="53"/>
      <c r="CR782" s="53"/>
      <c r="CS782" s="53"/>
      <c r="CT782" s="53"/>
      <c r="CU782" s="53"/>
      <c r="CV782" s="53"/>
      <c r="CW782" s="53"/>
      <c r="CX782" s="53"/>
      <c r="CY782" s="53"/>
      <c r="CZ782" s="53"/>
      <c r="DA782" s="53"/>
      <c r="DB782" s="53"/>
      <c r="DC782" s="53"/>
      <c r="DD782" s="53"/>
      <c r="DE782" s="53"/>
      <c r="DF782" s="53"/>
      <c r="DG782" s="53"/>
      <c r="DH782" s="53"/>
      <c r="DI782" s="53"/>
      <c r="DJ782" s="53"/>
      <c r="DK782" s="53"/>
      <c r="DL782" s="53"/>
      <c r="DM782" s="53"/>
      <c r="DN782" s="53"/>
      <c r="DO782" s="53"/>
      <c r="DP782" s="53"/>
      <c r="DQ782" s="53"/>
      <c r="DR782" s="53"/>
      <c r="DS782" s="53"/>
      <c r="DT782" s="53"/>
      <c r="DU782" s="53"/>
      <c r="DV782" s="53"/>
      <c r="DW782" s="53"/>
      <c r="DX782" s="53"/>
      <c r="DY782" s="53"/>
      <c r="DZ782" s="53"/>
      <c r="EA782" s="53"/>
      <c r="EB782" s="53"/>
      <c r="EC782" s="53"/>
      <c r="ED782" s="53"/>
      <c r="EE782" s="53"/>
      <c r="EF782" s="53"/>
      <c r="EG782" s="53"/>
      <c r="EH782" s="53"/>
      <c r="EI782" s="53"/>
      <c r="EJ782" s="53"/>
      <c r="EK782" s="53"/>
      <c r="EL782" s="53"/>
      <c r="EM782" s="53"/>
      <c r="EN782" s="53"/>
      <c r="EO782" s="53"/>
      <c r="EP782" s="53"/>
      <c r="EQ782" s="53"/>
      <c r="ER782" s="53"/>
      <c r="ES782" s="53"/>
      <c r="ET782" s="53"/>
      <c r="EU782" s="53"/>
      <c r="EV782" s="53"/>
      <c r="EW782" s="53"/>
      <c r="EX782" s="53"/>
      <c r="EY782" s="53"/>
      <c r="EZ782" s="53"/>
      <c r="FA782" s="53"/>
      <c r="FB782" s="53"/>
      <c r="FC782" s="53"/>
      <c r="FD782" s="53"/>
      <c r="FE782" s="53"/>
      <c r="FF782" s="53"/>
      <c r="FG782" s="53"/>
      <c r="FH782" s="53"/>
      <c r="FI782" s="53"/>
      <c r="FJ782" s="53"/>
      <c r="FK782" s="53"/>
      <c r="FL782" s="53"/>
      <c r="FM782" s="53"/>
      <c r="FN782" s="53"/>
      <c r="FO782" s="53"/>
      <c r="FP782" s="53"/>
      <c r="FQ782" s="53"/>
      <c r="FR782" s="53"/>
      <c r="FS782" s="53"/>
      <c r="FT782" s="53"/>
      <c r="FU782" s="53"/>
      <c r="FV782" s="53"/>
      <c r="FW782" s="53"/>
      <c r="FX782" s="53"/>
      <c r="FY782" s="53"/>
      <c r="FZ782" s="53"/>
      <c r="GA782" s="53"/>
      <c r="GB782" s="53"/>
      <c r="GC782" s="53"/>
      <c r="GD782" s="53"/>
      <c r="GE782" s="53"/>
      <c r="GF782" s="53"/>
      <c r="GG782" s="53"/>
      <c r="GH782" s="53"/>
      <c r="GI782" s="53"/>
      <c r="GJ782" s="53"/>
      <c r="GK782" s="53"/>
      <c r="GL782" s="53"/>
      <c r="GM782" s="53"/>
      <c r="GN782" s="53"/>
      <c r="GO782" s="53"/>
      <c r="GP782" s="53"/>
      <c r="GQ782" s="53"/>
      <c r="GR782" s="53"/>
      <c r="GS782" s="53"/>
      <c r="GT782" s="53"/>
      <c r="GU782" s="53"/>
      <c r="GV782" s="53"/>
      <c r="GW782" s="53"/>
      <c r="GX782" s="53"/>
      <c r="GY782" s="53"/>
      <c r="GZ782" s="53"/>
      <c r="HA782" s="53"/>
      <c r="HB782" s="53"/>
      <c r="HC782" s="53"/>
      <c r="HD782" s="53"/>
      <c r="HE782" s="53"/>
      <c r="HF782" s="53"/>
      <c r="HG782" s="53"/>
      <c r="HH782" s="53"/>
      <c r="HI782" s="53"/>
      <c r="HJ782" s="53"/>
      <c r="HK782" s="53"/>
      <c r="HL782" s="53"/>
      <c r="HM782" s="53"/>
      <c r="HN782" s="53"/>
      <c r="HO782" s="53"/>
      <c r="HP782" s="53"/>
      <c r="HQ782" s="53"/>
      <c r="HR782" s="53"/>
      <c r="HS782" s="53"/>
      <c r="HT782" s="53"/>
      <c r="HU782" s="53"/>
      <c r="HV782" s="53"/>
      <c r="HW782" s="53"/>
      <c r="HX782" s="53"/>
      <c r="HY782" s="53"/>
      <c r="HZ782" s="53"/>
      <c r="IA782" s="53"/>
    </row>
    <row r="783" spans="1:235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4"/>
      <c r="O783" s="104"/>
      <c r="P783" s="104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3"/>
      <c r="BS783" s="53"/>
      <c r="BT783" s="53"/>
      <c r="BU783" s="53"/>
      <c r="BV783" s="53"/>
      <c r="BW783" s="53"/>
      <c r="BX783" s="53"/>
      <c r="BY783" s="53"/>
      <c r="BZ783" s="53"/>
      <c r="CA783" s="53"/>
      <c r="CB783" s="53"/>
      <c r="CC783" s="53"/>
      <c r="CD783" s="53"/>
      <c r="CE783" s="53"/>
      <c r="CF783" s="53"/>
      <c r="CG783" s="53"/>
      <c r="CH783" s="53"/>
      <c r="CI783" s="53"/>
      <c r="CJ783" s="53"/>
      <c r="CK783" s="53"/>
      <c r="CL783" s="53"/>
      <c r="CM783" s="53"/>
      <c r="CN783" s="53"/>
      <c r="CO783" s="53"/>
      <c r="CP783" s="53"/>
      <c r="CQ783" s="53"/>
      <c r="CR783" s="53"/>
      <c r="CS783" s="53"/>
      <c r="CT783" s="53"/>
      <c r="CU783" s="53"/>
      <c r="CV783" s="53"/>
      <c r="CW783" s="53"/>
      <c r="CX783" s="53"/>
      <c r="CY783" s="53"/>
      <c r="CZ783" s="53"/>
      <c r="DA783" s="53"/>
      <c r="DB783" s="53"/>
      <c r="DC783" s="53"/>
      <c r="DD783" s="53"/>
      <c r="DE783" s="53"/>
      <c r="DF783" s="53"/>
      <c r="DG783" s="53"/>
      <c r="DH783" s="53"/>
      <c r="DI783" s="53"/>
      <c r="DJ783" s="53"/>
      <c r="DK783" s="53"/>
      <c r="DL783" s="53"/>
      <c r="DM783" s="53"/>
      <c r="DN783" s="53"/>
      <c r="DO783" s="53"/>
      <c r="DP783" s="53"/>
      <c r="DQ783" s="53"/>
      <c r="DR783" s="53"/>
      <c r="DS783" s="53"/>
      <c r="DT783" s="53"/>
      <c r="DU783" s="53"/>
      <c r="DV783" s="53"/>
      <c r="DW783" s="53"/>
      <c r="DX783" s="53"/>
      <c r="DY783" s="53"/>
      <c r="DZ783" s="53"/>
      <c r="EA783" s="53"/>
      <c r="EB783" s="53"/>
      <c r="EC783" s="53"/>
      <c r="ED783" s="53"/>
      <c r="EE783" s="53"/>
      <c r="EF783" s="53"/>
      <c r="EG783" s="53"/>
      <c r="EH783" s="53"/>
      <c r="EI783" s="53"/>
      <c r="EJ783" s="53"/>
      <c r="EK783" s="53"/>
      <c r="EL783" s="53"/>
      <c r="EM783" s="53"/>
      <c r="EN783" s="53"/>
      <c r="EO783" s="53"/>
      <c r="EP783" s="53"/>
      <c r="EQ783" s="53"/>
      <c r="ER783" s="53"/>
      <c r="ES783" s="53"/>
      <c r="ET783" s="53"/>
      <c r="EU783" s="53"/>
      <c r="EV783" s="53"/>
      <c r="EW783" s="53"/>
      <c r="EX783" s="53"/>
      <c r="EY783" s="53"/>
      <c r="EZ783" s="53"/>
      <c r="FA783" s="53"/>
      <c r="FB783" s="53"/>
      <c r="FC783" s="53"/>
      <c r="FD783" s="53"/>
      <c r="FE783" s="53"/>
      <c r="FF783" s="53"/>
      <c r="FG783" s="53"/>
      <c r="FH783" s="53"/>
      <c r="FI783" s="53"/>
      <c r="FJ783" s="53"/>
      <c r="FK783" s="53"/>
      <c r="FL783" s="53"/>
      <c r="FM783" s="53"/>
      <c r="FN783" s="53"/>
      <c r="FO783" s="53"/>
      <c r="FP783" s="53"/>
      <c r="FQ783" s="53"/>
      <c r="FR783" s="53"/>
      <c r="FS783" s="53"/>
      <c r="FT783" s="53"/>
      <c r="FU783" s="53"/>
      <c r="FV783" s="53"/>
      <c r="FW783" s="53"/>
      <c r="FX783" s="53"/>
      <c r="FY783" s="53"/>
      <c r="FZ783" s="53"/>
      <c r="GA783" s="53"/>
      <c r="GB783" s="53"/>
      <c r="GC783" s="53"/>
      <c r="GD783" s="53"/>
      <c r="GE783" s="53"/>
      <c r="GF783" s="53"/>
      <c r="GG783" s="53"/>
      <c r="GH783" s="53"/>
      <c r="GI783" s="53"/>
      <c r="GJ783" s="53"/>
      <c r="GK783" s="53"/>
      <c r="GL783" s="53"/>
      <c r="GM783" s="53"/>
      <c r="GN783" s="53"/>
      <c r="GO783" s="53"/>
      <c r="GP783" s="53"/>
      <c r="GQ783" s="53"/>
      <c r="GR783" s="53"/>
      <c r="GS783" s="53"/>
      <c r="GT783" s="53"/>
      <c r="GU783" s="53"/>
      <c r="GV783" s="53"/>
      <c r="GW783" s="53"/>
      <c r="GX783" s="53"/>
      <c r="GY783" s="53"/>
      <c r="GZ783" s="53"/>
      <c r="HA783" s="53"/>
      <c r="HB783" s="53"/>
      <c r="HC783" s="53"/>
      <c r="HD783" s="53"/>
      <c r="HE783" s="53"/>
      <c r="HF783" s="53"/>
      <c r="HG783" s="53"/>
      <c r="HH783" s="53"/>
      <c r="HI783" s="53"/>
      <c r="HJ783" s="53"/>
      <c r="HK783" s="53"/>
      <c r="HL783" s="53"/>
      <c r="HM783" s="53"/>
      <c r="HN783" s="53"/>
      <c r="HO783" s="53"/>
      <c r="HP783" s="53"/>
      <c r="HQ783" s="53"/>
      <c r="HR783" s="53"/>
      <c r="HS783" s="53"/>
      <c r="HT783" s="53"/>
      <c r="HU783" s="53"/>
      <c r="HV783" s="53"/>
      <c r="HW783" s="53"/>
      <c r="HX783" s="53"/>
      <c r="HY783" s="53"/>
      <c r="HZ783" s="53"/>
      <c r="IA783" s="53"/>
    </row>
    <row r="784" spans="1:235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4"/>
      <c r="O784" s="104"/>
      <c r="P784" s="104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3"/>
      <c r="BS784" s="53"/>
      <c r="BT784" s="53"/>
      <c r="BU784" s="53"/>
      <c r="BV784" s="53"/>
      <c r="BW784" s="53"/>
      <c r="BX784" s="53"/>
      <c r="BY784" s="53"/>
      <c r="BZ784" s="53"/>
      <c r="CA784" s="53"/>
      <c r="CB784" s="53"/>
      <c r="CC784" s="53"/>
      <c r="CD784" s="53"/>
      <c r="CE784" s="53"/>
      <c r="CF784" s="53"/>
      <c r="CG784" s="53"/>
      <c r="CH784" s="53"/>
      <c r="CI784" s="53"/>
      <c r="CJ784" s="53"/>
      <c r="CK784" s="53"/>
      <c r="CL784" s="53"/>
      <c r="CM784" s="53"/>
      <c r="CN784" s="53"/>
      <c r="CO784" s="53"/>
      <c r="CP784" s="53"/>
      <c r="CQ784" s="53"/>
      <c r="CR784" s="53"/>
      <c r="CS784" s="53"/>
      <c r="CT784" s="53"/>
      <c r="CU784" s="53"/>
      <c r="CV784" s="53"/>
      <c r="CW784" s="53"/>
      <c r="CX784" s="53"/>
      <c r="CY784" s="53"/>
      <c r="CZ784" s="53"/>
      <c r="DA784" s="53"/>
      <c r="DB784" s="53"/>
      <c r="DC784" s="53"/>
      <c r="DD784" s="53"/>
      <c r="DE784" s="53"/>
      <c r="DF784" s="53"/>
      <c r="DG784" s="53"/>
      <c r="DH784" s="53"/>
      <c r="DI784" s="53"/>
      <c r="DJ784" s="53"/>
      <c r="DK784" s="53"/>
      <c r="DL784" s="53"/>
      <c r="DM784" s="53"/>
      <c r="DN784" s="53"/>
      <c r="DO784" s="53"/>
      <c r="DP784" s="53"/>
      <c r="DQ784" s="53"/>
      <c r="DR784" s="53"/>
      <c r="DS784" s="53"/>
      <c r="DT784" s="53"/>
      <c r="DU784" s="53"/>
      <c r="DV784" s="53"/>
      <c r="DW784" s="53"/>
      <c r="DX784" s="53"/>
      <c r="DY784" s="53"/>
      <c r="DZ784" s="53"/>
      <c r="EA784" s="53"/>
      <c r="EB784" s="53"/>
      <c r="EC784" s="53"/>
      <c r="ED784" s="53"/>
      <c r="EE784" s="53"/>
      <c r="EF784" s="53"/>
      <c r="EG784" s="53"/>
      <c r="EH784" s="53"/>
      <c r="EI784" s="53"/>
      <c r="EJ784" s="53"/>
      <c r="EK784" s="53"/>
      <c r="EL784" s="53"/>
      <c r="EM784" s="53"/>
      <c r="EN784" s="53"/>
      <c r="EO784" s="53"/>
      <c r="EP784" s="53"/>
      <c r="EQ784" s="53"/>
      <c r="ER784" s="53"/>
      <c r="ES784" s="53"/>
      <c r="ET784" s="53"/>
      <c r="EU784" s="53"/>
      <c r="EV784" s="53"/>
      <c r="EW784" s="53"/>
      <c r="EX784" s="53"/>
      <c r="EY784" s="53"/>
      <c r="EZ784" s="53"/>
      <c r="FA784" s="53"/>
      <c r="FB784" s="53"/>
      <c r="FC784" s="53"/>
      <c r="FD784" s="53"/>
      <c r="FE784" s="53"/>
      <c r="FF784" s="53"/>
      <c r="FG784" s="53"/>
      <c r="FH784" s="53"/>
      <c r="FI784" s="53"/>
      <c r="FJ784" s="53"/>
      <c r="FK784" s="53"/>
      <c r="FL784" s="53"/>
      <c r="FM784" s="53"/>
      <c r="FN784" s="53"/>
      <c r="FO784" s="53"/>
      <c r="FP784" s="53"/>
      <c r="FQ784" s="53"/>
      <c r="FR784" s="53"/>
      <c r="FS784" s="53"/>
      <c r="FT784" s="53"/>
      <c r="FU784" s="53"/>
      <c r="FV784" s="53"/>
      <c r="FW784" s="53"/>
      <c r="FX784" s="53"/>
      <c r="FY784" s="53"/>
      <c r="FZ784" s="53"/>
      <c r="GA784" s="53"/>
      <c r="GB784" s="53"/>
      <c r="GC784" s="53"/>
      <c r="GD784" s="53"/>
      <c r="GE784" s="53"/>
      <c r="GF784" s="53"/>
      <c r="GG784" s="53"/>
      <c r="GH784" s="53"/>
      <c r="GI784" s="53"/>
      <c r="GJ784" s="53"/>
      <c r="GK784" s="53"/>
      <c r="GL784" s="53"/>
      <c r="GM784" s="53"/>
      <c r="GN784" s="53"/>
      <c r="GO784" s="53"/>
      <c r="GP784" s="53"/>
      <c r="GQ784" s="53"/>
      <c r="GR784" s="53"/>
      <c r="GS784" s="53"/>
      <c r="GT784" s="53"/>
      <c r="GU784" s="53"/>
      <c r="GV784" s="53"/>
      <c r="GW784" s="53"/>
      <c r="GX784" s="53"/>
      <c r="GY784" s="53"/>
      <c r="GZ784" s="53"/>
      <c r="HA784" s="53"/>
      <c r="HB784" s="53"/>
      <c r="HC784" s="53"/>
      <c r="HD784" s="53"/>
      <c r="HE784" s="53"/>
      <c r="HF784" s="53"/>
      <c r="HG784" s="53"/>
      <c r="HH784" s="53"/>
      <c r="HI784" s="53"/>
      <c r="HJ784" s="53"/>
      <c r="HK784" s="53"/>
      <c r="HL784" s="53"/>
      <c r="HM784" s="53"/>
      <c r="HN784" s="53"/>
      <c r="HO784" s="53"/>
      <c r="HP784" s="53"/>
      <c r="HQ784" s="53"/>
      <c r="HR784" s="53"/>
      <c r="HS784" s="53"/>
      <c r="HT784" s="53"/>
      <c r="HU784" s="53"/>
      <c r="HV784" s="53"/>
      <c r="HW784" s="53"/>
      <c r="HX784" s="53"/>
      <c r="HY784" s="53"/>
      <c r="HZ784" s="53"/>
      <c r="IA784" s="53"/>
    </row>
    <row r="785" spans="1:235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4"/>
      <c r="O785" s="104"/>
      <c r="P785" s="104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3"/>
      <c r="BS785" s="53"/>
      <c r="BT785" s="53"/>
      <c r="BU785" s="53"/>
      <c r="BV785" s="53"/>
      <c r="BW785" s="53"/>
      <c r="BX785" s="53"/>
      <c r="BY785" s="53"/>
      <c r="BZ785" s="53"/>
      <c r="CA785" s="53"/>
      <c r="CB785" s="53"/>
      <c r="CC785" s="53"/>
      <c r="CD785" s="53"/>
      <c r="CE785" s="53"/>
      <c r="CF785" s="53"/>
      <c r="CG785" s="53"/>
      <c r="CH785" s="53"/>
      <c r="CI785" s="53"/>
      <c r="CJ785" s="53"/>
      <c r="CK785" s="53"/>
      <c r="CL785" s="53"/>
      <c r="CM785" s="53"/>
      <c r="CN785" s="53"/>
      <c r="CO785" s="53"/>
      <c r="CP785" s="53"/>
      <c r="CQ785" s="53"/>
      <c r="CR785" s="53"/>
      <c r="CS785" s="53"/>
      <c r="CT785" s="53"/>
      <c r="CU785" s="53"/>
      <c r="CV785" s="53"/>
      <c r="CW785" s="53"/>
      <c r="CX785" s="53"/>
      <c r="CY785" s="53"/>
      <c r="CZ785" s="53"/>
      <c r="DA785" s="53"/>
      <c r="DB785" s="53"/>
      <c r="DC785" s="53"/>
      <c r="DD785" s="53"/>
      <c r="DE785" s="53"/>
      <c r="DF785" s="53"/>
      <c r="DG785" s="53"/>
      <c r="DH785" s="53"/>
      <c r="DI785" s="53"/>
      <c r="DJ785" s="53"/>
      <c r="DK785" s="53"/>
      <c r="DL785" s="53"/>
      <c r="DM785" s="53"/>
      <c r="DN785" s="53"/>
      <c r="DO785" s="53"/>
      <c r="DP785" s="53"/>
      <c r="DQ785" s="53"/>
      <c r="DR785" s="53"/>
      <c r="DS785" s="53"/>
      <c r="DT785" s="53"/>
      <c r="DU785" s="53"/>
      <c r="DV785" s="53"/>
      <c r="DW785" s="53"/>
      <c r="DX785" s="53"/>
      <c r="DY785" s="53"/>
      <c r="DZ785" s="53"/>
      <c r="EA785" s="53"/>
      <c r="EB785" s="53"/>
      <c r="EC785" s="53"/>
      <c r="ED785" s="53"/>
      <c r="EE785" s="53"/>
      <c r="EF785" s="53"/>
      <c r="EG785" s="53"/>
      <c r="EH785" s="53"/>
      <c r="EI785" s="53"/>
      <c r="EJ785" s="53"/>
      <c r="EK785" s="53"/>
      <c r="EL785" s="53"/>
      <c r="EM785" s="53"/>
      <c r="EN785" s="53"/>
      <c r="EO785" s="53"/>
      <c r="EP785" s="53"/>
      <c r="EQ785" s="53"/>
      <c r="ER785" s="53"/>
      <c r="ES785" s="53"/>
      <c r="ET785" s="53"/>
      <c r="EU785" s="53"/>
      <c r="EV785" s="53"/>
      <c r="EW785" s="53"/>
      <c r="EX785" s="53"/>
      <c r="EY785" s="53"/>
      <c r="EZ785" s="53"/>
      <c r="FA785" s="53"/>
      <c r="FB785" s="53"/>
      <c r="FC785" s="53"/>
      <c r="FD785" s="53"/>
      <c r="FE785" s="53"/>
      <c r="FF785" s="53"/>
      <c r="FG785" s="53"/>
      <c r="FH785" s="53"/>
      <c r="FI785" s="53"/>
      <c r="FJ785" s="53"/>
      <c r="FK785" s="53"/>
      <c r="FL785" s="53"/>
      <c r="FM785" s="53"/>
      <c r="FN785" s="53"/>
      <c r="FO785" s="53"/>
      <c r="FP785" s="53"/>
      <c r="FQ785" s="53"/>
      <c r="FR785" s="53"/>
      <c r="FS785" s="53"/>
      <c r="FT785" s="53"/>
      <c r="FU785" s="53"/>
      <c r="FV785" s="53"/>
      <c r="FW785" s="53"/>
      <c r="FX785" s="53"/>
      <c r="FY785" s="53"/>
      <c r="FZ785" s="53"/>
      <c r="GA785" s="53"/>
      <c r="GB785" s="53"/>
      <c r="GC785" s="53"/>
      <c r="GD785" s="53"/>
      <c r="GE785" s="53"/>
      <c r="GF785" s="53"/>
      <c r="GG785" s="53"/>
      <c r="GH785" s="53"/>
      <c r="GI785" s="53"/>
      <c r="GJ785" s="53"/>
      <c r="GK785" s="53"/>
      <c r="GL785" s="53"/>
      <c r="GM785" s="53"/>
      <c r="GN785" s="53"/>
      <c r="GO785" s="53"/>
      <c r="GP785" s="53"/>
      <c r="GQ785" s="53"/>
      <c r="GR785" s="53"/>
      <c r="GS785" s="53"/>
      <c r="GT785" s="53"/>
      <c r="GU785" s="53"/>
      <c r="GV785" s="53"/>
      <c r="GW785" s="53"/>
      <c r="GX785" s="53"/>
      <c r="GY785" s="53"/>
      <c r="GZ785" s="53"/>
      <c r="HA785" s="53"/>
      <c r="HB785" s="53"/>
      <c r="HC785" s="53"/>
      <c r="HD785" s="53"/>
      <c r="HE785" s="53"/>
      <c r="HF785" s="53"/>
      <c r="HG785" s="53"/>
      <c r="HH785" s="53"/>
      <c r="HI785" s="53"/>
      <c r="HJ785" s="53"/>
      <c r="HK785" s="53"/>
      <c r="HL785" s="53"/>
      <c r="HM785" s="53"/>
      <c r="HN785" s="53"/>
      <c r="HO785" s="53"/>
      <c r="HP785" s="53"/>
      <c r="HQ785" s="53"/>
      <c r="HR785" s="53"/>
      <c r="HS785" s="53"/>
      <c r="HT785" s="53"/>
      <c r="HU785" s="53"/>
      <c r="HV785" s="53"/>
      <c r="HW785" s="53"/>
      <c r="HX785" s="53"/>
      <c r="HY785" s="53"/>
      <c r="HZ785" s="53"/>
      <c r="IA785" s="53"/>
    </row>
    <row r="786" spans="1:235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4"/>
      <c r="O786" s="104"/>
      <c r="P786" s="104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3"/>
      <c r="BS786" s="53"/>
      <c r="BT786" s="53"/>
      <c r="BU786" s="53"/>
      <c r="BV786" s="53"/>
      <c r="BW786" s="53"/>
      <c r="BX786" s="53"/>
      <c r="BY786" s="53"/>
      <c r="BZ786" s="53"/>
      <c r="CA786" s="53"/>
      <c r="CB786" s="53"/>
      <c r="CC786" s="53"/>
      <c r="CD786" s="53"/>
      <c r="CE786" s="53"/>
      <c r="CF786" s="53"/>
      <c r="CG786" s="53"/>
      <c r="CH786" s="53"/>
      <c r="CI786" s="53"/>
      <c r="CJ786" s="53"/>
      <c r="CK786" s="53"/>
      <c r="CL786" s="53"/>
      <c r="CM786" s="53"/>
      <c r="CN786" s="53"/>
      <c r="CO786" s="53"/>
      <c r="CP786" s="53"/>
      <c r="CQ786" s="53"/>
      <c r="CR786" s="53"/>
      <c r="CS786" s="53"/>
      <c r="CT786" s="53"/>
      <c r="CU786" s="53"/>
      <c r="CV786" s="53"/>
      <c r="CW786" s="53"/>
      <c r="CX786" s="53"/>
      <c r="CY786" s="53"/>
      <c r="CZ786" s="53"/>
      <c r="DA786" s="53"/>
      <c r="DB786" s="53"/>
      <c r="DC786" s="53"/>
      <c r="DD786" s="53"/>
      <c r="DE786" s="53"/>
      <c r="DF786" s="53"/>
      <c r="DG786" s="53"/>
      <c r="DH786" s="53"/>
      <c r="DI786" s="53"/>
      <c r="DJ786" s="53"/>
      <c r="DK786" s="53"/>
      <c r="DL786" s="53"/>
      <c r="DM786" s="53"/>
      <c r="DN786" s="53"/>
      <c r="DO786" s="53"/>
      <c r="DP786" s="53"/>
      <c r="DQ786" s="53"/>
      <c r="DR786" s="53"/>
      <c r="DS786" s="53"/>
      <c r="DT786" s="53"/>
      <c r="DU786" s="53"/>
      <c r="DV786" s="53"/>
      <c r="DW786" s="53"/>
      <c r="DX786" s="53"/>
      <c r="DY786" s="53"/>
      <c r="DZ786" s="53"/>
      <c r="EA786" s="53"/>
      <c r="EB786" s="53"/>
      <c r="EC786" s="53"/>
      <c r="ED786" s="53"/>
      <c r="EE786" s="53"/>
      <c r="EF786" s="53"/>
      <c r="EG786" s="53"/>
      <c r="EH786" s="53"/>
      <c r="EI786" s="53"/>
      <c r="EJ786" s="53"/>
      <c r="EK786" s="53"/>
      <c r="EL786" s="53"/>
      <c r="EM786" s="53"/>
      <c r="EN786" s="53"/>
      <c r="EO786" s="53"/>
      <c r="EP786" s="53"/>
      <c r="EQ786" s="53"/>
      <c r="ER786" s="53"/>
      <c r="ES786" s="53"/>
      <c r="ET786" s="53"/>
      <c r="EU786" s="53"/>
      <c r="EV786" s="53"/>
      <c r="EW786" s="53"/>
      <c r="EX786" s="53"/>
      <c r="EY786" s="53"/>
      <c r="EZ786" s="53"/>
      <c r="FA786" s="53"/>
      <c r="FB786" s="53"/>
      <c r="FC786" s="53"/>
      <c r="FD786" s="53"/>
      <c r="FE786" s="53"/>
      <c r="FF786" s="53"/>
      <c r="FG786" s="53"/>
      <c r="FH786" s="53"/>
      <c r="FI786" s="53"/>
      <c r="FJ786" s="53"/>
      <c r="FK786" s="53"/>
      <c r="FL786" s="53"/>
      <c r="FM786" s="53"/>
      <c r="FN786" s="53"/>
      <c r="FO786" s="53"/>
      <c r="FP786" s="53"/>
      <c r="FQ786" s="53"/>
      <c r="FR786" s="53"/>
      <c r="FS786" s="53"/>
      <c r="FT786" s="53"/>
      <c r="FU786" s="53"/>
      <c r="FV786" s="53"/>
      <c r="FW786" s="53"/>
      <c r="FX786" s="53"/>
      <c r="FY786" s="53"/>
      <c r="FZ786" s="53"/>
      <c r="GA786" s="53"/>
      <c r="GB786" s="53"/>
      <c r="GC786" s="53"/>
      <c r="GD786" s="53"/>
      <c r="GE786" s="53"/>
      <c r="GF786" s="53"/>
      <c r="GG786" s="53"/>
      <c r="GH786" s="53"/>
      <c r="GI786" s="53"/>
      <c r="GJ786" s="53"/>
      <c r="GK786" s="53"/>
      <c r="GL786" s="53"/>
      <c r="GM786" s="53"/>
      <c r="GN786" s="53"/>
      <c r="GO786" s="53"/>
      <c r="GP786" s="53"/>
      <c r="GQ786" s="53"/>
      <c r="GR786" s="53"/>
      <c r="GS786" s="53"/>
      <c r="GT786" s="53"/>
      <c r="GU786" s="53"/>
      <c r="GV786" s="53"/>
      <c r="GW786" s="53"/>
      <c r="GX786" s="53"/>
      <c r="GY786" s="53"/>
      <c r="GZ786" s="53"/>
      <c r="HA786" s="53"/>
      <c r="HB786" s="53"/>
      <c r="HC786" s="53"/>
      <c r="HD786" s="53"/>
      <c r="HE786" s="53"/>
      <c r="HF786" s="53"/>
      <c r="HG786" s="53"/>
      <c r="HH786" s="53"/>
      <c r="HI786" s="53"/>
      <c r="HJ786" s="53"/>
      <c r="HK786" s="53"/>
      <c r="HL786" s="53"/>
      <c r="HM786" s="53"/>
      <c r="HN786" s="53"/>
      <c r="HO786" s="53"/>
      <c r="HP786" s="53"/>
      <c r="HQ786" s="53"/>
      <c r="HR786" s="53"/>
      <c r="HS786" s="53"/>
      <c r="HT786" s="53"/>
      <c r="HU786" s="53"/>
      <c r="HV786" s="53"/>
      <c r="HW786" s="53"/>
      <c r="HX786" s="53"/>
      <c r="HY786" s="53"/>
      <c r="HZ786" s="53"/>
      <c r="IA786" s="53"/>
    </row>
    <row r="787" spans="1:235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4"/>
      <c r="O787" s="104"/>
      <c r="P787" s="104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3"/>
      <c r="BS787" s="53"/>
      <c r="BT787" s="53"/>
      <c r="BU787" s="53"/>
      <c r="BV787" s="53"/>
      <c r="BW787" s="53"/>
      <c r="BX787" s="53"/>
      <c r="BY787" s="53"/>
      <c r="BZ787" s="53"/>
      <c r="CA787" s="53"/>
      <c r="CB787" s="53"/>
      <c r="CC787" s="53"/>
      <c r="CD787" s="53"/>
      <c r="CE787" s="53"/>
      <c r="CF787" s="53"/>
      <c r="CG787" s="53"/>
      <c r="CH787" s="53"/>
      <c r="CI787" s="53"/>
      <c r="CJ787" s="53"/>
      <c r="CK787" s="53"/>
      <c r="CL787" s="53"/>
      <c r="CM787" s="53"/>
      <c r="CN787" s="53"/>
      <c r="CO787" s="53"/>
      <c r="CP787" s="53"/>
      <c r="CQ787" s="53"/>
      <c r="CR787" s="53"/>
      <c r="CS787" s="53"/>
      <c r="CT787" s="53"/>
      <c r="CU787" s="53"/>
      <c r="CV787" s="53"/>
      <c r="CW787" s="53"/>
      <c r="CX787" s="53"/>
      <c r="CY787" s="53"/>
      <c r="CZ787" s="53"/>
      <c r="DA787" s="53"/>
      <c r="DB787" s="53"/>
      <c r="DC787" s="53"/>
      <c r="DD787" s="53"/>
      <c r="DE787" s="53"/>
      <c r="DF787" s="53"/>
      <c r="DG787" s="53"/>
      <c r="DH787" s="53"/>
      <c r="DI787" s="53"/>
      <c r="DJ787" s="53"/>
      <c r="DK787" s="53"/>
      <c r="DL787" s="53"/>
      <c r="DM787" s="53"/>
      <c r="DN787" s="53"/>
      <c r="DO787" s="53"/>
      <c r="DP787" s="53"/>
      <c r="DQ787" s="53"/>
      <c r="DR787" s="53"/>
      <c r="DS787" s="53"/>
      <c r="DT787" s="53"/>
      <c r="DU787" s="53"/>
      <c r="DV787" s="53"/>
      <c r="DW787" s="53"/>
      <c r="DX787" s="53"/>
      <c r="DY787" s="53"/>
      <c r="DZ787" s="53"/>
      <c r="EA787" s="53"/>
      <c r="EB787" s="53"/>
      <c r="EC787" s="53"/>
      <c r="ED787" s="53"/>
      <c r="EE787" s="53"/>
      <c r="EF787" s="53"/>
      <c r="EG787" s="53"/>
      <c r="EH787" s="53"/>
      <c r="EI787" s="53"/>
      <c r="EJ787" s="53"/>
      <c r="EK787" s="53"/>
      <c r="EL787" s="53"/>
      <c r="EM787" s="53"/>
      <c r="EN787" s="53"/>
      <c r="EO787" s="53"/>
      <c r="EP787" s="53"/>
      <c r="EQ787" s="53"/>
      <c r="ER787" s="53"/>
      <c r="ES787" s="53"/>
      <c r="ET787" s="53"/>
      <c r="EU787" s="53"/>
      <c r="EV787" s="53"/>
      <c r="EW787" s="53"/>
      <c r="EX787" s="53"/>
      <c r="EY787" s="53"/>
      <c r="EZ787" s="53"/>
      <c r="FA787" s="53"/>
      <c r="FB787" s="53"/>
      <c r="FC787" s="53"/>
      <c r="FD787" s="53"/>
      <c r="FE787" s="53"/>
      <c r="FF787" s="53"/>
      <c r="FG787" s="53"/>
      <c r="FH787" s="53"/>
      <c r="FI787" s="53"/>
      <c r="FJ787" s="53"/>
      <c r="FK787" s="53"/>
      <c r="FL787" s="53"/>
      <c r="FM787" s="53"/>
      <c r="FN787" s="53"/>
      <c r="FO787" s="53"/>
      <c r="FP787" s="53"/>
      <c r="FQ787" s="53"/>
      <c r="FR787" s="53"/>
      <c r="FS787" s="53"/>
      <c r="FT787" s="53"/>
      <c r="FU787" s="53"/>
      <c r="FV787" s="53"/>
      <c r="FW787" s="53"/>
      <c r="FX787" s="53"/>
      <c r="FY787" s="53"/>
      <c r="FZ787" s="53"/>
      <c r="GA787" s="53"/>
      <c r="GB787" s="53"/>
      <c r="GC787" s="53"/>
      <c r="GD787" s="53"/>
      <c r="GE787" s="53"/>
      <c r="GF787" s="53"/>
      <c r="GG787" s="53"/>
      <c r="GH787" s="53"/>
      <c r="GI787" s="53"/>
      <c r="GJ787" s="53"/>
      <c r="GK787" s="53"/>
      <c r="GL787" s="53"/>
      <c r="GM787" s="53"/>
      <c r="GN787" s="53"/>
      <c r="GO787" s="53"/>
      <c r="GP787" s="53"/>
      <c r="GQ787" s="53"/>
      <c r="GR787" s="53"/>
      <c r="GS787" s="53"/>
      <c r="GT787" s="53"/>
      <c r="GU787" s="53"/>
      <c r="GV787" s="53"/>
      <c r="GW787" s="53"/>
      <c r="GX787" s="53"/>
      <c r="GY787" s="53"/>
      <c r="GZ787" s="53"/>
      <c r="HA787" s="53"/>
      <c r="HB787" s="53"/>
      <c r="HC787" s="53"/>
      <c r="HD787" s="53"/>
      <c r="HE787" s="53"/>
      <c r="HF787" s="53"/>
      <c r="HG787" s="53"/>
      <c r="HH787" s="53"/>
      <c r="HI787" s="53"/>
      <c r="HJ787" s="53"/>
      <c r="HK787" s="53"/>
      <c r="HL787" s="53"/>
      <c r="HM787" s="53"/>
      <c r="HN787" s="53"/>
      <c r="HO787" s="53"/>
      <c r="HP787" s="53"/>
      <c r="HQ787" s="53"/>
      <c r="HR787" s="53"/>
      <c r="HS787" s="53"/>
      <c r="HT787" s="53"/>
      <c r="HU787" s="53"/>
      <c r="HV787" s="53"/>
      <c r="HW787" s="53"/>
      <c r="HX787" s="53"/>
      <c r="HY787" s="53"/>
      <c r="HZ787" s="53"/>
      <c r="IA787" s="53"/>
    </row>
    <row r="788" spans="1:235" ht="11.25">
      <c r="A788" s="1"/>
      <c r="B788" s="1"/>
      <c r="C788" s="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04"/>
      <c r="O788" s="104"/>
      <c r="P788" s="104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3"/>
      <c r="AV788" s="53"/>
      <c r="AW788" s="53"/>
      <c r="AX788" s="53"/>
      <c r="AY788" s="53"/>
      <c r="AZ788" s="53"/>
      <c r="BA788" s="53"/>
      <c r="BB788" s="53"/>
      <c r="BC788" s="53"/>
      <c r="BD788" s="53"/>
      <c r="BE788" s="53"/>
      <c r="BF788" s="53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3"/>
      <c r="BS788" s="53"/>
      <c r="BT788" s="53"/>
      <c r="BU788" s="53"/>
      <c r="BV788" s="53"/>
      <c r="BW788" s="53"/>
      <c r="BX788" s="53"/>
      <c r="BY788" s="53"/>
      <c r="BZ788" s="53"/>
      <c r="CA788" s="53"/>
      <c r="CB788" s="53"/>
      <c r="CC788" s="53"/>
      <c r="CD788" s="53"/>
      <c r="CE788" s="53"/>
      <c r="CF788" s="53"/>
      <c r="CG788" s="53"/>
      <c r="CH788" s="53"/>
      <c r="CI788" s="53"/>
      <c r="CJ788" s="53"/>
      <c r="CK788" s="53"/>
      <c r="CL788" s="53"/>
      <c r="CM788" s="53"/>
      <c r="CN788" s="53"/>
      <c r="CO788" s="53"/>
      <c r="CP788" s="53"/>
      <c r="CQ788" s="53"/>
      <c r="CR788" s="53"/>
      <c r="CS788" s="53"/>
      <c r="CT788" s="53"/>
      <c r="CU788" s="53"/>
      <c r="CV788" s="53"/>
      <c r="CW788" s="53"/>
      <c r="CX788" s="53"/>
      <c r="CY788" s="53"/>
      <c r="CZ788" s="53"/>
      <c r="DA788" s="53"/>
      <c r="DB788" s="53"/>
      <c r="DC788" s="53"/>
      <c r="DD788" s="53"/>
      <c r="DE788" s="53"/>
      <c r="DF788" s="53"/>
      <c r="DG788" s="53"/>
      <c r="DH788" s="53"/>
      <c r="DI788" s="53"/>
      <c r="DJ788" s="53"/>
      <c r="DK788" s="53"/>
      <c r="DL788" s="53"/>
      <c r="DM788" s="53"/>
      <c r="DN788" s="53"/>
      <c r="DO788" s="53"/>
      <c r="DP788" s="53"/>
      <c r="DQ788" s="53"/>
      <c r="DR788" s="53"/>
      <c r="DS788" s="53"/>
      <c r="DT788" s="53"/>
      <c r="DU788" s="53"/>
      <c r="DV788" s="53"/>
      <c r="DW788" s="53"/>
      <c r="DX788" s="53"/>
      <c r="DY788" s="53"/>
      <c r="DZ788" s="53"/>
      <c r="EA788" s="53"/>
      <c r="EB788" s="53"/>
      <c r="EC788" s="53"/>
      <c r="ED788" s="53"/>
      <c r="EE788" s="53"/>
      <c r="EF788" s="53"/>
      <c r="EG788" s="53"/>
      <c r="EH788" s="53"/>
      <c r="EI788" s="53"/>
      <c r="EJ788" s="53"/>
      <c r="EK788" s="53"/>
      <c r="EL788" s="53"/>
      <c r="EM788" s="53"/>
      <c r="EN788" s="53"/>
      <c r="EO788" s="53"/>
      <c r="EP788" s="53"/>
      <c r="EQ788" s="53"/>
      <c r="ER788" s="53"/>
      <c r="ES788" s="53"/>
      <c r="ET788" s="53"/>
      <c r="EU788" s="53"/>
      <c r="EV788" s="53"/>
      <c r="EW788" s="53"/>
      <c r="EX788" s="53"/>
      <c r="EY788" s="53"/>
      <c r="EZ788" s="53"/>
      <c r="FA788" s="53"/>
      <c r="FB788" s="53"/>
      <c r="FC788" s="53"/>
      <c r="FD788" s="53"/>
      <c r="FE788" s="53"/>
      <c r="FF788" s="53"/>
      <c r="FG788" s="53"/>
      <c r="FH788" s="53"/>
      <c r="FI788" s="53"/>
      <c r="FJ788" s="53"/>
      <c r="FK788" s="53"/>
      <c r="FL788" s="53"/>
      <c r="FM788" s="53"/>
      <c r="FN788" s="53"/>
      <c r="FO788" s="53"/>
      <c r="FP788" s="53"/>
      <c r="FQ788" s="53"/>
      <c r="FR788" s="53"/>
      <c r="FS788" s="53"/>
      <c r="FT788" s="53"/>
      <c r="FU788" s="53"/>
      <c r="FV788" s="53"/>
      <c r="FW788" s="53"/>
      <c r="FX788" s="53"/>
      <c r="FY788" s="53"/>
      <c r="FZ788" s="53"/>
      <c r="GA788" s="53"/>
      <c r="GB788" s="53"/>
      <c r="GC788" s="53"/>
      <c r="GD788" s="53"/>
      <c r="GE788" s="53"/>
      <c r="GF788" s="53"/>
      <c r="GG788" s="53"/>
      <c r="GH788" s="53"/>
      <c r="GI788" s="53"/>
      <c r="GJ788" s="53"/>
      <c r="GK788" s="53"/>
      <c r="GL788" s="53"/>
      <c r="GM788" s="53"/>
      <c r="GN788" s="53"/>
      <c r="GO788" s="53"/>
      <c r="GP788" s="53"/>
      <c r="GQ788" s="53"/>
      <c r="GR788" s="53"/>
      <c r="GS788" s="53"/>
      <c r="GT788" s="53"/>
      <c r="GU788" s="53"/>
      <c r="GV788" s="53"/>
      <c r="GW788" s="53"/>
      <c r="GX788" s="53"/>
      <c r="GY788" s="53"/>
      <c r="GZ788" s="53"/>
      <c r="HA788" s="53"/>
      <c r="HB788" s="53"/>
      <c r="HC788" s="53"/>
      <c r="HD788" s="53"/>
      <c r="HE788" s="53"/>
      <c r="HF788" s="53"/>
      <c r="HG788" s="53"/>
      <c r="HH788" s="53"/>
      <c r="HI788" s="53"/>
      <c r="HJ788" s="53"/>
      <c r="HK788" s="53"/>
      <c r="HL788" s="53"/>
      <c r="HM788" s="53"/>
      <c r="HN788" s="53"/>
      <c r="HO788" s="53"/>
      <c r="HP788" s="53"/>
      <c r="HQ788" s="53"/>
      <c r="HR788" s="53"/>
      <c r="HS788" s="53"/>
      <c r="HT788" s="53"/>
      <c r="HU788" s="53"/>
      <c r="HV788" s="53"/>
      <c r="HW788" s="53"/>
      <c r="HX788" s="53"/>
      <c r="HY788" s="53"/>
      <c r="HZ788" s="53"/>
      <c r="IA788" s="53"/>
    </row>
    <row r="789" spans="1:235" ht="11.25">
      <c r="A789" s="1"/>
      <c r="B789" s="1"/>
      <c r="C789" s="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04"/>
      <c r="O789" s="104"/>
      <c r="P789" s="104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3"/>
      <c r="AV789" s="53"/>
      <c r="AW789" s="53"/>
      <c r="AX789" s="53"/>
      <c r="AY789" s="53"/>
      <c r="AZ789" s="53"/>
      <c r="BA789" s="53"/>
      <c r="BB789" s="53"/>
      <c r="BC789" s="53"/>
      <c r="BD789" s="53"/>
      <c r="BE789" s="53"/>
      <c r="BF789" s="53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3"/>
      <c r="BS789" s="53"/>
      <c r="BT789" s="53"/>
      <c r="BU789" s="53"/>
      <c r="BV789" s="53"/>
      <c r="BW789" s="53"/>
      <c r="BX789" s="53"/>
      <c r="BY789" s="53"/>
      <c r="BZ789" s="53"/>
      <c r="CA789" s="53"/>
      <c r="CB789" s="53"/>
      <c r="CC789" s="53"/>
      <c r="CD789" s="53"/>
      <c r="CE789" s="53"/>
      <c r="CF789" s="53"/>
      <c r="CG789" s="53"/>
      <c r="CH789" s="53"/>
      <c r="CI789" s="53"/>
      <c r="CJ789" s="53"/>
      <c r="CK789" s="53"/>
      <c r="CL789" s="53"/>
      <c r="CM789" s="53"/>
      <c r="CN789" s="53"/>
      <c r="CO789" s="53"/>
      <c r="CP789" s="53"/>
      <c r="CQ789" s="53"/>
      <c r="CR789" s="53"/>
      <c r="CS789" s="53"/>
      <c r="CT789" s="53"/>
      <c r="CU789" s="53"/>
      <c r="CV789" s="53"/>
      <c r="CW789" s="53"/>
      <c r="CX789" s="53"/>
      <c r="CY789" s="53"/>
      <c r="CZ789" s="53"/>
      <c r="DA789" s="53"/>
      <c r="DB789" s="53"/>
      <c r="DC789" s="53"/>
      <c r="DD789" s="53"/>
      <c r="DE789" s="53"/>
      <c r="DF789" s="53"/>
      <c r="DG789" s="53"/>
      <c r="DH789" s="53"/>
      <c r="DI789" s="53"/>
      <c r="DJ789" s="53"/>
      <c r="DK789" s="53"/>
      <c r="DL789" s="53"/>
      <c r="DM789" s="53"/>
      <c r="DN789" s="53"/>
      <c r="DO789" s="53"/>
      <c r="DP789" s="53"/>
      <c r="DQ789" s="53"/>
      <c r="DR789" s="53"/>
      <c r="DS789" s="53"/>
      <c r="DT789" s="53"/>
      <c r="DU789" s="53"/>
      <c r="DV789" s="53"/>
      <c r="DW789" s="53"/>
      <c r="DX789" s="53"/>
      <c r="DY789" s="53"/>
      <c r="DZ789" s="53"/>
      <c r="EA789" s="53"/>
      <c r="EB789" s="53"/>
      <c r="EC789" s="53"/>
      <c r="ED789" s="53"/>
      <c r="EE789" s="53"/>
      <c r="EF789" s="53"/>
      <c r="EG789" s="53"/>
      <c r="EH789" s="53"/>
      <c r="EI789" s="53"/>
      <c r="EJ789" s="53"/>
      <c r="EK789" s="53"/>
      <c r="EL789" s="53"/>
      <c r="EM789" s="53"/>
      <c r="EN789" s="53"/>
      <c r="EO789" s="53"/>
      <c r="EP789" s="53"/>
      <c r="EQ789" s="53"/>
      <c r="ER789" s="53"/>
      <c r="ES789" s="53"/>
      <c r="ET789" s="53"/>
      <c r="EU789" s="53"/>
      <c r="EV789" s="53"/>
      <c r="EW789" s="53"/>
      <c r="EX789" s="53"/>
      <c r="EY789" s="53"/>
      <c r="EZ789" s="53"/>
      <c r="FA789" s="53"/>
      <c r="FB789" s="53"/>
      <c r="FC789" s="53"/>
      <c r="FD789" s="53"/>
      <c r="FE789" s="53"/>
      <c r="FF789" s="53"/>
      <c r="FG789" s="53"/>
      <c r="FH789" s="53"/>
      <c r="FI789" s="53"/>
      <c r="FJ789" s="53"/>
      <c r="FK789" s="53"/>
      <c r="FL789" s="53"/>
      <c r="FM789" s="53"/>
      <c r="FN789" s="53"/>
      <c r="FO789" s="53"/>
      <c r="FP789" s="53"/>
      <c r="FQ789" s="53"/>
      <c r="FR789" s="53"/>
      <c r="FS789" s="53"/>
      <c r="FT789" s="53"/>
      <c r="FU789" s="53"/>
      <c r="FV789" s="53"/>
      <c r="FW789" s="53"/>
      <c r="FX789" s="53"/>
      <c r="FY789" s="53"/>
      <c r="FZ789" s="53"/>
      <c r="GA789" s="53"/>
      <c r="GB789" s="53"/>
      <c r="GC789" s="53"/>
      <c r="GD789" s="53"/>
      <c r="GE789" s="53"/>
      <c r="GF789" s="53"/>
      <c r="GG789" s="53"/>
      <c r="GH789" s="53"/>
      <c r="GI789" s="53"/>
      <c r="GJ789" s="53"/>
      <c r="GK789" s="53"/>
      <c r="GL789" s="53"/>
      <c r="GM789" s="53"/>
      <c r="GN789" s="53"/>
      <c r="GO789" s="53"/>
      <c r="GP789" s="53"/>
      <c r="GQ789" s="53"/>
      <c r="GR789" s="53"/>
      <c r="GS789" s="53"/>
      <c r="GT789" s="53"/>
      <c r="GU789" s="53"/>
      <c r="GV789" s="53"/>
      <c r="GW789" s="53"/>
      <c r="GX789" s="53"/>
      <c r="GY789" s="53"/>
      <c r="GZ789" s="53"/>
      <c r="HA789" s="53"/>
      <c r="HB789" s="53"/>
      <c r="HC789" s="53"/>
      <c r="HD789" s="53"/>
      <c r="HE789" s="53"/>
      <c r="HF789" s="53"/>
      <c r="HG789" s="53"/>
      <c r="HH789" s="53"/>
      <c r="HI789" s="53"/>
      <c r="HJ789" s="53"/>
      <c r="HK789" s="53"/>
      <c r="HL789" s="53"/>
      <c r="HM789" s="53"/>
      <c r="HN789" s="53"/>
      <c r="HO789" s="53"/>
      <c r="HP789" s="53"/>
      <c r="HQ789" s="53"/>
      <c r="HR789" s="53"/>
      <c r="HS789" s="53"/>
      <c r="HT789" s="53"/>
      <c r="HU789" s="53"/>
      <c r="HV789" s="53"/>
      <c r="HW789" s="53"/>
      <c r="HX789" s="53"/>
      <c r="HY789" s="53"/>
      <c r="HZ789" s="53"/>
      <c r="IA789" s="53"/>
    </row>
    <row r="790" spans="1:235" ht="11.25">
      <c r="A790" s="1"/>
      <c r="B790" s="1"/>
      <c r="C790" s="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04"/>
      <c r="O790" s="104"/>
      <c r="P790" s="104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3"/>
      <c r="AV790" s="53"/>
      <c r="AW790" s="53"/>
      <c r="AX790" s="53"/>
      <c r="AY790" s="53"/>
      <c r="AZ790" s="53"/>
      <c r="BA790" s="53"/>
      <c r="BB790" s="53"/>
      <c r="BC790" s="53"/>
      <c r="BD790" s="53"/>
      <c r="BE790" s="53"/>
      <c r="BF790" s="53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3"/>
      <c r="BS790" s="53"/>
      <c r="BT790" s="53"/>
      <c r="BU790" s="53"/>
      <c r="BV790" s="53"/>
      <c r="BW790" s="53"/>
      <c r="BX790" s="53"/>
      <c r="BY790" s="53"/>
      <c r="BZ790" s="53"/>
      <c r="CA790" s="53"/>
      <c r="CB790" s="53"/>
      <c r="CC790" s="53"/>
      <c r="CD790" s="53"/>
      <c r="CE790" s="53"/>
      <c r="CF790" s="53"/>
      <c r="CG790" s="53"/>
      <c r="CH790" s="53"/>
      <c r="CI790" s="53"/>
      <c r="CJ790" s="53"/>
      <c r="CK790" s="53"/>
      <c r="CL790" s="53"/>
      <c r="CM790" s="53"/>
      <c r="CN790" s="53"/>
      <c r="CO790" s="53"/>
      <c r="CP790" s="53"/>
      <c r="CQ790" s="53"/>
      <c r="CR790" s="53"/>
      <c r="CS790" s="53"/>
      <c r="CT790" s="53"/>
      <c r="CU790" s="53"/>
      <c r="CV790" s="53"/>
      <c r="CW790" s="53"/>
      <c r="CX790" s="53"/>
      <c r="CY790" s="53"/>
      <c r="CZ790" s="53"/>
      <c r="DA790" s="53"/>
      <c r="DB790" s="53"/>
      <c r="DC790" s="53"/>
      <c r="DD790" s="53"/>
      <c r="DE790" s="53"/>
      <c r="DF790" s="53"/>
      <c r="DG790" s="53"/>
      <c r="DH790" s="53"/>
      <c r="DI790" s="53"/>
      <c r="DJ790" s="53"/>
      <c r="DK790" s="53"/>
      <c r="DL790" s="53"/>
      <c r="DM790" s="53"/>
      <c r="DN790" s="53"/>
      <c r="DO790" s="53"/>
      <c r="DP790" s="53"/>
      <c r="DQ790" s="53"/>
      <c r="DR790" s="53"/>
      <c r="DS790" s="53"/>
      <c r="DT790" s="53"/>
      <c r="DU790" s="53"/>
      <c r="DV790" s="53"/>
      <c r="DW790" s="53"/>
      <c r="DX790" s="53"/>
      <c r="DY790" s="53"/>
      <c r="DZ790" s="53"/>
      <c r="EA790" s="53"/>
      <c r="EB790" s="53"/>
      <c r="EC790" s="53"/>
      <c r="ED790" s="53"/>
      <c r="EE790" s="53"/>
      <c r="EF790" s="53"/>
      <c r="EG790" s="53"/>
      <c r="EH790" s="53"/>
      <c r="EI790" s="53"/>
      <c r="EJ790" s="53"/>
      <c r="EK790" s="53"/>
      <c r="EL790" s="53"/>
      <c r="EM790" s="53"/>
      <c r="EN790" s="53"/>
      <c r="EO790" s="53"/>
      <c r="EP790" s="53"/>
      <c r="EQ790" s="53"/>
      <c r="ER790" s="53"/>
      <c r="ES790" s="53"/>
      <c r="ET790" s="53"/>
      <c r="EU790" s="53"/>
      <c r="EV790" s="53"/>
      <c r="EW790" s="53"/>
      <c r="EX790" s="53"/>
      <c r="EY790" s="53"/>
      <c r="EZ790" s="53"/>
      <c r="FA790" s="53"/>
      <c r="FB790" s="53"/>
      <c r="FC790" s="53"/>
      <c r="FD790" s="53"/>
      <c r="FE790" s="53"/>
      <c r="FF790" s="53"/>
      <c r="FG790" s="53"/>
      <c r="FH790" s="53"/>
      <c r="FI790" s="53"/>
      <c r="FJ790" s="53"/>
      <c r="FK790" s="53"/>
      <c r="FL790" s="53"/>
      <c r="FM790" s="53"/>
      <c r="FN790" s="53"/>
      <c r="FO790" s="53"/>
      <c r="FP790" s="53"/>
      <c r="FQ790" s="53"/>
      <c r="FR790" s="53"/>
      <c r="FS790" s="53"/>
      <c r="FT790" s="53"/>
      <c r="FU790" s="53"/>
      <c r="FV790" s="53"/>
      <c r="FW790" s="53"/>
      <c r="FX790" s="53"/>
      <c r="FY790" s="53"/>
      <c r="FZ790" s="53"/>
      <c r="GA790" s="53"/>
      <c r="GB790" s="53"/>
      <c r="GC790" s="53"/>
      <c r="GD790" s="53"/>
      <c r="GE790" s="53"/>
      <c r="GF790" s="53"/>
      <c r="GG790" s="53"/>
      <c r="GH790" s="53"/>
      <c r="GI790" s="53"/>
      <c r="GJ790" s="53"/>
      <c r="GK790" s="53"/>
      <c r="GL790" s="53"/>
      <c r="GM790" s="53"/>
      <c r="GN790" s="53"/>
      <c r="GO790" s="53"/>
      <c r="GP790" s="53"/>
      <c r="GQ790" s="53"/>
      <c r="GR790" s="53"/>
      <c r="GS790" s="53"/>
      <c r="GT790" s="53"/>
      <c r="GU790" s="53"/>
      <c r="GV790" s="53"/>
      <c r="GW790" s="53"/>
      <c r="GX790" s="53"/>
      <c r="GY790" s="53"/>
      <c r="GZ790" s="53"/>
      <c r="HA790" s="53"/>
      <c r="HB790" s="53"/>
      <c r="HC790" s="53"/>
      <c r="HD790" s="53"/>
      <c r="HE790" s="53"/>
      <c r="HF790" s="53"/>
      <c r="HG790" s="53"/>
      <c r="HH790" s="53"/>
      <c r="HI790" s="53"/>
      <c r="HJ790" s="53"/>
      <c r="HK790" s="53"/>
      <c r="HL790" s="53"/>
      <c r="HM790" s="53"/>
      <c r="HN790" s="53"/>
      <c r="HO790" s="53"/>
      <c r="HP790" s="53"/>
      <c r="HQ790" s="53"/>
      <c r="HR790" s="53"/>
      <c r="HS790" s="53"/>
      <c r="HT790" s="53"/>
      <c r="HU790" s="53"/>
      <c r="HV790" s="53"/>
      <c r="HW790" s="53"/>
      <c r="HX790" s="53"/>
      <c r="HY790" s="53"/>
      <c r="HZ790" s="53"/>
      <c r="IA790" s="53"/>
    </row>
    <row r="791" spans="1:235" ht="11.25">
      <c r="A791" s="1"/>
      <c r="B791" s="1"/>
      <c r="C791" s="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04"/>
      <c r="O791" s="104"/>
      <c r="P791" s="104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3"/>
      <c r="AV791" s="53"/>
      <c r="AW791" s="53"/>
      <c r="AX791" s="53"/>
      <c r="AY791" s="53"/>
      <c r="AZ791" s="53"/>
      <c r="BA791" s="53"/>
      <c r="BB791" s="53"/>
      <c r="BC791" s="53"/>
      <c r="BD791" s="53"/>
      <c r="BE791" s="53"/>
      <c r="BF791" s="53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3"/>
      <c r="BS791" s="53"/>
      <c r="BT791" s="53"/>
      <c r="BU791" s="53"/>
      <c r="BV791" s="53"/>
      <c r="BW791" s="53"/>
      <c r="BX791" s="53"/>
      <c r="BY791" s="53"/>
      <c r="BZ791" s="53"/>
      <c r="CA791" s="53"/>
      <c r="CB791" s="53"/>
      <c r="CC791" s="53"/>
      <c r="CD791" s="53"/>
      <c r="CE791" s="53"/>
      <c r="CF791" s="53"/>
      <c r="CG791" s="53"/>
      <c r="CH791" s="53"/>
      <c r="CI791" s="53"/>
      <c r="CJ791" s="53"/>
      <c r="CK791" s="53"/>
      <c r="CL791" s="53"/>
      <c r="CM791" s="53"/>
      <c r="CN791" s="53"/>
      <c r="CO791" s="53"/>
      <c r="CP791" s="53"/>
      <c r="CQ791" s="53"/>
      <c r="CR791" s="53"/>
      <c r="CS791" s="53"/>
      <c r="CT791" s="53"/>
      <c r="CU791" s="53"/>
      <c r="CV791" s="53"/>
      <c r="CW791" s="53"/>
      <c r="CX791" s="53"/>
      <c r="CY791" s="53"/>
      <c r="CZ791" s="53"/>
      <c r="DA791" s="53"/>
      <c r="DB791" s="53"/>
      <c r="DC791" s="53"/>
      <c r="DD791" s="53"/>
      <c r="DE791" s="53"/>
      <c r="DF791" s="53"/>
      <c r="DG791" s="53"/>
      <c r="DH791" s="53"/>
      <c r="DI791" s="53"/>
      <c r="DJ791" s="53"/>
      <c r="DK791" s="53"/>
      <c r="DL791" s="53"/>
      <c r="DM791" s="53"/>
      <c r="DN791" s="53"/>
      <c r="DO791" s="53"/>
      <c r="DP791" s="53"/>
      <c r="DQ791" s="53"/>
      <c r="DR791" s="53"/>
      <c r="DS791" s="53"/>
      <c r="DT791" s="53"/>
      <c r="DU791" s="53"/>
      <c r="DV791" s="53"/>
      <c r="DW791" s="53"/>
      <c r="DX791" s="53"/>
      <c r="DY791" s="53"/>
      <c r="DZ791" s="53"/>
      <c r="EA791" s="53"/>
      <c r="EB791" s="53"/>
      <c r="EC791" s="53"/>
      <c r="ED791" s="53"/>
      <c r="EE791" s="53"/>
      <c r="EF791" s="53"/>
      <c r="EG791" s="53"/>
      <c r="EH791" s="53"/>
      <c r="EI791" s="53"/>
      <c r="EJ791" s="53"/>
      <c r="EK791" s="53"/>
      <c r="EL791" s="53"/>
      <c r="EM791" s="53"/>
      <c r="EN791" s="53"/>
      <c r="EO791" s="53"/>
      <c r="EP791" s="53"/>
      <c r="EQ791" s="53"/>
      <c r="ER791" s="53"/>
      <c r="ES791" s="53"/>
      <c r="ET791" s="53"/>
      <c r="EU791" s="53"/>
      <c r="EV791" s="53"/>
      <c r="EW791" s="53"/>
      <c r="EX791" s="53"/>
      <c r="EY791" s="53"/>
      <c r="EZ791" s="53"/>
      <c r="FA791" s="53"/>
      <c r="FB791" s="53"/>
      <c r="FC791" s="53"/>
      <c r="FD791" s="53"/>
      <c r="FE791" s="53"/>
      <c r="FF791" s="53"/>
      <c r="FG791" s="53"/>
      <c r="FH791" s="53"/>
      <c r="FI791" s="53"/>
      <c r="FJ791" s="53"/>
      <c r="FK791" s="53"/>
      <c r="FL791" s="53"/>
      <c r="FM791" s="53"/>
      <c r="FN791" s="53"/>
      <c r="FO791" s="53"/>
      <c r="FP791" s="53"/>
      <c r="FQ791" s="53"/>
      <c r="FR791" s="53"/>
      <c r="FS791" s="53"/>
      <c r="FT791" s="53"/>
      <c r="FU791" s="53"/>
      <c r="FV791" s="53"/>
      <c r="FW791" s="53"/>
      <c r="FX791" s="53"/>
      <c r="FY791" s="53"/>
      <c r="FZ791" s="53"/>
      <c r="GA791" s="53"/>
      <c r="GB791" s="53"/>
      <c r="GC791" s="53"/>
      <c r="GD791" s="53"/>
      <c r="GE791" s="53"/>
      <c r="GF791" s="53"/>
      <c r="GG791" s="53"/>
      <c r="GH791" s="53"/>
      <c r="GI791" s="53"/>
      <c r="GJ791" s="53"/>
      <c r="GK791" s="53"/>
      <c r="GL791" s="53"/>
      <c r="GM791" s="53"/>
      <c r="GN791" s="53"/>
      <c r="GO791" s="53"/>
      <c r="GP791" s="53"/>
      <c r="GQ791" s="53"/>
      <c r="GR791" s="53"/>
      <c r="GS791" s="53"/>
      <c r="GT791" s="53"/>
      <c r="GU791" s="53"/>
      <c r="GV791" s="53"/>
      <c r="GW791" s="53"/>
      <c r="GX791" s="53"/>
      <c r="GY791" s="53"/>
      <c r="GZ791" s="53"/>
      <c r="HA791" s="53"/>
      <c r="HB791" s="53"/>
      <c r="HC791" s="53"/>
      <c r="HD791" s="53"/>
      <c r="HE791" s="53"/>
      <c r="HF791" s="53"/>
      <c r="HG791" s="53"/>
      <c r="HH791" s="53"/>
      <c r="HI791" s="53"/>
      <c r="HJ791" s="53"/>
      <c r="HK791" s="53"/>
      <c r="HL791" s="53"/>
      <c r="HM791" s="53"/>
      <c r="HN791" s="53"/>
      <c r="HO791" s="53"/>
      <c r="HP791" s="53"/>
      <c r="HQ791" s="53"/>
      <c r="HR791" s="53"/>
      <c r="HS791" s="53"/>
      <c r="HT791" s="53"/>
      <c r="HU791" s="53"/>
      <c r="HV791" s="53"/>
      <c r="HW791" s="53"/>
      <c r="HX791" s="53"/>
      <c r="HY791" s="53"/>
      <c r="HZ791" s="53"/>
      <c r="IA791" s="53"/>
    </row>
    <row r="792" spans="1:235" ht="11.25">
      <c r="A792" s="1"/>
      <c r="B792" s="1"/>
      <c r="C792" s="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04"/>
      <c r="O792" s="104"/>
      <c r="P792" s="104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3"/>
      <c r="AV792" s="53"/>
      <c r="AW792" s="53"/>
      <c r="AX792" s="53"/>
      <c r="AY792" s="53"/>
      <c r="AZ792" s="53"/>
      <c r="BA792" s="53"/>
      <c r="BB792" s="53"/>
      <c r="BC792" s="53"/>
      <c r="BD792" s="53"/>
      <c r="BE792" s="53"/>
      <c r="BF792" s="53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3"/>
      <c r="BS792" s="53"/>
      <c r="BT792" s="53"/>
      <c r="BU792" s="53"/>
      <c r="BV792" s="53"/>
      <c r="BW792" s="53"/>
      <c r="BX792" s="53"/>
      <c r="BY792" s="53"/>
      <c r="BZ792" s="53"/>
      <c r="CA792" s="53"/>
      <c r="CB792" s="53"/>
      <c r="CC792" s="53"/>
      <c r="CD792" s="53"/>
      <c r="CE792" s="53"/>
      <c r="CF792" s="53"/>
      <c r="CG792" s="53"/>
      <c r="CH792" s="53"/>
      <c r="CI792" s="53"/>
      <c r="CJ792" s="53"/>
      <c r="CK792" s="53"/>
      <c r="CL792" s="53"/>
      <c r="CM792" s="53"/>
      <c r="CN792" s="53"/>
      <c r="CO792" s="53"/>
      <c r="CP792" s="53"/>
      <c r="CQ792" s="53"/>
      <c r="CR792" s="53"/>
      <c r="CS792" s="53"/>
      <c r="CT792" s="53"/>
      <c r="CU792" s="53"/>
      <c r="CV792" s="53"/>
      <c r="CW792" s="53"/>
      <c r="CX792" s="53"/>
      <c r="CY792" s="53"/>
      <c r="CZ792" s="53"/>
      <c r="DA792" s="53"/>
      <c r="DB792" s="53"/>
      <c r="DC792" s="53"/>
      <c r="DD792" s="53"/>
      <c r="DE792" s="53"/>
      <c r="DF792" s="53"/>
      <c r="DG792" s="53"/>
      <c r="DH792" s="53"/>
      <c r="DI792" s="53"/>
      <c r="DJ792" s="53"/>
      <c r="DK792" s="53"/>
      <c r="DL792" s="53"/>
      <c r="DM792" s="53"/>
      <c r="DN792" s="53"/>
      <c r="DO792" s="53"/>
      <c r="DP792" s="53"/>
      <c r="DQ792" s="53"/>
      <c r="DR792" s="53"/>
      <c r="DS792" s="53"/>
      <c r="DT792" s="53"/>
      <c r="DU792" s="53"/>
      <c r="DV792" s="53"/>
      <c r="DW792" s="53"/>
      <c r="DX792" s="53"/>
      <c r="DY792" s="53"/>
      <c r="DZ792" s="53"/>
      <c r="EA792" s="53"/>
      <c r="EB792" s="53"/>
      <c r="EC792" s="53"/>
      <c r="ED792" s="53"/>
      <c r="EE792" s="53"/>
      <c r="EF792" s="53"/>
      <c r="EG792" s="53"/>
      <c r="EH792" s="53"/>
      <c r="EI792" s="53"/>
      <c r="EJ792" s="53"/>
      <c r="EK792" s="53"/>
      <c r="EL792" s="53"/>
      <c r="EM792" s="53"/>
      <c r="EN792" s="53"/>
      <c r="EO792" s="53"/>
      <c r="EP792" s="53"/>
      <c r="EQ792" s="53"/>
      <c r="ER792" s="53"/>
      <c r="ES792" s="53"/>
      <c r="ET792" s="53"/>
      <c r="EU792" s="53"/>
      <c r="EV792" s="53"/>
      <c r="EW792" s="53"/>
      <c r="EX792" s="53"/>
      <c r="EY792" s="53"/>
      <c r="EZ792" s="53"/>
      <c r="FA792" s="53"/>
      <c r="FB792" s="53"/>
      <c r="FC792" s="53"/>
      <c r="FD792" s="53"/>
      <c r="FE792" s="53"/>
      <c r="FF792" s="53"/>
      <c r="FG792" s="53"/>
      <c r="FH792" s="53"/>
      <c r="FI792" s="53"/>
      <c r="FJ792" s="53"/>
      <c r="FK792" s="53"/>
      <c r="FL792" s="53"/>
      <c r="FM792" s="53"/>
      <c r="FN792" s="53"/>
      <c r="FO792" s="53"/>
      <c r="FP792" s="53"/>
      <c r="FQ792" s="53"/>
      <c r="FR792" s="53"/>
      <c r="FS792" s="53"/>
      <c r="FT792" s="53"/>
      <c r="FU792" s="53"/>
      <c r="FV792" s="53"/>
      <c r="FW792" s="53"/>
      <c r="FX792" s="53"/>
      <c r="FY792" s="53"/>
      <c r="FZ792" s="53"/>
      <c r="GA792" s="53"/>
      <c r="GB792" s="53"/>
      <c r="GC792" s="53"/>
      <c r="GD792" s="53"/>
      <c r="GE792" s="53"/>
      <c r="GF792" s="53"/>
      <c r="GG792" s="53"/>
      <c r="GH792" s="53"/>
      <c r="GI792" s="53"/>
      <c r="GJ792" s="53"/>
      <c r="GK792" s="53"/>
      <c r="GL792" s="53"/>
      <c r="GM792" s="53"/>
      <c r="GN792" s="53"/>
      <c r="GO792" s="53"/>
      <c r="GP792" s="53"/>
      <c r="GQ792" s="53"/>
      <c r="GR792" s="53"/>
      <c r="GS792" s="53"/>
      <c r="GT792" s="53"/>
      <c r="GU792" s="53"/>
      <c r="GV792" s="53"/>
      <c r="GW792" s="53"/>
      <c r="GX792" s="53"/>
      <c r="GY792" s="53"/>
      <c r="GZ792" s="53"/>
      <c r="HA792" s="53"/>
      <c r="HB792" s="53"/>
      <c r="HC792" s="53"/>
      <c r="HD792" s="53"/>
      <c r="HE792" s="53"/>
      <c r="HF792" s="53"/>
      <c r="HG792" s="53"/>
      <c r="HH792" s="53"/>
      <c r="HI792" s="53"/>
      <c r="HJ792" s="53"/>
      <c r="HK792" s="53"/>
      <c r="HL792" s="53"/>
      <c r="HM792" s="53"/>
      <c r="HN792" s="53"/>
      <c r="HO792" s="53"/>
      <c r="HP792" s="53"/>
      <c r="HQ792" s="53"/>
      <c r="HR792" s="53"/>
      <c r="HS792" s="53"/>
      <c r="HT792" s="53"/>
      <c r="HU792" s="53"/>
      <c r="HV792" s="53"/>
      <c r="HW792" s="53"/>
      <c r="HX792" s="53"/>
      <c r="HY792" s="53"/>
      <c r="HZ792" s="53"/>
      <c r="IA792" s="53"/>
    </row>
    <row r="793" spans="1:235" ht="11.25">
      <c r="A793" s="1"/>
      <c r="B793" s="1"/>
      <c r="C793" s="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04"/>
      <c r="O793" s="104"/>
      <c r="P793" s="104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3"/>
      <c r="AV793" s="53"/>
      <c r="AW793" s="53"/>
      <c r="AX793" s="53"/>
      <c r="AY793" s="53"/>
      <c r="AZ793" s="53"/>
      <c r="BA793" s="53"/>
      <c r="BB793" s="53"/>
      <c r="BC793" s="53"/>
      <c r="BD793" s="53"/>
      <c r="BE793" s="53"/>
      <c r="BF793" s="53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3"/>
      <c r="BS793" s="53"/>
      <c r="BT793" s="53"/>
      <c r="BU793" s="53"/>
      <c r="BV793" s="53"/>
      <c r="BW793" s="53"/>
      <c r="BX793" s="53"/>
      <c r="BY793" s="53"/>
      <c r="BZ793" s="53"/>
      <c r="CA793" s="53"/>
      <c r="CB793" s="53"/>
      <c r="CC793" s="53"/>
      <c r="CD793" s="53"/>
      <c r="CE793" s="53"/>
      <c r="CF793" s="53"/>
      <c r="CG793" s="53"/>
      <c r="CH793" s="53"/>
      <c r="CI793" s="53"/>
      <c r="CJ793" s="53"/>
      <c r="CK793" s="53"/>
      <c r="CL793" s="53"/>
      <c r="CM793" s="53"/>
      <c r="CN793" s="53"/>
      <c r="CO793" s="53"/>
      <c r="CP793" s="53"/>
      <c r="CQ793" s="53"/>
      <c r="CR793" s="53"/>
      <c r="CS793" s="53"/>
      <c r="CT793" s="53"/>
      <c r="CU793" s="53"/>
      <c r="CV793" s="53"/>
      <c r="CW793" s="53"/>
      <c r="CX793" s="53"/>
      <c r="CY793" s="53"/>
      <c r="CZ793" s="53"/>
      <c r="DA793" s="53"/>
      <c r="DB793" s="53"/>
      <c r="DC793" s="53"/>
      <c r="DD793" s="53"/>
      <c r="DE793" s="53"/>
      <c r="DF793" s="53"/>
      <c r="DG793" s="53"/>
      <c r="DH793" s="53"/>
      <c r="DI793" s="53"/>
      <c r="DJ793" s="53"/>
      <c r="DK793" s="53"/>
      <c r="DL793" s="53"/>
      <c r="DM793" s="53"/>
      <c r="DN793" s="53"/>
      <c r="DO793" s="53"/>
      <c r="DP793" s="53"/>
      <c r="DQ793" s="53"/>
      <c r="DR793" s="53"/>
      <c r="DS793" s="53"/>
      <c r="DT793" s="53"/>
      <c r="DU793" s="53"/>
      <c r="DV793" s="53"/>
      <c r="DW793" s="53"/>
      <c r="DX793" s="53"/>
      <c r="DY793" s="53"/>
      <c r="DZ793" s="53"/>
      <c r="EA793" s="53"/>
      <c r="EB793" s="53"/>
      <c r="EC793" s="53"/>
      <c r="ED793" s="53"/>
      <c r="EE793" s="53"/>
      <c r="EF793" s="53"/>
      <c r="EG793" s="53"/>
      <c r="EH793" s="53"/>
      <c r="EI793" s="53"/>
      <c r="EJ793" s="53"/>
      <c r="EK793" s="53"/>
      <c r="EL793" s="53"/>
      <c r="EM793" s="53"/>
      <c r="EN793" s="53"/>
      <c r="EO793" s="53"/>
      <c r="EP793" s="53"/>
      <c r="EQ793" s="53"/>
      <c r="ER793" s="53"/>
      <c r="ES793" s="53"/>
      <c r="ET793" s="53"/>
      <c r="EU793" s="53"/>
      <c r="EV793" s="53"/>
      <c r="EW793" s="53"/>
      <c r="EX793" s="53"/>
      <c r="EY793" s="53"/>
      <c r="EZ793" s="53"/>
      <c r="FA793" s="53"/>
      <c r="FB793" s="53"/>
      <c r="FC793" s="53"/>
      <c r="FD793" s="53"/>
      <c r="FE793" s="53"/>
      <c r="FF793" s="53"/>
      <c r="FG793" s="53"/>
      <c r="FH793" s="53"/>
      <c r="FI793" s="53"/>
      <c r="FJ793" s="53"/>
      <c r="FK793" s="53"/>
      <c r="FL793" s="53"/>
      <c r="FM793" s="53"/>
      <c r="FN793" s="53"/>
      <c r="FO793" s="53"/>
      <c r="FP793" s="53"/>
      <c r="FQ793" s="53"/>
      <c r="FR793" s="53"/>
      <c r="FS793" s="53"/>
      <c r="FT793" s="53"/>
      <c r="FU793" s="53"/>
      <c r="FV793" s="53"/>
      <c r="FW793" s="53"/>
      <c r="FX793" s="53"/>
      <c r="FY793" s="53"/>
      <c r="FZ793" s="53"/>
      <c r="GA793" s="53"/>
      <c r="GB793" s="53"/>
      <c r="GC793" s="53"/>
      <c r="GD793" s="53"/>
      <c r="GE793" s="53"/>
      <c r="GF793" s="53"/>
      <c r="GG793" s="53"/>
      <c r="GH793" s="53"/>
      <c r="GI793" s="53"/>
      <c r="GJ793" s="53"/>
      <c r="GK793" s="53"/>
      <c r="GL793" s="53"/>
      <c r="GM793" s="53"/>
      <c r="GN793" s="53"/>
      <c r="GO793" s="53"/>
      <c r="GP793" s="53"/>
      <c r="GQ793" s="53"/>
      <c r="GR793" s="53"/>
      <c r="GS793" s="53"/>
      <c r="GT793" s="53"/>
      <c r="GU793" s="53"/>
      <c r="GV793" s="53"/>
      <c r="GW793" s="53"/>
      <c r="GX793" s="53"/>
      <c r="GY793" s="53"/>
      <c r="GZ793" s="53"/>
      <c r="HA793" s="53"/>
      <c r="HB793" s="53"/>
      <c r="HC793" s="53"/>
      <c r="HD793" s="53"/>
      <c r="HE793" s="53"/>
      <c r="HF793" s="53"/>
      <c r="HG793" s="53"/>
      <c r="HH793" s="53"/>
      <c r="HI793" s="53"/>
      <c r="HJ793" s="53"/>
      <c r="HK793" s="53"/>
      <c r="HL793" s="53"/>
      <c r="HM793" s="53"/>
      <c r="HN793" s="53"/>
      <c r="HO793" s="53"/>
      <c r="HP793" s="53"/>
      <c r="HQ793" s="53"/>
      <c r="HR793" s="53"/>
      <c r="HS793" s="53"/>
      <c r="HT793" s="53"/>
      <c r="HU793" s="53"/>
      <c r="HV793" s="53"/>
      <c r="HW793" s="53"/>
      <c r="HX793" s="53"/>
      <c r="HY793" s="53"/>
      <c r="HZ793" s="53"/>
      <c r="IA793" s="53"/>
    </row>
    <row r="794" spans="1:235" ht="11.25">
      <c r="A794" s="1"/>
      <c r="B794" s="1"/>
      <c r="C794" s="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04"/>
      <c r="O794" s="104"/>
      <c r="P794" s="104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3"/>
      <c r="AV794" s="53"/>
      <c r="AW794" s="53"/>
      <c r="AX794" s="53"/>
      <c r="AY794" s="53"/>
      <c r="AZ794" s="53"/>
      <c r="BA794" s="53"/>
      <c r="BB794" s="53"/>
      <c r="BC794" s="53"/>
      <c r="BD794" s="53"/>
      <c r="BE794" s="53"/>
      <c r="BF794" s="53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3"/>
      <c r="BS794" s="53"/>
      <c r="BT794" s="53"/>
      <c r="BU794" s="53"/>
      <c r="BV794" s="53"/>
      <c r="BW794" s="53"/>
      <c r="BX794" s="53"/>
      <c r="BY794" s="53"/>
      <c r="BZ794" s="53"/>
      <c r="CA794" s="53"/>
      <c r="CB794" s="53"/>
      <c r="CC794" s="53"/>
      <c r="CD794" s="53"/>
      <c r="CE794" s="53"/>
      <c r="CF794" s="53"/>
      <c r="CG794" s="53"/>
      <c r="CH794" s="53"/>
      <c r="CI794" s="53"/>
      <c r="CJ794" s="53"/>
      <c r="CK794" s="53"/>
      <c r="CL794" s="53"/>
      <c r="CM794" s="53"/>
      <c r="CN794" s="53"/>
      <c r="CO794" s="53"/>
      <c r="CP794" s="53"/>
      <c r="CQ794" s="53"/>
      <c r="CR794" s="53"/>
      <c r="CS794" s="53"/>
      <c r="CT794" s="53"/>
      <c r="CU794" s="53"/>
      <c r="CV794" s="53"/>
      <c r="CW794" s="53"/>
      <c r="CX794" s="53"/>
      <c r="CY794" s="53"/>
      <c r="CZ794" s="53"/>
      <c r="DA794" s="53"/>
      <c r="DB794" s="53"/>
      <c r="DC794" s="53"/>
      <c r="DD794" s="53"/>
      <c r="DE794" s="53"/>
      <c r="DF794" s="53"/>
      <c r="DG794" s="53"/>
      <c r="DH794" s="53"/>
      <c r="DI794" s="53"/>
      <c r="DJ794" s="53"/>
      <c r="DK794" s="53"/>
      <c r="DL794" s="53"/>
      <c r="DM794" s="53"/>
      <c r="DN794" s="53"/>
      <c r="DO794" s="53"/>
      <c r="DP794" s="53"/>
      <c r="DQ794" s="53"/>
      <c r="DR794" s="53"/>
      <c r="DS794" s="53"/>
      <c r="DT794" s="53"/>
      <c r="DU794" s="53"/>
      <c r="DV794" s="53"/>
      <c r="DW794" s="53"/>
      <c r="DX794" s="53"/>
      <c r="DY794" s="53"/>
      <c r="DZ794" s="53"/>
      <c r="EA794" s="53"/>
      <c r="EB794" s="53"/>
      <c r="EC794" s="53"/>
      <c r="ED794" s="53"/>
      <c r="EE794" s="53"/>
      <c r="EF794" s="53"/>
      <c r="EG794" s="53"/>
      <c r="EH794" s="53"/>
      <c r="EI794" s="53"/>
      <c r="EJ794" s="53"/>
      <c r="EK794" s="53"/>
      <c r="EL794" s="53"/>
      <c r="EM794" s="53"/>
      <c r="EN794" s="53"/>
      <c r="EO794" s="53"/>
      <c r="EP794" s="53"/>
      <c r="EQ794" s="53"/>
      <c r="ER794" s="53"/>
      <c r="ES794" s="53"/>
      <c r="ET794" s="53"/>
      <c r="EU794" s="53"/>
      <c r="EV794" s="53"/>
      <c r="EW794" s="53"/>
      <c r="EX794" s="53"/>
      <c r="EY794" s="53"/>
      <c r="EZ794" s="53"/>
      <c r="FA794" s="53"/>
      <c r="FB794" s="53"/>
      <c r="FC794" s="53"/>
      <c r="FD794" s="53"/>
      <c r="FE794" s="53"/>
      <c r="FF794" s="53"/>
      <c r="FG794" s="53"/>
      <c r="FH794" s="53"/>
      <c r="FI794" s="53"/>
      <c r="FJ794" s="53"/>
      <c r="FK794" s="53"/>
      <c r="FL794" s="53"/>
      <c r="FM794" s="53"/>
      <c r="FN794" s="53"/>
      <c r="FO794" s="53"/>
      <c r="FP794" s="53"/>
      <c r="FQ794" s="53"/>
      <c r="FR794" s="53"/>
      <c r="FS794" s="53"/>
      <c r="FT794" s="53"/>
      <c r="FU794" s="53"/>
      <c r="FV794" s="53"/>
      <c r="FW794" s="53"/>
      <c r="FX794" s="53"/>
      <c r="FY794" s="53"/>
      <c r="FZ794" s="53"/>
      <c r="GA794" s="53"/>
      <c r="GB794" s="53"/>
      <c r="GC794" s="53"/>
      <c r="GD794" s="53"/>
      <c r="GE794" s="53"/>
      <c r="GF794" s="53"/>
      <c r="GG794" s="53"/>
      <c r="GH794" s="53"/>
      <c r="GI794" s="53"/>
      <c r="GJ794" s="53"/>
      <c r="GK794" s="53"/>
      <c r="GL794" s="53"/>
      <c r="GM794" s="53"/>
      <c r="GN794" s="53"/>
      <c r="GO794" s="53"/>
      <c r="GP794" s="53"/>
      <c r="GQ794" s="53"/>
      <c r="GR794" s="53"/>
      <c r="GS794" s="53"/>
      <c r="GT794" s="53"/>
      <c r="GU794" s="53"/>
      <c r="GV794" s="53"/>
      <c r="GW794" s="53"/>
      <c r="GX794" s="53"/>
      <c r="GY794" s="53"/>
      <c r="GZ794" s="53"/>
      <c r="HA794" s="53"/>
      <c r="HB794" s="53"/>
      <c r="HC794" s="53"/>
      <c r="HD794" s="53"/>
      <c r="HE794" s="53"/>
      <c r="HF794" s="53"/>
      <c r="HG794" s="53"/>
      <c r="HH794" s="53"/>
      <c r="HI794" s="53"/>
      <c r="HJ794" s="53"/>
      <c r="HK794" s="53"/>
      <c r="HL794" s="53"/>
      <c r="HM794" s="53"/>
      <c r="HN794" s="53"/>
      <c r="HO794" s="53"/>
      <c r="HP794" s="53"/>
      <c r="HQ794" s="53"/>
      <c r="HR794" s="53"/>
      <c r="HS794" s="53"/>
      <c r="HT794" s="53"/>
      <c r="HU794" s="53"/>
      <c r="HV794" s="53"/>
      <c r="HW794" s="53"/>
      <c r="HX794" s="53"/>
      <c r="HY794" s="53"/>
      <c r="HZ794" s="53"/>
      <c r="IA794" s="53"/>
    </row>
    <row r="795" spans="1:235" ht="11.25">
      <c r="A795" s="1"/>
      <c r="B795" s="1"/>
      <c r="C795" s="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04"/>
      <c r="O795" s="104"/>
      <c r="P795" s="104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3"/>
      <c r="AV795" s="53"/>
      <c r="AW795" s="53"/>
      <c r="AX795" s="53"/>
      <c r="AY795" s="53"/>
      <c r="AZ795" s="53"/>
      <c r="BA795" s="53"/>
      <c r="BB795" s="53"/>
      <c r="BC795" s="53"/>
      <c r="BD795" s="53"/>
      <c r="BE795" s="53"/>
      <c r="BF795" s="53"/>
      <c r="BG795" s="53"/>
      <c r="BH795" s="53"/>
      <c r="BI795" s="53"/>
      <c r="BJ795" s="53"/>
      <c r="BK795" s="53"/>
      <c r="BL795" s="53"/>
      <c r="BM795" s="53"/>
      <c r="BN795" s="53"/>
      <c r="BO795" s="53"/>
      <c r="BP795" s="53"/>
      <c r="BQ795" s="53"/>
      <c r="BR795" s="53"/>
      <c r="BS795" s="53"/>
      <c r="BT795" s="53"/>
      <c r="BU795" s="53"/>
      <c r="BV795" s="53"/>
      <c r="BW795" s="53"/>
      <c r="BX795" s="53"/>
      <c r="BY795" s="53"/>
      <c r="BZ795" s="53"/>
      <c r="CA795" s="53"/>
      <c r="CB795" s="53"/>
      <c r="CC795" s="53"/>
      <c r="CD795" s="53"/>
      <c r="CE795" s="53"/>
      <c r="CF795" s="53"/>
      <c r="CG795" s="53"/>
      <c r="CH795" s="53"/>
      <c r="CI795" s="53"/>
      <c r="CJ795" s="53"/>
      <c r="CK795" s="53"/>
      <c r="CL795" s="53"/>
      <c r="CM795" s="53"/>
      <c r="CN795" s="53"/>
      <c r="CO795" s="53"/>
      <c r="CP795" s="53"/>
      <c r="CQ795" s="53"/>
      <c r="CR795" s="53"/>
      <c r="CS795" s="53"/>
      <c r="CT795" s="53"/>
      <c r="CU795" s="53"/>
      <c r="CV795" s="53"/>
      <c r="CW795" s="53"/>
      <c r="CX795" s="53"/>
      <c r="CY795" s="53"/>
      <c r="CZ795" s="53"/>
      <c r="DA795" s="53"/>
      <c r="DB795" s="53"/>
      <c r="DC795" s="53"/>
      <c r="DD795" s="53"/>
      <c r="DE795" s="53"/>
      <c r="DF795" s="53"/>
      <c r="DG795" s="53"/>
      <c r="DH795" s="53"/>
      <c r="DI795" s="53"/>
      <c r="DJ795" s="53"/>
      <c r="DK795" s="53"/>
      <c r="DL795" s="53"/>
      <c r="DM795" s="53"/>
      <c r="DN795" s="53"/>
      <c r="DO795" s="53"/>
      <c r="DP795" s="53"/>
      <c r="DQ795" s="53"/>
      <c r="DR795" s="53"/>
      <c r="DS795" s="53"/>
      <c r="DT795" s="53"/>
      <c r="DU795" s="53"/>
      <c r="DV795" s="53"/>
      <c r="DW795" s="53"/>
      <c r="DX795" s="53"/>
      <c r="DY795" s="53"/>
      <c r="DZ795" s="53"/>
      <c r="EA795" s="53"/>
      <c r="EB795" s="53"/>
      <c r="EC795" s="53"/>
      <c r="ED795" s="53"/>
      <c r="EE795" s="53"/>
      <c r="EF795" s="53"/>
      <c r="EG795" s="53"/>
      <c r="EH795" s="53"/>
      <c r="EI795" s="53"/>
      <c r="EJ795" s="53"/>
      <c r="EK795" s="53"/>
      <c r="EL795" s="53"/>
      <c r="EM795" s="53"/>
      <c r="EN795" s="53"/>
      <c r="EO795" s="53"/>
      <c r="EP795" s="53"/>
      <c r="EQ795" s="53"/>
      <c r="ER795" s="53"/>
      <c r="ES795" s="53"/>
      <c r="ET795" s="53"/>
      <c r="EU795" s="53"/>
      <c r="EV795" s="53"/>
      <c r="EW795" s="53"/>
      <c r="EX795" s="53"/>
      <c r="EY795" s="53"/>
      <c r="EZ795" s="53"/>
      <c r="FA795" s="53"/>
      <c r="FB795" s="53"/>
      <c r="FC795" s="53"/>
      <c r="FD795" s="53"/>
      <c r="FE795" s="53"/>
      <c r="FF795" s="53"/>
      <c r="FG795" s="53"/>
      <c r="FH795" s="53"/>
      <c r="FI795" s="53"/>
      <c r="FJ795" s="53"/>
      <c r="FK795" s="53"/>
      <c r="FL795" s="53"/>
      <c r="FM795" s="53"/>
      <c r="FN795" s="53"/>
      <c r="FO795" s="53"/>
      <c r="FP795" s="53"/>
      <c r="FQ795" s="53"/>
      <c r="FR795" s="53"/>
      <c r="FS795" s="53"/>
      <c r="FT795" s="53"/>
      <c r="FU795" s="53"/>
      <c r="FV795" s="53"/>
      <c r="FW795" s="53"/>
      <c r="FX795" s="53"/>
      <c r="FY795" s="53"/>
      <c r="FZ795" s="53"/>
      <c r="GA795" s="53"/>
      <c r="GB795" s="53"/>
      <c r="GC795" s="53"/>
      <c r="GD795" s="53"/>
      <c r="GE795" s="53"/>
      <c r="GF795" s="53"/>
      <c r="GG795" s="53"/>
      <c r="GH795" s="53"/>
      <c r="GI795" s="53"/>
      <c r="GJ795" s="53"/>
      <c r="GK795" s="53"/>
      <c r="GL795" s="53"/>
      <c r="GM795" s="53"/>
      <c r="GN795" s="53"/>
      <c r="GO795" s="53"/>
      <c r="GP795" s="53"/>
      <c r="GQ795" s="53"/>
      <c r="GR795" s="53"/>
      <c r="GS795" s="53"/>
      <c r="GT795" s="53"/>
      <c r="GU795" s="53"/>
      <c r="GV795" s="53"/>
      <c r="GW795" s="53"/>
      <c r="GX795" s="53"/>
      <c r="GY795" s="53"/>
      <c r="GZ795" s="53"/>
      <c r="HA795" s="53"/>
      <c r="HB795" s="53"/>
      <c r="HC795" s="53"/>
      <c r="HD795" s="53"/>
      <c r="HE795" s="53"/>
      <c r="HF795" s="53"/>
      <c r="HG795" s="53"/>
      <c r="HH795" s="53"/>
      <c r="HI795" s="53"/>
      <c r="HJ795" s="53"/>
      <c r="HK795" s="53"/>
      <c r="HL795" s="53"/>
      <c r="HM795" s="53"/>
      <c r="HN795" s="53"/>
      <c r="HO795" s="53"/>
      <c r="HP795" s="53"/>
      <c r="HQ795" s="53"/>
      <c r="HR795" s="53"/>
      <c r="HS795" s="53"/>
      <c r="HT795" s="53"/>
      <c r="HU795" s="53"/>
      <c r="HV795" s="53"/>
      <c r="HW795" s="53"/>
      <c r="HX795" s="53"/>
      <c r="HY795" s="53"/>
      <c r="HZ795" s="53"/>
      <c r="IA795" s="53"/>
    </row>
    <row r="796" spans="1:235" ht="11.25">
      <c r="A796" s="1"/>
      <c r="B796" s="1"/>
      <c r="C796" s="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04"/>
      <c r="O796" s="104"/>
      <c r="P796" s="104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3"/>
      <c r="AV796" s="53"/>
      <c r="AW796" s="53"/>
      <c r="AX796" s="53"/>
      <c r="AY796" s="53"/>
      <c r="AZ796" s="53"/>
      <c r="BA796" s="53"/>
      <c r="BB796" s="53"/>
      <c r="BC796" s="53"/>
      <c r="BD796" s="53"/>
      <c r="BE796" s="53"/>
      <c r="BF796" s="53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3"/>
      <c r="BS796" s="53"/>
      <c r="BT796" s="53"/>
      <c r="BU796" s="53"/>
      <c r="BV796" s="53"/>
      <c r="BW796" s="53"/>
      <c r="BX796" s="53"/>
      <c r="BY796" s="53"/>
      <c r="BZ796" s="53"/>
      <c r="CA796" s="53"/>
      <c r="CB796" s="53"/>
      <c r="CC796" s="53"/>
      <c r="CD796" s="53"/>
      <c r="CE796" s="53"/>
      <c r="CF796" s="53"/>
      <c r="CG796" s="53"/>
      <c r="CH796" s="53"/>
      <c r="CI796" s="53"/>
      <c r="CJ796" s="53"/>
      <c r="CK796" s="53"/>
      <c r="CL796" s="53"/>
      <c r="CM796" s="53"/>
      <c r="CN796" s="53"/>
      <c r="CO796" s="53"/>
      <c r="CP796" s="53"/>
      <c r="CQ796" s="53"/>
      <c r="CR796" s="53"/>
      <c r="CS796" s="53"/>
      <c r="CT796" s="53"/>
      <c r="CU796" s="53"/>
      <c r="CV796" s="53"/>
      <c r="CW796" s="53"/>
      <c r="CX796" s="53"/>
      <c r="CY796" s="53"/>
      <c r="CZ796" s="53"/>
      <c r="DA796" s="53"/>
      <c r="DB796" s="53"/>
      <c r="DC796" s="53"/>
      <c r="DD796" s="53"/>
      <c r="DE796" s="53"/>
      <c r="DF796" s="53"/>
      <c r="DG796" s="53"/>
      <c r="DH796" s="53"/>
      <c r="DI796" s="53"/>
      <c r="DJ796" s="53"/>
      <c r="DK796" s="53"/>
      <c r="DL796" s="53"/>
      <c r="DM796" s="53"/>
      <c r="DN796" s="53"/>
      <c r="DO796" s="53"/>
      <c r="DP796" s="53"/>
      <c r="DQ796" s="53"/>
      <c r="DR796" s="53"/>
      <c r="DS796" s="53"/>
      <c r="DT796" s="53"/>
      <c r="DU796" s="53"/>
      <c r="DV796" s="53"/>
      <c r="DW796" s="53"/>
      <c r="DX796" s="53"/>
      <c r="DY796" s="53"/>
      <c r="DZ796" s="53"/>
      <c r="EA796" s="53"/>
      <c r="EB796" s="53"/>
      <c r="EC796" s="53"/>
      <c r="ED796" s="53"/>
      <c r="EE796" s="53"/>
      <c r="EF796" s="53"/>
      <c r="EG796" s="53"/>
      <c r="EH796" s="53"/>
      <c r="EI796" s="53"/>
      <c r="EJ796" s="53"/>
      <c r="EK796" s="53"/>
      <c r="EL796" s="53"/>
      <c r="EM796" s="53"/>
      <c r="EN796" s="53"/>
      <c r="EO796" s="53"/>
      <c r="EP796" s="53"/>
      <c r="EQ796" s="53"/>
      <c r="ER796" s="53"/>
      <c r="ES796" s="53"/>
      <c r="ET796" s="53"/>
      <c r="EU796" s="53"/>
      <c r="EV796" s="53"/>
      <c r="EW796" s="53"/>
      <c r="EX796" s="53"/>
      <c r="EY796" s="53"/>
      <c r="EZ796" s="53"/>
      <c r="FA796" s="53"/>
      <c r="FB796" s="53"/>
      <c r="FC796" s="53"/>
      <c r="FD796" s="53"/>
      <c r="FE796" s="53"/>
      <c r="FF796" s="53"/>
      <c r="FG796" s="53"/>
      <c r="FH796" s="53"/>
      <c r="FI796" s="53"/>
      <c r="FJ796" s="53"/>
      <c r="FK796" s="53"/>
      <c r="FL796" s="53"/>
      <c r="FM796" s="53"/>
      <c r="FN796" s="53"/>
      <c r="FO796" s="53"/>
      <c r="FP796" s="53"/>
      <c r="FQ796" s="53"/>
      <c r="FR796" s="53"/>
      <c r="FS796" s="53"/>
      <c r="FT796" s="53"/>
      <c r="FU796" s="53"/>
      <c r="FV796" s="53"/>
      <c r="FW796" s="53"/>
      <c r="FX796" s="53"/>
      <c r="FY796" s="53"/>
      <c r="FZ796" s="53"/>
      <c r="GA796" s="53"/>
      <c r="GB796" s="53"/>
      <c r="GC796" s="53"/>
      <c r="GD796" s="53"/>
      <c r="GE796" s="53"/>
      <c r="GF796" s="53"/>
      <c r="GG796" s="53"/>
      <c r="GH796" s="53"/>
      <c r="GI796" s="53"/>
      <c r="GJ796" s="53"/>
      <c r="GK796" s="53"/>
      <c r="GL796" s="53"/>
      <c r="GM796" s="53"/>
      <c r="GN796" s="53"/>
      <c r="GO796" s="53"/>
      <c r="GP796" s="53"/>
      <c r="GQ796" s="53"/>
      <c r="GR796" s="53"/>
      <c r="GS796" s="53"/>
      <c r="GT796" s="53"/>
      <c r="GU796" s="53"/>
      <c r="GV796" s="53"/>
      <c r="GW796" s="53"/>
      <c r="GX796" s="53"/>
      <c r="GY796" s="53"/>
      <c r="GZ796" s="53"/>
      <c r="HA796" s="53"/>
      <c r="HB796" s="53"/>
      <c r="HC796" s="53"/>
      <c r="HD796" s="53"/>
      <c r="HE796" s="53"/>
      <c r="HF796" s="53"/>
      <c r="HG796" s="53"/>
      <c r="HH796" s="53"/>
      <c r="HI796" s="53"/>
      <c r="HJ796" s="53"/>
      <c r="HK796" s="53"/>
      <c r="HL796" s="53"/>
      <c r="HM796" s="53"/>
      <c r="HN796" s="53"/>
      <c r="HO796" s="53"/>
      <c r="HP796" s="53"/>
      <c r="HQ796" s="53"/>
      <c r="HR796" s="53"/>
      <c r="HS796" s="53"/>
      <c r="HT796" s="53"/>
      <c r="HU796" s="53"/>
      <c r="HV796" s="53"/>
      <c r="HW796" s="53"/>
      <c r="HX796" s="53"/>
      <c r="HY796" s="53"/>
      <c r="HZ796" s="53"/>
      <c r="IA796" s="53"/>
    </row>
    <row r="797" spans="1:235" ht="11.25">
      <c r="A797" s="1"/>
      <c r="B797" s="1"/>
      <c r="C797" s="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04"/>
      <c r="O797" s="104"/>
      <c r="P797" s="104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3"/>
      <c r="AV797" s="53"/>
      <c r="AW797" s="53"/>
      <c r="AX797" s="53"/>
      <c r="AY797" s="53"/>
      <c r="AZ797" s="53"/>
      <c r="BA797" s="53"/>
      <c r="BB797" s="53"/>
      <c r="BC797" s="53"/>
      <c r="BD797" s="53"/>
      <c r="BE797" s="53"/>
      <c r="BF797" s="53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3"/>
      <c r="BS797" s="53"/>
      <c r="BT797" s="53"/>
      <c r="BU797" s="53"/>
      <c r="BV797" s="53"/>
      <c r="BW797" s="53"/>
      <c r="BX797" s="53"/>
      <c r="BY797" s="53"/>
      <c r="BZ797" s="53"/>
      <c r="CA797" s="53"/>
      <c r="CB797" s="53"/>
      <c r="CC797" s="53"/>
      <c r="CD797" s="53"/>
      <c r="CE797" s="53"/>
      <c r="CF797" s="53"/>
      <c r="CG797" s="53"/>
      <c r="CH797" s="53"/>
      <c r="CI797" s="53"/>
      <c r="CJ797" s="53"/>
      <c r="CK797" s="53"/>
      <c r="CL797" s="53"/>
      <c r="CM797" s="53"/>
      <c r="CN797" s="53"/>
      <c r="CO797" s="53"/>
      <c r="CP797" s="53"/>
      <c r="CQ797" s="53"/>
      <c r="CR797" s="53"/>
      <c r="CS797" s="53"/>
      <c r="CT797" s="53"/>
      <c r="CU797" s="53"/>
      <c r="CV797" s="53"/>
      <c r="CW797" s="53"/>
      <c r="CX797" s="53"/>
      <c r="CY797" s="53"/>
      <c r="CZ797" s="53"/>
      <c r="DA797" s="53"/>
      <c r="DB797" s="53"/>
      <c r="DC797" s="53"/>
      <c r="DD797" s="53"/>
      <c r="DE797" s="53"/>
      <c r="DF797" s="53"/>
      <c r="DG797" s="53"/>
      <c r="DH797" s="53"/>
      <c r="DI797" s="53"/>
      <c r="DJ797" s="53"/>
      <c r="DK797" s="53"/>
      <c r="DL797" s="53"/>
      <c r="DM797" s="53"/>
      <c r="DN797" s="53"/>
      <c r="DO797" s="53"/>
      <c r="DP797" s="53"/>
      <c r="DQ797" s="53"/>
      <c r="DR797" s="53"/>
      <c r="DS797" s="53"/>
      <c r="DT797" s="53"/>
      <c r="DU797" s="53"/>
      <c r="DV797" s="53"/>
      <c r="DW797" s="53"/>
      <c r="DX797" s="53"/>
      <c r="DY797" s="53"/>
      <c r="DZ797" s="53"/>
      <c r="EA797" s="53"/>
      <c r="EB797" s="53"/>
      <c r="EC797" s="53"/>
      <c r="ED797" s="53"/>
      <c r="EE797" s="53"/>
      <c r="EF797" s="53"/>
      <c r="EG797" s="53"/>
      <c r="EH797" s="53"/>
      <c r="EI797" s="53"/>
      <c r="EJ797" s="53"/>
      <c r="EK797" s="53"/>
      <c r="EL797" s="53"/>
      <c r="EM797" s="53"/>
      <c r="EN797" s="53"/>
      <c r="EO797" s="53"/>
      <c r="EP797" s="53"/>
      <c r="EQ797" s="53"/>
      <c r="ER797" s="53"/>
      <c r="ES797" s="53"/>
      <c r="ET797" s="53"/>
      <c r="EU797" s="53"/>
      <c r="EV797" s="53"/>
      <c r="EW797" s="53"/>
      <c r="EX797" s="53"/>
      <c r="EY797" s="53"/>
      <c r="EZ797" s="53"/>
      <c r="FA797" s="53"/>
      <c r="FB797" s="53"/>
      <c r="FC797" s="53"/>
      <c r="FD797" s="53"/>
      <c r="FE797" s="53"/>
      <c r="FF797" s="53"/>
      <c r="FG797" s="53"/>
      <c r="FH797" s="53"/>
      <c r="FI797" s="53"/>
      <c r="FJ797" s="53"/>
      <c r="FK797" s="53"/>
      <c r="FL797" s="53"/>
      <c r="FM797" s="53"/>
      <c r="FN797" s="53"/>
      <c r="FO797" s="53"/>
      <c r="FP797" s="53"/>
      <c r="FQ797" s="53"/>
      <c r="FR797" s="53"/>
      <c r="FS797" s="53"/>
      <c r="FT797" s="53"/>
      <c r="FU797" s="53"/>
      <c r="FV797" s="53"/>
      <c r="FW797" s="53"/>
      <c r="FX797" s="53"/>
      <c r="FY797" s="53"/>
      <c r="FZ797" s="53"/>
      <c r="GA797" s="53"/>
      <c r="GB797" s="53"/>
      <c r="GC797" s="53"/>
      <c r="GD797" s="53"/>
      <c r="GE797" s="53"/>
      <c r="GF797" s="53"/>
      <c r="GG797" s="53"/>
      <c r="GH797" s="53"/>
      <c r="GI797" s="53"/>
      <c r="GJ797" s="53"/>
      <c r="GK797" s="53"/>
      <c r="GL797" s="53"/>
      <c r="GM797" s="53"/>
      <c r="GN797" s="53"/>
      <c r="GO797" s="53"/>
      <c r="GP797" s="53"/>
      <c r="GQ797" s="53"/>
      <c r="GR797" s="53"/>
      <c r="GS797" s="53"/>
      <c r="GT797" s="53"/>
      <c r="GU797" s="53"/>
      <c r="GV797" s="53"/>
      <c r="GW797" s="53"/>
      <c r="GX797" s="53"/>
      <c r="GY797" s="53"/>
      <c r="GZ797" s="53"/>
      <c r="HA797" s="53"/>
      <c r="HB797" s="53"/>
      <c r="HC797" s="53"/>
      <c r="HD797" s="53"/>
      <c r="HE797" s="53"/>
      <c r="HF797" s="53"/>
      <c r="HG797" s="53"/>
      <c r="HH797" s="53"/>
      <c r="HI797" s="53"/>
      <c r="HJ797" s="53"/>
      <c r="HK797" s="53"/>
      <c r="HL797" s="53"/>
      <c r="HM797" s="53"/>
      <c r="HN797" s="53"/>
      <c r="HO797" s="53"/>
      <c r="HP797" s="53"/>
      <c r="HQ797" s="53"/>
      <c r="HR797" s="53"/>
      <c r="HS797" s="53"/>
      <c r="HT797" s="53"/>
      <c r="HU797" s="53"/>
      <c r="HV797" s="53"/>
      <c r="HW797" s="53"/>
      <c r="HX797" s="53"/>
      <c r="HY797" s="53"/>
      <c r="HZ797" s="53"/>
      <c r="IA797" s="53"/>
    </row>
    <row r="798" spans="1:235" ht="11.25">
      <c r="A798" s="1"/>
      <c r="B798" s="1"/>
      <c r="C798" s="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04"/>
      <c r="O798" s="104"/>
      <c r="P798" s="104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3"/>
      <c r="AV798" s="53"/>
      <c r="AW798" s="53"/>
      <c r="AX798" s="53"/>
      <c r="AY798" s="53"/>
      <c r="AZ798" s="53"/>
      <c r="BA798" s="53"/>
      <c r="BB798" s="53"/>
      <c r="BC798" s="53"/>
      <c r="BD798" s="53"/>
      <c r="BE798" s="53"/>
      <c r="BF798" s="53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3"/>
      <c r="BS798" s="53"/>
      <c r="BT798" s="53"/>
      <c r="BU798" s="53"/>
      <c r="BV798" s="53"/>
      <c r="BW798" s="53"/>
      <c r="BX798" s="53"/>
      <c r="BY798" s="53"/>
      <c r="BZ798" s="53"/>
      <c r="CA798" s="53"/>
      <c r="CB798" s="53"/>
      <c r="CC798" s="53"/>
      <c r="CD798" s="53"/>
      <c r="CE798" s="53"/>
      <c r="CF798" s="53"/>
      <c r="CG798" s="53"/>
      <c r="CH798" s="53"/>
      <c r="CI798" s="53"/>
      <c r="CJ798" s="53"/>
      <c r="CK798" s="53"/>
      <c r="CL798" s="53"/>
      <c r="CM798" s="53"/>
      <c r="CN798" s="53"/>
      <c r="CO798" s="53"/>
      <c r="CP798" s="53"/>
      <c r="CQ798" s="53"/>
      <c r="CR798" s="53"/>
      <c r="CS798" s="53"/>
      <c r="CT798" s="53"/>
      <c r="CU798" s="53"/>
      <c r="CV798" s="53"/>
      <c r="CW798" s="53"/>
      <c r="CX798" s="53"/>
      <c r="CY798" s="53"/>
      <c r="CZ798" s="53"/>
      <c r="DA798" s="53"/>
      <c r="DB798" s="53"/>
      <c r="DC798" s="53"/>
      <c r="DD798" s="53"/>
      <c r="DE798" s="53"/>
      <c r="DF798" s="53"/>
      <c r="DG798" s="53"/>
      <c r="DH798" s="53"/>
      <c r="DI798" s="53"/>
      <c r="DJ798" s="53"/>
      <c r="DK798" s="53"/>
      <c r="DL798" s="53"/>
      <c r="DM798" s="53"/>
      <c r="DN798" s="53"/>
      <c r="DO798" s="53"/>
      <c r="DP798" s="53"/>
      <c r="DQ798" s="53"/>
      <c r="DR798" s="53"/>
      <c r="DS798" s="53"/>
      <c r="DT798" s="53"/>
      <c r="DU798" s="53"/>
      <c r="DV798" s="53"/>
      <c r="DW798" s="53"/>
      <c r="DX798" s="53"/>
      <c r="DY798" s="53"/>
      <c r="DZ798" s="53"/>
      <c r="EA798" s="53"/>
      <c r="EB798" s="53"/>
      <c r="EC798" s="53"/>
      <c r="ED798" s="53"/>
      <c r="EE798" s="53"/>
      <c r="EF798" s="53"/>
      <c r="EG798" s="53"/>
      <c r="EH798" s="53"/>
      <c r="EI798" s="53"/>
      <c r="EJ798" s="53"/>
      <c r="EK798" s="53"/>
      <c r="EL798" s="53"/>
      <c r="EM798" s="53"/>
      <c r="EN798" s="53"/>
      <c r="EO798" s="53"/>
      <c r="EP798" s="53"/>
      <c r="EQ798" s="53"/>
      <c r="ER798" s="53"/>
      <c r="ES798" s="53"/>
      <c r="ET798" s="53"/>
      <c r="EU798" s="53"/>
      <c r="EV798" s="53"/>
      <c r="EW798" s="53"/>
      <c r="EX798" s="53"/>
      <c r="EY798" s="53"/>
      <c r="EZ798" s="53"/>
      <c r="FA798" s="53"/>
      <c r="FB798" s="53"/>
      <c r="FC798" s="53"/>
      <c r="FD798" s="53"/>
      <c r="FE798" s="53"/>
      <c r="FF798" s="53"/>
      <c r="FG798" s="53"/>
      <c r="FH798" s="53"/>
      <c r="FI798" s="53"/>
      <c r="FJ798" s="53"/>
      <c r="FK798" s="53"/>
      <c r="FL798" s="53"/>
      <c r="FM798" s="53"/>
      <c r="FN798" s="53"/>
      <c r="FO798" s="53"/>
      <c r="FP798" s="53"/>
      <c r="FQ798" s="53"/>
      <c r="FR798" s="53"/>
      <c r="FS798" s="53"/>
      <c r="FT798" s="53"/>
      <c r="FU798" s="53"/>
      <c r="FV798" s="53"/>
      <c r="FW798" s="53"/>
      <c r="FX798" s="53"/>
      <c r="FY798" s="53"/>
      <c r="FZ798" s="53"/>
      <c r="GA798" s="53"/>
      <c r="GB798" s="53"/>
      <c r="GC798" s="53"/>
      <c r="GD798" s="53"/>
      <c r="GE798" s="53"/>
      <c r="GF798" s="53"/>
      <c r="GG798" s="53"/>
      <c r="GH798" s="53"/>
      <c r="GI798" s="53"/>
      <c r="GJ798" s="53"/>
      <c r="GK798" s="53"/>
      <c r="GL798" s="53"/>
      <c r="GM798" s="53"/>
      <c r="GN798" s="53"/>
      <c r="GO798" s="53"/>
      <c r="GP798" s="53"/>
      <c r="GQ798" s="53"/>
      <c r="GR798" s="53"/>
      <c r="GS798" s="53"/>
      <c r="GT798" s="53"/>
      <c r="GU798" s="53"/>
      <c r="GV798" s="53"/>
      <c r="GW798" s="53"/>
      <c r="GX798" s="53"/>
      <c r="GY798" s="53"/>
      <c r="GZ798" s="53"/>
      <c r="HA798" s="53"/>
      <c r="HB798" s="53"/>
      <c r="HC798" s="53"/>
      <c r="HD798" s="53"/>
      <c r="HE798" s="53"/>
      <c r="HF798" s="53"/>
      <c r="HG798" s="53"/>
      <c r="HH798" s="53"/>
      <c r="HI798" s="53"/>
      <c r="HJ798" s="53"/>
      <c r="HK798" s="53"/>
      <c r="HL798" s="53"/>
      <c r="HM798" s="53"/>
      <c r="HN798" s="53"/>
      <c r="HO798" s="53"/>
      <c r="HP798" s="53"/>
      <c r="HQ798" s="53"/>
      <c r="HR798" s="53"/>
      <c r="HS798" s="53"/>
      <c r="HT798" s="53"/>
      <c r="HU798" s="53"/>
      <c r="HV798" s="53"/>
      <c r="HW798" s="53"/>
      <c r="HX798" s="53"/>
      <c r="HY798" s="53"/>
      <c r="HZ798" s="53"/>
      <c r="IA798" s="53"/>
    </row>
    <row r="799" spans="1:235" ht="11.25">
      <c r="A799" s="1"/>
      <c r="B799" s="1"/>
      <c r="C799" s="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04"/>
      <c r="O799" s="104"/>
      <c r="P799" s="104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3"/>
      <c r="AV799" s="53"/>
      <c r="AW799" s="53"/>
      <c r="AX799" s="53"/>
      <c r="AY799" s="53"/>
      <c r="AZ799" s="53"/>
      <c r="BA799" s="53"/>
      <c r="BB799" s="53"/>
      <c r="BC799" s="53"/>
      <c r="BD799" s="53"/>
      <c r="BE799" s="53"/>
      <c r="BF799" s="53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3"/>
      <c r="BS799" s="53"/>
      <c r="BT799" s="53"/>
      <c r="BU799" s="53"/>
      <c r="BV799" s="53"/>
      <c r="BW799" s="53"/>
      <c r="BX799" s="53"/>
      <c r="BY799" s="53"/>
      <c r="BZ799" s="53"/>
      <c r="CA799" s="53"/>
      <c r="CB799" s="53"/>
      <c r="CC799" s="53"/>
      <c r="CD799" s="53"/>
      <c r="CE799" s="53"/>
      <c r="CF799" s="53"/>
      <c r="CG799" s="53"/>
      <c r="CH799" s="53"/>
      <c r="CI799" s="53"/>
      <c r="CJ799" s="53"/>
      <c r="CK799" s="53"/>
      <c r="CL799" s="53"/>
      <c r="CM799" s="53"/>
      <c r="CN799" s="53"/>
      <c r="CO799" s="53"/>
      <c r="CP799" s="53"/>
      <c r="CQ799" s="53"/>
      <c r="CR799" s="53"/>
      <c r="CS799" s="53"/>
      <c r="CT799" s="53"/>
      <c r="CU799" s="53"/>
      <c r="CV799" s="53"/>
      <c r="CW799" s="53"/>
      <c r="CX799" s="53"/>
      <c r="CY799" s="53"/>
      <c r="CZ799" s="53"/>
      <c r="DA799" s="53"/>
      <c r="DB799" s="53"/>
      <c r="DC799" s="53"/>
      <c r="DD799" s="53"/>
      <c r="DE799" s="53"/>
      <c r="DF799" s="53"/>
      <c r="DG799" s="53"/>
      <c r="DH799" s="53"/>
      <c r="DI799" s="53"/>
      <c r="DJ799" s="53"/>
      <c r="DK799" s="53"/>
      <c r="DL799" s="53"/>
      <c r="DM799" s="53"/>
      <c r="DN799" s="53"/>
      <c r="DO799" s="53"/>
      <c r="DP799" s="53"/>
      <c r="DQ799" s="53"/>
      <c r="DR799" s="53"/>
      <c r="DS799" s="53"/>
      <c r="DT799" s="53"/>
      <c r="DU799" s="53"/>
      <c r="DV799" s="53"/>
      <c r="DW799" s="53"/>
      <c r="DX799" s="53"/>
      <c r="DY799" s="53"/>
      <c r="DZ799" s="53"/>
      <c r="EA799" s="53"/>
      <c r="EB799" s="53"/>
      <c r="EC799" s="53"/>
      <c r="ED799" s="53"/>
      <c r="EE799" s="53"/>
      <c r="EF799" s="53"/>
      <c r="EG799" s="53"/>
      <c r="EH799" s="53"/>
      <c r="EI799" s="53"/>
      <c r="EJ799" s="53"/>
      <c r="EK799" s="53"/>
      <c r="EL799" s="53"/>
      <c r="EM799" s="53"/>
      <c r="EN799" s="53"/>
      <c r="EO799" s="53"/>
      <c r="EP799" s="53"/>
      <c r="EQ799" s="53"/>
      <c r="ER799" s="53"/>
      <c r="ES799" s="53"/>
      <c r="ET799" s="53"/>
      <c r="EU799" s="53"/>
      <c r="EV799" s="53"/>
      <c r="EW799" s="53"/>
      <c r="EX799" s="53"/>
      <c r="EY799" s="53"/>
      <c r="EZ799" s="53"/>
      <c r="FA799" s="53"/>
      <c r="FB799" s="53"/>
      <c r="FC799" s="53"/>
      <c r="FD799" s="53"/>
      <c r="FE799" s="53"/>
      <c r="FF799" s="53"/>
      <c r="FG799" s="53"/>
      <c r="FH799" s="53"/>
      <c r="FI799" s="53"/>
      <c r="FJ799" s="53"/>
      <c r="FK799" s="53"/>
      <c r="FL799" s="53"/>
      <c r="FM799" s="53"/>
      <c r="FN799" s="53"/>
      <c r="FO799" s="53"/>
      <c r="FP799" s="53"/>
      <c r="FQ799" s="53"/>
      <c r="FR799" s="53"/>
      <c r="FS799" s="53"/>
      <c r="FT799" s="53"/>
      <c r="FU799" s="53"/>
      <c r="FV799" s="53"/>
      <c r="FW799" s="53"/>
      <c r="FX799" s="53"/>
      <c r="FY799" s="53"/>
      <c r="FZ799" s="53"/>
      <c r="GA799" s="53"/>
      <c r="GB799" s="53"/>
      <c r="GC799" s="53"/>
      <c r="GD799" s="53"/>
      <c r="GE799" s="53"/>
      <c r="GF799" s="53"/>
      <c r="GG799" s="53"/>
      <c r="GH799" s="53"/>
      <c r="GI799" s="53"/>
      <c r="GJ799" s="53"/>
      <c r="GK799" s="53"/>
      <c r="GL799" s="53"/>
      <c r="GM799" s="53"/>
      <c r="GN799" s="53"/>
      <c r="GO799" s="53"/>
      <c r="GP799" s="53"/>
      <c r="GQ799" s="53"/>
      <c r="GR799" s="53"/>
      <c r="GS799" s="53"/>
      <c r="GT799" s="53"/>
      <c r="GU799" s="53"/>
      <c r="GV799" s="53"/>
      <c r="GW799" s="53"/>
      <c r="GX799" s="53"/>
      <c r="GY799" s="53"/>
      <c r="GZ799" s="53"/>
      <c r="HA799" s="53"/>
      <c r="HB799" s="53"/>
      <c r="HC799" s="53"/>
      <c r="HD799" s="53"/>
      <c r="HE799" s="53"/>
      <c r="HF799" s="53"/>
      <c r="HG799" s="53"/>
      <c r="HH799" s="53"/>
      <c r="HI799" s="53"/>
      <c r="HJ799" s="53"/>
      <c r="HK799" s="53"/>
      <c r="HL799" s="53"/>
      <c r="HM799" s="53"/>
      <c r="HN799" s="53"/>
      <c r="HO799" s="53"/>
      <c r="HP799" s="53"/>
      <c r="HQ799" s="53"/>
      <c r="HR799" s="53"/>
      <c r="HS799" s="53"/>
      <c r="HT799" s="53"/>
      <c r="HU799" s="53"/>
      <c r="HV799" s="53"/>
      <c r="HW799" s="53"/>
      <c r="HX799" s="53"/>
      <c r="HY799" s="53"/>
      <c r="HZ799" s="53"/>
      <c r="IA799" s="53"/>
    </row>
    <row r="800" spans="1:235" ht="11.25">
      <c r="A800" s="1"/>
      <c r="B800" s="1"/>
      <c r="C800" s="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04"/>
      <c r="O800" s="104"/>
      <c r="P800" s="104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3"/>
      <c r="AV800" s="53"/>
      <c r="AW800" s="53"/>
      <c r="AX800" s="53"/>
      <c r="AY800" s="53"/>
      <c r="AZ800" s="53"/>
      <c r="BA800" s="53"/>
      <c r="BB800" s="53"/>
      <c r="BC800" s="53"/>
      <c r="BD800" s="53"/>
      <c r="BE800" s="53"/>
      <c r="BF800" s="53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3"/>
      <c r="BS800" s="53"/>
      <c r="BT800" s="53"/>
      <c r="BU800" s="53"/>
      <c r="BV800" s="53"/>
      <c r="BW800" s="53"/>
      <c r="BX800" s="53"/>
      <c r="BY800" s="53"/>
      <c r="BZ800" s="53"/>
      <c r="CA800" s="53"/>
      <c r="CB800" s="53"/>
      <c r="CC800" s="53"/>
      <c r="CD800" s="53"/>
      <c r="CE800" s="53"/>
      <c r="CF800" s="53"/>
      <c r="CG800" s="53"/>
      <c r="CH800" s="53"/>
      <c r="CI800" s="53"/>
      <c r="CJ800" s="53"/>
      <c r="CK800" s="53"/>
      <c r="CL800" s="53"/>
      <c r="CM800" s="53"/>
      <c r="CN800" s="53"/>
      <c r="CO800" s="53"/>
      <c r="CP800" s="53"/>
      <c r="CQ800" s="53"/>
      <c r="CR800" s="53"/>
      <c r="CS800" s="53"/>
      <c r="CT800" s="53"/>
      <c r="CU800" s="53"/>
      <c r="CV800" s="53"/>
      <c r="CW800" s="53"/>
      <c r="CX800" s="53"/>
      <c r="CY800" s="53"/>
      <c r="CZ800" s="53"/>
      <c r="DA800" s="53"/>
      <c r="DB800" s="53"/>
      <c r="DC800" s="53"/>
      <c r="DD800" s="53"/>
      <c r="DE800" s="53"/>
      <c r="DF800" s="53"/>
      <c r="DG800" s="53"/>
      <c r="DH800" s="53"/>
      <c r="DI800" s="53"/>
      <c r="DJ800" s="53"/>
      <c r="DK800" s="53"/>
      <c r="DL800" s="53"/>
      <c r="DM800" s="53"/>
      <c r="DN800" s="53"/>
      <c r="DO800" s="53"/>
      <c r="DP800" s="53"/>
      <c r="DQ800" s="53"/>
      <c r="DR800" s="53"/>
      <c r="DS800" s="53"/>
      <c r="DT800" s="53"/>
      <c r="DU800" s="53"/>
      <c r="DV800" s="53"/>
      <c r="DW800" s="53"/>
      <c r="DX800" s="53"/>
      <c r="DY800" s="53"/>
      <c r="DZ800" s="53"/>
      <c r="EA800" s="53"/>
      <c r="EB800" s="53"/>
      <c r="EC800" s="53"/>
      <c r="ED800" s="53"/>
      <c r="EE800" s="53"/>
      <c r="EF800" s="53"/>
      <c r="EG800" s="53"/>
      <c r="EH800" s="53"/>
      <c r="EI800" s="53"/>
      <c r="EJ800" s="53"/>
      <c r="EK800" s="53"/>
      <c r="EL800" s="53"/>
      <c r="EM800" s="53"/>
      <c r="EN800" s="53"/>
      <c r="EO800" s="53"/>
      <c r="EP800" s="53"/>
      <c r="EQ800" s="53"/>
      <c r="ER800" s="53"/>
      <c r="ES800" s="53"/>
      <c r="ET800" s="53"/>
      <c r="EU800" s="53"/>
      <c r="EV800" s="53"/>
      <c r="EW800" s="53"/>
      <c r="EX800" s="53"/>
      <c r="EY800" s="53"/>
      <c r="EZ800" s="53"/>
      <c r="FA800" s="53"/>
      <c r="FB800" s="53"/>
      <c r="FC800" s="53"/>
      <c r="FD800" s="53"/>
      <c r="FE800" s="53"/>
      <c r="FF800" s="53"/>
      <c r="FG800" s="53"/>
      <c r="FH800" s="53"/>
      <c r="FI800" s="53"/>
      <c r="FJ800" s="53"/>
      <c r="FK800" s="53"/>
      <c r="FL800" s="53"/>
      <c r="FM800" s="53"/>
      <c r="FN800" s="53"/>
      <c r="FO800" s="53"/>
      <c r="FP800" s="53"/>
      <c r="FQ800" s="53"/>
      <c r="FR800" s="53"/>
      <c r="FS800" s="53"/>
      <c r="FT800" s="53"/>
      <c r="FU800" s="53"/>
      <c r="FV800" s="53"/>
      <c r="FW800" s="53"/>
      <c r="FX800" s="53"/>
      <c r="FY800" s="53"/>
      <c r="FZ800" s="53"/>
      <c r="GA800" s="53"/>
      <c r="GB800" s="53"/>
      <c r="GC800" s="53"/>
      <c r="GD800" s="53"/>
      <c r="GE800" s="53"/>
      <c r="GF800" s="53"/>
      <c r="GG800" s="53"/>
      <c r="GH800" s="53"/>
      <c r="GI800" s="53"/>
      <c r="GJ800" s="53"/>
      <c r="GK800" s="53"/>
      <c r="GL800" s="53"/>
      <c r="GM800" s="53"/>
      <c r="GN800" s="53"/>
      <c r="GO800" s="53"/>
      <c r="GP800" s="53"/>
      <c r="GQ800" s="53"/>
      <c r="GR800" s="53"/>
      <c r="GS800" s="53"/>
      <c r="GT800" s="53"/>
      <c r="GU800" s="53"/>
      <c r="GV800" s="53"/>
      <c r="GW800" s="53"/>
      <c r="GX800" s="53"/>
      <c r="GY800" s="53"/>
      <c r="GZ800" s="53"/>
      <c r="HA800" s="53"/>
      <c r="HB800" s="53"/>
      <c r="HC800" s="53"/>
      <c r="HD800" s="53"/>
      <c r="HE800" s="53"/>
      <c r="HF800" s="53"/>
      <c r="HG800" s="53"/>
      <c r="HH800" s="53"/>
      <c r="HI800" s="53"/>
      <c r="HJ800" s="53"/>
      <c r="HK800" s="53"/>
      <c r="HL800" s="53"/>
      <c r="HM800" s="53"/>
      <c r="HN800" s="53"/>
      <c r="HO800" s="53"/>
      <c r="HP800" s="53"/>
      <c r="HQ800" s="53"/>
      <c r="HR800" s="53"/>
      <c r="HS800" s="53"/>
      <c r="HT800" s="53"/>
      <c r="HU800" s="53"/>
      <c r="HV800" s="53"/>
      <c r="HW800" s="53"/>
      <c r="HX800" s="53"/>
      <c r="HY800" s="53"/>
      <c r="HZ800" s="53"/>
      <c r="IA800" s="53"/>
    </row>
    <row r="801" spans="1:235" ht="11.25">
      <c r="A801" s="1"/>
      <c r="B801" s="1"/>
      <c r="C801" s="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04"/>
      <c r="O801" s="104"/>
      <c r="P801" s="104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3"/>
      <c r="AV801" s="53"/>
      <c r="AW801" s="53"/>
      <c r="AX801" s="53"/>
      <c r="AY801" s="53"/>
      <c r="AZ801" s="53"/>
      <c r="BA801" s="53"/>
      <c r="BB801" s="53"/>
      <c r="BC801" s="53"/>
      <c r="BD801" s="53"/>
      <c r="BE801" s="53"/>
      <c r="BF801" s="53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3"/>
      <c r="BS801" s="53"/>
      <c r="BT801" s="53"/>
      <c r="BU801" s="53"/>
      <c r="BV801" s="53"/>
      <c r="BW801" s="53"/>
      <c r="BX801" s="53"/>
      <c r="BY801" s="53"/>
      <c r="BZ801" s="53"/>
      <c r="CA801" s="53"/>
      <c r="CB801" s="53"/>
      <c r="CC801" s="53"/>
      <c r="CD801" s="53"/>
      <c r="CE801" s="53"/>
      <c r="CF801" s="53"/>
      <c r="CG801" s="53"/>
      <c r="CH801" s="53"/>
      <c r="CI801" s="53"/>
      <c r="CJ801" s="53"/>
      <c r="CK801" s="53"/>
      <c r="CL801" s="53"/>
      <c r="CM801" s="53"/>
      <c r="CN801" s="53"/>
      <c r="CO801" s="53"/>
      <c r="CP801" s="53"/>
      <c r="CQ801" s="53"/>
      <c r="CR801" s="53"/>
      <c r="CS801" s="53"/>
      <c r="CT801" s="53"/>
      <c r="CU801" s="53"/>
      <c r="CV801" s="53"/>
      <c r="CW801" s="53"/>
      <c r="CX801" s="53"/>
      <c r="CY801" s="53"/>
      <c r="CZ801" s="53"/>
      <c r="DA801" s="53"/>
      <c r="DB801" s="53"/>
      <c r="DC801" s="53"/>
      <c r="DD801" s="53"/>
      <c r="DE801" s="53"/>
      <c r="DF801" s="53"/>
      <c r="DG801" s="53"/>
      <c r="DH801" s="53"/>
      <c r="DI801" s="53"/>
      <c r="DJ801" s="53"/>
      <c r="DK801" s="53"/>
      <c r="DL801" s="53"/>
      <c r="DM801" s="53"/>
      <c r="DN801" s="53"/>
      <c r="DO801" s="53"/>
      <c r="DP801" s="53"/>
      <c r="DQ801" s="53"/>
      <c r="DR801" s="53"/>
      <c r="DS801" s="53"/>
      <c r="DT801" s="53"/>
      <c r="DU801" s="53"/>
      <c r="DV801" s="53"/>
      <c r="DW801" s="53"/>
      <c r="DX801" s="53"/>
      <c r="DY801" s="53"/>
      <c r="DZ801" s="53"/>
      <c r="EA801" s="53"/>
      <c r="EB801" s="53"/>
      <c r="EC801" s="53"/>
      <c r="ED801" s="53"/>
      <c r="EE801" s="53"/>
      <c r="EF801" s="53"/>
      <c r="EG801" s="53"/>
      <c r="EH801" s="53"/>
      <c r="EI801" s="53"/>
      <c r="EJ801" s="53"/>
      <c r="EK801" s="53"/>
      <c r="EL801" s="53"/>
      <c r="EM801" s="53"/>
      <c r="EN801" s="53"/>
      <c r="EO801" s="53"/>
      <c r="EP801" s="53"/>
      <c r="EQ801" s="53"/>
      <c r="ER801" s="53"/>
      <c r="ES801" s="53"/>
      <c r="ET801" s="53"/>
      <c r="EU801" s="53"/>
      <c r="EV801" s="53"/>
      <c r="EW801" s="53"/>
      <c r="EX801" s="53"/>
      <c r="EY801" s="53"/>
      <c r="EZ801" s="53"/>
      <c r="FA801" s="53"/>
      <c r="FB801" s="53"/>
      <c r="FC801" s="53"/>
      <c r="FD801" s="53"/>
      <c r="FE801" s="53"/>
      <c r="FF801" s="53"/>
      <c r="FG801" s="53"/>
      <c r="FH801" s="53"/>
      <c r="FI801" s="53"/>
      <c r="FJ801" s="53"/>
      <c r="FK801" s="53"/>
      <c r="FL801" s="53"/>
      <c r="FM801" s="53"/>
      <c r="FN801" s="53"/>
      <c r="FO801" s="53"/>
      <c r="FP801" s="53"/>
      <c r="FQ801" s="53"/>
      <c r="FR801" s="53"/>
      <c r="FS801" s="53"/>
      <c r="FT801" s="53"/>
      <c r="FU801" s="53"/>
      <c r="FV801" s="53"/>
      <c r="FW801" s="53"/>
      <c r="FX801" s="53"/>
      <c r="FY801" s="53"/>
      <c r="FZ801" s="53"/>
      <c r="GA801" s="53"/>
      <c r="GB801" s="53"/>
      <c r="GC801" s="53"/>
      <c r="GD801" s="53"/>
      <c r="GE801" s="53"/>
      <c r="GF801" s="53"/>
      <c r="GG801" s="53"/>
      <c r="GH801" s="53"/>
      <c r="GI801" s="53"/>
      <c r="GJ801" s="53"/>
      <c r="GK801" s="53"/>
      <c r="GL801" s="53"/>
      <c r="GM801" s="53"/>
      <c r="GN801" s="53"/>
      <c r="GO801" s="53"/>
      <c r="GP801" s="53"/>
      <c r="GQ801" s="53"/>
      <c r="GR801" s="53"/>
      <c r="GS801" s="53"/>
      <c r="GT801" s="53"/>
      <c r="GU801" s="53"/>
      <c r="GV801" s="53"/>
      <c r="GW801" s="53"/>
      <c r="GX801" s="53"/>
      <c r="GY801" s="53"/>
      <c r="GZ801" s="53"/>
      <c r="HA801" s="53"/>
      <c r="HB801" s="53"/>
      <c r="HC801" s="53"/>
      <c r="HD801" s="53"/>
      <c r="HE801" s="53"/>
      <c r="HF801" s="53"/>
      <c r="HG801" s="53"/>
      <c r="HH801" s="53"/>
      <c r="HI801" s="53"/>
      <c r="HJ801" s="53"/>
      <c r="HK801" s="53"/>
      <c r="HL801" s="53"/>
      <c r="HM801" s="53"/>
      <c r="HN801" s="53"/>
      <c r="HO801" s="53"/>
      <c r="HP801" s="53"/>
      <c r="HQ801" s="53"/>
      <c r="HR801" s="53"/>
      <c r="HS801" s="53"/>
      <c r="HT801" s="53"/>
      <c r="HU801" s="53"/>
      <c r="HV801" s="53"/>
      <c r="HW801" s="53"/>
      <c r="HX801" s="53"/>
      <c r="HY801" s="53"/>
      <c r="HZ801" s="53"/>
      <c r="IA801" s="53"/>
    </row>
    <row r="802" spans="1:235" ht="11.25">
      <c r="A802" s="1"/>
      <c r="B802" s="1"/>
      <c r="C802" s="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04"/>
      <c r="O802" s="104"/>
      <c r="P802" s="104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3"/>
      <c r="AV802" s="53"/>
      <c r="AW802" s="53"/>
      <c r="AX802" s="53"/>
      <c r="AY802" s="53"/>
      <c r="AZ802" s="53"/>
      <c r="BA802" s="53"/>
      <c r="BB802" s="53"/>
      <c r="BC802" s="53"/>
      <c r="BD802" s="53"/>
      <c r="BE802" s="53"/>
      <c r="BF802" s="53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3"/>
      <c r="BS802" s="53"/>
      <c r="BT802" s="53"/>
      <c r="BU802" s="53"/>
      <c r="BV802" s="53"/>
      <c r="BW802" s="53"/>
      <c r="BX802" s="53"/>
      <c r="BY802" s="53"/>
      <c r="BZ802" s="53"/>
      <c r="CA802" s="53"/>
      <c r="CB802" s="53"/>
      <c r="CC802" s="53"/>
      <c r="CD802" s="53"/>
      <c r="CE802" s="53"/>
      <c r="CF802" s="53"/>
      <c r="CG802" s="53"/>
      <c r="CH802" s="53"/>
      <c r="CI802" s="53"/>
      <c r="CJ802" s="53"/>
      <c r="CK802" s="53"/>
      <c r="CL802" s="53"/>
      <c r="CM802" s="53"/>
      <c r="CN802" s="53"/>
      <c r="CO802" s="53"/>
      <c r="CP802" s="53"/>
      <c r="CQ802" s="53"/>
      <c r="CR802" s="53"/>
      <c r="CS802" s="53"/>
      <c r="CT802" s="53"/>
      <c r="CU802" s="53"/>
      <c r="CV802" s="53"/>
      <c r="CW802" s="53"/>
      <c r="CX802" s="53"/>
      <c r="CY802" s="53"/>
      <c r="CZ802" s="53"/>
      <c r="DA802" s="53"/>
      <c r="DB802" s="53"/>
      <c r="DC802" s="53"/>
      <c r="DD802" s="53"/>
      <c r="DE802" s="53"/>
      <c r="DF802" s="53"/>
      <c r="DG802" s="53"/>
      <c r="DH802" s="53"/>
      <c r="DI802" s="53"/>
      <c r="DJ802" s="53"/>
      <c r="DK802" s="53"/>
      <c r="DL802" s="53"/>
      <c r="DM802" s="53"/>
      <c r="DN802" s="53"/>
      <c r="DO802" s="53"/>
      <c r="DP802" s="53"/>
      <c r="DQ802" s="53"/>
      <c r="DR802" s="53"/>
      <c r="DS802" s="53"/>
      <c r="DT802" s="53"/>
      <c r="DU802" s="53"/>
      <c r="DV802" s="53"/>
      <c r="DW802" s="53"/>
      <c r="DX802" s="53"/>
      <c r="DY802" s="53"/>
      <c r="DZ802" s="53"/>
      <c r="EA802" s="53"/>
      <c r="EB802" s="53"/>
      <c r="EC802" s="53"/>
      <c r="ED802" s="53"/>
      <c r="EE802" s="53"/>
      <c r="EF802" s="53"/>
      <c r="EG802" s="53"/>
      <c r="EH802" s="53"/>
      <c r="EI802" s="53"/>
      <c r="EJ802" s="53"/>
      <c r="EK802" s="53"/>
      <c r="EL802" s="53"/>
      <c r="EM802" s="53"/>
      <c r="EN802" s="53"/>
      <c r="EO802" s="53"/>
      <c r="EP802" s="53"/>
      <c r="EQ802" s="53"/>
      <c r="ER802" s="53"/>
      <c r="ES802" s="53"/>
      <c r="ET802" s="53"/>
      <c r="EU802" s="53"/>
      <c r="EV802" s="53"/>
      <c r="EW802" s="53"/>
      <c r="EX802" s="53"/>
      <c r="EY802" s="53"/>
      <c r="EZ802" s="53"/>
      <c r="FA802" s="53"/>
      <c r="FB802" s="53"/>
      <c r="FC802" s="53"/>
      <c r="FD802" s="53"/>
      <c r="FE802" s="53"/>
      <c r="FF802" s="53"/>
      <c r="FG802" s="53"/>
      <c r="FH802" s="53"/>
      <c r="FI802" s="53"/>
      <c r="FJ802" s="53"/>
      <c r="FK802" s="53"/>
      <c r="FL802" s="53"/>
      <c r="FM802" s="53"/>
      <c r="FN802" s="53"/>
      <c r="FO802" s="53"/>
      <c r="FP802" s="53"/>
      <c r="FQ802" s="53"/>
      <c r="FR802" s="53"/>
      <c r="FS802" s="53"/>
      <c r="FT802" s="53"/>
      <c r="FU802" s="53"/>
      <c r="FV802" s="53"/>
      <c r="FW802" s="53"/>
      <c r="FX802" s="53"/>
      <c r="FY802" s="53"/>
      <c r="FZ802" s="53"/>
      <c r="GA802" s="53"/>
      <c r="GB802" s="53"/>
      <c r="GC802" s="53"/>
      <c r="GD802" s="53"/>
      <c r="GE802" s="53"/>
      <c r="GF802" s="53"/>
      <c r="GG802" s="53"/>
      <c r="GH802" s="53"/>
      <c r="GI802" s="53"/>
      <c r="GJ802" s="53"/>
      <c r="GK802" s="53"/>
      <c r="GL802" s="53"/>
      <c r="GM802" s="53"/>
      <c r="GN802" s="53"/>
      <c r="GO802" s="53"/>
      <c r="GP802" s="53"/>
      <c r="GQ802" s="53"/>
      <c r="GR802" s="53"/>
      <c r="GS802" s="53"/>
      <c r="GT802" s="53"/>
      <c r="GU802" s="53"/>
      <c r="GV802" s="53"/>
      <c r="GW802" s="53"/>
      <c r="GX802" s="53"/>
      <c r="GY802" s="53"/>
      <c r="GZ802" s="53"/>
      <c r="HA802" s="53"/>
      <c r="HB802" s="53"/>
      <c r="HC802" s="53"/>
      <c r="HD802" s="53"/>
      <c r="HE802" s="53"/>
      <c r="HF802" s="53"/>
      <c r="HG802" s="53"/>
      <c r="HH802" s="53"/>
      <c r="HI802" s="53"/>
      <c r="HJ802" s="53"/>
      <c r="HK802" s="53"/>
      <c r="HL802" s="53"/>
      <c r="HM802" s="53"/>
      <c r="HN802" s="53"/>
      <c r="HO802" s="53"/>
      <c r="HP802" s="53"/>
      <c r="HQ802" s="53"/>
      <c r="HR802" s="53"/>
      <c r="HS802" s="53"/>
      <c r="HT802" s="53"/>
      <c r="HU802" s="53"/>
      <c r="HV802" s="53"/>
      <c r="HW802" s="53"/>
      <c r="HX802" s="53"/>
      <c r="HY802" s="53"/>
      <c r="HZ802" s="53"/>
      <c r="IA802" s="53"/>
    </row>
    <row r="803" spans="1:235" ht="11.25">
      <c r="A803" s="1"/>
      <c r="B803" s="1"/>
      <c r="C803" s="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04"/>
      <c r="O803" s="104"/>
      <c r="P803" s="104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3"/>
      <c r="AV803" s="53"/>
      <c r="AW803" s="53"/>
      <c r="AX803" s="53"/>
      <c r="AY803" s="53"/>
      <c r="AZ803" s="53"/>
      <c r="BA803" s="53"/>
      <c r="BB803" s="53"/>
      <c r="BC803" s="53"/>
      <c r="BD803" s="53"/>
      <c r="BE803" s="53"/>
      <c r="BF803" s="53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3"/>
      <c r="BS803" s="53"/>
      <c r="BT803" s="53"/>
      <c r="BU803" s="53"/>
      <c r="BV803" s="53"/>
      <c r="BW803" s="53"/>
      <c r="BX803" s="53"/>
      <c r="BY803" s="53"/>
      <c r="BZ803" s="53"/>
      <c r="CA803" s="53"/>
      <c r="CB803" s="53"/>
      <c r="CC803" s="53"/>
      <c r="CD803" s="53"/>
      <c r="CE803" s="53"/>
      <c r="CF803" s="53"/>
      <c r="CG803" s="53"/>
      <c r="CH803" s="53"/>
      <c r="CI803" s="53"/>
      <c r="CJ803" s="53"/>
      <c r="CK803" s="53"/>
      <c r="CL803" s="53"/>
      <c r="CM803" s="53"/>
      <c r="CN803" s="53"/>
      <c r="CO803" s="53"/>
      <c r="CP803" s="53"/>
      <c r="CQ803" s="53"/>
      <c r="CR803" s="53"/>
      <c r="CS803" s="53"/>
      <c r="CT803" s="53"/>
      <c r="CU803" s="53"/>
      <c r="CV803" s="53"/>
      <c r="CW803" s="53"/>
      <c r="CX803" s="53"/>
      <c r="CY803" s="53"/>
      <c r="CZ803" s="53"/>
      <c r="DA803" s="53"/>
      <c r="DB803" s="53"/>
      <c r="DC803" s="53"/>
      <c r="DD803" s="53"/>
      <c r="DE803" s="53"/>
      <c r="DF803" s="53"/>
      <c r="DG803" s="53"/>
      <c r="DH803" s="53"/>
      <c r="DI803" s="53"/>
      <c r="DJ803" s="53"/>
      <c r="DK803" s="53"/>
      <c r="DL803" s="53"/>
      <c r="DM803" s="53"/>
      <c r="DN803" s="53"/>
      <c r="DO803" s="53"/>
      <c r="DP803" s="53"/>
      <c r="DQ803" s="53"/>
      <c r="DR803" s="53"/>
      <c r="DS803" s="53"/>
      <c r="DT803" s="53"/>
      <c r="DU803" s="53"/>
      <c r="DV803" s="53"/>
      <c r="DW803" s="53"/>
      <c r="DX803" s="53"/>
      <c r="DY803" s="53"/>
      <c r="DZ803" s="53"/>
      <c r="EA803" s="53"/>
      <c r="EB803" s="53"/>
      <c r="EC803" s="53"/>
      <c r="ED803" s="53"/>
      <c r="EE803" s="53"/>
      <c r="EF803" s="53"/>
      <c r="EG803" s="53"/>
      <c r="EH803" s="53"/>
      <c r="EI803" s="53"/>
      <c r="EJ803" s="53"/>
      <c r="EK803" s="53"/>
      <c r="EL803" s="53"/>
      <c r="EM803" s="53"/>
      <c r="EN803" s="53"/>
      <c r="EO803" s="53"/>
      <c r="EP803" s="53"/>
      <c r="EQ803" s="53"/>
      <c r="ER803" s="53"/>
      <c r="ES803" s="53"/>
      <c r="ET803" s="53"/>
      <c r="EU803" s="53"/>
      <c r="EV803" s="53"/>
      <c r="EW803" s="53"/>
      <c r="EX803" s="53"/>
      <c r="EY803" s="53"/>
      <c r="EZ803" s="53"/>
      <c r="FA803" s="53"/>
      <c r="FB803" s="53"/>
      <c r="FC803" s="53"/>
      <c r="FD803" s="53"/>
      <c r="FE803" s="53"/>
      <c r="FF803" s="53"/>
      <c r="FG803" s="53"/>
      <c r="FH803" s="53"/>
      <c r="FI803" s="53"/>
      <c r="FJ803" s="53"/>
      <c r="FK803" s="53"/>
      <c r="FL803" s="53"/>
      <c r="FM803" s="53"/>
      <c r="FN803" s="53"/>
      <c r="FO803" s="53"/>
      <c r="FP803" s="53"/>
      <c r="FQ803" s="53"/>
      <c r="FR803" s="53"/>
      <c r="FS803" s="53"/>
      <c r="FT803" s="53"/>
      <c r="FU803" s="53"/>
      <c r="FV803" s="53"/>
      <c r="FW803" s="53"/>
      <c r="FX803" s="53"/>
      <c r="FY803" s="53"/>
      <c r="FZ803" s="53"/>
      <c r="GA803" s="53"/>
      <c r="GB803" s="53"/>
      <c r="GC803" s="53"/>
      <c r="GD803" s="53"/>
      <c r="GE803" s="53"/>
      <c r="GF803" s="53"/>
      <c r="GG803" s="53"/>
      <c r="GH803" s="53"/>
      <c r="GI803" s="53"/>
      <c r="GJ803" s="53"/>
      <c r="GK803" s="53"/>
      <c r="GL803" s="53"/>
      <c r="GM803" s="53"/>
      <c r="GN803" s="53"/>
      <c r="GO803" s="53"/>
      <c r="GP803" s="53"/>
      <c r="GQ803" s="53"/>
      <c r="GR803" s="53"/>
      <c r="GS803" s="53"/>
      <c r="GT803" s="53"/>
      <c r="GU803" s="53"/>
      <c r="GV803" s="53"/>
      <c r="GW803" s="53"/>
      <c r="GX803" s="53"/>
      <c r="GY803" s="53"/>
      <c r="GZ803" s="53"/>
      <c r="HA803" s="53"/>
      <c r="HB803" s="53"/>
      <c r="HC803" s="53"/>
      <c r="HD803" s="53"/>
      <c r="HE803" s="53"/>
      <c r="HF803" s="53"/>
      <c r="HG803" s="53"/>
      <c r="HH803" s="53"/>
      <c r="HI803" s="53"/>
      <c r="HJ803" s="53"/>
      <c r="HK803" s="53"/>
      <c r="HL803" s="53"/>
      <c r="HM803" s="53"/>
      <c r="HN803" s="53"/>
      <c r="HO803" s="53"/>
      <c r="HP803" s="53"/>
      <c r="HQ803" s="53"/>
      <c r="HR803" s="53"/>
      <c r="HS803" s="53"/>
      <c r="HT803" s="53"/>
      <c r="HU803" s="53"/>
      <c r="HV803" s="53"/>
      <c r="HW803" s="53"/>
      <c r="HX803" s="53"/>
      <c r="HY803" s="53"/>
      <c r="HZ803" s="53"/>
      <c r="IA803" s="53"/>
    </row>
    <row r="804" spans="1:235" ht="11.25">
      <c r="A804" s="1"/>
      <c r="B804" s="1"/>
      <c r="C804" s="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04"/>
      <c r="O804" s="104"/>
      <c r="P804" s="104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3"/>
      <c r="AV804" s="53"/>
      <c r="AW804" s="53"/>
      <c r="AX804" s="53"/>
      <c r="AY804" s="53"/>
      <c r="AZ804" s="53"/>
      <c r="BA804" s="53"/>
      <c r="BB804" s="53"/>
      <c r="BC804" s="53"/>
      <c r="BD804" s="53"/>
      <c r="BE804" s="53"/>
      <c r="BF804" s="53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3"/>
      <c r="BS804" s="53"/>
      <c r="BT804" s="53"/>
      <c r="BU804" s="53"/>
      <c r="BV804" s="53"/>
      <c r="BW804" s="53"/>
      <c r="BX804" s="53"/>
      <c r="BY804" s="53"/>
      <c r="BZ804" s="53"/>
      <c r="CA804" s="53"/>
      <c r="CB804" s="53"/>
      <c r="CC804" s="53"/>
      <c r="CD804" s="53"/>
      <c r="CE804" s="53"/>
      <c r="CF804" s="53"/>
      <c r="CG804" s="53"/>
      <c r="CH804" s="53"/>
      <c r="CI804" s="53"/>
      <c r="CJ804" s="53"/>
      <c r="CK804" s="53"/>
      <c r="CL804" s="53"/>
      <c r="CM804" s="53"/>
      <c r="CN804" s="53"/>
      <c r="CO804" s="53"/>
      <c r="CP804" s="53"/>
      <c r="CQ804" s="53"/>
      <c r="CR804" s="53"/>
      <c r="CS804" s="53"/>
      <c r="CT804" s="53"/>
      <c r="CU804" s="53"/>
      <c r="CV804" s="53"/>
      <c r="CW804" s="53"/>
      <c r="CX804" s="53"/>
      <c r="CY804" s="53"/>
      <c r="CZ804" s="53"/>
      <c r="DA804" s="53"/>
      <c r="DB804" s="53"/>
      <c r="DC804" s="53"/>
      <c r="DD804" s="53"/>
      <c r="DE804" s="53"/>
      <c r="DF804" s="53"/>
      <c r="DG804" s="53"/>
      <c r="DH804" s="53"/>
      <c r="DI804" s="53"/>
      <c r="DJ804" s="53"/>
      <c r="DK804" s="53"/>
      <c r="DL804" s="53"/>
      <c r="DM804" s="53"/>
      <c r="DN804" s="53"/>
      <c r="DO804" s="53"/>
      <c r="DP804" s="53"/>
      <c r="DQ804" s="53"/>
      <c r="DR804" s="53"/>
      <c r="DS804" s="53"/>
      <c r="DT804" s="53"/>
      <c r="DU804" s="53"/>
      <c r="DV804" s="53"/>
      <c r="DW804" s="53"/>
      <c r="DX804" s="53"/>
      <c r="DY804" s="53"/>
      <c r="DZ804" s="53"/>
      <c r="EA804" s="53"/>
      <c r="EB804" s="53"/>
      <c r="EC804" s="53"/>
      <c r="ED804" s="53"/>
      <c r="EE804" s="53"/>
      <c r="EF804" s="53"/>
      <c r="EG804" s="53"/>
      <c r="EH804" s="53"/>
      <c r="EI804" s="53"/>
      <c r="EJ804" s="53"/>
      <c r="EK804" s="53"/>
      <c r="EL804" s="53"/>
      <c r="EM804" s="53"/>
      <c r="EN804" s="53"/>
      <c r="EO804" s="53"/>
      <c r="EP804" s="53"/>
      <c r="EQ804" s="53"/>
      <c r="ER804" s="53"/>
      <c r="ES804" s="53"/>
      <c r="ET804" s="53"/>
      <c r="EU804" s="53"/>
      <c r="EV804" s="53"/>
      <c r="EW804" s="53"/>
      <c r="EX804" s="53"/>
      <c r="EY804" s="53"/>
      <c r="EZ804" s="53"/>
      <c r="FA804" s="53"/>
      <c r="FB804" s="53"/>
      <c r="FC804" s="53"/>
      <c r="FD804" s="53"/>
      <c r="FE804" s="53"/>
      <c r="FF804" s="53"/>
      <c r="FG804" s="53"/>
      <c r="FH804" s="53"/>
      <c r="FI804" s="53"/>
      <c r="FJ804" s="53"/>
      <c r="FK804" s="53"/>
      <c r="FL804" s="53"/>
      <c r="FM804" s="53"/>
      <c r="FN804" s="53"/>
      <c r="FO804" s="53"/>
      <c r="FP804" s="53"/>
      <c r="FQ804" s="53"/>
      <c r="FR804" s="53"/>
      <c r="FS804" s="53"/>
      <c r="FT804" s="53"/>
      <c r="FU804" s="53"/>
      <c r="FV804" s="53"/>
      <c r="FW804" s="53"/>
      <c r="FX804" s="53"/>
      <c r="FY804" s="53"/>
      <c r="FZ804" s="53"/>
      <c r="GA804" s="53"/>
      <c r="GB804" s="53"/>
      <c r="GC804" s="53"/>
      <c r="GD804" s="53"/>
      <c r="GE804" s="53"/>
      <c r="GF804" s="53"/>
      <c r="GG804" s="53"/>
      <c r="GH804" s="53"/>
      <c r="GI804" s="53"/>
      <c r="GJ804" s="53"/>
      <c r="GK804" s="53"/>
      <c r="GL804" s="53"/>
      <c r="GM804" s="53"/>
      <c r="GN804" s="53"/>
      <c r="GO804" s="53"/>
      <c r="GP804" s="53"/>
      <c r="GQ804" s="53"/>
      <c r="GR804" s="53"/>
      <c r="GS804" s="53"/>
      <c r="GT804" s="53"/>
      <c r="GU804" s="53"/>
      <c r="GV804" s="53"/>
      <c r="GW804" s="53"/>
      <c r="GX804" s="53"/>
      <c r="GY804" s="53"/>
      <c r="GZ804" s="53"/>
      <c r="HA804" s="53"/>
      <c r="HB804" s="53"/>
      <c r="HC804" s="53"/>
      <c r="HD804" s="53"/>
      <c r="HE804" s="53"/>
      <c r="HF804" s="53"/>
      <c r="HG804" s="53"/>
      <c r="HH804" s="53"/>
      <c r="HI804" s="53"/>
      <c r="HJ804" s="53"/>
      <c r="HK804" s="53"/>
      <c r="HL804" s="53"/>
      <c r="HM804" s="53"/>
      <c r="HN804" s="53"/>
      <c r="HO804" s="53"/>
      <c r="HP804" s="53"/>
      <c r="HQ804" s="53"/>
      <c r="HR804" s="53"/>
      <c r="HS804" s="53"/>
      <c r="HT804" s="53"/>
      <c r="HU804" s="53"/>
      <c r="HV804" s="53"/>
      <c r="HW804" s="53"/>
      <c r="HX804" s="53"/>
      <c r="HY804" s="53"/>
      <c r="HZ804" s="53"/>
      <c r="IA804" s="53"/>
    </row>
    <row r="805" spans="1:235" ht="11.25">
      <c r="A805" s="1"/>
      <c r="B805" s="1"/>
      <c r="C805" s="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04"/>
      <c r="O805" s="104"/>
      <c r="P805" s="104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3"/>
      <c r="AV805" s="53"/>
      <c r="AW805" s="53"/>
      <c r="AX805" s="53"/>
      <c r="AY805" s="53"/>
      <c r="AZ805" s="53"/>
      <c r="BA805" s="53"/>
      <c r="BB805" s="53"/>
      <c r="BC805" s="53"/>
      <c r="BD805" s="53"/>
      <c r="BE805" s="53"/>
      <c r="BF805" s="53"/>
      <c r="BG805" s="53"/>
      <c r="BH805" s="53"/>
      <c r="BI805" s="53"/>
      <c r="BJ805" s="53"/>
      <c r="BK805" s="53"/>
      <c r="BL805" s="53"/>
      <c r="BM805" s="53"/>
      <c r="BN805" s="53"/>
      <c r="BO805" s="53"/>
      <c r="BP805" s="53"/>
      <c r="BQ805" s="53"/>
      <c r="BR805" s="53"/>
      <c r="BS805" s="53"/>
      <c r="BT805" s="53"/>
      <c r="BU805" s="53"/>
      <c r="BV805" s="53"/>
      <c r="BW805" s="53"/>
      <c r="BX805" s="53"/>
      <c r="BY805" s="53"/>
      <c r="BZ805" s="53"/>
      <c r="CA805" s="53"/>
      <c r="CB805" s="53"/>
      <c r="CC805" s="53"/>
      <c r="CD805" s="53"/>
      <c r="CE805" s="53"/>
      <c r="CF805" s="53"/>
      <c r="CG805" s="53"/>
      <c r="CH805" s="53"/>
      <c r="CI805" s="53"/>
      <c r="CJ805" s="53"/>
      <c r="CK805" s="53"/>
      <c r="CL805" s="53"/>
      <c r="CM805" s="53"/>
      <c r="CN805" s="53"/>
      <c r="CO805" s="53"/>
      <c r="CP805" s="53"/>
      <c r="CQ805" s="53"/>
      <c r="CR805" s="53"/>
      <c r="CS805" s="53"/>
      <c r="CT805" s="53"/>
      <c r="CU805" s="53"/>
      <c r="CV805" s="53"/>
      <c r="CW805" s="53"/>
      <c r="CX805" s="53"/>
      <c r="CY805" s="53"/>
      <c r="CZ805" s="53"/>
      <c r="DA805" s="53"/>
      <c r="DB805" s="53"/>
      <c r="DC805" s="53"/>
      <c r="DD805" s="53"/>
      <c r="DE805" s="53"/>
      <c r="DF805" s="53"/>
      <c r="DG805" s="53"/>
      <c r="DH805" s="53"/>
      <c r="DI805" s="53"/>
      <c r="DJ805" s="53"/>
      <c r="DK805" s="53"/>
      <c r="DL805" s="53"/>
      <c r="DM805" s="53"/>
      <c r="DN805" s="53"/>
      <c r="DO805" s="53"/>
      <c r="DP805" s="53"/>
      <c r="DQ805" s="53"/>
      <c r="DR805" s="53"/>
      <c r="DS805" s="53"/>
      <c r="DT805" s="53"/>
      <c r="DU805" s="53"/>
      <c r="DV805" s="53"/>
      <c r="DW805" s="53"/>
      <c r="DX805" s="53"/>
      <c r="DY805" s="53"/>
      <c r="DZ805" s="53"/>
      <c r="EA805" s="53"/>
      <c r="EB805" s="53"/>
      <c r="EC805" s="53"/>
      <c r="ED805" s="53"/>
      <c r="EE805" s="53"/>
      <c r="EF805" s="53"/>
      <c r="EG805" s="53"/>
      <c r="EH805" s="53"/>
      <c r="EI805" s="53"/>
      <c r="EJ805" s="53"/>
      <c r="EK805" s="53"/>
      <c r="EL805" s="53"/>
      <c r="EM805" s="53"/>
      <c r="EN805" s="53"/>
      <c r="EO805" s="53"/>
      <c r="EP805" s="53"/>
      <c r="EQ805" s="53"/>
      <c r="ER805" s="53"/>
      <c r="ES805" s="53"/>
      <c r="ET805" s="53"/>
      <c r="EU805" s="53"/>
      <c r="EV805" s="53"/>
      <c r="EW805" s="53"/>
      <c r="EX805" s="53"/>
      <c r="EY805" s="53"/>
      <c r="EZ805" s="53"/>
      <c r="FA805" s="53"/>
      <c r="FB805" s="53"/>
      <c r="FC805" s="53"/>
      <c r="FD805" s="53"/>
      <c r="FE805" s="53"/>
      <c r="FF805" s="53"/>
      <c r="FG805" s="53"/>
      <c r="FH805" s="53"/>
      <c r="FI805" s="53"/>
      <c r="FJ805" s="53"/>
      <c r="FK805" s="53"/>
      <c r="FL805" s="53"/>
      <c r="FM805" s="53"/>
      <c r="FN805" s="53"/>
      <c r="FO805" s="53"/>
      <c r="FP805" s="53"/>
      <c r="FQ805" s="53"/>
      <c r="FR805" s="53"/>
      <c r="FS805" s="53"/>
      <c r="FT805" s="53"/>
      <c r="FU805" s="53"/>
      <c r="FV805" s="53"/>
      <c r="FW805" s="53"/>
      <c r="FX805" s="53"/>
      <c r="FY805" s="53"/>
      <c r="FZ805" s="53"/>
      <c r="GA805" s="53"/>
      <c r="GB805" s="53"/>
      <c r="GC805" s="53"/>
      <c r="GD805" s="53"/>
      <c r="GE805" s="53"/>
      <c r="GF805" s="53"/>
      <c r="GG805" s="53"/>
      <c r="GH805" s="53"/>
      <c r="GI805" s="53"/>
      <c r="GJ805" s="53"/>
      <c r="GK805" s="53"/>
      <c r="GL805" s="53"/>
      <c r="GM805" s="53"/>
      <c r="GN805" s="53"/>
      <c r="GO805" s="53"/>
      <c r="GP805" s="53"/>
      <c r="GQ805" s="53"/>
      <c r="GR805" s="53"/>
      <c r="GS805" s="53"/>
      <c r="GT805" s="53"/>
      <c r="GU805" s="53"/>
      <c r="GV805" s="53"/>
      <c r="GW805" s="53"/>
      <c r="GX805" s="53"/>
      <c r="GY805" s="53"/>
      <c r="GZ805" s="53"/>
      <c r="HA805" s="53"/>
      <c r="HB805" s="53"/>
      <c r="HC805" s="53"/>
      <c r="HD805" s="53"/>
      <c r="HE805" s="53"/>
      <c r="HF805" s="53"/>
      <c r="HG805" s="53"/>
      <c r="HH805" s="53"/>
      <c r="HI805" s="53"/>
      <c r="HJ805" s="53"/>
      <c r="HK805" s="53"/>
      <c r="HL805" s="53"/>
      <c r="HM805" s="53"/>
      <c r="HN805" s="53"/>
      <c r="HO805" s="53"/>
      <c r="HP805" s="53"/>
      <c r="HQ805" s="53"/>
      <c r="HR805" s="53"/>
      <c r="HS805" s="53"/>
      <c r="HT805" s="53"/>
      <c r="HU805" s="53"/>
      <c r="HV805" s="53"/>
      <c r="HW805" s="53"/>
      <c r="HX805" s="53"/>
      <c r="HY805" s="53"/>
      <c r="HZ805" s="53"/>
      <c r="IA805" s="53"/>
    </row>
    <row r="806" spans="1:235" ht="11.25">
      <c r="A806" s="1"/>
      <c r="B806" s="1"/>
      <c r="C806" s="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04"/>
      <c r="O806" s="104"/>
      <c r="P806" s="104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3"/>
      <c r="AV806" s="53"/>
      <c r="AW806" s="53"/>
      <c r="AX806" s="53"/>
      <c r="AY806" s="53"/>
      <c r="AZ806" s="53"/>
      <c r="BA806" s="53"/>
      <c r="BB806" s="53"/>
      <c r="BC806" s="53"/>
      <c r="BD806" s="53"/>
      <c r="BE806" s="53"/>
      <c r="BF806" s="53"/>
      <c r="BG806" s="53"/>
      <c r="BH806" s="53"/>
      <c r="BI806" s="53"/>
      <c r="BJ806" s="53"/>
      <c r="BK806" s="53"/>
      <c r="BL806" s="53"/>
      <c r="BM806" s="53"/>
      <c r="BN806" s="53"/>
      <c r="BO806" s="53"/>
      <c r="BP806" s="53"/>
      <c r="BQ806" s="53"/>
      <c r="BR806" s="53"/>
      <c r="BS806" s="53"/>
      <c r="BT806" s="53"/>
      <c r="BU806" s="53"/>
      <c r="BV806" s="53"/>
      <c r="BW806" s="53"/>
      <c r="BX806" s="53"/>
      <c r="BY806" s="53"/>
      <c r="BZ806" s="53"/>
      <c r="CA806" s="53"/>
      <c r="CB806" s="53"/>
      <c r="CC806" s="53"/>
      <c r="CD806" s="53"/>
      <c r="CE806" s="53"/>
      <c r="CF806" s="53"/>
      <c r="CG806" s="53"/>
      <c r="CH806" s="53"/>
      <c r="CI806" s="53"/>
      <c r="CJ806" s="53"/>
      <c r="CK806" s="53"/>
      <c r="CL806" s="53"/>
      <c r="CM806" s="53"/>
      <c r="CN806" s="53"/>
      <c r="CO806" s="53"/>
      <c r="CP806" s="53"/>
      <c r="CQ806" s="53"/>
      <c r="CR806" s="53"/>
      <c r="CS806" s="53"/>
      <c r="CT806" s="53"/>
      <c r="CU806" s="53"/>
      <c r="CV806" s="53"/>
      <c r="CW806" s="53"/>
      <c r="CX806" s="53"/>
      <c r="CY806" s="53"/>
      <c r="CZ806" s="53"/>
      <c r="DA806" s="53"/>
      <c r="DB806" s="53"/>
      <c r="DC806" s="53"/>
      <c r="DD806" s="53"/>
      <c r="DE806" s="53"/>
      <c r="DF806" s="53"/>
      <c r="DG806" s="53"/>
      <c r="DH806" s="53"/>
      <c r="DI806" s="53"/>
      <c r="DJ806" s="53"/>
      <c r="DK806" s="53"/>
      <c r="DL806" s="53"/>
      <c r="DM806" s="53"/>
      <c r="DN806" s="53"/>
      <c r="DO806" s="53"/>
      <c r="DP806" s="53"/>
      <c r="DQ806" s="53"/>
      <c r="DR806" s="53"/>
      <c r="DS806" s="53"/>
      <c r="DT806" s="53"/>
      <c r="DU806" s="53"/>
      <c r="DV806" s="53"/>
      <c r="DW806" s="53"/>
      <c r="DX806" s="53"/>
      <c r="DY806" s="53"/>
      <c r="DZ806" s="53"/>
      <c r="EA806" s="53"/>
      <c r="EB806" s="53"/>
      <c r="EC806" s="53"/>
      <c r="ED806" s="53"/>
      <c r="EE806" s="53"/>
      <c r="EF806" s="53"/>
      <c r="EG806" s="53"/>
      <c r="EH806" s="53"/>
      <c r="EI806" s="53"/>
      <c r="EJ806" s="53"/>
      <c r="EK806" s="53"/>
      <c r="EL806" s="53"/>
      <c r="EM806" s="53"/>
      <c r="EN806" s="53"/>
      <c r="EO806" s="53"/>
      <c r="EP806" s="53"/>
      <c r="EQ806" s="53"/>
      <c r="ER806" s="53"/>
      <c r="ES806" s="53"/>
      <c r="ET806" s="53"/>
      <c r="EU806" s="53"/>
      <c r="EV806" s="53"/>
      <c r="EW806" s="53"/>
      <c r="EX806" s="53"/>
      <c r="EY806" s="53"/>
      <c r="EZ806" s="53"/>
      <c r="FA806" s="53"/>
      <c r="FB806" s="53"/>
      <c r="FC806" s="53"/>
      <c r="FD806" s="53"/>
      <c r="FE806" s="53"/>
      <c r="FF806" s="53"/>
      <c r="FG806" s="53"/>
      <c r="FH806" s="53"/>
      <c r="FI806" s="53"/>
      <c r="FJ806" s="53"/>
      <c r="FK806" s="53"/>
      <c r="FL806" s="53"/>
      <c r="FM806" s="53"/>
      <c r="FN806" s="53"/>
      <c r="FO806" s="53"/>
      <c r="FP806" s="53"/>
      <c r="FQ806" s="53"/>
      <c r="FR806" s="53"/>
      <c r="FS806" s="53"/>
      <c r="FT806" s="53"/>
      <c r="FU806" s="53"/>
      <c r="FV806" s="53"/>
      <c r="FW806" s="53"/>
      <c r="FX806" s="53"/>
      <c r="FY806" s="53"/>
      <c r="FZ806" s="53"/>
      <c r="GA806" s="53"/>
      <c r="GB806" s="53"/>
      <c r="GC806" s="53"/>
      <c r="GD806" s="53"/>
      <c r="GE806" s="53"/>
      <c r="GF806" s="53"/>
      <c r="GG806" s="53"/>
      <c r="GH806" s="53"/>
      <c r="GI806" s="53"/>
      <c r="GJ806" s="53"/>
      <c r="GK806" s="53"/>
      <c r="GL806" s="53"/>
      <c r="GM806" s="53"/>
      <c r="GN806" s="53"/>
      <c r="GO806" s="53"/>
      <c r="GP806" s="53"/>
      <c r="GQ806" s="53"/>
      <c r="GR806" s="53"/>
      <c r="GS806" s="53"/>
      <c r="GT806" s="53"/>
      <c r="GU806" s="53"/>
      <c r="GV806" s="53"/>
      <c r="GW806" s="53"/>
      <c r="GX806" s="53"/>
      <c r="GY806" s="53"/>
      <c r="GZ806" s="53"/>
      <c r="HA806" s="53"/>
      <c r="HB806" s="53"/>
      <c r="HC806" s="53"/>
      <c r="HD806" s="53"/>
      <c r="HE806" s="53"/>
      <c r="HF806" s="53"/>
      <c r="HG806" s="53"/>
      <c r="HH806" s="53"/>
      <c r="HI806" s="53"/>
      <c r="HJ806" s="53"/>
      <c r="HK806" s="53"/>
      <c r="HL806" s="53"/>
      <c r="HM806" s="53"/>
      <c r="HN806" s="53"/>
      <c r="HO806" s="53"/>
      <c r="HP806" s="53"/>
      <c r="HQ806" s="53"/>
      <c r="HR806" s="53"/>
      <c r="HS806" s="53"/>
      <c r="HT806" s="53"/>
      <c r="HU806" s="53"/>
      <c r="HV806" s="53"/>
      <c r="HW806" s="53"/>
      <c r="HX806" s="53"/>
      <c r="HY806" s="53"/>
      <c r="HZ806" s="53"/>
      <c r="IA806" s="53"/>
    </row>
    <row r="807" spans="1:235" ht="11.25">
      <c r="A807" s="1"/>
      <c r="B807" s="1"/>
      <c r="C807" s="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04"/>
      <c r="O807" s="104"/>
      <c r="P807" s="104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3"/>
      <c r="AV807" s="53"/>
      <c r="AW807" s="53"/>
      <c r="AX807" s="53"/>
      <c r="AY807" s="53"/>
      <c r="AZ807" s="53"/>
      <c r="BA807" s="53"/>
      <c r="BB807" s="53"/>
      <c r="BC807" s="53"/>
      <c r="BD807" s="53"/>
      <c r="BE807" s="53"/>
      <c r="BF807" s="53"/>
      <c r="BG807" s="53"/>
      <c r="BH807" s="53"/>
      <c r="BI807" s="53"/>
      <c r="BJ807" s="53"/>
      <c r="BK807" s="53"/>
      <c r="BL807" s="53"/>
      <c r="BM807" s="53"/>
      <c r="BN807" s="53"/>
      <c r="BO807" s="53"/>
      <c r="BP807" s="53"/>
      <c r="BQ807" s="53"/>
      <c r="BR807" s="53"/>
      <c r="BS807" s="53"/>
      <c r="BT807" s="53"/>
      <c r="BU807" s="53"/>
      <c r="BV807" s="53"/>
      <c r="BW807" s="53"/>
      <c r="BX807" s="53"/>
      <c r="BY807" s="53"/>
      <c r="BZ807" s="53"/>
      <c r="CA807" s="53"/>
      <c r="CB807" s="53"/>
      <c r="CC807" s="53"/>
      <c r="CD807" s="53"/>
      <c r="CE807" s="53"/>
      <c r="CF807" s="53"/>
      <c r="CG807" s="53"/>
      <c r="CH807" s="53"/>
      <c r="CI807" s="53"/>
      <c r="CJ807" s="53"/>
      <c r="CK807" s="53"/>
      <c r="CL807" s="53"/>
      <c r="CM807" s="53"/>
      <c r="CN807" s="53"/>
      <c r="CO807" s="53"/>
      <c r="CP807" s="53"/>
      <c r="CQ807" s="53"/>
      <c r="CR807" s="53"/>
      <c r="CS807" s="53"/>
      <c r="CT807" s="53"/>
      <c r="CU807" s="53"/>
      <c r="CV807" s="53"/>
      <c r="CW807" s="53"/>
      <c r="CX807" s="53"/>
      <c r="CY807" s="53"/>
      <c r="CZ807" s="53"/>
      <c r="DA807" s="53"/>
      <c r="DB807" s="53"/>
      <c r="DC807" s="53"/>
      <c r="DD807" s="53"/>
      <c r="DE807" s="53"/>
      <c r="DF807" s="53"/>
      <c r="DG807" s="53"/>
      <c r="DH807" s="53"/>
      <c r="DI807" s="53"/>
      <c r="DJ807" s="53"/>
      <c r="DK807" s="53"/>
      <c r="DL807" s="53"/>
      <c r="DM807" s="53"/>
      <c r="DN807" s="53"/>
      <c r="DO807" s="53"/>
      <c r="DP807" s="53"/>
      <c r="DQ807" s="53"/>
      <c r="DR807" s="53"/>
      <c r="DS807" s="53"/>
      <c r="DT807" s="53"/>
      <c r="DU807" s="53"/>
      <c r="DV807" s="53"/>
      <c r="DW807" s="53"/>
      <c r="DX807" s="53"/>
      <c r="DY807" s="53"/>
      <c r="DZ807" s="53"/>
      <c r="EA807" s="53"/>
      <c r="EB807" s="53"/>
      <c r="EC807" s="53"/>
      <c r="ED807" s="53"/>
      <c r="EE807" s="53"/>
      <c r="EF807" s="53"/>
      <c r="EG807" s="53"/>
      <c r="EH807" s="53"/>
      <c r="EI807" s="53"/>
      <c r="EJ807" s="53"/>
      <c r="EK807" s="53"/>
      <c r="EL807" s="53"/>
      <c r="EM807" s="53"/>
      <c r="EN807" s="53"/>
      <c r="EO807" s="53"/>
      <c r="EP807" s="53"/>
      <c r="EQ807" s="53"/>
      <c r="ER807" s="53"/>
      <c r="ES807" s="53"/>
      <c r="ET807" s="53"/>
      <c r="EU807" s="53"/>
      <c r="EV807" s="53"/>
      <c r="EW807" s="53"/>
      <c r="EX807" s="53"/>
      <c r="EY807" s="53"/>
      <c r="EZ807" s="53"/>
      <c r="FA807" s="53"/>
      <c r="FB807" s="53"/>
      <c r="FC807" s="53"/>
      <c r="FD807" s="53"/>
      <c r="FE807" s="53"/>
      <c r="FF807" s="53"/>
      <c r="FG807" s="53"/>
      <c r="FH807" s="53"/>
      <c r="FI807" s="53"/>
      <c r="FJ807" s="53"/>
      <c r="FK807" s="53"/>
      <c r="FL807" s="53"/>
      <c r="FM807" s="53"/>
      <c r="FN807" s="53"/>
      <c r="FO807" s="53"/>
      <c r="FP807" s="53"/>
      <c r="FQ807" s="53"/>
      <c r="FR807" s="53"/>
      <c r="FS807" s="53"/>
      <c r="FT807" s="53"/>
      <c r="FU807" s="53"/>
      <c r="FV807" s="53"/>
      <c r="FW807" s="53"/>
      <c r="FX807" s="53"/>
      <c r="FY807" s="53"/>
      <c r="FZ807" s="53"/>
      <c r="GA807" s="53"/>
      <c r="GB807" s="53"/>
      <c r="GC807" s="53"/>
      <c r="GD807" s="53"/>
      <c r="GE807" s="53"/>
      <c r="GF807" s="53"/>
      <c r="GG807" s="53"/>
      <c r="GH807" s="53"/>
      <c r="GI807" s="53"/>
      <c r="GJ807" s="53"/>
      <c r="GK807" s="53"/>
      <c r="GL807" s="53"/>
      <c r="GM807" s="53"/>
      <c r="GN807" s="53"/>
      <c r="GO807" s="53"/>
      <c r="GP807" s="53"/>
      <c r="GQ807" s="53"/>
      <c r="GR807" s="53"/>
      <c r="GS807" s="53"/>
      <c r="GT807" s="53"/>
      <c r="GU807" s="53"/>
      <c r="GV807" s="53"/>
      <c r="GW807" s="53"/>
      <c r="GX807" s="53"/>
      <c r="GY807" s="53"/>
      <c r="GZ807" s="53"/>
      <c r="HA807" s="53"/>
      <c r="HB807" s="53"/>
      <c r="HC807" s="53"/>
      <c r="HD807" s="53"/>
      <c r="HE807" s="53"/>
      <c r="HF807" s="53"/>
      <c r="HG807" s="53"/>
      <c r="HH807" s="53"/>
      <c r="HI807" s="53"/>
      <c r="HJ807" s="53"/>
      <c r="HK807" s="53"/>
      <c r="HL807" s="53"/>
      <c r="HM807" s="53"/>
      <c r="HN807" s="53"/>
      <c r="HO807" s="53"/>
      <c r="HP807" s="53"/>
      <c r="HQ807" s="53"/>
      <c r="HR807" s="53"/>
      <c r="HS807" s="53"/>
      <c r="HT807" s="53"/>
      <c r="HU807" s="53"/>
      <c r="HV807" s="53"/>
      <c r="HW807" s="53"/>
      <c r="HX807" s="53"/>
      <c r="HY807" s="53"/>
      <c r="HZ807" s="53"/>
      <c r="IA807" s="53"/>
    </row>
  </sheetData>
  <sheetProtection/>
  <mergeCells count="19">
    <mergeCell ref="A709:B709"/>
    <mergeCell ref="F16:F17"/>
    <mergeCell ref="D15:F15"/>
    <mergeCell ref="G16:I16"/>
    <mergeCell ref="K16:M16"/>
    <mergeCell ref="A15:A17"/>
    <mergeCell ref="B15:B17"/>
    <mergeCell ref="C15:C17"/>
    <mergeCell ref="D16:E16"/>
    <mergeCell ref="G15:J15"/>
    <mergeCell ref="A706:D706"/>
    <mergeCell ref="F14:G14"/>
    <mergeCell ref="J2:L2"/>
    <mergeCell ref="A13:P13"/>
    <mergeCell ref="O706:P706"/>
    <mergeCell ref="N15:P15"/>
    <mergeCell ref="N16:O16"/>
    <mergeCell ref="P16:P17"/>
    <mergeCell ref="J16:J17"/>
  </mergeCells>
  <printOptions horizontalCentered="1"/>
  <pageMargins left="1.1811023622047245" right="0.5905511811023623" top="1.1811023622047245" bottom="0.7874015748031497" header="0" footer="0"/>
  <pageSetup fitToHeight="0" fitToWidth="1" horizontalDpi="600" verticalDpi="600" orientation="landscape" paperSize="9" scale="73" r:id="rId1"/>
  <rowBreaks count="1" manualBreakCount="1">
    <brk id="6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2020-03-27T11:33:49Z</cp:lastPrinted>
  <dcterms:created xsi:type="dcterms:W3CDTF">2014-04-22T08:24:49Z</dcterms:created>
  <dcterms:modified xsi:type="dcterms:W3CDTF">2020-03-27T11:38:04Z</dcterms:modified>
  <cp:category/>
  <cp:version/>
  <cp:contentType/>
  <cp:contentStatus/>
</cp:coreProperties>
</file>