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'Sheet1'!$A$1:$P$707</definedName>
  </definedNames>
  <calcPr fullCalcOnLoad="1"/>
</workbook>
</file>

<file path=xl/sharedStrings.xml><?xml version="1.0" encoding="utf-8"?>
<sst xmlns="http://schemas.openxmlformats.org/spreadsheetml/2006/main" count="715" uniqueCount="468">
  <si>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</si>
  <si>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</si>
  <si>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</si>
  <si>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</si>
  <si>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</si>
  <si>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</si>
  <si>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</si>
  <si>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</si>
  <si>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</si>
  <si>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</si>
  <si>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</si>
  <si>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</si>
  <si>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</si>
  <si>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</si>
  <si>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</si>
  <si>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</si>
  <si>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</si>
  <si>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</si>
  <si>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</si>
  <si>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</si>
  <si>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</si>
  <si>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</si>
  <si>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</si>
  <si>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</si>
  <si>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</si>
  <si>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</si>
  <si>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</si>
  <si>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</si>
  <si>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</si>
  <si>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</si>
  <si>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</si>
  <si>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</si>
  <si>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</si>
  <si>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</si>
  <si>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</si>
  <si>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</si>
  <si>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</si>
  <si>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</si>
  <si>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</si>
  <si>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</si>
  <si>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</si>
  <si>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</si>
  <si>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</si>
  <si>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</si>
  <si>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</si>
  <si>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</si>
  <si>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</si>
  <si>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</si>
  <si>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</si>
  <si>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</si>
  <si>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</si>
  <si>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</si>
  <si>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</si>
  <si>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</si>
  <si>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</si>
  <si>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</si>
  <si>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</si>
  <si>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</si>
  <si>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</si>
  <si>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</si>
  <si>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</si>
  <si>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</si>
  <si>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</si>
  <si>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</si>
  <si>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</si>
  <si>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</si>
  <si>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</si>
  <si>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</si>
  <si>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</si>
  <si>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</si>
  <si>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</si>
  <si>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</si>
  <si>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</si>
  <si>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</si>
  <si>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</si>
  <si>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</si>
  <si>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</si>
  <si>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</si>
  <si>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</si>
  <si>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</si>
  <si>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</si>
  <si>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</si>
  <si>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</si>
  <si>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</si>
  <si>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</si>
  <si>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</si>
  <si>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</si>
  <si>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</si>
  <si>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</si>
  <si>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</si>
  <si>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</si>
  <si>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</si>
  <si>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</si>
  <si>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</si>
  <si>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</si>
  <si>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</si>
  <si>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</si>
  <si>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</si>
  <si>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</si>
  <si>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</si>
  <si>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</si>
  <si>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</si>
  <si>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</si>
  <si>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</si>
  <si>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</si>
  <si>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</si>
  <si>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</si>
  <si>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</si>
  <si>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</si>
  <si>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</si>
  <si>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</si>
  <si>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</si>
  <si>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</si>
  <si>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</si>
  <si>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</si>
  <si>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</si>
  <si>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</si>
  <si>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</si>
  <si>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</si>
  <si>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</si>
  <si>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</si>
  <si>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</si>
  <si>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</si>
  <si>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</si>
  <si>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</si>
  <si>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</si>
  <si>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</si>
  <si>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</si>
  <si>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</si>
  <si>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</si>
  <si>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</si>
  <si>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</si>
  <si>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</si>
  <si>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</si>
  <si>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</si>
  <si>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</si>
  <si>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</si>
  <si>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</si>
  <si>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</si>
  <si>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</si>
  <si>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</si>
  <si>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</si>
  <si>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</si>
  <si>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</si>
  <si>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</si>
  <si>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</si>
  <si>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</si>
  <si>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</si>
  <si>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</si>
  <si>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</si>
  <si>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</si>
  <si>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</si>
  <si>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</si>
  <si>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</si>
  <si>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</si>
  <si>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</si>
  <si>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</si>
  <si>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</si>
  <si>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</si>
  <si>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</si>
  <si>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</si>
  <si>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</si>
  <si>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</si>
  <si>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</si>
  <si>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</si>
  <si>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</si>
  <si>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</si>
  <si>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</si>
  <si>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</si>
  <si>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</si>
  <si>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</si>
  <si>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</si>
  <si>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</si>
  <si>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</si>
  <si>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</si>
  <si>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</si>
  <si>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</si>
  <si>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</si>
  <si>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</si>
  <si>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</si>
  <si>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</si>
  <si>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</si>
  <si>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</si>
  <si>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</si>
  <si>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</si>
  <si>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</si>
  <si>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</si>
  <si>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</si>
  <si>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</si>
  <si>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</si>
  <si>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</si>
  <si>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</si>
  <si>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</si>
  <si>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</si>
  <si>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</si>
  <si>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</si>
  <si>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</si>
  <si>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</si>
  <si>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</si>
  <si>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</si>
  <si>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</si>
  <si>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</si>
  <si>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</si>
  <si>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</si>
  <si>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</si>
  <si>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</si>
  <si>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</si>
  <si>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</si>
  <si>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</si>
  <si>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</si>
  <si>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</si>
  <si>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</si>
  <si>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</si>
  <si>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</si>
  <si>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</si>
  <si>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</si>
  <si>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</si>
  <si>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</si>
  <si>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</si>
  <si>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</si>
  <si>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</si>
  <si>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</si>
  <si>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</si>
  <si>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</si>
  <si>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</si>
  <si>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</si>
  <si>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</si>
  <si>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</si>
  <si>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</si>
  <si>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</si>
  <si>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</si>
  <si>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</si>
  <si>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</si>
  <si>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</si>
  <si>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</si>
  <si>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</si>
  <si>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</si>
  <si>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</si>
  <si>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</si>
  <si>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</si>
  <si>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</si>
  <si>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</si>
  <si>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</si>
  <si>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</si>
  <si>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</si>
  <si>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</si>
  <si>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</si>
  <si>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</si>
  <si>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</si>
  <si>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</si>
  <si>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</si>
  <si>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</si>
  <si>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</si>
  <si>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</si>
  <si>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</si>
  <si>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</si>
  <si>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</si>
  <si>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</si>
  <si>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</si>
  <si>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</si>
  <si>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</si>
  <si>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</si>
  <si>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</si>
  <si>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</si>
  <si>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</si>
  <si>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</si>
  <si>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</si>
  <si>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</si>
  <si>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</si>
  <si>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</si>
  <si>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</si>
  <si>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</si>
  <si>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</si>
  <si>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</si>
  <si>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</si>
  <si>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</si>
  <si>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</si>
  <si>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</si>
  <si>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</si>
  <si>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</si>
  <si>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</si>
  <si>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</si>
  <si>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</si>
  <si>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</si>
  <si>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</si>
  <si>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</si>
  <si>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</si>
  <si>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</si>
  <si>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</si>
  <si>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</si>
  <si>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</si>
  <si>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</si>
  <si>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</si>
  <si>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</si>
  <si>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</si>
  <si>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</si>
  <si>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</si>
  <si>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</si>
  <si>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</si>
  <si>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</si>
  <si>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</si>
  <si>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</si>
  <si>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</si>
  <si>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</si>
  <si>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</si>
  <si>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</si>
  <si>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</si>
  <si>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</si>
  <si>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</si>
  <si>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</si>
  <si>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</si>
  <si>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</si>
  <si>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</si>
  <si>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</si>
  <si>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</si>
  <si>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</si>
  <si>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</si>
  <si>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</si>
  <si>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</si>
  <si>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</si>
  <si>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</si>
  <si>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</si>
  <si>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</si>
  <si>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</si>
  <si>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</si>
  <si>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</si>
  <si>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</si>
  <si>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</si>
  <si>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</si>
  <si>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</si>
  <si>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</si>
  <si>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</si>
  <si>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</si>
  <si>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</si>
  <si>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</si>
  <si>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</si>
  <si>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</si>
  <si>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</si>
  <si>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</si>
  <si>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</si>
  <si>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</si>
  <si>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</si>
  <si>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</si>
  <si>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</si>
  <si>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</si>
  <si>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</si>
  <si>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</si>
  <si>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</si>
  <si>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</si>
  <si>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</si>
  <si>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</si>
  <si>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</si>
  <si>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</si>
  <si>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</si>
  <si>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</si>
  <si>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</si>
  <si>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</si>
  <si>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</si>
  <si>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</si>
  <si>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</si>
  <si>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</si>
  <si>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</si>
  <si>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</si>
  <si>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</si>
  <si>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</si>
  <si>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</si>
  <si>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</si>
  <si>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</si>
  <si>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</si>
  <si>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</si>
  <si>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</si>
  <si>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</si>
  <si>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</si>
  <si>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</si>
  <si>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</si>
  <si>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</si>
  <si>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</si>
  <si>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</si>
  <si>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</si>
  <si>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</si>
  <si>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</si>
  <si>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</si>
  <si>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</si>
  <si>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</si>
  <si>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</si>
  <si>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</si>
  <si>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</si>
  <si>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</si>
  <si>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</si>
  <si>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</si>
  <si>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</si>
  <si>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</si>
  <si>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</si>
  <si>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</si>
  <si>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</si>
  <si>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</si>
  <si>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</si>
  <si>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</si>
  <si>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</si>
  <si>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</si>
  <si>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</si>
  <si>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</si>
  <si>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</si>
  <si>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</si>
  <si>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</si>
  <si>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</si>
  <si>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</si>
  <si>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</si>
  <si>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</si>
  <si>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</si>
  <si>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</si>
  <si>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</si>
  <si>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</si>
  <si>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</si>
  <si>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</si>
  <si>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</si>
  <si>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</si>
  <si>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</si>
  <si>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</si>
  <si>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</si>
  <si>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</si>
  <si>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</si>
  <si>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</si>
  <si>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</si>
  <si>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</si>
  <si>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</si>
  <si>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</si>
  <si>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>Завдання: 44. Впровадження енергозберігаючих заходів</t>
  </si>
  <si>
    <t>Завдання: 44.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</si>
  <si>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44.2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</si>
  <si>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</si>
  <si>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</si>
  <si>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Завдання: 47. Встановлення вузлів  комерційного обліку </t>
  </si>
  <si>
    <t xml:space="preserve">  Завдання: 48. Забезпечення надійного та безперебійного функціонування житлово-експлуатаційного господарства</t>
  </si>
  <si>
    <t xml:space="preserve">  Завдання: 49. Організація та проведення громадських робіт</t>
  </si>
  <si>
    <t xml:space="preserve">  Завдання: 50.Заходи з будівництва, реставрації  та реконструкції</t>
  </si>
  <si>
    <t xml:space="preserve">  Завдання: 51.Здійснення заходів із землеустрою </t>
  </si>
  <si>
    <t xml:space="preserve">  Завдання: 53. Повернення бюджетних позичок на поворотній основі</t>
  </si>
  <si>
    <t xml:space="preserve">  Завдання: 52. Повернення бюджетних позичок на поворотній основі</t>
  </si>
  <si>
    <t xml:space="preserve">  Завдання: 54. Надання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</si>
  <si>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</si>
  <si>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</si>
  <si>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</si>
  <si>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</si>
  <si>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Додаток 23</t>
  </si>
  <si>
    <t xml:space="preserve">Показник: видатки на визначення норм надання послуг з вивезення ТПВ в м. Суми (ІІІ етап робіт -розробка звіту) </t>
  </si>
  <si>
    <t>Показник: кількість послуг, які будуть надані при визначенні норм обсягів шару на новоселецькому кладовищі, од</t>
  </si>
  <si>
    <t>Показник: середня вартість 1 послуги, з визначення норм обсягів шару на новоселецькому кладовищі , грн.</t>
  </si>
  <si>
    <t>Показник: кількість послуг, які будуть надані при розробці ОВД будівництва 3 черги полігону ТПВ, од</t>
  </si>
  <si>
    <t xml:space="preserve"> Показник: середня вартість 1 послуги,  при розробці ОВД будівництва 3 черги полігону ТПВ , грн.</t>
  </si>
  <si>
    <t xml:space="preserve"> Сумський міський голова </t>
  </si>
  <si>
    <t>О.М. Лисенко</t>
  </si>
  <si>
    <t>Виконавець: Павленко В.І.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</si>
  <si>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м.Суми, надання послуг з розробки ОВД будівництва 3 черги полігону ТПВ, визначення обсягів шару на новоселецькому кладовищі, надання послуг з визначення норм накопичення рослинних відходів, проведення комплексно-приладового обстеження газопроводів військогового містечка по вул.Г.Кондратьєва165</t>
  </si>
  <si>
    <t>Показник: кількість колодязів , по яких буде проведена санація, од</t>
  </si>
  <si>
    <t>Показник: середня вартість проведення санації, грн.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</si>
  <si>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</si>
  <si>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</si>
  <si>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>"Про внесення змін до рішення Сумської міської ради</t>
  </si>
  <si>
    <t>від 21 грудня 2017 року № 2913-МР</t>
  </si>
  <si>
    <t xml:space="preserve">«Про затвердження  Комплексної цільової </t>
  </si>
  <si>
    <t>на 2018 - 2020 роки, (зі змінами)</t>
  </si>
  <si>
    <t xml:space="preserve">від                           №  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</si>
  <si>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тротуарів, тротуарівв до шкіл та садочків</t>
  </si>
  <si>
    <t>реалізацію проектів-переможців громадського (партиципаторного )бюджету</t>
  </si>
  <si>
    <t xml:space="preserve"> Завдання: 31.3 Фінансова підтримка (погашення заборгованості за судовим рішенням)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</si>
  <si>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</si>
  <si>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електроенергії , погашення заборгованності за судовим рішенням), Фінансова підтримка КП «Міськводоканал» СМР для проведення оцінки запасів питних підземних вод Сумського родовища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</si>
</sst>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7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40787626"/>
        <c:axId val="31544315"/>
      </c:barChart>
      <c:catAx>
        <c:axId val="4078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44315"/>
        <c:crosses val="autoZero"/>
        <c:auto val="1"/>
        <c:lblOffset val="100"/>
        <c:tickLblSkip val="1"/>
        <c:noMultiLvlLbl val="0"/>
      </c:catAx>
      <c:valAx>
        <c:axId val="31544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7626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804"/>
  <sheetViews>
    <sheetView tabSelected="1" view="pageBreakPreview" zoomScaleNormal="85" zoomScaleSheetLayoutView="100" workbookViewId="0" topLeftCell="A2">
      <selection activeCell="O653" sqref="O653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6" ht="18.75">
      <c r="A2" s="112"/>
      <c r="B2" s="112"/>
      <c r="C2" s="112"/>
      <c r="D2" s="118"/>
      <c r="E2" s="118"/>
      <c r="F2" s="118"/>
      <c r="G2" s="118"/>
      <c r="H2" s="118"/>
      <c r="I2" s="118"/>
      <c r="J2" s="167" t="s">
        <v>444</v>
      </c>
      <c r="K2" s="167"/>
      <c r="L2" s="167"/>
      <c r="M2" s="108"/>
      <c r="N2" s="108"/>
      <c r="O2" s="108"/>
      <c r="P2" s="108"/>
    </row>
    <row r="3" spans="1:16" ht="14.25" customHeight="1">
      <c r="A3" s="112"/>
      <c r="B3" s="112"/>
      <c r="C3" s="112"/>
      <c r="D3" s="118"/>
      <c r="E3" s="118"/>
      <c r="F3" s="118"/>
      <c r="G3" s="118"/>
      <c r="H3" s="118"/>
      <c r="I3" s="118"/>
      <c r="J3" s="108" t="s">
        <v>348</v>
      </c>
      <c r="K3" s="108"/>
      <c r="L3" s="108"/>
      <c r="M3" s="108"/>
      <c r="N3" s="108"/>
      <c r="O3" s="108"/>
      <c r="P3" s="108"/>
    </row>
    <row r="4" spans="1:16" ht="14.25" customHeight="1">
      <c r="A4" s="112"/>
      <c r="B4" s="112"/>
      <c r="C4" s="112"/>
      <c r="D4" s="118"/>
      <c r="E4" s="118"/>
      <c r="F4" s="118"/>
      <c r="G4" s="118"/>
      <c r="H4" s="118"/>
      <c r="I4" s="118"/>
      <c r="J4" s="108" t="s">
        <v>458</v>
      </c>
      <c r="K4" s="108"/>
      <c r="L4" s="108"/>
      <c r="M4" s="108"/>
      <c r="N4" s="108"/>
      <c r="O4" s="108"/>
      <c r="P4" s="108"/>
    </row>
    <row r="5" spans="1:16" ht="14.25" customHeight="1">
      <c r="A5" s="112"/>
      <c r="B5" s="112"/>
      <c r="C5" s="112"/>
      <c r="D5" s="118"/>
      <c r="E5" s="118"/>
      <c r="F5" s="118"/>
      <c r="G5" s="118"/>
      <c r="H5" s="118"/>
      <c r="I5" s="118"/>
      <c r="J5" s="108" t="s">
        <v>459</v>
      </c>
      <c r="K5" s="108"/>
      <c r="L5" s="108"/>
      <c r="M5" s="108"/>
      <c r="N5" s="108"/>
      <c r="O5" s="108"/>
      <c r="P5" s="108"/>
    </row>
    <row r="6" spans="1:16" ht="14.25" customHeight="1">
      <c r="A6" s="112"/>
      <c r="B6" s="112"/>
      <c r="C6" s="112"/>
      <c r="D6" s="118"/>
      <c r="E6" s="118"/>
      <c r="F6" s="118"/>
      <c r="G6" s="118"/>
      <c r="H6" s="118"/>
      <c r="I6" s="118"/>
      <c r="J6" s="108" t="s">
        <v>460</v>
      </c>
      <c r="K6" s="108"/>
      <c r="L6" s="108"/>
      <c r="M6" s="108"/>
      <c r="N6" s="108"/>
      <c r="O6" s="108"/>
      <c r="P6" s="108"/>
    </row>
    <row r="7" spans="1:16" ht="13.5" customHeight="1">
      <c r="A7" s="120"/>
      <c r="B7" s="120"/>
      <c r="C7" s="120"/>
      <c r="D7" s="121"/>
      <c r="E7" s="121"/>
      <c r="F7" s="121"/>
      <c r="G7" s="121"/>
      <c r="H7" s="121"/>
      <c r="I7" s="121"/>
      <c r="J7" s="108" t="s">
        <v>42</v>
      </c>
      <c r="K7" s="108"/>
      <c r="L7" s="108"/>
      <c r="M7" s="108"/>
      <c r="N7" s="108"/>
      <c r="O7" s="108"/>
      <c r="P7" s="108"/>
    </row>
    <row r="8" spans="1:16" ht="14.25" customHeight="1">
      <c r="A8" s="120"/>
      <c r="B8" s="120"/>
      <c r="C8" s="120"/>
      <c r="D8" s="121"/>
      <c r="E8" s="121"/>
      <c r="F8" s="121"/>
      <c r="G8" s="121"/>
      <c r="H8" s="121"/>
      <c r="I8" s="121"/>
      <c r="J8" s="108" t="s">
        <v>55</v>
      </c>
      <c r="K8" s="108"/>
      <c r="L8" s="108"/>
      <c r="M8" s="108"/>
      <c r="N8" s="108"/>
      <c r="O8" s="108"/>
      <c r="P8" s="108"/>
    </row>
    <row r="9" spans="1:16" ht="14.25" customHeight="1">
      <c r="A9" s="120"/>
      <c r="B9" s="120"/>
      <c r="C9" s="120"/>
      <c r="D9" s="121"/>
      <c r="E9" s="121"/>
      <c r="F9" s="121"/>
      <c r="G9" s="121"/>
      <c r="H9" s="121"/>
      <c r="I9" s="121"/>
      <c r="J9" s="108" t="s">
        <v>461</v>
      </c>
      <c r="K9" s="108"/>
      <c r="L9" s="108"/>
      <c r="M9" s="108"/>
      <c r="N9" s="108"/>
      <c r="O9" s="108"/>
      <c r="P9" s="108"/>
    </row>
    <row r="10" spans="1:16" ht="1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08" t="s">
        <v>462</v>
      </c>
      <c r="K10" s="108"/>
      <c r="L10" s="108"/>
      <c r="M10" s="108"/>
      <c r="N10" s="108"/>
      <c r="O10" s="108"/>
      <c r="P10" s="108"/>
    </row>
    <row r="11" spans="1:17" ht="12.7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9"/>
      <c r="O11" s="119"/>
      <c r="P11" s="119"/>
      <c r="Q11" s="28"/>
    </row>
    <row r="12" spans="1:16" ht="10.5" customHeight="1">
      <c r="A12" s="120"/>
      <c r="B12" s="120"/>
      <c r="C12" s="120"/>
      <c r="D12" s="121"/>
      <c r="E12" s="121"/>
      <c r="F12" s="121"/>
      <c r="G12" s="121"/>
      <c r="H12" s="121"/>
      <c r="I12" s="121"/>
      <c r="J12" s="118"/>
      <c r="K12" s="118"/>
      <c r="L12" s="118"/>
      <c r="M12" s="118"/>
      <c r="N12" s="118"/>
      <c r="O12" s="118"/>
      <c r="P12" s="118"/>
    </row>
    <row r="13" spans="1:16" ht="39.75" customHeight="1">
      <c r="A13" s="168" t="s">
        <v>273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  <row r="14" spans="1:16" ht="16.5" customHeight="1">
      <c r="A14" s="122"/>
      <c r="B14" s="122"/>
      <c r="C14" s="122"/>
      <c r="D14" s="123"/>
      <c r="E14" s="123"/>
      <c r="F14" s="166" t="s">
        <v>274</v>
      </c>
      <c r="G14" s="166"/>
      <c r="H14" s="123"/>
      <c r="I14" s="123"/>
      <c r="J14" s="118"/>
      <c r="K14" s="123"/>
      <c r="L14" s="118"/>
      <c r="M14" s="118"/>
      <c r="N14" s="118"/>
      <c r="O14" s="118"/>
      <c r="P14" s="158" t="s">
        <v>39</v>
      </c>
    </row>
    <row r="15" spans="1:241" ht="11.25" customHeight="1">
      <c r="A15" s="180"/>
      <c r="B15" s="180" t="s">
        <v>34</v>
      </c>
      <c r="C15" s="180" t="s">
        <v>35</v>
      </c>
      <c r="D15" s="170" t="s">
        <v>441</v>
      </c>
      <c r="E15" s="171"/>
      <c r="F15" s="172"/>
      <c r="G15" s="177" t="s">
        <v>442</v>
      </c>
      <c r="H15" s="177"/>
      <c r="I15" s="177"/>
      <c r="J15" s="177"/>
      <c r="K15" s="33"/>
      <c r="L15" s="33"/>
      <c r="M15" s="33"/>
      <c r="N15" s="170" t="s">
        <v>443</v>
      </c>
      <c r="O15" s="171"/>
      <c r="P15" s="172"/>
      <c r="IB15" s="25"/>
      <c r="IC15" s="25"/>
      <c r="ID15" s="25"/>
      <c r="IE15" s="25"/>
      <c r="IF15" s="25"/>
      <c r="IG15" s="25"/>
    </row>
    <row r="16" spans="1:241" ht="12" customHeight="1">
      <c r="A16" s="181"/>
      <c r="B16" s="181"/>
      <c r="C16" s="181"/>
      <c r="D16" s="173" t="s">
        <v>36</v>
      </c>
      <c r="E16" s="174"/>
      <c r="F16" s="175" t="s">
        <v>26</v>
      </c>
      <c r="G16" s="179" t="s">
        <v>36</v>
      </c>
      <c r="H16" s="179"/>
      <c r="I16" s="179"/>
      <c r="J16" s="177" t="s">
        <v>26</v>
      </c>
      <c r="K16" s="170" t="s">
        <v>25</v>
      </c>
      <c r="L16" s="171"/>
      <c r="M16" s="172"/>
      <c r="N16" s="173" t="s">
        <v>36</v>
      </c>
      <c r="O16" s="174"/>
      <c r="P16" s="175" t="s">
        <v>26</v>
      </c>
      <c r="IB16" s="25"/>
      <c r="IC16" s="25"/>
      <c r="ID16" s="25"/>
      <c r="IE16" s="25"/>
      <c r="IF16" s="25"/>
      <c r="IG16" s="25"/>
    </row>
    <row r="17" spans="1:241" ht="24.75" customHeight="1">
      <c r="A17" s="182"/>
      <c r="B17" s="182"/>
      <c r="C17" s="182"/>
      <c r="D17" s="33" t="s">
        <v>0</v>
      </c>
      <c r="E17" s="33" t="s">
        <v>1</v>
      </c>
      <c r="F17" s="176"/>
      <c r="G17" s="33" t="s">
        <v>0</v>
      </c>
      <c r="H17" s="33" t="s">
        <v>1</v>
      </c>
      <c r="I17" s="33" t="s">
        <v>186</v>
      </c>
      <c r="J17" s="177"/>
      <c r="K17" s="33" t="s">
        <v>0</v>
      </c>
      <c r="L17" s="33" t="s">
        <v>1</v>
      </c>
      <c r="M17" s="33" t="s">
        <v>26</v>
      </c>
      <c r="N17" s="33" t="s">
        <v>0</v>
      </c>
      <c r="O17" s="33" t="s">
        <v>1</v>
      </c>
      <c r="P17" s="176"/>
      <c r="IB17" s="25"/>
      <c r="IC17" s="25"/>
      <c r="ID17" s="25"/>
      <c r="IE17" s="25"/>
      <c r="IF17" s="25"/>
      <c r="IG17" s="25"/>
    </row>
    <row r="18" spans="1:241" s="116" customFormat="1" ht="12.75">
      <c r="A18" s="124">
        <v>1</v>
      </c>
      <c r="B18" s="124"/>
      <c r="C18" s="124"/>
      <c r="D18" s="124" t="s">
        <v>2</v>
      </c>
      <c r="E18" s="124" t="s">
        <v>3</v>
      </c>
      <c r="F18" s="124">
        <v>7</v>
      </c>
      <c r="G18" s="124">
        <v>8</v>
      </c>
      <c r="H18" s="124">
        <v>9</v>
      </c>
      <c r="I18" s="124">
        <v>10</v>
      </c>
      <c r="J18" s="124">
        <v>11</v>
      </c>
      <c r="K18" s="124">
        <v>12</v>
      </c>
      <c r="L18" s="124">
        <v>13</v>
      </c>
      <c r="M18" s="124">
        <v>14</v>
      </c>
      <c r="N18" s="124">
        <v>12</v>
      </c>
      <c r="O18" s="124">
        <v>13</v>
      </c>
      <c r="P18" s="124">
        <v>14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</row>
    <row r="19" spans="1:16" s="25" customFormat="1" ht="28.5" customHeight="1">
      <c r="A19" s="32" t="s">
        <v>47</v>
      </c>
      <c r="B19" s="32"/>
      <c r="C19" s="32"/>
      <c r="D19" s="33">
        <f>SUM(D24)+D301+D340+D467+D476+D586+D604+D613+D622+D632+D642+D650+D663+D672+D690</f>
        <v>157231200.00291747</v>
      </c>
      <c r="E19" s="33">
        <f>SUM(E24)+E301+E340+E467+E476+E586+E604+E613+E622+E632+E642+E650+E663+E672+E690</f>
        <v>490457807.999755</v>
      </c>
      <c r="F19" s="33">
        <f>SUM(D19:E19)</f>
        <v>647689008.0026724</v>
      </c>
      <c r="G19" s="33">
        <f>SUM(G24)+G301+G340+G467+G476+G586+G604+G613+G622+G632+G642+G650+G663+G672+G690</f>
        <v>330608667.0799948</v>
      </c>
      <c r="H19" s="33">
        <f>SUM(H24)+H301+H340+H467+H476+H586+H604+H613+H622+H632+H642+H650+H663+H672+H681+H690</f>
        <v>383991108.94646204</v>
      </c>
      <c r="I19" s="33" t="e">
        <f>SUM(I24)+I301+I340+I467+I476+I586+I604+I613+I622+I632+I642+I650+I663+I672+I690</f>
        <v>#REF!</v>
      </c>
      <c r="J19" s="33">
        <f>SUM(G19)+H19</f>
        <v>714599776.0264568</v>
      </c>
      <c r="K19" s="33" t="e">
        <f>SUM(K24)+K301+K340+K467+K476+K586+K604+K613+K622+K632+K642+K650+K663+K672+K690</f>
        <v>#REF!</v>
      </c>
      <c r="L19" s="33" t="e">
        <f>SUM(L24)+L301+L340+L467+L476+L586+L604+L613+L622+L632+L642+L650+L663+L672+L690</f>
        <v>#REF!</v>
      </c>
      <c r="M19" s="33" t="e">
        <f>SUM(M24)+M301+M340+M467+M476+M586+M604+M613+M622+M632+M642+M650+M663+M672+M690</f>
        <v>#REF!</v>
      </c>
      <c r="N19" s="33">
        <f>SUM(N24)+N301+N340+N467+N476+N586+N604+N613+N622+N632+N650+N663+N672+N690</f>
        <v>184448805.3341847</v>
      </c>
      <c r="O19" s="33">
        <f>SUM(O24)+O301+O340+O467+O476+O586+O604+O613+O622+O632+O642+O650+O663+O672+O690</f>
        <v>303732728.380365</v>
      </c>
      <c r="P19" s="33">
        <f>SUM(P24)+P301+P340+P467+P476+P586+P604+P613+P622+P632+P650+P663+P672+P690</f>
        <v>488181533.7145497</v>
      </c>
    </row>
    <row r="20" spans="1:16" s="25" customFormat="1" ht="41.25" customHeight="1">
      <c r="A20" s="32" t="s">
        <v>41</v>
      </c>
      <c r="B20" s="32"/>
      <c r="C20" s="32"/>
      <c r="D20" s="33">
        <f>D25</f>
        <v>124999999.9999491</v>
      </c>
      <c r="E20" s="33">
        <f>E25</f>
        <v>191899944.43989998</v>
      </c>
      <c r="F20" s="33">
        <f>F25</f>
        <v>316899944.4398491</v>
      </c>
      <c r="G20" s="33">
        <f>G25</f>
        <v>9041700.003999999</v>
      </c>
      <c r="H20" s="33">
        <f>H25</f>
        <v>208302479.99964452</v>
      </c>
      <c r="I20" s="33">
        <f aca="true" t="shared" si="0" ref="I20:O20">I25</f>
        <v>-2000000</v>
      </c>
      <c r="J20" s="33">
        <f>SUM(G20)+H20</f>
        <v>217344180.00364453</v>
      </c>
      <c r="K20" s="33">
        <f t="shared" si="0"/>
        <v>-2000000</v>
      </c>
      <c r="L20" s="33">
        <f t="shared" si="0"/>
        <v>-2000000</v>
      </c>
      <c r="M20" s="33">
        <f t="shared" si="0"/>
        <v>-2000000</v>
      </c>
      <c r="N20" s="33">
        <f>N25</f>
        <v>146537599.99986666</v>
      </c>
      <c r="O20" s="33">
        <f t="shared" si="0"/>
        <v>164363001.15679845</v>
      </c>
      <c r="P20" s="33">
        <f>P25</f>
        <v>310900601.1566651</v>
      </c>
    </row>
    <row r="21" spans="1:17" ht="40.5" customHeight="1">
      <c r="A21" s="32" t="s">
        <v>188</v>
      </c>
      <c r="B21" s="32"/>
      <c r="C21" s="32"/>
      <c r="D21" s="33">
        <f>D341-0.006</f>
        <v>462379.99700000003</v>
      </c>
      <c r="E21" s="33">
        <f>E341</f>
        <v>692840</v>
      </c>
      <c r="F21" s="33">
        <f>F341</f>
        <v>1155220.003</v>
      </c>
      <c r="G21" s="33">
        <f>G341</f>
        <v>443775</v>
      </c>
      <c r="H21" s="33">
        <f>H341</f>
        <v>763900</v>
      </c>
      <c r="I21" s="33">
        <f>I341</f>
        <v>0</v>
      </c>
      <c r="J21" s="33">
        <f>SUM(G21)+H21</f>
        <v>1207675</v>
      </c>
      <c r="K21" s="33">
        <f aca="true" t="shared" si="1" ref="K21:Q21">K341</f>
        <v>0</v>
      </c>
      <c r="L21" s="33">
        <f t="shared" si="1"/>
        <v>0</v>
      </c>
      <c r="M21" s="33">
        <f t="shared" si="1"/>
        <v>0</v>
      </c>
      <c r="N21" s="33">
        <f t="shared" si="1"/>
        <v>352520</v>
      </c>
      <c r="O21" s="33">
        <f t="shared" si="1"/>
        <v>787532</v>
      </c>
      <c r="P21" s="33">
        <f t="shared" si="1"/>
        <v>1140052</v>
      </c>
      <c r="Q21" s="33">
        <f t="shared" si="1"/>
        <v>0</v>
      </c>
    </row>
    <row r="22" spans="1:18" ht="20.25" customHeight="1">
      <c r="A22" s="32" t="s">
        <v>138</v>
      </c>
      <c r="B22" s="32"/>
      <c r="C22" s="32"/>
      <c r="D22" s="33">
        <f>D19+D20+D21</f>
        <v>282693579.99986655</v>
      </c>
      <c r="E22" s="33">
        <f aca="true" t="shared" si="2" ref="E22:Q22">E19+E20+E21</f>
        <v>683050592.4396551</v>
      </c>
      <c r="F22" s="33">
        <f t="shared" si="2"/>
        <v>965744172.4455216</v>
      </c>
      <c r="G22" s="33">
        <f>G19+G20+G21</f>
        <v>340094142.0839948</v>
      </c>
      <c r="H22" s="33">
        <f>H19+H20+H21</f>
        <v>593057488.9461066</v>
      </c>
      <c r="I22" s="33" t="e">
        <f t="shared" si="2"/>
        <v>#REF!</v>
      </c>
      <c r="J22" s="33">
        <f>J19+J20+J21</f>
        <v>933151631.0301013</v>
      </c>
      <c r="K22" s="33" t="e">
        <f t="shared" si="2"/>
        <v>#REF!</v>
      </c>
      <c r="L22" s="33" t="e">
        <f t="shared" si="2"/>
        <v>#REF!</v>
      </c>
      <c r="M22" s="33" t="e">
        <f t="shared" si="2"/>
        <v>#REF!</v>
      </c>
      <c r="N22" s="33">
        <f>N19+N20+N21</f>
        <v>331338925.3340514</v>
      </c>
      <c r="O22" s="33">
        <f t="shared" si="2"/>
        <v>468883261.5371635</v>
      </c>
      <c r="P22" s="33">
        <f>P19+P20+P21</f>
        <v>800222186.8712149</v>
      </c>
      <c r="Q22" s="33">
        <f t="shared" si="2"/>
        <v>0</v>
      </c>
      <c r="R22" s="26"/>
    </row>
    <row r="23" spans="1:235" s="139" customFormat="1" ht="30.75" customHeight="1">
      <c r="A23" s="140" t="s">
        <v>440</v>
      </c>
      <c r="B23" s="141"/>
      <c r="C23" s="141"/>
      <c r="D23" s="142">
        <f>D24+D25</f>
        <v>242045100.0028672</v>
      </c>
      <c r="E23" s="142">
        <f>E24+E25</f>
        <v>290485527.43965495</v>
      </c>
      <c r="F23" s="142">
        <f>F24+F25</f>
        <v>532530627.44252217</v>
      </c>
      <c r="G23" s="142">
        <f aca="true" t="shared" si="3" ref="G23:P23">G24+G25</f>
        <v>261115566.68376482</v>
      </c>
      <c r="H23" s="142">
        <f>H24+H25</f>
        <v>319617016.9486065</v>
      </c>
      <c r="I23" s="142">
        <f t="shared" si="3"/>
        <v>-2000000</v>
      </c>
      <c r="J23" s="142">
        <f>J24+J25</f>
        <v>580732583.6323714</v>
      </c>
      <c r="K23" s="142" t="e">
        <f t="shared" si="3"/>
        <v>#REF!</v>
      </c>
      <c r="L23" s="142" t="e">
        <f t="shared" si="3"/>
        <v>#REF!</v>
      </c>
      <c r="M23" s="142" t="e">
        <f t="shared" si="3"/>
        <v>#REF!</v>
      </c>
      <c r="N23" s="142">
        <f t="shared" si="3"/>
        <v>284874933.3320017</v>
      </c>
      <c r="O23" s="142">
        <f>O24+O25</f>
        <v>288467784.91516346</v>
      </c>
      <c r="P23" s="142">
        <f t="shared" si="3"/>
        <v>573342718.2471651</v>
      </c>
      <c r="Q23" s="143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15" customHeight="1">
      <c r="A24" s="144" t="s">
        <v>60</v>
      </c>
      <c r="B24" s="144"/>
      <c r="C24" s="144"/>
      <c r="D24" s="142">
        <f>SUM(D49)+D77+(D92*D95)+D99+D142+D168+D222+D246+D270+D291+D283+2000000</f>
        <v>117045100.0029181</v>
      </c>
      <c r="E24" s="142">
        <f>SUM(E49)+E77+(E92*E95)+E99+E142+E168+E222+E246+E270+E291+E283</f>
        <v>98585582.999755</v>
      </c>
      <c r="F24" s="142">
        <f>D24+E24</f>
        <v>215630683.0026731</v>
      </c>
      <c r="G24" s="142">
        <f>SUM(G49)+G77+(G92*G95)+G99+G142+G168+G222+G246+G270+G291+G283+G35+G58</f>
        <v>252073866.6797648</v>
      </c>
      <c r="H24" s="142">
        <f>SUM(H49)+H77+(H92*H95)+H99+H142+H168+H222+H246+H270+H291+H283</f>
        <v>111314536.948962</v>
      </c>
      <c r="I24" s="142">
        <f>I49+I77+I86+I99+I142+I168+I222+I246+I270+I283+I291</f>
        <v>0</v>
      </c>
      <c r="J24" s="142">
        <f>G24+H24</f>
        <v>363388403.62872684</v>
      </c>
      <c r="K24" s="142" t="e">
        <f>K49+K77+K86+K99+K142+K168+K222+K246+K270+K283+K291</f>
        <v>#REF!</v>
      </c>
      <c r="L24" s="142" t="e">
        <f>L49+L77+L86+L99+L142+L168+L222+L246+L270+L283+L291</f>
        <v>#REF!</v>
      </c>
      <c r="M24" s="142" t="e">
        <f>M49+M77+M86+M99+M142+M168+M222+M246+M270+M283+M291</f>
        <v>#REF!</v>
      </c>
      <c r="N24" s="142">
        <f>SUM(N49)+N77+(N92*N95)+N99+N142+N168+N222+N246+N270+N291+N283</f>
        <v>138337333.33213502</v>
      </c>
      <c r="O24" s="142">
        <f>SUM(O49)+O77+(O92*O95)+O99+O142+O168+O222+O246+O270+O291+O215+O283-O215</f>
        <v>124104783.758365</v>
      </c>
      <c r="P24" s="142">
        <f>N24+O24</f>
        <v>262442117.09050003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139" customFormat="1" ht="28.5" customHeight="1">
      <c r="A25" s="144" t="s">
        <v>61</v>
      </c>
      <c r="B25" s="144"/>
      <c r="C25" s="144"/>
      <c r="D25" s="142">
        <f>SUM(D26)+D35+D58+D113-2000000</f>
        <v>124999999.9999491</v>
      </c>
      <c r="E25" s="142">
        <f>SUM(E26)+E35+E58+E113+(E91*E94)+E44</f>
        <v>191899944.43989998</v>
      </c>
      <c r="F25" s="142">
        <f>SUM(D25)+E25</f>
        <v>316899944.4398491</v>
      </c>
      <c r="G25" s="142">
        <f>SUM(G26)+G113</f>
        <v>9041700.003999999</v>
      </c>
      <c r="H25" s="142">
        <f>SUM(H26)+H35+H44+H58+H113+(H91*H94)+H106</f>
        <v>208302479.99964452</v>
      </c>
      <c r="I25" s="142">
        <f>I26+I35+I58+I106+I113-2000000</f>
        <v>-2000000</v>
      </c>
      <c r="J25" s="142">
        <f>G25+H25</f>
        <v>217344180.00364453</v>
      </c>
      <c r="K25" s="142">
        <f>K26+K35+K58+K106+K113-2000000</f>
        <v>-2000000</v>
      </c>
      <c r="L25" s="142">
        <f>L26+L35+L58+L106+L113-2000000</f>
        <v>-2000000</v>
      </c>
      <c r="M25" s="142">
        <f>M26+M35+M58+M106+M113-2000000</f>
        <v>-2000000</v>
      </c>
      <c r="N25" s="142">
        <f>SUM(N26)+N35+N58+N113</f>
        <v>146537599.99986666</v>
      </c>
      <c r="O25" s="142">
        <f>SUM(O26)+O35+O58+O113+(O91*O94)</f>
        <v>164363001.15679845</v>
      </c>
      <c r="P25" s="142">
        <f>N25+O25</f>
        <v>310900601.1566651</v>
      </c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</row>
    <row r="26" spans="1:235" s="39" customFormat="1" ht="33.75">
      <c r="A26" s="34" t="s">
        <v>29</v>
      </c>
      <c r="B26" s="35"/>
      <c r="C26" s="35"/>
      <c r="D26" s="36"/>
      <c r="E26" s="36">
        <f>E32*E30+73455.56-73455.56</f>
        <v>49999944.44</v>
      </c>
      <c r="F26" s="36">
        <f>SUM(D26)+E26</f>
        <v>49999944.44</v>
      </c>
      <c r="G26" s="36"/>
      <c r="H26" s="36">
        <f>H30*H32</f>
        <v>55743999.9999828</v>
      </c>
      <c r="I26" s="36"/>
      <c r="J26" s="36">
        <f>H26</f>
        <v>55743999.9999828</v>
      </c>
      <c r="K26" s="36"/>
      <c r="L26" s="36"/>
      <c r="M26" s="36"/>
      <c r="N26" s="36"/>
      <c r="O26" s="36">
        <f>(O32*O30)</f>
        <v>58620999.99996351</v>
      </c>
      <c r="P26" s="36">
        <f>(P32*P30)</f>
        <v>58620999.99996351</v>
      </c>
      <c r="Q26" s="38"/>
      <c r="R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</row>
    <row r="27" spans="1:16" ht="11.25">
      <c r="A27" s="5" t="s">
        <v>4</v>
      </c>
      <c r="B27" s="37"/>
      <c r="C27" s="37"/>
      <c r="D27" s="36"/>
      <c r="E27" s="36"/>
      <c r="F27" s="36"/>
      <c r="G27" s="36"/>
      <c r="H27" s="36"/>
      <c r="I27" s="36"/>
      <c r="J27" s="36"/>
      <c r="K27" s="7"/>
      <c r="L27" s="7"/>
      <c r="M27" s="7"/>
      <c r="N27" s="36"/>
      <c r="O27" s="36"/>
      <c r="P27" s="36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F26+F35+F49+F58+F77+F86+F99+F106+F113</f>
        <v>326499944.4408291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7"/>
      <c r="C29" s="37"/>
      <c r="D29" s="7"/>
      <c r="E29" s="36"/>
      <c r="F29" s="36"/>
      <c r="G29" s="7"/>
      <c r="H29" s="36"/>
      <c r="I29" s="36"/>
      <c r="J29" s="36"/>
      <c r="K29" s="7"/>
      <c r="L29" s="7"/>
      <c r="M29" s="7"/>
      <c r="N29" s="7"/>
      <c r="O29" s="36"/>
      <c r="P29" s="36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7"/>
      <c r="C31" s="37"/>
      <c r="D31" s="7"/>
      <c r="E31" s="36"/>
      <c r="F31" s="36"/>
      <c r="G31" s="7"/>
      <c r="H31" s="36"/>
      <c r="I31" s="36"/>
      <c r="J31" s="36"/>
      <c r="K31" s="7"/>
      <c r="L31" s="7"/>
      <c r="M31" s="7"/>
      <c r="N31" s="7"/>
      <c r="O31" s="36"/>
      <c r="P31" s="36"/>
    </row>
    <row r="32" spans="1:16" ht="22.5">
      <c r="A32" s="8" t="s">
        <v>17</v>
      </c>
      <c r="B32" s="6"/>
      <c r="C32" s="6"/>
      <c r="D32" s="7"/>
      <c r="E32" s="7">
        <v>1125.01</v>
      </c>
      <c r="F32" s="7">
        <f>E32</f>
        <v>1125.01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7"/>
      <c r="C33" s="37"/>
      <c r="D33" s="7"/>
      <c r="E33" s="36"/>
      <c r="F33" s="36"/>
      <c r="G33" s="7"/>
      <c r="H33" s="36"/>
      <c r="I33" s="36"/>
      <c r="J33" s="36"/>
      <c r="K33" s="7"/>
      <c r="L33" s="7"/>
      <c r="M33" s="7"/>
      <c r="N33" s="7"/>
      <c r="O33" s="36"/>
      <c r="P33" s="36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235" s="134" customFormat="1" ht="35.25" customHeight="1">
      <c r="A35" s="130" t="s">
        <v>56</v>
      </c>
      <c r="B35" s="131"/>
      <c r="C35" s="131"/>
      <c r="D35" s="132">
        <f>D41*D39</f>
        <v>77889999.99998794</v>
      </c>
      <c r="E35" s="132"/>
      <c r="F35" s="132">
        <f>F41*F39</f>
        <v>77889999.99998794</v>
      </c>
      <c r="G35" s="132">
        <f>G39*G41</f>
        <v>86837999.99996285</v>
      </c>
      <c r="H35" s="132"/>
      <c r="I35" s="132"/>
      <c r="J35" s="132">
        <f>G35</f>
        <v>86837999.99996285</v>
      </c>
      <c r="K35" s="132"/>
      <c r="L35" s="132"/>
      <c r="M35" s="132"/>
      <c r="N35" s="132">
        <f>N39*N41</f>
        <v>91319799.99991322</v>
      </c>
      <c r="O35" s="132"/>
      <c r="P35" s="132">
        <f>N35</f>
        <v>91319799.99991322</v>
      </c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</row>
    <row r="36" spans="1:16" ht="11.25">
      <c r="A36" s="5" t="s">
        <v>4</v>
      </c>
      <c r="B36" s="37"/>
      <c r="C36" s="3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7"/>
      <c r="C38" s="3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119842</v>
      </c>
      <c r="O39" s="7"/>
      <c r="P39" s="7">
        <f>N39</f>
        <v>119842</v>
      </c>
    </row>
    <row r="40" spans="1:16" ht="11.25">
      <c r="A40" s="5" t="s">
        <v>7</v>
      </c>
      <c r="B40" s="37"/>
      <c r="C40" s="3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762.001635486</v>
      </c>
      <c r="O41" s="7"/>
      <c r="P41" s="7">
        <f>N41</f>
        <v>762.001635486</v>
      </c>
    </row>
    <row r="42" spans="1:16" ht="11.25">
      <c r="A42" s="5" t="s">
        <v>6</v>
      </c>
      <c r="B42" s="37"/>
      <c r="C42" s="3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4" ref="D43:J43">D39/D37*100</f>
        <v>41.03801369863014</v>
      </c>
      <c r="E43" s="7"/>
      <c r="F43" s="7">
        <f t="shared" si="4"/>
        <v>41.03801369863014</v>
      </c>
      <c r="G43" s="7">
        <f>G39/G37*100</f>
        <v>41.019520547945206</v>
      </c>
      <c r="H43" s="7"/>
      <c r="I43" s="7"/>
      <c r="J43" s="7">
        <f t="shared" si="4"/>
        <v>41.019520547945206</v>
      </c>
      <c r="K43" s="7"/>
      <c r="L43" s="7"/>
      <c r="M43" s="7"/>
      <c r="N43" s="7">
        <f>N39/N37*100</f>
        <v>39.94733333333333</v>
      </c>
      <c r="O43" s="7"/>
      <c r="P43" s="7">
        <f>P39/P37*100</f>
        <v>39.94733333333333</v>
      </c>
    </row>
    <row r="44" spans="1:16" ht="33.75" customHeight="1">
      <c r="A44" s="34" t="s">
        <v>367</v>
      </c>
      <c r="B44" s="6"/>
      <c r="C44" s="6"/>
      <c r="D44" s="7"/>
      <c r="E44" s="7">
        <v>41900000</v>
      </c>
      <c r="F44" s="7">
        <f>D44+E44</f>
        <v>41900000</v>
      </c>
      <c r="G44" s="7"/>
      <c r="H44" s="7">
        <v>41000000</v>
      </c>
      <c r="I44" s="7"/>
      <c r="J44" s="7">
        <f>H44</f>
        <v>41000000</v>
      </c>
      <c r="K44" s="7"/>
      <c r="L44" s="7"/>
      <c r="M44" s="7"/>
      <c r="N44" s="7"/>
      <c r="O44" s="7"/>
      <c r="P44" s="7"/>
    </row>
    <row r="45" spans="1:235" s="52" customFormat="1" ht="21.75" customHeight="1">
      <c r="A45" s="5" t="s">
        <v>5</v>
      </c>
      <c r="B45" s="37"/>
      <c r="C45" s="37"/>
      <c r="D45" s="30"/>
      <c r="E45" s="30"/>
      <c r="F45" s="30"/>
      <c r="G45" s="30"/>
      <c r="H45" s="30"/>
      <c r="I45" s="30"/>
      <c r="J45" s="7"/>
      <c r="K45" s="30"/>
      <c r="L45" s="30"/>
      <c r="M45" s="30"/>
      <c r="N45" s="30"/>
      <c r="O45" s="30"/>
      <c r="P45" s="30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</row>
    <row r="46" spans="1:16" ht="21.75" customHeight="1">
      <c r="A46" s="8" t="s">
        <v>11</v>
      </c>
      <c r="B46" s="6"/>
      <c r="C46" s="6"/>
      <c r="D46" s="7"/>
      <c r="E46" s="7">
        <f>SUM(E44)/E48</f>
        <v>64461.53846153846</v>
      </c>
      <c r="F46" s="7">
        <f>SUM(F44)/F48</f>
        <v>64461.53846153846</v>
      </c>
      <c r="G46" s="7"/>
      <c r="H46" s="7">
        <v>63076.92</v>
      </c>
      <c r="I46" s="7"/>
      <c r="J46" s="7">
        <f>H46</f>
        <v>63076.92</v>
      </c>
      <c r="K46" s="7"/>
      <c r="L46" s="7"/>
      <c r="M46" s="7"/>
      <c r="N46" s="7"/>
      <c r="O46" s="7"/>
      <c r="P46" s="7"/>
    </row>
    <row r="47" spans="1:235" s="52" customFormat="1" ht="21.75" customHeight="1">
      <c r="A47" s="5" t="s">
        <v>7</v>
      </c>
      <c r="B47" s="37"/>
      <c r="C47" s="37"/>
      <c r="D47" s="30"/>
      <c r="E47" s="30"/>
      <c r="F47" s="30"/>
      <c r="G47" s="30"/>
      <c r="H47" s="30"/>
      <c r="I47" s="30"/>
      <c r="J47" s="7"/>
      <c r="K47" s="30"/>
      <c r="L47" s="30"/>
      <c r="M47" s="30"/>
      <c r="N47" s="30"/>
      <c r="O47" s="30"/>
      <c r="P47" s="30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</row>
    <row r="48" spans="1:16" ht="21.75" customHeight="1">
      <c r="A48" s="8" t="s">
        <v>20</v>
      </c>
      <c r="B48" s="6"/>
      <c r="C48" s="6"/>
      <c r="D48" s="7"/>
      <c r="E48" s="7">
        <v>650</v>
      </c>
      <c r="F48" s="7">
        <f>SUM(E48)</f>
        <v>650</v>
      </c>
      <c r="G48" s="7"/>
      <c r="H48" s="7">
        <v>650</v>
      </c>
      <c r="I48" s="7"/>
      <c r="J48" s="7">
        <f>H48</f>
        <v>650</v>
      </c>
      <c r="K48" s="7"/>
      <c r="L48" s="7"/>
      <c r="M48" s="7"/>
      <c r="N48" s="7"/>
      <c r="O48" s="7"/>
      <c r="P48" s="7"/>
    </row>
    <row r="49" spans="1:235" s="39" customFormat="1" ht="27" customHeight="1">
      <c r="A49" s="34" t="s">
        <v>368</v>
      </c>
      <c r="B49" s="35"/>
      <c r="C49" s="35"/>
      <c r="D49" s="36">
        <f>D55*D53</f>
        <v>800000.001</v>
      </c>
      <c r="E49" s="36">
        <v>17300000</v>
      </c>
      <c r="F49" s="36">
        <f>E49+D49</f>
        <v>18100000.001</v>
      </c>
      <c r="G49" s="36">
        <f>G53*G55</f>
        <v>2000000</v>
      </c>
      <c r="H49" s="36">
        <f>H53*H55</f>
        <v>16100000.199000001</v>
      </c>
      <c r="I49" s="36"/>
      <c r="J49" s="36">
        <f>G49+H49</f>
        <v>18100000.199</v>
      </c>
      <c r="K49" s="36"/>
      <c r="L49" s="36"/>
      <c r="M49" s="36"/>
      <c r="N49" s="36">
        <f>N53*N55</f>
        <v>450000</v>
      </c>
      <c r="O49" s="36">
        <f>O53*O55</f>
        <v>14550000</v>
      </c>
      <c r="P49" s="36">
        <f>O49+N49</f>
        <v>15000000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</row>
    <row r="50" spans="1:16" ht="11.25">
      <c r="A50" s="5" t="s">
        <v>4</v>
      </c>
      <c r="B50" s="37"/>
      <c r="C50" s="37"/>
      <c r="D50" s="7"/>
      <c r="E50" s="7"/>
      <c r="F50" s="7">
        <f aca="true" t="shared" si="5" ref="F50:F56">E50+D50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5">
      <c r="A51" s="8" t="s">
        <v>204</v>
      </c>
      <c r="B51" s="6"/>
      <c r="C51" s="6"/>
      <c r="D51" s="7">
        <v>3</v>
      </c>
      <c r="E51" s="7">
        <v>4</v>
      </c>
      <c r="F51" s="7">
        <f t="shared" si="5"/>
        <v>7</v>
      </c>
      <c r="G51" s="7">
        <v>4</v>
      </c>
      <c r="H51" s="7">
        <v>3</v>
      </c>
      <c r="I51" s="7"/>
      <c r="J51" s="7">
        <f>G51+H51</f>
        <v>7</v>
      </c>
      <c r="K51" s="7"/>
      <c r="L51" s="7"/>
      <c r="M51" s="7"/>
      <c r="N51" s="7">
        <v>1</v>
      </c>
      <c r="O51" s="7">
        <v>2</v>
      </c>
      <c r="P51" s="7">
        <f>O51+N51</f>
        <v>3</v>
      </c>
    </row>
    <row r="52" spans="1:16" ht="11.25">
      <c r="A52" s="5" t="s">
        <v>5</v>
      </c>
      <c r="B52" s="37"/>
      <c r="C52" s="37"/>
      <c r="D52" s="7"/>
      <c r="E52" s="7"/>
      <c r="F52" s="7">
        <f t="shared" si="5"/>
        <v>0</v>
      </c>
      <c r="G52" s="7"/>
      <c r="H52" s="7"/>
      <c r="I52" s="7"/>
      <c r="J52" s="7">
        <f>G52+H52</f>
        <v>0</v>
      </c>
      <c r="K52" s="7"/>
      <c r="L52" s="7"/>
      <c r="M52" s="7"/>
      <c r="N52" s="7"/>
      <c r="O52" s="7"/>
      <c r="P52" s="7"/>
    </row>
    <row r="53" spans="1:16" ht="22.5">
      <c r="A53" s="8" t="s">
        <v>205</v>
      </c>
      <c r="B53" s="6"/>
      <c r="C53" s="6"/>
      <c r="D53" s="7">
        <v>3</v>
      </c>
      <c r="E53" s="7">
        <v>3</v>
      </c>
      <c r="F53" s="7">
        <f t="shared" si="5"/>
        <v>6</v>
      </c>
      <c r="G53" s="7">
        <v>4</v>
      </c>
      <c r="H53" s="7">
        <v>3</v>
      </c>
      <c r="I53" s="7"/>
      <c r="J53" s="7">
        <f>G53+H53</f>
        <v>7</v>
      </c>
      <c r="K53" s="7"/>
      <c r="L53" s="7"/>
      <c r="M53" s="7"/>
      <c r="N53" s="7">
        <v>1</v>
      </c>
      <c r="O53" s="7">
        <v>1</v>
      </c>
      <c r="P53" s="7">
        <f>O53+N53</f>
        <v>2</v>
      </c>
    </row>
    <row r="54" spans="1:16" ht="11.25">
      <c r="A54" s="5" t="s">
        <v>7</v>
      </c>
      <c r="B54" s="37"/>
      <c r="C54" s="37"/>
      <c r="D54" s="7"/>
      <c r="E54" s="7"/>
      <c r="F54" s="7">
        <f t="shared" si="5"/>
        <v>0</v>
      </c>
      <c r="G54" s="7"/>
      <c r="H54" s="7"/>
      <c r="I54" s="7"/>
      <c r="J54" s="7">
        <f>G54+H54</f>
        <v>0</v>
      </c>
      <c r="K54" s="7"/>
      <c r="L54" s="7"/>
      <c r="M54" s="7"/>
      <c r="N54" s="7"/>
      <c r="O54" s="7"/>
      <c r="P54" s="7"/>
    </row>
    <row r="55" spans="1:16" ht="22.5">
      <c r="A55" s="8" t="s">
        <v>190</v>
      </c>
      <c r="B55" s="6"/>
      <c r="C55" s="6"/>
      <c r="D55" s="7">
        <v>266666.667</v>
      </c>
      <c r="E55" s="7">
        <v>5766666.67</v>
      </c>
      <c r="F55" s="7">
        <f>E55+D55</f>
        <v>6033333.337</v>
      </c>
      <c r="G55" s="7">
        <v>500000</v>
      </c>
      <c r="H55" s="7">
        <v>5366666.733</v>
      </c>
      <c r="I55" s="7"/>
      <c r="J55" s="7">
        <f>G55+H55</f>
        <v>5866666.733</v>
      </c>
      <c r="K55" s="7"/>
      <c r="L55" s="7"/>
      <c r="M55" s="7"/>
      <c r="N55" s="7">
        <v>450000</v>
      </c>
      <c r="O55" s="7">
        <v>14550000</v>
      </c>
      <c r="P55" s="7">
        <f>N55</f>
        <v>450000</v>
      </c>
    </row>
    <row r="56" spans="1:16" ht="11.25">
      <c r="A56" s="5" t="s">
        <v>6</v>
      </c>
      <c r="B56" s="37"/>
      <c r="C56" s="37"/>
      <c r="D56" s="7"/>
      <c r="E56" s="7"/>
      <c r="F56" s="7">
        <f t="shared" si="5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206</v>
      </c>
      <c r="B57" s="6"/>
      <c r="C57" s="6"/>
      <c r="D57" s="7">
        <f>D53/D51*100</f>
        <v>100</v>
      </c>
      <c r="E57" s="7">
        <f>E53/E51*100</f>
        <v>75</v>
      </c>
      <c r="F57" s="36"/>
      <c r="G57" s="7">
        <f>G53/G51</f>
        <v>1</v>
      </c>
      <c r="H57" s="7">
        <f>H53/H51</f>
        <v>1</v>
      </c>
      <c r="I57" s="7"/>
      <c r="J57" s="7">
        <f>J53/J51*100</f>
        <v>100</v>
      </c>
      <c r="K57" s="7"/>
      <c r="L57" s="7"/>
      <c r="M57" s="7"/>
      <c r="N57" s="7">
        <f>N53/N51*100</f>
        <v>100</v>
      </c>
      <c r="O57" s="7">
        <f>O53/O51*100</f>
        <v>50</v>
      </c>
      <c r="P57" s="7">
        <f>P53/P51*100</f>
        <v>66.66666666666666</v>
      </c>
    </row>
    <row r="58" spans="1:235" s="39" customFormat="1" ht="29.25" customHeight="1">
      <c r="A58" s="34" t="s">
        <v>369</v>
      </c>
      <c r="B58" s="35"/>
      <c r="C58" s="35"/>
      <c r="D58" s="36">
        <f>(D62*D64)+2000000</f>
        <v>40999999.999961145</v>
      </c>
      <c r="E58" s="36"/>
      <c r="F58" s="36">
        <f>(F62*F64)+(F68*F72)-544</f>
        <v>40999999.999961145</v>
      </c>
      <c r="G58" s="36">
        <f>G62*G64+G70*G72</f>
        <v>45680299.99663542</v>
      </c>
      <c r="H58" s="36"/>
      <c r="I58" s="36"/>
      <c r="J58" s="36">
        <f>G58</f>
        <v>45680299.99663542</v>
      </c>
      <c r="K58" s="36"/>
      <c r="L58" s="36"/>
      <c r="M58" s="36"/>
      <c r="N58" s="36">
        <f>N62*N64</f>
        <v>45724399.99995345</v>
      </c>
      <c r="O58" s="36"/>
      <c r="P58" s="36">
        <f>N58</f>
        <v>45724399.99995345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</row>
    <row r="59" spans="1:16" ht="11.25">
      <c r="A59" s="5" t="s">
        <v>4</v>
      </c>
      <c r="B59" s="37"/>
      <c r="C59" s="3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2.5">
      <c r="A60" s="8" t="s">
        <v>51</v>
      </c>
      <c r="B60" s="6"/>
      <c r="C60" s="6"/>
      <c r="D60" s="7">
        <v>3372600</v>
      </c>
      <c r="E60" s="7"/>
      <c r="F60" s="7">
        <f>D60</f>
        <v>3372600</v>
      </c>
      <c r="G60" s="7">
        <v>3372600</v>
      </c>
      <c r="H60" s="7"/>
      <c r="I60" s="7"/>
      <c r="J60" s="7">
        <f>G60</f>
        <v>3372600</v>
      </c>
      <c r="K60" s="7"/>
      <c r="L60" s="7"/>
      <c r="M60" s="7"/>
      <c r="N60" s="7">
        <v>3372600</v>
      </c>
      <c r="O60" s="7"/>
      <c r="P60" s="7">
        <f>N60</f>
        <v>3372600</v>
      </c>
    </row>
    <row r="61" spans="1:16" ht="11.25">
      <c r="A61" s="5" t="s">
        <v>5</v>
      </c>
      <c r="B61" s="37"/>
      <c r="C61" s="3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21.75" customHeight="1">
      <c r="A62" s="8" t="s">
        <v>52</v>
      </c>
      <c r="B62" s="6"/>
      <c r="C62" s="6"/>
      <c r="D62" s="7">
        <v>1310344.8</v>
      </c>
      <c r="E62" s="7"/>
      <c r="F62" s="7">
        <f>D62</f>
        <v>1310344.8</v>
      </c>
      <c r="G62" s="7">
        <v>1310344.8</v>
      </c>
      <c r="H62" s="7"/>
      <c r="I62" s="7"/>
      <c r="J62" s="7">
        <f>G62</f>
        <v>1310344.8</v>
      </c>
      <c r="K62" s="7">
        <f>H62</f>
        <v>0</v>
      </c>
      <c r="L62" s="7">
        <f>I62</f>
        <v>0</v>
      </c>
      <c r="M62" s="7">
        <f>J62</f>
        <v>1310344.8</v>
      </c>
      <c r="N62" s="7">
        <v>1310344.8</v>
      </c>
      <c r="O62" s="7"/>
      <c r="P62" s="7">
        <f>N62</f>
        <v>1310344.8</v>
      </c>
    </row>
    <row r="63" spans="1:16" ht="11.25">
      <c r="A63" s="5" t="s">
        <v>7</v>
      </c>
      <c r="B63" s="37"/>
      <c r="C63" s="3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1.75" customHeight="1">
      <c r="A64" s="8" t="s">
        <v>18</v>
      </c>
      <c r="B64" s="6"/>
      <c r="C64" s="6"/>
      <c r="D64" s="7">
        <v>29.7631585213</v>
      </c>
      <c r="E64" s="7"/>
      <c r="F64" s="7">
        <f>D64</f>
        <v>29.7631585213</v>
      </c>
      <c r="G64" s="7">
        <v>33.33284739</v>
      </c>
      <c r="H64" s="7"/>
      <c r="I64" s="7"/>
      <c r="J64" s="7">
        <f>G64</f>
        <v>33.33284739</v>
      </c>
      <c r="K64" s="7"/>
      <c r="L64" s="7"/>
      <c r="M64" s="7"/>
      <c r="N64" s="7">
        <v>34.8949375767</v>
      </c>
      <c r="O64" s="7"/>
      <c r="P64" s="7">
        <f>N64</f>
        <v>34.8949375767</v>
      </c>
    </row>
    <row r="65" spans="1:16" ht="11.25">
      <c r="A65" s="5" t="s">
        <v>6</v>
      </c>
      <c r="B65" s="37"/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34.5" customHeight="1">
      <c r="A66" s="8" t="s">
        <v>53</v>
      </c>
      <c r="B66" s="6"/>
      <c r="C66" s="6"/>
      <c r="D66" s="7">
        <f>D62/D60*100</f>
        <v>38.852659669098024</v>
      </c>
      <c r="E66" s="7"/>
      <c r="F66" s="7">
        <f>F62/F60*100</f>
        <v>38.852659669098024</v>
      </c>
      <c r="G66" s="7">
        <f>G62/G60*100</f>
        <v>38.852659669098024</v>
      </c>
      <c r="H66" s="7"/>
      <c r="I66" s="7"/>
      <c r="J66" s="7">
        <f>J62/J60*100</f>
        <v>38.852659669098024</v>
      </c>
      <c r="K66" s="7"/>
      <c r="L66" s="7"/>
      <c r="M66" s="7"/>
      <c r="N66" s="7">
        <f>N62/N60*100</f>
        <v>38.852659669098024</v>
      </c>
      <c r="O66" s="7"/>
      <c r="P66" s="7">
        <f>P62/P60*100</f>
        <v>38.852659669098024</v>
      </c>
    </row>
    <row r="67" spans="1:16" ht="11.25">
      <c r="A67" s="5" t="s">
        <v>4</v>
      </c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45">
      <c r="A68" s="8" t="s">
        <v>276</v>
      </c>
      <c r="B68" s="6"/>
      <c r="C68" s="6"/>
      <c r="D68" s="7">
        <v>446550</v>
      </c>
      <c r="E68" s="7"/>
      <c r="F68" s="7">
        <v>446550</v>
      </c>
      <c r="G68" s="7">
        <v>446550</v>
      </c>
      <c r="H68" s="7"/>
      <c r="I68" s="7"/>
      <c r="J68" s="7">
        <v>446550</v>
      </c>
      <c r="K68" s="7"/>
      <c r="L68" s="7"/>
      <c r="M68" s="7"/>
      <c r="N68" s="7">
        <v>446550</v>
      </c>
      <c r="O68" s="7"/>
      <c r="P68" s="7">
        <v>446550</v>
      </c>
    </row>
    <row r="69" spans="1:16" ht="11.25">
      <c r="A69" s="5" t="s">
        <v>5</v>
      </c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45">
      <c r="A70" s="8" t="s">
        <v>275</v>
      </c>
      <c r="B70" s="6"/>
      <c r="C70" s="6"/>
      <c r="D70" s="7">
        <v>446550</v>
      </c>
      <c r="E70" s="7"/>
      <c r="F70" s="7">
        <v>446550</v>
      </c>
      <c r="G70" s="7">
        <v>446550</v>
      </c>
      <c r="H70" s="7"/>
      <c r="I70" s="7"/>
      <c r="J70" s="7">
        <v>446550</v>
      </c>
      <c r="K70" s="7"/>
      <c r="L70" s="7"/>
      <c r="M70" s="7"/>
      <c r="N70" s="7"/>
      <c r="O70" s="7"/>
      <c r="P70" s="7"/>
    </row>
    <row r="71" spans="1:16" ht="11.25">
      <c r="A71" s="5" t="s">
        <v>7</v>
      </c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22.5">
      <c r="A72" s="8" t="s">
        <v>18</v>
      </c>
      <c r="B72" s="6"/>
      <c r="C72" s="6"/>
      <c r="D72" s="7">
        <v>4.48</v>
      </c>
      <c r="E72" s="7"/>
      <c r="F72" s="7">
        <v>4.48</v>
      </c>
      <c r="G72" s="7">
        <v>4.4849999999</v>
      </c>
      <c r="H72" s="7"/>
      <c r="I72" s="7"/>
      <c r="J72" s="7">
        <v>4.48</v>
      </c>
      <c r="K72" s="7"/>
      <c r="L72" s="7"/>
      <c r="M72" s="7"/>
      <c r="N72" s="7"/>
      <c r="O72" s="7"/>
      <c r="P72" s="7"/>
    </row>
    <row r="73" spans="1:16" ht="11.25">
      <c r="A73" s="5" t="s">
        <v>6</v>
      </c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1.5" customHeight="1">
      <c r="A74" s="8" t="s">
        <v>53</v>
      </c>
      <c r="B74" s="6"/>
      <c r="C74" s="6"/>
      <c r="D74" s="7">
        <v>100</v>
      </c>
      <c r="E74" s="7"/>
      <c r="F74" s="7">
        <v>100</v>
      </c>
      <c r="G74" s="7">
        <v>100</v>
      </c>
      <c r="H74" s="7"/>
      <c r="I74" s="7"/>
      <c r="J74" s="7">
        <v>100</v>
      </c>
      <c r="K74" s="7"/>
      <c r="L74" s="7"/>
      <c r="M74" s="7"/>
      <c r="N74" s="7"/>
      <c r="O74" s="7"/>
      <c r="P74" s="7"/>
    </row>
    <row r="75" spans="1:16" ht="1.5" customHeight="1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1.25">
      <c r="A76" s="8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235" s="39" customFormat="1" ht="46.5" customHeight="1">
      <c r="A77" s="34" t="s">
        <v>370</v>
      </c>
      <c r="B77" s="35"/>
      <c r="C77" s="35"/>
      <c r="D77" s="36">
        <f>(D81*D83)</f>
        <v>5999999.99998</v>
      </c>
      <c r="E77" s="36"/>
      <c r="F77" s="36">
        <f>(F83*F81)</f>
        <v>5999999.99998</v>
      </c>
      <c r="G77" s="36">
        <f>(G83*G81)-0.01</f>
        <v>5799999.99875</v>
      </c>
      <c r="H77" s="36"/>
      <c r="I77" s="36"/>
      <c r="J77" s="36">
        <f>G77+H77</f>
        <v>5799999.99875</v>
      </c>
      <c r="K77" s="36"/>
      <c r="L77" s="36"/>
      <c r="M77" s="36"/>
      <c r="N77" s="36">
        <f>(N81*N83)</f>
        <v>9999999.99975</v>
      </c>
      <c r="O77" s="36"/>
      <c r="P77" s="36">
        <f>N77</f>
        <v>9999999.99975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</row>
    <row r="78" spans="1:16" ht="11.25">
      <c r="A78" s="5" t="s">
        <v>4</v>
      </c>
      <c r="B78" s="37"/>
      <c r="C78" s="3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33" customHeight="1">
      <c r="A79" s="8" t="s">
        <v>230</v>
      </c>
      <c r="B79" s="6"/>
      <c r="C79" s="6"/>
      <c r="D79" s="7">
        <f>D77</f>
        <v>5999999.99998</v>
      </c>
      <c r="E79" s="7"/>
      <c r="F79" s="7">
        <f>D79</f>
        <v>5999999.99998</v>
      </c>
      <c r="G79" s="7">
        <f>G77</f>
        <v>5799999.99875</v>
      </c>
      <c r="H79" s="7"/>
      <c r="I79" s="7"/>
      <c r="J79" s="7">
        <f>G79</f>
        <v>5799999.99875</v>
      </c>
      <c r="K79" s="7"/>
      <c r="L79" s="7"/>
      <c r="M79" s="7"/>
      <c r="N79" s="7">
        <f>N77</f>
        <v>9999999.99975</v>
      </c>
      <c r="O79" s="7"/>
      <c r="P79" s="7">
        <f>N79</f>
        <v>9999999.99975</v>
      </c>
    </row>
    <row r="80" spans="1:16" ht="11.25">
      <c r="A80" s="5" t="s">
        <v>5</v>
      </c>
      <c r="B80" s="37"/>
      <c r="C80" s="3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34.5" customHeight="1">
      <c r="A81" s="8" t="s">
        <v>57</v>
      </c>
      <c r="B81" s="6"/>
      <c r="C81" s="6"/>
      <c r="D81" s="7">
        <v>8571.4285714</v>
      </c>
      <c r="E81" s="7"/>
      <c r="F81" s="7">
        <f>D81</f>
        <v>8571.4285714</v>
      </c>
      <c r="G81" s="7">
        <v>7733.333345</v>
      </c>
      <c r="H81" s="7"/>
      <c r="I81" s="7"/>
      <c r="J81" s="7">
        <f>G81</f>
        <v>7733.333345</v>
      </c>
      <c r="K81" s="7"/>
      <c r="L81" s="7"/>
      <c r="M81" s="7"/>
      <c r="N81" s="7">
        <v>13333.333333</v>
      </c>
      <c r="O81" s="7"/>
      <c r="P81" s="7">
        <f>N81</f>
        <v>13333.333333</v>
      </c>
    </row>
    <row r="82" spans="1:16" ht="11.25">
      <c r="A82" s="5" t="s">
        <v>7</v>
      </c>
      <c r="B82" s="37"/>
      <c r="C82" s="3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33.75">
      <c r="A83" s="8" t="s">
        <v>58</v>
      </c>
      <c r="B83" s="6"/>
      <c r="C83" s="6"/>
      <c r="D83" s="7">
        <v>700</v>
      </c>
      <c r="E83" s="7"/>
      <c r="F83" s="7">
        <f>D83</f>
        <v>700</v>
      </c>
      <c r="G83" s="7">
        <v>750</v>
      </c>
      <c r="H83" s="7"/>
      <c r="I83" s="7"/>
      <c r="J83" s="7">
        <f>G83</f>
        <v>750</v>
      </c>
      <c r="K83" s="7"/>
      <c r="L83" s="7"/>
      <c r="M83" s="7"/>
      <c r="N83" s="7">
        <v>750</v>
      </c>
      <c r="O83" s="7"/>
      <c r="P83" s="7">
        <f>N83</f>
        <v>750</v>
      </c>
    </row>
    <row r="84" spans="1:16" ht="11.25">
      <c r="A84" s="5" t="s">
        <v>6</v>
      </c>
      <c r="B84" s="37"/>
      <c r="C84" s="3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45">
      <c r="A85" s="8" t="s">
        <v>59</v>
      </c>
      <c r="B85" s="6"/>
      <c r="C85" s="6"/>
      <c r="D85" s="7">
        <f>D81/D79*100</f>
        <v>0.14285714285714285</v>
      </c>
      <c r="E85" s="7"/>
      <c r="F85" s="7">
        <f>F81/F79*100</f>
        <v>0.14285714285714285</v>
      </c>
      <c r="G85" s="7">
        <f>G81/G79*100</f>
        <v>0.1333333335632184</v>
      </c>
      <c r="H85" s="7"/>
      <c r="I85" s="7"/>
      <c r="J85" s="7">
        <f>J81/J79*100</f>
        <v>0.1333333335632184</v>
      </c>
      <c r="K85" s="7"/>
      <c r="L85" s="7"/>
      <c r="M85" s="7"/>
      <c r="N85" s="7">
        <f>N81/N79*100</f>
        <v>0.13333333333333336</v>
      </c>
      <c r="O85" s="7"/>
      <c r="P85" s="7">
        <f>P81/P79*100</f>
        <v>0.13333333333333336</v>
      </c>
    </row>
    <row r="86" spans="1:235" s="39" customFormat="1" ht="49.5" customHeight="1">
      <c r="A86" s="34" t="s">
        <v>463</v>
      </c>
      <c r="B86" s="35"/>
      <c r="C86" s="35"/>
      <c r="D86" s="36"/>
      <c r="E86" s="36">
        <f>(E91*E94)+(E92*E95)</f>
        <v>124999999.9999</v>
      </c>
      <c r="F86" s="36">
        <f>E86</f>
        <v>124999999.9999</v>
      </c>
      <c r="G86" s="36"/>
      <c r="H86" s="36">
        <f>(H91*H94)+(H92*H95)</f>
        <v>142488000.34962872</v>
      </c>
      <c r="I86" s="36"/>
      <c r="J86" s="36">
        <f>H86</f>
        <v>142488000.34962872</v>
      </c>
      <c r="K86" s="36">
        <f aca="true" t="shared" si="6" ref="K86:P86">(K91*K94)+(K92*K95)</f>
        <v>0</v>
      </c>
      <c r="L86" s="36">
        <f t="shared" si="6"/>
        <v>0</v>
      </c>
      <c r="M86" s="36">
        <f t="shared" si="6"/>
        <v>0</v>
      </c>
      <c r="N86" s="36"/>
      <c r="O86" s="36">
        <f>(O91*O94)+(O92*O95)</f>
        <v>140742001.15680495</v>
      </c>
      <c r="P86" s="36">
        <f t="shared" si="6"/>
        <v>140742001.15680495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</row>
    <row r="87" spans="1:16" ht="11.25">
      <c r="A87" s="5" t="s">
        <v>4</v>
      </c>
      <c r="B87" s="6"/>
      <c r="C87" s="6"/>
      <c r="D87" s="7"/>
      <c r="E87" s="7"/>
      <c r="F87" s="7"/>
      <c r="G87" s="7"/>
      <c r="H87" s="7"/>
      <c r="I87" s="7"/>
      <c r="J87" s="36"/>
      <c r="K87" s="7"/>
      <c r="L87" s="7"/>
      <c r="M87" s="7"/>
      <c r="N87" s="7"/>
      <c r="O87" s="7"/>
      <c r="P87" s="7"/>
    </row>
    <row r="88" spans="1:16" ht="33.75">
      <c r="A88" s="8" t="s">
        <v>139</v>
      </c>
      <c r="B88" s="6"/>
      <c r="C88" s="6"/>
      <c r="D88" s="7"/>
      <c r="E88" s="7">
        <v>380000</v>
      </c>
      <c r="F88" s="7">
        <f>E88</f>
        <v>380000</v>
      </c>
      <c r="G88" s="7"/>
      <c r="H88" s="7">
        <f>E88</f>
        <v>380000</v>
      </c>
      <c r="I88" s="7"/>
      <c r="J88" s="7">
        <f aca="true" t="shared" si="7" ref="J88:J94">H88</f>
        <v>380000</v>
      </c>
      <c r="K88" s="7"/>
      <c r="L88" s="7"/>
      <c r="M88" s="7"/>
      <c r="N88" s="7"/>
      <c r="O88" s="7">
        <f>H88</f>
        <v>380000</v>
      </c>
      <c r="P88" s="7">
        <f>O88</f>
        <v>380000</v>
      </c>
    </row>
    <row r="89" spans="1:16" ht="29.25" customHeight="1">
      <c r="A89" s="8" t="s">
        <v>140</v>
      </c>
      <c r="B89" s="6"/>
      <c r="C89" s="6"/>
      <c r="D89" s="7"/>
      <c r="E89" s="7">
        <v>76000</v>
      </c>
      <c r="F89" s="7">
        <f>E89</f>
        <v>76000</v>
      </c>
      <c r="G89" s="7"/>
      <c r="H89" s="7">
        <f>E89</f>
        <v>76000</v>
      </c>
      <c r="I89" s="7"/>
      <c r="J89" s="7">
        <f>H89</f>
        <v>76000</v>
      </c>
      <c r="K89" s="7"/>
      <c r="L89" s="7"/>
      <c r="M89" s="7"/>
      <c r="N89" s="7"/>
      <c r="O89" s="7">
        <f>H89</f>
        <v>76000</v>
      </c>
      <c r="P89" s="7">
        <f>O89</f>
        <v>76000</v>
      </c>
    </row>
    <row r="90" spans="1:16" ht="11.25">
      <c r="A90" s="5" t="s">
        <v>5</v>
      </c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34.5" customHeight="1">
      <c r="A91" s="8" t="s">
        <v>141</v>
      </c>
      <c r="B91" s="6"/>
      <c r="C91" s="6"/>
      <c r="D91" s="7"/>
      <c r="E91" s="7">
        <v>103950</v>
      </c>
      <c r="F91" s="7">
        <f>E91</f>
        <v>103950</v>
      </c>
      <c r="G91" s="7"/>
      <c r="H91" s="7">
        <v>103903</v>
      </c>
      <c r="I91" s="7"/>
      <c r="J91" s="7">
        <f t="shared" si="7"/>
        <v>103903</v>
      </c>
      <c r="K91" s="7"/>
      <c r="L91" s="7"/>
      <c r="M91" s="7"/>
      <c r="N91" s="7"/>
      <c r="O91" s="7">
        <v>93742.96</v>
      </c>
      <c r="P91" s="7">
        <f>O91</f>
        <v>93742.96</v>
      </c>
    </row>
    <row r="92" spans="1:16" ht="26.25" customHeight="1">
      <c r="A92" s="8" t="s">
        <v>142</v>
      </c>
      <c r="B92" s="6"/>
      <c r="C92" s="6"/>
      <c r="D92" s="7"/>
      <c r="E92" s="7">
        <v>50000</v>
      </c>
      <c r="F92" s="7">
        <f>E92</f>
        <v>50000</v>
      </c>
      <c r="G92" s="7"/>
      <c r="H92" s="7">
        <f>58823.5294117+1960.785</f>
        <v>60784.314411700005</v>
      </c>
      <c r="I92" s="7"/>
      <c r="J92" s="7">
        <f>H92</f>
        <v>60784.314411700005</v>
      </c>
      <c r="K92" s="7"/>
      <c r="L92" s="7"/>
      <c r="M92" s="7"/>
      <c r="N92" s="7"/>
      <c r="O92" s="7">
        <v>66037.735849</v>
      </c>
      <c r="P92" s="7">
        <f>O92</f>
        <v>66037.735849</v>
      </c>
    </row>
    <row r="93" spans="1:16" ht="11.25">
      <c r="A93" s="5" t="s">
        <v>7</v>
      </c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22.5" customHeight="1">
      <c r="A94" s="8" t="s">
        <v>145</v>
      </c>
      <c r="B94" s="6"/>
      <c r="C94" s="6"/>
      <c r="D94" s="7"/>
      <c r="E94" s="7">
        <v>962.000962</v>
      </c>
      <c r="F94" s="7">
        <f>E94</f>
        <v>962.000962</v>
      </c>
      <c r="G94" s="7"/>
      <c r="H94" s="7">
        <v>1073.00077957</v>
      </c>
      <c r="I94" s="7"/>
      <c r="J94" s="7">
        <f t="shared" si="7"/>
        <v>1073.00077957</v>
      </c>
      <c r="K94" s="7"/>
      <c r="L94" s="7"/>
      <c r="M94" s="7"/>
      <c r="N94" s="7"/>
      <c r="O94" s="7">
        <v>1127.99938424</v>
      </c>
      <c r="P94" s="7">
        <f>O94</f>
        <v>1127.99938424</v>
      </c>
    </row>
    <row r="95" spans="1:16" ht="22.5" customHeight="1">
      <c r="A95" s="8" t="s">
        <v>146</v>
      </c>
      <c r="B95" s="6"/>
      <c r="C95" s="6"/>
      <c r="D95" s="7"/>
      <c r="E95" s="7">
        <v>500</v>
      </c>
      <c r="F95" s="7">
        <f>E95</f>
        <v>500</v>
      </c>
      <c r="G95" s="7"/>
      <c r="H95" s="7">
        <v>510</v>
      </c>
      <c r="I95" s="7"/>
      <c r="J95" s="7">
        <f>H95</f>
        <v>510</v>
      </c>
      <c r="K95" s="7"/>
      <c r="L95" s="7"/>
      <c r="M95" s="7"/>
      <c r="N95" s="7"/>
      <c r="O95" s="7">
        <v>530</v>
      </c>
      <c r="P95" s="7">
        <f>O95</f>
        <v>530</v>
      </c>
    </row>
    <row r="96" spans="1:16" ht="11.25">
      <c r="A96" s="5" t="s">
        <v>6</v>
      </c>
      <c r="B96" s="6"/>
      <c r="C96" s="6"/>
      <c r="D96" s="7"/>
      <c r="E96" s="7"/>
      <c r="F96" s="7"/>
      <c r="G96" s="7"/>
      <c r="H96" s="7"/>
      <c r="I96" s="7"/>
      <c r="J96" s="36"/>
      <c r="K96" s="7"/>
      <c r="L96" s="7"/>
      <c r="M96" s="7"/>
      <c r="N96" s="7"/>
      <c r="O96" s="7"/>
      <c r="P96" s="7"/>
    </row>
    <row r="97" spans="1:16" ht="38.25" customHeight="1">
      <c r="A97" s="8" t="s">
        <v>143</v>
      </c>
      <c r="B97" s="6"/>
      <c r="C97" s="6"/>
      <c r="D97" s="7"/>
      <c r="E97" s="7">
        <f>E91/E88*100</f>
        <v>27.35526315789474</v>
      </c>
      <c r="F97" s="7">
        <f aca="true" t="shared" si="8" ref="F97:P97">F91/F88*100</f>
        <v>27.35526315789474</v>
      </c>
      <c r="G97" s="7"/>
      <c r="H97" s="7">
        <f t="shared" si="8"/>
        <v>27.342894736842105</v>
      </c>
      <c r="I97" s="7"/>
      <c r="J97" s="7">
        <f t="shared" si="8"/>
        <v>27.342894736842105</v>
      </c>
      <c r="K97" s="7" t="e">
        <f t="shared" si="8"/>
        <v>#DIV/0!</v>
      </c>
      <c r="L97" s="7" t="e">
        <f t="shared" si="8"/>
        <v>#DIV/0!</v>
      </c>
      <c r="M97" s="7" t="e">
        <f t="shared" si="8"/>
        <v>#DIV/0!</v>
      </c>
      <c r="N97" s="7"/>
      <c r="O97" s="7">
        <f t="shared" si="8"/>
        <v>24.669200000000004</v>
      </c>
      <c r="P97" s="7">
        <f t="shared" si="8"/>
        <v>24.669200000000004</v>
      </c>
    </row>
    <row r="98" spans="1:16" ht="38.25" customHeight="1">
      <c r="A98" s="8" t="s">
        <v>144</v>
      </c>
      <c r="B98" s="6"/>
      <c r="C98" s="6"/>
      <c r="D98" s="7"/>
      <c r="E98" s="7">
        <f>E92/E89*100</f>
        <v>65.78947368421053</v>
      </c>
      <c r="F98" s="7">
        <f aca="true" t="shared" si="9" ref="F98:P98">F92/F89*100</f>
        <v>65.78947368421053</v>
      </c>
      <c r="G98" s="7"/>
      <c r="H98" s="7">
        <f t="shared" si="9"/>
        <v>79.97936106802632</v>
      </c>
      <c r="I98" s="7"/>
      <c r="J98" s="7">
        <f t="shared" si="9"/>
        <v>79.97936106802632</v>
      </c>
      <c r="K98" s="7" t="e">
        <f t="shared" si="9"/>
        <v>#DIV/0!</v>
      </c>
      <c r="L98" s="7" t="e">
        <f t="shared" si="9"/>
        <v>#DIV/0!</v>
      </c>
      <c r="M98" s="7" t="e">
        <f t="shared" si="9"/>
        <v>#DIV/0!</v>
      </c>
      <c r="N98" s="7"/>
      <c r="O98" s="7">
        <f t="shared" si="9"/>
        <v>86.89175769605264</v>
      </c>
      <c r="P98" s="7">
        <f t="shared" si="9"/>
        <v>86.89175769605264</v>
      </c>
    </row>
    <row r="99" spans="1:235" s="39" customFormat="1" ht="33.75">
      <c r="A99" s="34" t="s">
        <v>371</v>
      </c>
      <c r="B99" s="35"/>
      <c r="C99" s="35"/>
      <c r="D99" s="36">
        <f>D101</f>
        <v>400000</v>
      </c>
      <c r="E99" s="36"/>
      <c r="F99" s="36">
        <f>D99</f>
        <v>400000</v>
      </c>
      <c r="G99" s="36">
        <f>G101</f>
        <v>950000</v>
      </c>
      <c r="H99" s="36"/>
      <c r="I99" s="36"/>
      <c r="J99" s="36">
        <f>G99</f>
        <v>950000</v>
      </c>
      <c r="K99" s="36"/>
      <c r="L99" s="36"/>
      <c r="M99" s="36"/>
      <c r="N99" s="36">
        <f>N105*N103</f>
        <v>500000</v>
      </c>
      <c r="O99" s="36"/>
      <c r="P99" s="36">
        <f>N99+O99</f>
        <v>500000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</row>
    <row r="100" spans="1:16" ht="11.25">
      <c r="A100" s="5" t="s">
        <v>4</v>
      </c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27" customHeight="1">
      <c r="A101" s="8" t="s">
        <v>158</v>
      </c>
      <c r="B101" s="6"/>
      <c r="C101" s="6"/>
      <c r="D101" s="7">
        <v>400000</v>
      </c>
      <c r="E101" s="7"/>
      <c r="F101" s="7">
        <f>D101</f>
        <v>400000</v>
      </c>
      <c r="G101" s="7">
        <f>400000+550000</f>
        <v>950000</v>
      </c>
      <c r="H101" s="7"/>
      <c r="I101" s="7"/>
      <c r="J101" s="7">
        <f>G101</f>
        <v>950000</v>
      </c>
      <c r="K101" s="7"/>
      <c r="L101" s="7"/>
      <c r="M101" s="7"/>
      <c r="N101" s="7">
        <v>500000</v>
      </c>
      <c r="O101" s="7"/>
      <c r="P101" s="7">
        <f>N101+O101</f>
        <v>500000</v>
      </c>
    </row>
    <row r="102" spans="1:16" ht="11.25">
      <c r="A102" s="5" t="s">
        <v>5</v>
      </c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25.5" customHeight="1">
      <c r="A103" s="8" t="s">
        <v>159</v>
      </c>
      <c r="B103" s="6"/>
      <c r="C103" s="6"/>
      <c r="D103" s="7">
        <v>2</v>
      </c>
      <c r="E103" s="7"/>
      <c r="F103" s="7">
        <f>D103</f>
        <v>2</v>
      </c>
      <c r="G103" s="7">
        <v>3</v>
      </c>
      <c r="H103" s="7"/>
      <c r="I103" s="7"/>
      <c r="J103" s="7">
        <f>G103</f>
        <v>3</v>
      </c>
      <c r="K103" s="7"/>
      <c r="L103" s="7"/>
      <c r="M103" s="7"/>
      <c r="N103" s="7">
        <v>2</v>
      </c>
      <c r="O103" s="7"/>
      <c r="P103" s="7">
        <f>N103+O103</f>
        <v>2</v>
      </c>
    </row>
    <row r="104" spans="1:16" ht="11.25">
      <c r="A104" s="5" t="s">
        <v>7</v>
      </c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23.25" customHeight="1">
      <c r="A105" s="8" t="s">
        <v>160</v>
      </c>
      <c r="B105" s="6"/>
      <c r="C105" s="6"/>
      <c r="D105" s="7">
        <f>D101/D103</f>
        <v>200000</v>
      </c>
      <c r="E105" s="7"/>
      <c r="F105" s="7">
        <f>D105</f>
        <v>200000</v>
      </c>
      <c r="G105" s="7">
        <f>G101/G103</f>
        <v>316666.6666666667</v>
      </c>
      <c r="H105" s="7"/>
      <c r="I105" s="7"/>
      <c r="J105" s="7">
        <f>G105</f>
        <v>316666.6666666667</v>
      </c>
      <c r="K105" s="7"/>
      <c r="L105" s="7"/>
      <c r="M105" s="7"/>
      <c r="N105" s="7">
        <f>N101/N103</f>
        <v>250000</v>
      </c>
      <c r="O105" s="7"/>
      <c r="P105" s="7">
        <f>N105+O105</f>
        <v>250000</v>
      </c>
    </row>
    <row r="106" spans="1:235" s="39" customFormat="1" ht="31.5" customHeight="1">
      <c r="A106" s="34" t="s">
        <v>372</v>
      </c>
      <c r="B106" s="35"/>
      <c r="C106" s="35"/>
      <c r="D106" s="36"/>
      <c r="E106" s="36">
        <f>E110*E112</f>
        <v>0</v>
      </c>
      <c r="F106" s="36">
        <f>E106</f>
        <v>0</v>
      </c>
      <c r="G106" s="36"/>
      <c r="H106" s="36">
        <f>H110*H112</f>
        <v>70480</v>
      </c>
      <c r="I106" s="36"/>
      <c r="J106" s="36">
        <f>H106</f>
        <v>70480</v>
      </c>
      <c r="K106" s="36"/>
      <c r="L106" s="36"/>
      <c r="M106" s="36"/>
      <c r="N106" s="36"/>
      <c r="O106" s="36">
        <f>O110*O112</f>
        <v>0</v>
      </c>
      <c r="P106" s="36">
        <f>O106</f>
        <v>0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</row>
    <row r="107" spans="1:16" ht="11.25">
      <c r="A107" s="5" t="s">
        <v>4</v>
      </c>
      <c r="B107" s="6"/>
      <c r="C107" s="6"/>
      <c r="D107" s="7"/>
      <c r="E107" s="7"/>
      <c r="F107" s="7"/>
      <c r="G107" s="7"/>
      <c r="H107" s="7"/>
      <c r="I107" s="7"/>
      <c r="J107" s="36"/>
      <c r="K107" s="7"/>
      <c r="L107" s="7"/>
      <c r="M107" s="7"/>
      <c r="N107" s="7"/>
      <c r="O107" s="7"/>
      <c r="P107" s="7"/>
    </row>
    <row r="108" spans="1:16" ht="20.25" customHeight="1">
      <c r="A108" s="8" t="s">
        <v>320</v>
      </c>
      <c r="B108" s="6"/>
      <c r="C108" s="6"/>
      <c r="D108" s="7"/>
      <c r="E108" s="7">
        <f>73400-73400</f>
        <v>0</v>
      </c>
      <c r="F108" s="36">
        <f>E108</f>
        <v>0</v>
      </c>
      <c r="G108" s="7"/>
      <c r="H108" s="7">
        <f>0+70480</f>
        <v>70480</v>
      </c>
      <c r="I108" s="7"/>
      <c r="J108" s="36">
        <f>H108</f>
        <v>70480</v>
      </c>
      <c r="K108" s="7"/>
      <c r="L108" s="7"/>
      <c r="M108" s="7"/>
      <c r="N108" s="7"/>
      <c r="O108" s="7">
        <v>0</v>
      </c>
      <c r="P108" s="36">
        <f>O108</f>
        <v>0</v>
      </c>
    </row>
    <row r="109" spans="1:16" ht="11.25">
      <c r="A109" s="5" t="s">
        <v>5</v>
      </c>
      <c r="B109" s="6"/>
      <c r="C109" s="6"/>
      <c r="D109" s="7"/>
      <c r="E109" s="7"/>
      <c r="F109" s="36"/>
      <c r="G109" s="7"/>
      <c r="H109" s="7"/>
      <c r="I109" s="7"/>
      <c r="J109" s="36"/>
      <c r="K109" s="7"/>
      <c r="L109" s="7"/>
      <c r="M109" s="7"/>
      <c r="N109" s="7"/>
      <c r="O109" s="7"/>
      <c r="P109" s="36"/>
    </row>
    <row r="110" spans="1:16" ht="21" customHeight="1">
      <c r="A110" s="8" t="s">
        <v>321</v>
      </c>
      <c r="B110" s="6"/>
      <c r="C110" s="6"/>
      <c r="D110" s="7"/>
      <c r="E110" s="7">
        <f>1-1</f>
        <v>0</v>
      </c>
      <c r="F110" s="36">
        <f>E110</f>
        <v>0</v>
      </c>
      <c r="G110" s="7"/>
      <c r="H110" s="7">
        <f>0+1</f>
        <v>1</v>
      </c>
      <c r="I110" s="7"/>
      <c r="J110" s="36">
        <f>H110</f>
        <v>1</v>
      </c>
      <c r="K110" s="7"/>
      <c r="L110" s="7"/>
      <c r="M110" s="7"/>
      <c r="N110" s="7"/>
      <c r="O110" s="7">
        <v>0</v>
      </c>
      <c r="P110" s="36">
        <f>O110</f>
        <v>0</v>
      </c>
    </row>
    <row r="111" spans="1:16" ht="11.25">
      <c r="A111" s="5" t="s">
        <v>7</v>
      </c>
      <c r="B111" s="6"/>
      <c r="C111" s="6"/>
      <c r="D111" s="7"/>
      <c r="E111" s="7"/>
      <c r="F111" s="36"/>
      <c r="G111" s="7"/>
      <c r="H111" s="7"/>
      <c r="I111" s="7"/>
      <c r="J111" s="36"/>
      <c r="K111" s="7"/>
      <c r="L111" s="7"/>
      <c r="M111" s="7"/>
      <c r="N111" s="7"/>
      <c r="O111" s="7"/>
      <c r="P111" s="36"/>
    </row>
    <row r="112" spans="1:16" ht="27" customHeight="1">
      <c r="A112" s="8" t="s">
        <v>322</v>
      </c>
      <c r="B112" s="6"/>
      <c r="C112" s="6"/>
      <c r="D112" s="7"/>
      <c r="E112" s="7">
        <f>73400-73400</f>
        <v>0</v>
      </c>
      <c r="F112" s="36">
        <f>E112</f>
        <v>0</v>
      </c>
      <c r="G112" s="7"/>
      <c r="H112" s="7">
        <f>0+70480</f>
        <v>70480</v>
      </c>
      <c r="I112" s="7"/>
      <c r="J112" s="36">
        <f>H112</f>
        <v>70480</v>
      </c>
      <c r="K112" s="36">
        <f aca="true" t="shared" si="10" ref="K112:P112">I112</f>
        <v>0</v>
      </c>
      <c r="L112" s="36">
        <f t="shared" si="10"/>
        <v>70480</v>
      </c>
      <c r="M112" s="36">
        <f t="shared" si="10"/>
        <v>0</v>
      </c>
      <c r="N112" s="36"/>
      <c r="O112" s="36">
        <f>M112</f>
        <v>0</v>
      </c>
      <c r="P112" s="36">
        <f t="shared" si="10"/>
        <v>0</v>
      </c>
    </row>
    <row r="113" spans="1:235" s="39" customFormat="1" ht="48" customHeight="1">
      <c r="A113" s="34" t="s">
        <v>373</v>
      </c>
      <c r="B113" s="35"/>
      <c r="C113" s="35"/>
      <c r="D113" s="36">
        <f>(D121*D129)+(D122*D130)+(D123*D131)+(D124*D132)+(D125*D133)+(D134*D122*D135)-10</f>
        <v>8110000</v>
      </c>
      <c r="E113" s="36">
        <f aca="true" t="shared" si="11" ref="E113:M113">(E121*E129)+(E122*E130)+(E123*E131)+(E124*E132)+(E125*E133)+(E134*E122*E135)</f>
        <v>0</v>
      </c>
      <c r="F113" s="36">
        <f>D113+E113</f>
        <v>8110000</v>
      </c>
      <c r="G113" s="36">
        <f>(G121*G129)+(G122*G130)+(G123*G131)+(G124*G132)+(G125*G133)+(G134*G122*G135)+G126-0.22</f>
        <v>9041700.003999999</v>
      </c>
      <c r="H113" s="36">
        <f t="shared" si="11"/>
        <v>0</v>
      </c>
      <c r="I113" s="36"/>
      <c r="J113" s="36">
        <f>G113+H113</f>
        <v>9041700.003999999</v>
      </c>
      <c r="K113" s="36">
        <f t="shared" si="11"/>
        <v>0</v>
      </c>
      <c r="L113" s="36">
        <f t="shared" si="11"/>
        <v>0</v>
      </c>
      <c r="M113" s="36">
        <f t="shared" si="11"/>
        <v>0</v>
      </c>
      <c r="N113" s="36">
        <f>(N121*N129)+(N122*N130)+(N123*N131)+(N124*N132)+(N125*N133)+(N134*N122*N135)-15.8-14900</f>
        <v>9493400</v>
      </c>
      <c r="O113" s="36">
        <f>(O121*O129)+(O122*O130)+(O123*O131)+(O124*O132)+(O125*O133)+(O134*O122*O135)</f>
        <v>0</v>
      </c>
      <c r="P113" s="36">
        <f>N113+O113</f>
        <v>9493400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</row>
    <row r="114" spans="1:16" ht="11.25">
      <c r="A114" s="5" t="s">
        <v>4</v>
      </c>
      <c r="B114" s="37"/>
      <c r="C114" s="3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1.25">
      <c r="A115" s="8" t="s">
        <v>62</v>
      </c>
      <c r="B115" s="6"/>
      <c r="C115" s="6"/>
      <c r="D115" s="7">
        <v>60</v>
      </c>
      <c r="E115" s="7"/>
      <c r="F115" s="7">
        <f>D115</f>
        <v>60</v>
      </c>
      <c r="G115" s="7">
        <v>62</v>
      </c>
      <c r="H115" s="7"/>
      <c r="I115" s="7"/>
      <c r="J115" s="7">
        <f>G115</f>
        <v>62</v>
      </c>
      <c r="K115" s="7"/>
      <c r="L115" s="7"/>
      <c r="M115" s="7"/>
      <c r="N115" s="7">
        <v>67</v>
      </c>
      <c r="O115" s="7"/>
      <c r="P115" s="7">
        <f>N115</f>
        <v>67</v>
      </c>
    </row>
    <row r="116" spans="1:16" ht="11.25">
      <c r="A116" s="8" t="s">
        <v>8</v>
      </c>
      <c r="B116" s="6"/>
      <c r="C116" s="6"/>
      <c r="D116" s="7">
        <v>37000</v>
      </c>
      <c r="E116" s="7"/>
      <c r="F116" s="7">
        <f>D116</f>
        <v>37000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33.75">
      <c r="A117" s="8" t="s">
        <v>68</v>
      </c>
      <c r="B117" s="6"/>
      <c r="C117" s="6"/>
      <c r="D117" s="7">
        <v>37400</v>
      </c>
      <c r="E117" s="7"/>
      <c r="F117" s="7">
        <f>D117</f>
        <v>37400</v>
      </c>
      <c r="G117" s="7">
        <v>37400</v>
      </c>
      <c r="H117" s="7"/>
      <c r="I117" s="7"/>
      <c r="J117" s="7">
        <f>G117</f>
        <v>37400</v>
      </c>
      <c r="K117" s="7"/>
      <c r="L117" s="7"/>
      <c r="M117" s="7"/>
      <c r="N117" s="7">
        <v>37400</v>
      </c>
      <c r="O117" s="7"/>
      <c r="P117" s="7">
        <f>N117</f>
        <v>37400</v>
      </c>
    </row>
    <row r="118" spans="1:16" ht="22.5">
      <c r="A118" s="8" t="s">
        <v>44</v>
      </c>
      <c r="B118" s="6"/>
      <c r="C118" s="6"/>
      <c r="D118" s="7">
        <v>0</v>
      </c>
      <c r="E118" s="7"/>
      <c r="F118" s="7">
        <f>D118</f>
        <v>0</v>
      </c>
      <c r="G118" s="7">
        <v>0</v>
      </c>
      <c r="H118" s="7"/>
      <c r="I118" s="7"/>
      <c r="J118" s="7">
        <f>G118</f>
        <v>0</v>
      </c>
      <c r="K118" s="7"/>
      <c r="L118" s="7"/>
      <c r="M118" s="7"/>
      <c r="N118" s="7">
        <v>0</v>
      </c>
      <c r="O118" s="7"/>
      <c r="P118" s="7">
        <f>N118</f>
        <v>0</v>
      </c>
    </row>
    <row r="119" spans="1:241" s="25" customFormat="1" ht="12" customHeight="1">
      <c r="A119" s="5" t="s">
        <v>5</v>
      </c>
      <c r="B119" s="37"/>
      <c r="C119" s="3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IB119" s="53"/>
      <c r="IC119" s="53"/>
      <c r="ID119" s="53"/>
      <c r="IE119" s="53"/>
      <c r="IF119" s="53"/>
      <c r="IG119" s="53"/>
    </row>
    <row r="120" spans="1:241" s="25" customFormat="1" ht="22.5">
      <c r="A120" s="8" t="s">
        <v>14</v>
      </c>
      <c r="B120" s="6"/>
      <c r="C120" s="6"/>
      <c r="D120" s="7">
        <v>2</v>
      </c>
      <c r="E120" s="7"/>
      <c r="F120" s="7">
        <f>D120</f>
        <v>2</v>
      </c>
      <c r="G120" s="7">
        <v>2</v>
      </c>
      <c r="H120" s="7"/>
      <c r="I120" s="7"/>
      <c r="J120" s="7">
        <f>G120</f>
        <v>2</v>
      </c>
      <c r="K120" s="7"/>
      <c r="L120" s="7"/>
      <c r="M120" s="7"/>
      <c r="N120" s="7">
        <v>5</v>
      </c>
      <c r="O120" s="7"/>
      <c r="P120" s="7">
        <f>N120</f>
        <v>5</v>
      </c>
      <c r="IB120" s="53"/>
      <c r="IC120" s="53"/>
      <c r="ID120" s="53"/>
      <c r="IE120" s="53"/>
      <c r="IF120" s="53"/>
      <c r="IG120" s="53"/>
    </row>
    <row r="121" spans="1:241" s="25" customFormat="1" ht="27.75" customHeight="1">
      <c r="A121" s="8" t="s">
        <v>63</v>
      </c>
      <c r="B121" s="6"/>
      <c r="C121" s="37"/>
      <c r="D121" s="7"/>
      <c r="E121" s="7">
        <v>0</v>
      </c>
      <c r="F121" s="7">
        <f>E121</f>
        <v>0</v>
      </c>
      <c r="G121" s="7"/>
      <c r="H121" s="7">
        <v>0</v>
      </c>
      <c r="I121" s="7"/>
      <c r="J121" s="7">
        <v>0</v>
      </c>
      <c r="K121" s="7"/>
      <c r="L121" s="7"/>
      <c r="M121" s="7"/>
      <c r="N121" s="7"/>
      <c r="O121" s="7">
        <v>0</v>
      </c>
      <c r="P121" s="7">
        <f>O121</f>
        <v>0</v>
      </c>
      <c r="IB121" s="53"/>
      <c r="IC121" s="53"/>
      <c r="ID121" s="53"/>
      <c r="IE121" s="53"/>
      <c r="IF121" s="53"/>
      <c r="IG121" s="53"/>
    </row>
    <row r="122" spans="1:241" s="25" customFormat="1" ht="27" customHeight="1">
      <c r="A122" s="8" t="s">
        <v>64</v>
      </c>
      <c r="B122" s="6"/>
      <c r="C122" s="37"/>
      <c r="D122" s="7">
        <v>60</v>
      </c>
      <c r="E122" s="7"/>
      <c r="F122" s="7">
        <f>D122</f>
        <v>60</v>
      </c>
      <c r="G122" s="7">
        <v>62</v>
      </c>
      <c r="H122" s="7"/>
      <c r="I122" s="7"/>
      <c r="J122" s="7">
        <f>G122</f>
        <v>62</v>
      </c>
      <c r="K122" s="7"/>
      <c r="L122" s="7"/>
      <c r="M122" s="7"/>
      <c r="N122" s="7">
        <v>67</v>
      </c>
      <c r="O122" s="7"/>
      <c r="P122" s="7">
        <f>N122</f>
        <v>67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27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31</v>
      </c>
      <c r="B124" s="6"/>
      <c r="C124" s="37"/>
      <c r="D124" s="7">
        <v>300</v>
      </c>
      <c r="E124" s="7"/>
      <c r="F124" s="7">
        <f>D124</f>
        <v>300</v>
      </c>
      <c r="G124" s="7">
        <v>300</v>
      </c>
      <c r="H124" s="7"/>
      <c r="I124" s="7"/>
      <c r="J124" s="7">
        <f>G124</f>
        <v>300</v>
      </c>
      <c r="K124" s="7"/>
      <c r="L124" s="7"/>
      <c r="M124" s="7"/>
      <c r="N124" s="7">
        <v>300</v>
      </c>
      <c r="O124" s="7"/>
      <c r="P124" s="7">
        <f>N124</f>
        <v>300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13</v>
      </c>
      <c r="B125" s="6"/>
      <c r="C125" s="37"/>
      <c r="D125" s="7">
        <v>37400</v>
      </c>
      <c r="E125" s="7"/>
      <c r="F125" s="7">
        <f aca="true" t="shared" si="12" ref="F125:F141">D125</f>
        <v>37400</v>
      </c>
      <c r="G125" s="7">
        <v>37400</v>
      </c>
      <c r="H125" s="7"/>
      <c r="I125" s="7"/>
      <c r="J125" s="7">
        <f>G125</f>
        <v>37400</v>
      </c>
      <c r="K125" s="7"/>
      <c r="L125" s="7"/>
      <c r="M125" s="7"/>
      <c r="N125" s="7">
        <v>37400</v>
      </c>
      <c r="O125" s="7"/>
      <c r="P125" s="7">
        <f>N125</f>
        <v>37400</v>
      </c>
      <c r="IB125" s="53"/>
      <c r="IC125" s="53"/>
      <c r="ID125" s="53"/>
      <c r="IE125" s="53"/>
      <c r="IF125" s="53"/>
      <c r="IG125" s="53"/>
    </row>
    <row r="126" spans="1:241" s="25" customFormat="1" ht="22.5">
      <c r="A126" s="8" t="s">
        <v>402</v>
      </c>
      <c r="B126" s="6"/>
      <c r="C126" s="37"/>
      <c r="D126" s="7">
        <v>0</v>
      </c>
      <c r="E126" s="7">
        <v>0</v>
      </c>
      <c r="F126" s="7">
        <v>0</v>
      </c>
      <c r="G126" s="7">
        <v>105827</v>
      </c>
      <c r="H126" s="7"/>
      <c r="I126" s="7"/>
      <c r="J126" s="7">
        <f>G126</f>
        <v>105827</v>
      </c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11.25">
      <c r="A127" s="5" t="s">
        <v>7</v>
      </c>
      <c r="B127" s="37"/>
      <c r="C127" s="37"/>
      <c r="D127" s="7"/>
      <c r="E127" s="7"/>
      <c r="F127" s="7">
        <f t="shared" si="12"/>
        <v>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IB127" s="53"/>
      <c r="IC127" s="53"/>
      <c r="ID127" s="53"/>
      <c r="IE127" s="53"/>
      <c r="IF127" s="53"/>
      <c r="IG127" s="53"/>
    </row>
    <row r="128" spans="1:241" s="25" customFormat="1" ht="22.5" customHeight="1">
      <c r="A128" s="8" t="s">
        <v>16</v>
      </c>
      <c r="B128" s="6"/>
      <c r="C128" s="6"/>
      <c r="D128" s="7">
        <v>500000</v>
      </c>
      <c r="E128" s="7"/>
      <c r="F128" s="7">
        <f t="shared" si="12"/>
        <v>500000</v>
      </c>
      <c r="G128" s="7">
        <v>557400</v>
      </c>
      <c r="H128" s="7"/>
      <c r="I128" s="7"/>
      <c r="J128" s="7">
        <f>G128</f>
        <v>557400</v>
      </c>
      <c r="K128" s="7"/>
      <c r="L128" s="7"/>
      <c r="M128" s="7"/>
      <c r="N128" s="7">
        <v>586210</v>
      </c>
      <c r="O128" s="7"/>
      <c r="P128" s="7">
        <f>N128</f>
        <v>586210</v>
      </c>
      <c r="IB128" s="53"/>
      <c r="IC128" s="53"/>
      <c r="ID128" s="53"/>
      <c r="IE128" s="53"/>
      <c r="IF128" s="53"/>
      <c r="IG128" s="53"/>
    </row>
    <row r="129" spans="1:241" s="25" customFormat="1" ht="27" customHeight="1">
      <c r="A129" s="8" t="s">
        <v>65</v>
      </c>
      <c r="B129" s="6"/>
      <c r="C129" s="6"/>
      <c r="D129" s="7"/>
      <c r="E129" s="7"/>
      <c r="F129" s="7">
        <f t="shared" si="12"/>
        <v>0</v>
      </c>
      <c r="G129" s="7"/>
      <c r="H129" s="7"/>
      <c r="I129" s="7"/>
      <c r="J129" s="7">
        <f>G129</f>
        <v>0</v>
      </c>
      <c r="K129" s="7"/>
      <c r="L129" s="7"/>
      <c r="M129" s="7"/>
      <c r="N129" s="7"/>
      <c r="O129" s="7"/>
      <c r="P129" s="7">
        <f>N129</f>
        <v>0</v>
      </c>
      <c r="IB129" s="53"/>
      <c r="IC129" s="53"/>
      <c r="ID129" s="53"/>
      <c r="IE129" s="53"/>
      <c r="IF129" s="53"/>
      <c r="IG129" s="53"/>
    </row>
    <row r="130" spans="1:241" s="25" customFormat="1" ht="22.5">
      <c r="A130" s="8" t="s">
        <v>66</v>
      </c>
      <c r="B130" s="6"/>
      <c r="C130" s="6"/>
      <c r="D130" s="7">
        <v>18795</v>
      </c>
      <c r="E130" s="7"/>
      <c r="F130" s="7">
        <f t="shared" si="12"/>
        <v>18795</v>
      </c>
      <c r="G130" s="7">
        <v>24723</v>
      </c>
      <c r="H130" s="7"/>
      <c r="I130" s="7"/>
      <c r="J130" s="7">
        <f aca="true" t="shared" si="13" ref="J130:J135">G130</f>
        <v>24723</v>
      </c>
      <c r="K130" s="7"/>
      <c r="L130" s="7"/>
      <c r="M130" s="7"/>
      <c r="N130" s="7">
        <v>25586</v>
      </c>
      <c r="O130" s="7"/>
      <c r="P130" s="7">
        <f aca="true" t="shared" si="14" ref="P130:P135">N130</f>
        <v>25586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28</v>
      </c>
      <c r="B131" s="6"/>
      <c r="C131" s="6"/>
      <c r="D131" s="7">
        <v>1500</v>
      </c>
      <c r="E131" s="7"/>
      <c r="F131" s="7">
        <f>D131</f>
        <v>1500</v>
      </c>
      <c r="G131" s="7">
        <v>1672</v>
      </c>
      <c r="H131" s="7"/>
      <c r="I131" s="7"/>
      <c r="J131" s="7">
        <f t="shared" si="13"/>
        <v>1672</v>
      </c>
      <c r="K131" s="7"/>
      <c r="L131" s="7"/>
      <c r="M131" s="7"/>
      <c r="N131" s="7">
        <v>1759</v>
      </c>
      <c r="O131" s="7"/>
      <c r="P131" s="7">
        <f t="shared" si="14"/>
        <v>1759</v>
      </c>
      <c r="IB131" s="53"/>
      <c r="IC131" s="53"/>
      <c r="ID131" s="53"/>
      <c r="IE131" s="53"/>
      <c r="IF131" s="53"/>
      <c r="IG131" s="53"/>
    </row>
    <row r="132" spans="1:241" s="25" customFormat="1" ht="27" customHeight="1">
      <c r="A132" s="8" t="s">
        <v>19</v>
      </c>
      <c r="B132" s="6"/>
      <c r="C132" s="6"/>
      <c r="D132" s="7">
        <v>500</v>
      </c>
      <c r="E132" s="7"/>
      <c r="F132" s="7">
        <f t="shared" si="12"/>
        <v>500</v>
      </c>
      <c r="G132" s="7">
        <v>557</v>
      </c>
      <c r="H132" s="7"/>
      <c r="I132" s="7"/>
      <c r="J132" s="7">
        <f t="shared" si="13"/>
        <v>557</v>
      </c>
      <c r="K132" s="7"/>
      <c r="L132" s="7"/>
      <c r="M132" s="7"/>
      <c r="N132" s="7">
        <v>586</v>
      </c>
      <c r="O132" s="7"/>
      <c r="P132" s="7">
        <f t="shared" si="14"/>
        <v>586</v>
      </c>
      <c r="IB132" s="53"/>
      <c r="IC132" s="53"/>
      <c r="ID132" s="53"/>
      <c r="IE132" s="53"/>
      <c r="IF132" s="53"/>
      <c r="IG132" s="53"/>
    </row>
    <row r="133" spans="1:241" s="25" customFormat="1" ht="22.5">
      <c r="A133" s="8" t="s">
        <v>15</v>
      </c>
      <c r="B133" s="6"/>
      <c r="C133" s="6"/>
      <c r="D133" s="7">
        <v>170.65</v>
      </c>
      <c r="E133" s="7"/>
      <c r="F133" s="7">
        <f t="shared" si="12"/>
        <v>170.65</v>
      </c>
      <c r="G133" s="7">
        <v>180.06276</v>
      </c>
      <c r="H133" s="7"/>
      <c r="I133" s="7"/>
      <c r="J133" s="7">
        <f t="shared" si="13"/>
        <v>180.06276</v>
      </c>
      <c r="K133" s="7"/>
      <c r="L133" s="7"/>
      <c r="M133" s="7"/>
      <c r="N133" s="7">
        <v>189.587</v>
      </c>
      <c r="O133" s="7"/>
      <c r="P133" s="7">
        <f t="shared" si="14"/>
        <v>189.587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45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3"/>
        <v>0</v>
      </c>
      <c r="K134" s="7"/>
      <c r="L134" s="7"/>
      <c r="M134" s="7"/>
      <c r="N134" s="7"/>
      <c r="O134" s="7"/>
      <c r="P134" s="7">
        <f t="shared" si="14"/>
        <v>0</v>
      </c>
      <c r="S134" s="25">
        <f>21572/4</f>
        <v>5393</v>
      </c>
      <c r="IB134" s="53"/>
      <c r="IC134" s="53"/>
      <c r="ID134" s="53"/>
      <c r="IE134" s="53"/>
      <c r="IF134" s="53"/>
      <c r="IG134" s="53"/>
    </row>
    <row r="135" spans="1:241" s="25" customFormat="1" ht="22.5" hidden="1">
      <c r="A135" s="8" t="s">
        <v>46</v>
      </c>
      <c r="B135" s="6"/>
      <c r="C135" s="6"/>
      <c r="D135" s="7"/>
      <c r="E135" s="7"/>
      <c r="F135" s="7">
        <f>D135</f>
        <v>0</v>
      </c>
      <c r="G135" s="7"/>
      <c r="H135" s="7"/>
      <c r="I135" s="7"/>
      <c r="J135" s="7">
        <f t="shared" si="13"/>
        <v>0</v>
      </c>
      <c r="K135" s="7"/>
      <c r="L135" s="7"/>
      <c r="M135" s="7"/>
      <c r="N135" s="7"/>
      <c r="O135" s="7"/>
      <c r="P135" s="7">
        <f t="shared" si="14"/>
        <v>0</v>
      </c>
      <c r="IB135" s="53"/>
      <c r="IC135" s="53"/>
      <c r="ID135" s="53"/>
      <c r="IE135" s="53"/>
      <c r="IF135" s="53"/>
      <c r="IG135" s="53"/>
    </row>
    <row r="136" spans="1:241" s="25" customFormat="1" ht="11.25">
      <c r="A136" s="5" t="s">
        <v>6</v>
      </c>
      <c r="B136" s="37"/>
      <c r="C136" s="3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22.5" customHeight="1">
      <c r="A137" s="8" t="s">
        <v>30</v>
      </c>
      <c r="B137" s="6"/>
      <c r="C137" s="6"/>
      <c r="D137" s="7"/>
      <c r="E137" s="7"/>
      <c r="F137" s="7">
        <f t="shared" si="12"/>
        <v>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IB137" s="53"/>
      <c r="IC137" s="53"/>
      <c r="ID137" s="53"/>
      <c r="IE137" s="53"/>
      <c r="IF137" s="53"/>
      <c r="IG137" s="53"/>
    </row>
    <row r="138" spans="1:241" s="25" customFormat="1" ht="30.75" customHeight="1">
      <c r="A138" s="8" t="s">
        <v>67</v>
      </c>
      <c r="B138" s="6"/>
      <c r="C138" s="6"/>
      <c r="D138" s="7">
        <v>100</v>
      </c>
      <c r="E138" s="7"/>
      <c r="F138" s="7">
        <f t="shared" si="12"/>
        <v>100</v>
      </c>
      <c r="G138" s="7">
        <v>100</v>
      </c>
      <c r="H138" s="7"/>
      <c r="I138" s="7"/>
      <c r="J138" s="7">
        <v>100</v>
      </c>
      <c r="K138" s="7"/>
      <c r="L138" s="7"/>
      <c r="M138" s="7"/>
      <c r="N138" s="7">
        <v>100</v>
      </c>
      <c r="O138" s="7"/>
      <c r="P138" s="7">
        <v>100</v>
      </c>
      <c r="IB138" s="53"/>
      <c r="IC138" s="53"/>
      <c r="ID138" s="53"/>
      <c r="IE138" s="53"/>
      <c r="IF138" s="53"/>
      <c r="IG138" s="53"/>
    </row>
    <row r="139" spans="1:241" s="25" customFormat="1" ht="22.5" customHeight="1">
      <c r="A139" s="8" t="s">
        <v>32</v>
      </c>
      <c r="B139" s="6"/>
      <c r="C139" s="6"/>
      <c r="D139" s="7"/>
      <c r="E139" s="7"/>
      <c r="F139" s="7">
        <f t="shared" si="12"/>
        <v>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IB139" s="53"/>
      <c r="IC139" s="53"/>
      <c r="ID139" s="53"/>
      <c r="IE139" s="53"/>
      <c r="IF139" s="53"/>
      <c r="IG139" s="53"/>
    </row>
    <row r="140" spans="1:241" s="25" customFormat="1" ht="23.25" customHeight="1">
      <c r="A140" s="8" t="s">
        <v>21</v>
      </c>
      <c r="B140" s="6"/>
      <c r="C140" s="6"/>
      <c r="D140" s="7">
        <v>100</v>
      </c>
      <c r="E140" s="7"/>
      <c r="F140" s="7">
        <f t="shared" si="12"/>
        <v>100</v>
      </c>
      <c r="G140" s="7">
        <v>100</v>
      </c>
      <c r="H140" s="7"/>
      <c r="I140" s="7"/>
      <c r="J140" s="7">
        <v>100</v>
      </c>
      <c r="K140" s="7"/>
      <c r="L140" s="7"/>
      <c r="M140" s="7"/>
      <c r="N140" s="7">
        <v>100</v>
      </c>
      <c r="O140" s="7"/>
      <c r="P140" s="7">
        <v>100</v>
      </c>
      <c r="IB140" s="53"/>
      <c r="IC140" s="53"/>
      <c r="ID140" s="53"/>
      <c r="IE140" s="53"/>
      <c r="IF140" s="53"/>
      <c r="IG140" s="53"/>
    </row>
    <row r="141" spans="1:241" s="25" customFormat="1" ht="30" customHeight="1">
      <c r="A141" s="8" t="s">
        <v>37</v>
      </c>
      <c r="B141" s="6"/>
      <c r="C141" s="6"/>
      <c r="D141" s="7">
        <v>100</v>
      </c>
      <c r="E141" s="7"/>
      <c r="F141" s="7">
        <f t="shared" si="12"/>
        <v>100</v>
      </c>
      <c r="G141" s="7">
        <f>G125/G117*100</f>
        <v>100</v>
      </c>
      <c r="H141" s="7"/>
      <c r="I141" s="7"/>
      <c r="J141" s="7">
        <f>J125/J117*100</f>
        <v>100</v>
      </c>
      <c r="K141" s="7"/>
      <c r="L141" s="7"/>
      <c r="M141" s="7"/>
      <c r="N141" s="7">
        <f>N125/N117*100</f>
        <v>100</v>
      </c>
      <c r="O141" s="7"/>
      <c r="P141" s="7">
        <f>P125/P117*100</f>
        <v>100</v>
      </c>
      <c r="IB141" s="53"/>
      <c r="IC141" s="53"/>
      <c r="ID141" s="53"/>
      <c r="IE141" s="53"/>
      <c r="IF141" s="53"/>
      <c r="IG141" s="53"/>
    </row>
    <row r="142" spans="1:241" s="38" customFormat="1" ht="25.5" customHeight="1">
      <c r="A142" s="34" t="s">
        <v>374</v>
      </c>
      <c r="B142" s="35"/>
      <c r="C142" s="35"/>
      <c r="D142" s="36">
        <f>(D153*D159)+(D154*D160)+(D156*D162)+(D155*D161)+(D157*D163)+0.01+750000+190000</f>
        <v>40940000.002</v>
      </c>
      <c r="E142" s="36">
        <f>(E153*E159)+(E154*E160)+(E156*E162)+(E155*E161)+(E157*E163)</f>
        <v>14999999.99976</v>
      </c>
      <c r="F142" s="36">
        <f>D142+E142</f>
        <v>55940000.00176</v>
      </c>
      <c r="G142" s="36">
        <f>(G153*G159)+(G154*G160)+(G156*G162)+(G155*G161)+(G157*G163)-0.24-1500-84000-96000</f>
        <v>38935366.67961999</v>
      </c>
      <c r="H142" s="36">
        <f>(H153*H159)+(H154*H160)+(H156*H162)+(H155*H161)+(H157*H163)+5006</f>
        <v>10845506</v>
      </c>
      <c r="I142" s="36"/>
      <c r="J142" s="36">
        <f>G142+H142</f>
        <v>49780872.67961999</v>
      </c>
      <c r="K142" s="36">
        <f>(K153*K159)+(K154*K160)+(K156*K162)+(K155*K161)+(K157*K163)+100</f>
        <v>100</v>
      </c>
      <c r="L142" s="36">
        <f>(L153*L159)+(L154*L160)+(L156*L162)+(L155*L161)+(L157*L163)+100</f>
        <v>100</v>
      </c>
      <c r="M142" s="36">
        <f>(M153*M159)+(M154*M160)+(M156*M162)+(M155*M161)+(M157*M163)+100</f>
        <v>100</v>
      </c>
      <c r="N142" s="36">
        <f>(N153*N159)+(N154*N160)+(N156*N162)+(N155*N161)+(N157*N163)-0.24-799.99</f>
        <v>50377333.332282394</v>
      </c>
      <c r="O142" s="36">
        <f>(O153*O159)+(O154*O160)+(O156*O162)+(O155*O161)+(O157*O163)</f>
        <v>24999999.9984</v>
      </c>
      <c r="P142" s="36">
        <f>N142+O142</f>
        <v>75377333.3306824</v>
      </c>
      <c r="IB142" s="39"/>
      <c r="IC142" s="39"/>
      <c r="ID142" s="39"/>
      <c r="IE142" s="39"/>
      <c r="IF142" s="39"/>
      <c r="IG142" s="39"/>
    </row>
    <row r="143" spans="1:241" s="25" customFormat="1" ht="0.75" customHeight="1">
      <c r="A143" s="40" t="s">
        <v>33</v>
      </c>
      <c r="B143" s="41"/>
      <c r="C143" s="41"/>
      <c r="D143" s="7" t="e">
        <f>#REF!*D159+D156*D161+D155*D162</f>
        <v>#REF!</v>
      </c>
      <c r="E143" s="7" t="e">
        <f>#REF!*E159+E156*E161+E155*E162</f>
        <v>#REF!</v>
      </c>
      <c r="F143" s="7" t="e">
        <f>#REF!*F159+F156*F161+F155*F162</f>
        <v>#REF!</v>
      </c>
      <c r="G143" s="7" t="e">
        <f>#REF!*G159+G156*G161+G155*G162</f>
        <v>#REF!</v>
      </c>
      <c r="H143" s="7"/>
      <c r="I143" s="7"/>
      <c r="J143" s="7" t="e">
        <f>#REF!*J159+J156*J161+J155*J162</f>
        <v>#REF!</v>
      </c>
      <c r="K143" s="7"/>
      <c r="L143" s="7"/>
      <c r="M143" s="7"/>
      <c r="N143" s="7" t="e">
        <f>#REF!*N159+N156*N161+N155*N162</f>
        <v>#REF!</v>
      </c>
      <c r="O143" s="7"/>
      <c r="P143" s="7" t="e">
        <f>#REF!*P159+P156*P161+P155*P162</f>
        <v>#REF!</v>
      </c>
      <c r="IB143" s="53"/>
      <c r="IC143" s="53"/>
      <c r="ID143" s="53"/>
      <c r="IE143" s="53"/>
      <c r="IF143" s="53"/>
      <c r="IG143" s="53"/>
    </row>
    <row r="144" spans="1:241" s="25" customFormat="1" ht="11.25">
      <c r="A144" s="5" t="s">
        <v>4</v>
      </c>
      <c r="B144" s="37"/>
      <c r="C144" s="37"/>
      <c r="D144" s="30"/>
      <c r="E144" s="30"/>
      <c r="F144" s="30"/>
      <c r="G144" s="30"/>
      <c r="H144" s="30"/>
      <c r="I144" s="30"/>
      <c r="J144" s="30"/>
      <c r="K144" s="7"/>
      <c r="L144" s="7"/>
      <c r="M144" s="7"/>
      <c r="N144" s="30"/>
      <c r="O144" s="30"/>
      <c r="P144" s="30"/>
      <c r="IB144" s="53"/>
      <c r="IC144" s="53"/>
      <c r="ID144" s="53"/>
      <c r="IE144" s="53"/>
      <c r="IF144" s="53"/>
      <c r="IG144" s="53"/>
    </row>
    <row r="145" spans="1:241" s="25" customFormat="1" ht="21" customHeight="1">
      <c r="A145" s="8" t="s">
        <v>69</v>
      </c>
      <c r="B145" s="6"/>
      <c r="C145" s="6"/>
      <c r="D145" s="7">
        <v>614.9</v>
      </c>
      <c r="E145" s="7"/>
      <c r="F145" s="7">
        <f>D145</f>
        <v>614.9</v>
      </c>
      <c r="G145" s="7">
        <f>D145</f>
        <v>614.9</v>
      </c>
      <c r="H145" s="7"/>
      <c r="I145" s="7"/>
      <c r="J145" s="7">
        <f>G145</f>
        <v>614.9</v>
      </c>
      <c r="K145" s="7"/>
      <c r="L145" s="7"/>
      <c r="M145" s="7"/>
      <c r="N145" s="7">
        <f>J145</f>
        <v>614.9</v>
      </c>
      <c r="O145" s="7"/>
      <c r="P145" s="7">
        <f>N145</f>
        <v>614.9</v>
      </c>
      <c r="IB145" s="53"/>
      <c r="IC145" s="53"/>
      <c r="ID145" s="53"/>
      <c r="IE145" s="53"/>
      <c r="IF145" s="53"/>
      <c r="IG145" s="53"/>
    </row>
    <row r="146" spans="1:241" s="25" customFormat="1" ht="27" customHeight="1">
      <c r="A146" s="8" t="s">
        <v>70</v>
      </c>
      <c r="B146" s="6"/>
      <c r="C146" s="6"/>
      <c r="D146" s="7"/>
      <c r="E146" s="7">
        <v>427.5</v>
      </c>
      <c r="F146" s="7">
        <f>E146</f>
        <v>427.5</v>
      </c>
      <c r="G146" s="7"/>
      <c r="H146" s="7">
        <v>427.5</v>
      </c>
      <c r="I146" s="7"/>
      <c r="J146" s="7">
        <f>H146</f>
        <v>427.5</v>
      </c>
      <c r="K146" s="7"/>
      <c r="L146" s="7"/>
      <c r="M146" s="7"/>
      <c r="N146" s="7"/>
      <c r="O146" s="7">
        <v>427.5</v>
      </c>
      <c r="P146" s="7">
        <f>O146</f>
        <v>427.5</v>
      </c>
      <c r="IB146" s="53"/>
      <c r="IC146" s="53"/>
      <c r="ID146" s="53"/>
      <c r="IE146" s="53"/>
      <c r="IF146" s="53"/>
      <c r="IG146" s="53"/>
    </row>
    <row r="147" spans="1:241" s="25" customFormat="1" ht="30.75" customHeight="1">
      <c r="A147" s="8" t="s">
        <v>71</v>
      </c>
      <c r="B147" s="6"/>
      <c r="C147" s="6"/>
      <c r="D147" s="7">
        <v>97.9</v>
      </c>
      <c r="E147" s="7"/>
      <c r="F147" s="7">
        <f>D147</f>
        <v>97.9</v>
      </c>
      <c r="G147" s="7">
        <v>97.9</v>
      </c>
      <c r="H147" s="7"/>
      <c r="I147" s="7"/>
      <c r="J147" s="7">
        <f>G147</f>
        <v>97.9</v>
      </c>
      <c r="K147" s="7"/>
      <c r="L147" s="7"/>
      <c r="M147" s="7"/>
      <c r="N147" s="7">
        <v>97.9</v>
      </c>
      <c r="O147" s="7"/>
      <c r="P147" s="7">
        <f>N147</f>
        <v>97.9</v>
      </c>
      <c r="IB147" s="53"/>
      <c r="IC147" s="53"/>
      <c r="ID147" s="53"/>
      <c r="IE147" s="53"/>
      <c r="IF147" s="53"/>
      <c r="IG147" s="53"/>
    </row>
    <row r="148" spans="1:241" s="25" customFormat="1" ht="25.5" customHeight="1">
      <c r="A148" s="8" t="s">
        <v>72</v>
      </c>
      <c r="B148" s="6"/>
      <c r="C148" s="6"/>
      <c r="D148" s="7">
        <v>16263</v>
      </c>
      <c r="E148" s="7"/>
      <c r="F148" s="7">
        <f>D148</f>
        <v>16263</v>
      </c>
      <c r="G148" s="7">
        <v>16263</v>
      </c>
      <c r="H148" s="7"/>
      <c r="I148" s="7"/>
      <c r="J148" s="7">
        <f aca="true" t="shared" si="15" ref="J148:J164">G148</f>
        <v>16263</v>
      </c>
      <c r="K148" s="7"/>
      <c r="L148" s="7"/>
      <c r="M148" s="7"/>
      <c r="N148" s="7">
        <v>16263</v>
      </c>
      <c r="O148" s="7"/>
      <c r="P148" s="7">
        <f aca="true" t="shared" si="16" ref="P148:P164">N148</f>
        <v>16263</v>
      </c>
      <c r="IB148" s="53"/>
      <c r="IC148" s="53"/>
      <c r="ID148" s="53"/>
      <c r="IE148" s="53"/>
      <c r="IF148" s="53"/>
      <c r="IG148" s="53"/>
    </row>
    <row r="149" spans="1:241" s="25" customFormat="1" ht="22.5">
      <c r="A149" s="8" t="s">
        <v>73</v>
      </c>
      <c r="B149" s="6"/>
      <c r="C149" s="6"/>
      <c r="D149" s="7">
        <v>7400</v>
      </c>
      <c r="E149" s="7"/>
      <c r="F149" s="7">
        <f>D149</f>
        <v>7400</v>
      </c>
      <c r="G149" s="7">
        <f>F149</f>
        <v>7400</v>
      </c>
      <c r="H149" s="7"/>
      <c r="I149" s="7"/>
      <c r="J149" s="7">
        <f t="shared" si="15"/>
        <v>7400</v>
      </c>
      <c r="K149" s="7"/>
      <c r="L149" s="7"/>
      <c r="M149" s="7"/>
      <c r="N149" s="7">
        <f>G149</f>
        <v>7400</v>
      </c>
      <c r="O149" s="7"/>
      <c r="P149" s="7">
        <f t="shared" si="16"/>
        <v>7400</v>
      </c>
      <c r="IB149" s="53"/>
      <c r="IC149" s="53"/>
      <c r="ID149" s="53"/>
      <c r="IE149" s="53"/>
      <c r="IF149" s="53"/>
      <c r="IG149" s="53"/>
    </row>
    <row r="150" spans="1:241" s="25" customFormat="1" ht="29.25" customHeight="1">
      <c r="A150" s="8" t="s">
        <v>74</v>
      </c>
      <c r="B150" s="6"/>
      <c r="C150" s="6"/>
      <c r="D150" s="7">
        <v>8333333.33</v>
      </c>
      <c r="E150" s="7"/>
      <c r="F150" s="7">
        <f>D150</f>
        <v>8333333.33</v>
      </c>
      <c r="G150" s="7">
        <v>8333333.33</v>
      </c>
      <c r="H150" s="7"/>
      <c r="I150" s="7"/>
      <c r="J150" s="7">
        <f>G150</f>
        <v>8333333.33</v>
      </c>
      <c r="K150" s="7"/>
      <c r="L150" s="7"/>
      <c r="M150" s="7"/>
      <c r="N150" s="7">
        <v>8333333.33</v>
      </c>
      <c r="O150" s="7"/>
      <c r="P150" s="7">
        <f>N150</f>
        <v>8333333.33</v>
      </c>
      <c r="IB150" s="53"/>
      <c r="IC150" s="53"/>
      <c r="ID150" s="53"/>
      <c r="IE150" s="53"/>
      <c r="IF150" s="53"/>
      <c r="IG150" s="53"/>
    </row>
    <row r="151" spans="1:241" s="25" customFormat="1" ht="11.25">
      <c r="A151" s="5" t="s">
        <v>5</v>
      </c>
      <c r="B151" s="37"/>
      <c r="C151" s="37"/>
      <c r="D151" s="30"/>
      <c r="E151" s="30"/>
      <c r="F151" s="7"/>
      <c r="G151" s="30"/>
      <c r="H151" s="30"/>
      <c r="I151" s="30"/>
      <c r="J151" s="7">
        <f t="shared" si="15"/>
        <v>0</v>
      </c>
      <c r="K151" s="7"/>
      <c r="L151" s="7"/>
      <c r="M151" s="7"/>
      <c r="N151" s="30"/>
      <c r="O151" s="30"/>
      <c r="P151" s="7">
        <f t="shared" si="16"/>
        <v>0</v>
      </c>
      <c r="IB151" s="53"/>
      <c r="IC151" s="53"/>
      <c r="ID151" s="53"/>
      <c r="IE151" s="53"/>
      <c r="IF151" s="53"/>
      <c r="IG151" s="53"/>
    </row>
    <row r="152" spans="1:241" s="25" customFormat="1" ht="22.5" customHeight="1">
      <c r="A152" s="8" t="s">
        <v>24</v>
      </c>
      <c r="B152" s="6"/>
      <c r="C152" s="6"/>
      <c r="D152" s="7"/>
      <c r="E152" s="7"/>
      <c r="F152" s="7"/>
      <c r="G152" s="7"/>
      <c r="H152" s="7"/>
      <c r="I152" s="7"/>
      <c r="J152" s="7">
        <f t="shared" si="15"/>
        <v>0</v>
      </c>
      <c r="K152" s="7"/>
      <c r="L152" s="7"/>
      <c r="M152" s="7"/>
      <c r="N152" s="7"/>
      <c r="O152" s="7"/>
      <c r="P152" s="7">
        <f t="shared" si="16"/>
        <v>0</v>
      </c>
      <c r="IB152" s="53"/>
      <c r="IC152" s="53"/>
      <c r="ID152" s="53"/>
      <c r="IE152" s="53"/>
      <c r="IF152" s="53"/>
      <c r="IG152" s="53"/>
    </row>
    <row r="153" spans="1:241" s="25" customFormat="1" ht="29.25" customHeight="1">
      <c r="A153" s="8" t="s">
        <v>75</v>
      </c>
      <c r="B153" s="6"/>
      <c r="C153" s="6"/>
      <c r="D153" s="7">
        <v>20</v>
      </c>
      <c r="E153" s="7"/>
      <c r="F153" s="7">
        <f>D153</f>
        <v>20</v>
      </c>
      <c r="G153" s="7">
        <v>22.5</v>
      </c>
      <c r="H153" s="7"/>
      <c r="I153" s="7"/>
      <c r="J153" s="7">
        <f>G153</f>
        <v>22.5</v>
      </c>
      <c r="K153" s="7"/>
      <c r="L153" s="7"/>
      <c r="M153" s="7"/>
      <c r="N153" s="7">
        <v>24</v>
      </c>
      <c r="O153" s="7"/>
      <c r="P153" s="7">
        <f>N153</f>
        <v>24</v>
      </c>
      <c r="IB153" s="53"/>
      <c r="IC153" s="53"/>
      <c r="ID153" s="53"/>
      <c r="IE153" s="53"/>
      <c r="IF153" s="53"/>
      <c r="IG153" s="53"/>
    </row>
    <row r="154" spans="1:241" s="25" customFormat="1" ht="30" customHeight="1">
      <c r="A154" s="8" t="s">
        <v>76</v>
      </c>
      <c r="B154" s="6"/>
      <c r="C154" s="6"/>
      <c r="D154" s="7"/>
      <c r="E154" s="7">
        <v>36</v>
      </c>
      <c r="F154" s="7">
        <f>E154</f>
        <v>36</v>
      </c>
      <c r="G154" s="7"/>
      <c r="H154" s="159">
        <v>21.681</v>
      </c>
      <c r="I154" s="7"/>
      <c r="J154" s="7">
        <f>H154</f>
        <v>21.681</v>
      </c>
      <c r="K154" s="7"/>
      <c r="L154" s="7"/>
      <c r="M154" s="7"/>
      <c r="N154" s="7"/>
      <c r="O154" s="7">
        <v>48</v>
      </c>
      <c r="P154" s="7">
        <f>O154</f>
        <v>48</v>
      </c>
      <c r="IB154" s="53"/>
      <c r="IC154" s="53"/>
      <c r="ID154" s="53"/>
      <c r="IE154" s="53"/>
      <c r="IF154" s="53"/>
      <c r="IG154" s="53"/>
    </row>
    <row r="155" spans="1:241" s="25" customFormat="1" ht="26.25" customHeight="1">
      <c r="A155" s="8" t="s">
        <v>110</v>
      </c>
      <c r="B155" s="6"/>
      <c r="C155" s="6"/>
      <c r="D155" s="7">
        <v>16263</v>
      </c>
      <c r="E155" s="7"/>
      <c r="F155" s="7">
        <f>D155</f>
        <v>16263</v>
      </c>
      <c r="G155" s="7">
        <v>16263</v>
      </c>
      <c r="H155" s="7"/>
      <c r="I155" s="7"/>
      <c r="J155" s="7">
        <f>G155</f>
        <v>16263</v>
      </c>
      <c r="K155" s="7"/>
      <c r="L155" s="7"/>
      <c r="M155" s="7"/>
      <c r="N155" s="7">
        <f>N148</f>
        <v>16263</v>
      </c>
      <c r="O155" s="7"/>
      <c r="P155" s="7">
        <f>N155</f>
        <v>16263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77</v>
      </c>
      <c r="B156" s="6"/>
      <c r="C156" s="6"/>
      <c r="D156" s="7">
        <v>1700</v>
      </c>
      <c r="E156" s="7"/>
      <c r="F156" s="7">
        <f aca="true" t="shared" si="17" ref="F156:F164">D156</f>
        <v>1700</v>
      </c>
      <c r="G156" s="7">
        <v>1667</v>
      </c>
      <c r="H156" s="7"/>
      <c r="I156" s="7"/>
      <c r="J156" s="7">
        <f t="shared" si="15"/>
        <v>1667</v>
      </c>
      <c r="K156" s="7"/>
      <c r="L156" s="7"/>
      <c r="M156" s="7"/>
      <c r="N156" s="7">
        <v>1800</v>
      </c>
      <c r="O156" s="7"/>
      <c r="P156" s="7">
        <f t="shared" si="16"/>
        <v>1800</v>
      </c>
      <c r="IB156" s="53"/>
      <c r="IC156" s="53"/>
      <c r="ID156" s="53"/>
      <c r="IE156" s="53"/>
      <c r="IF156" s="53"/>
      <c r="IG156" s="53"/>
    </row>
    <row r="157" spans="1:241" s="25" customFormat="1" ht="24.75" customHeight="1">
      <c r="A157" s="8" t="s">
        <v>78</v>
      </c>
      <c r="B157" s="6"/>
      <c r="C157" s="6"/>
      <c r="D157" s="7">
        <v>8333333.33</v>
      </c>
      <c r="E157" s="7"/>
      <c r="F157" s="7">
        <f>D157</f>
        <v>8333333.33</v>
      </c>
      <c r="G157" s="7">
        <v>8333333.33</v>
      </c>
      <c r="H157" s="7"/>
      <c r="I157" s="7"/>
      <c r="J157" s="7">
        <f>G157</f>
        <v>8333333.33</v>
      </c>
      <c r="K157" s="7"/>
      <c r="L157" s="7"/>
      <c r="M157" s="7"/>
      <c r="N157" s="7">
        <v>8333333.33</v>
      </c>
      <c r="O157" s="7"/>
      <c r="P157" s="7">
        <f>N157</f>
        <v>8333333.33</v>
      </c>
      <c r="IB157" s="53"/>
      <c r="IC157" s="53"/>
      <c r="ID157" s="53"/>
      <c r="IE157" s="53"/>
      <c r="IF157" s="53"/>
      <c r="IG157" s="53"/>
    </row>
    <row r="158" spans="1:241" s="25" customFormat="1" ht="11.25">
      <c r="A158" s="5" t="s">
        <v>7</v>
      </c>
      <c r="B158" s="37"/>
      <c r="C158" s="37"/>
      <c r="D158" s="30"/>
      <c r="E158" s="30"/>
      <c r="F158" s="7">
        <f t="shared" si="17"/>
        <v>0</v>
      </c>
      <c r="G158" s="30"/>
      <c r="H158" s="30"/>
      <c r="I158" s="30"/>
      <c r="J158" s="7">
        <f t="shared" si="15"/>
        <v>0</v>
      </c>
      <c r="K158" s="7"/>
      <c r="L158" s="7"/>
      <c r="M158" s="7"/>
      <c r="N158" s="30"/>
      <c r="O158" s="30"/>
      <c r="P158" s="7">
        <f t="shared" si="16"/>
        <v>0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79</v>
      </c>
      <c r="B159" s="6"/>
      <c r="C159" s="6"/>
      <c r="D159" s="7">
        <v>275977</v>
      </c>
      <c r="E159" s="7"/>
      <c r="F159" s="7">
        <f>D159</f>
        <v>275977</v>
      </c>
      <c r="G159" s="7">
        <v>311360.456</v>
      </c>
      <c r="H159" s="7"/>
      <c r="I159" s="7"/>
      <c r="J159" s="7">
        <f>G159</f>
        <v>311360.456</v>
      </c>
      <c r="K159" s="7"/>
      <c r="L159" s="7"/>
      <c r="M159" s="7"/>
      <c r="N159" s="7">
        <v>289345.01</v>
      </c>
      <c r="O159" s="7"/>
      <c r="P159" s="7">
        <f>N159</f>
        <v>289345.01</v>
      </c>
      <c r="IB159" s="53"/>
      <c r="IC159" s="53"/>
      <c r="ID159" s="53"/>
      <c r="IE159" s="53"/>
      <c r="IF159" s="53"/>
      <c r="IG159" s="53"/>
    </row>
    <row r="160" spans="1:241" s="25" customFormat="1" ht="33.75">
      <c r="A160" s="8" t="s">
        <v>80</v>
      </c>
      <c r="B160" s="6"/>
      <c r="C160" s="6"/>
      <c r="D160" s="7"/>
      <c r="E160" s="7">
        <v>416666.66666</v>
      </c>
      <c r="F160" s="7">
        <f>E160</f>
        <v>416666.66666</v>
      </c>
      <c r="G160" s="7"/>
      <c r="H160" s="7">
        <v>500000</v>
      </c>
      <c r="I160" s="7"/>
      <c r="J160" s="7">
        <f>H160</f>
        <v>500000</v>
      </c>
      <c r="K160" s="7"/>
      <c r="L160" s="7"/>
      <c r="M160" s="7"/>
      <c r="N160" s="7"/>
      <c r="O160" s="7">
        <v>520833.3333</v>
      </c>
      <c r="P160" s="7">
        <f>O160</f>
        <v>520833.3333</v>
      </c>
      <c r="IB160" s="53"/>
      <c r="IC160" s="53"/>
      <c r="ID160" s="53"/>
      <c r="IE160" s="53"/>
      <c r="IF160" s="53"/>
      <c r="IG160" s="53"/>
    </row>
    <row r="161" spans="1:241" s="25" customFormat="1" ht="23.25" customHeight="1">
      <c r="A161" s="8" t="s">
        <v>81</v>
      </c>
      <c r="B161" s="6"/>
      <c r="C161" s="6"/>
      <c r="D161" s="7">
        <v>420</v>
      </c>
      <c r="E161" s="7"/>
      <c r="F161" s="7">
        <v>420</v>
      </c>
      <c r="G161" s="7">
        <v>430</v>
      </c>
      <c r="H161" s="7"/>
      <c r="I161" s="7"/>
      <c r="J161" s="7">
        <f>G161</f>
        <v>430</v>
      </c>
      <c r="K161" s="7"/>
      <c r="L161" s="7"/>
      <c r="M161" s="7"/>
      <c r="N161" s="7">
        <v>440</v>
      </c>
      <c r="O161" s="7"/>
      <c r="P161" s="7">
        <f>N161</f>
        <v>440</v>
      </c>
      <c r="IB161" s="53"/>
      <c r="IC161" s="53"/>
      <c r="ID161" s="53"/>
      <c r="IE161" s="53"/>
      <c r="IF161" s="53"/>
      <c r="IG161" s="53"/>
    </row>
    <row r="162" spans="1:241" s="25" customFormat="1" ht="22.5">
      <c r="A162" s="8" t="s">
        <v>82</v>
      </c>
      <c r="B162" s="6"/>
      <c r="C162" s="6"/>
      <c r="D162" s="7">
        <v>4500</v>
      </c>
      <c r="E162" s="7"/>
      <c r="F162" s="7">
        <f t="shared" si="17"/>
        <v>4500</v>
      </c>
      <c r="G162" s="7">
        <v>4500</v>
      </c>
      <c r="H162" s="7"/>
      <c r="I162" s="7"/>
      <c r="J162" s="7">
        <f t="shared" si="15"/>
        <v>4500</v>
      </c>
      <c r="K162" s="7"/>
      <c r="L162" s="7"/>
      <c r="M162" s="7"/>
      <c r="N162" s="7">
        <v>4806</v>
      </c>
      <c r="O162" s="7"/>
      <c r="P162" s="7">
        <f t="shared" si="16"/>
        <v>4806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33.75">
      <c r="A163" s="8" t="s">
        <v>231</v>
      </c>
      <c r="B163" s="6"/>
      <c r="C163" s="6"/>
      <c r="D163" s="7">
        <v>2.4</v>
      </c>
      <c r="E163" s="7"/>
      <c r="F163" s="7">
        <f>D163</f>
        <v>2.4</v>
      </c>
      <c r="G163" s="7">
        <v>2.114</v>
      </c>
      <c r="H163" s="7"/>
      <c r="I163" s="7"/>
      <c r="J163" s="7">
        <f>G163</f>
        <v>2.114</v>
      </c>
      <c r="K163" s="7"/>
      <c r="L163" s="7"/>
      <c r="M163" s="7"/>
      <c r="N163" s="7">
        <v>3.31528</v>
      </c>
      <c r="O163" s="7"/>
      <c r="P163" s="7">
        <f>N163</f>
        <v>3.31528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11.25">
      <c r="A164" s="5" t="s">
        <v>6</v>
      </c>
      <c r="B164" s="37"/>
      <c r="C164" s="37"/>
      <c r="D164" s="30"/>
      <c r="E164" s="30"/>
      <c r="F164" s="7">
        <f t="shared" si="17"/>
        <v>0</v>
      </c>
      <c r="G164" s="30"/>
      <c r="H164" s="30"/>
      <c r="I164" s="30"/>
      <c r="J164" s="7">
        <f t="shared" si="15"/>
        <v>0</v>
      </c>
      <c r="K164" s="7"/>
      <c r="L164" s="7"/>
      <c r="M164" s="7"/>
      <c r="N164" s="30"/>
      <c r="O164" s="30"/>
      <c r="P164" s="7">
        <f t="shared" si="16"/>
        <v>0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3.75">
      <c r="A165" s="8" t="s">
        <v>84</v>
      </c>
      <c r="B165" s="6"/>
      <c r="C165" s="6"/>
      <c r="D165" s="7"/>
      <c r="E165" s="7">
        <f>E154/E146*100</f>
        <v>8.421052631578947</v>
      </c>
      <c r="F165" s="7">
        <f>E165</f>
        <v>8.421052631578947</v>
      </c>
      <c r="G165" s="7"/>
      <c r="H165" s="7">
        <f>H154/H146*100</f>
        <v>5.071578947368422</v>
      </c>
      <c r="I165" s="7"/>
      <c r="J165" s="7">
        <f>H165</f>
        <v>5.071578947368422</v>
      </c>
      <c r="K165" s="7"/>
      <c r="L165" s="7"/>
      <c r="M165" s="7"/>
      <c r="N165" s="7"/>
      <c r="O165" s="7">
        <f>O154/O146*100</f>
        <v>11.228070175438596</v>
      </c>
      <c r="P165" s="7">
        <f>O165</f>
        <v>11.228070175438596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36" customHeight="1">
      <c r="A166" s="8" t="s">
        <v>83</v>
      </c>
      <c r="B166" s="6"/>
      <c r="C166" s="6"/>
      <c r="D166" s="7">
        <f>D153/D147*100</f>
        <v>20.429009193054135</v>
      </c>
      <c r="E166" s="7"/>
      <c r="F166" s="7">
        <f>D166</f>
        <v>20.429009193054135</v>
      </c>
      <c r="G166" s="7">
        <f>G153/G147*100</f>
        <v>22.982635342185905</v>
      </c>
      <c r="H166" s="7"/>
      <c r="I166" s="7"/>
      <c r="J166" s="7">
        <f>G166</f>
        <v>22.982635342185905</v>
      </c>
      <c r="K166" s="7"/>
      <c r="L166" s="7"/>
      <c r="M166" s="7"/>
      <c r="N166" s="7">
        <f>N153/N147*100</f>
        <v>24.514811031664962</v>
      </c>
      <c r="O166" s="7"/>
      <c r="P166" s="7">
        <f>N166</f>
        <v>24.514811031664962</v>
      </c>
      <c r="R166" s="27"/>
      <c r="IB166" s="53"/>
      <c r="IC166" s="53"/>
      <c r="ID166" s="53"/>
      <c r="IE166" s="53"/>
      <c r="IF166" s="53"/>
      <c r="IG166" s="53"/>
    </row>
    <row r="167" spans="1:241" s="25" customFormat="1" ht="24" customHeight="1">
      <c r="A167" s="8" t="s">
        <v>85</v>
      </c>
      <c r="B167" s="6"/>
      <c r="C167" s="6"/>
      <c r="D167" s="7">
        <f>D156/D149*100</f>
        <v>22.972972972972975</v>
      </c>
      <c r="E167" s="7"/>
      <c r="F167" s="7">
        <f>D167</f>
        <v>22.972972972972975</v>
      </c>
      <c r="G167" s="7">
        <f>G156/G149*100</f>
        <v>22.527027027027028</v>
      </c>
      <c r="H167" s="7"/>
      <c r="I167" s="7"/>
      <c r="J167" s="7">
        <f>G167</f>
        <v>22.527027027027028</v>
      </c>
      <c r="K167" s="7"/>
      <c r="L167" s="7"/>
      <c r="M167" s="7"/>
      <c r="N167" s="7">
        <f>N156/N149*100</f>
        <v>24.324324324324326</v>
      </c>
      <c r="O167" s="7"/>
      <c r="P167" s="7">
        <f>N167</f>
        <v>24.324324324324326</v>
      </c>
      <c r="R167" s="27"/>
      <c r="IB167" s="53"/>
      <c r="IC167" s="53"/>
      <c r="ID167" s="53"/>
      <c r="IE167" s="53"/>
      <c r="IF167" s="53"/>
      <c r="IG167" s="53"/>
    </row>
    <row r="168" spans="1:241" s="38" customFormat="1" ht="31.5" customHeight="1">
      <c r="A168" s="34" t="s">
        <v>375</v>
      </c>
      <c r="B168" s="35"/>
      <c r="C168" s="35"/>
      <c r="D168" s="36">
        <f>SUM(D183)*D197+D184*D198+D185*D199+D187*D202+D188*D203+D189*D204+D190*D205+D191*D206+D192*D207+D193*D208+0.65+532023</f>
        <v>19686999.999978114</v>
      </c>
      <c r="E168" s="36">
        <f>SUM(E186)*E200+E194*E209+E195*E210+E215</f>
        <v>23278332.999995</v>
      </c>
      <c r="F168" s="36">
        <f>D168+E168</f>
        <v>42965332.99997312</v>
      </c>
      <c r="G168" s="36">
        <f>SUM(G183)*G197+G184*G198+G185*G199+G187*G202+G188*G203+G189*G204+G190*G205+G191*G206+G192*G207+G193*G208-0.02+552000+58000+350000</f>
        <v>20664000.004896514</v>
      </c>
      <c r="H168" s="36">
        <f>SUM(H186)*H200+H194*H209+H195*H210+H215+H180*H201+H181*H202+600000</f>
        <v>25360030.399995</v>
      </c>
      <c r="I168" s="36"/>
      <c r="J168" s="36">
        <f>G168+H168</f>
        <v>46024030.40489151</v>
      </c>
      <c r="K168" s="36" t="e">
        <f>(K183*K197)+(K184*K198)+(K185*K199)+(K188*K203)+(K189*K204)+(K205*K190)+(#REF!*#REF!)-1036.73</f>
        <v>#REF!</v>
      </c>
      <c r="L168" s="36" t="e">
        <f>(L183*L197)+(L184*L198)+(L185*L199)+(L188*L203)+(L189*L204)+(L205*L190)+(#REF!*#REF!)-1036.73</f>
        <v>#REF!</v>
      </c>
      <c r="M168" s="36" t="e">
        <f>(M183*M197)+(M184*M198)+(M185*M199)+(M188*M203)+(M189*M204)+(M205*M190)+(#REF!*#REF!)-1036.73</f>
        <v>#REF!</v>
      </c>
      <c r="N168" s="36">
        <f>SUM(N183)*N197+N184*N198+N185*N199+N187*N202+N188*N203+N189*N204+N190*N205+N191*N206+N192*N207+N193*N208+0.2+591794</f>
        <v>21544999.99979262</v>
      </c>
      <c r="O168" s="36">
        <f>SUM(O186)*O200+O194*O209+O195*O210</f>
        <v>23169999.999995</v>
      </c>
      <c r="P168" s="36">
        <f>N168+O168</f>
        <v>44714999.99978762</v>
      </c>
      <c r="R168" s="42"/>
      <c r="IB168" s="39"/>
      <c r="IC168" s="39"/>
      <c r="ID168" s="39"/>
      <c r="IE168" s="39"/>
      <c r="IF168" s="39"/>
      <c r="IG168" s="39"/>
    </row>
    <row r="169" spans="1:241" s="25" customFormat="1" ht="11.25">
      <c r="A169" s="5" t="s">
        <v>4</v>
      </c>
      <c r="B169" s="37"/>
      <c r="C169" s="37"/>
      <c r="D169" s="30"/>
      <c r="E169" s="30"/>
      <c r="F169" s="30"/>
      <c r="G169" s="30"/>
      <c r="H169" s="30"/>
      <c r="I169" s="30"/>
      <c r="J169" s="30"/>
      <c r="K169" s="7"/>
      <c r="L169" s="7"/>
      <c r="M169" s="7"/>
      <c r="N169" s="30"/>
      <c r="O169" s="30"/>
      <c r="P169" s="30"/>
      <c r="R169" s="27"/>
      <c r="IB169" s="53"/>
      <c r="IC169" s="53"/>
      <c r="ID169" s="53"/>
      <c r="IE169" s="53"/>
      <c r="IF169" s="53"/>
      <c r="IG169" s="53"/>
    </row>
    <row r="170" spans="1:241" s="25" customFormat="1" ht="34.5" customHeight="1">
      <c r="A170" s="8" t="s">
        <v>86</v>
      </c>
      <c r="B170" s="6"/>
      <c r="C170" s="6"/>
      <c r="D170" s="7">
        <v>135</v>
      </c>
      <c r="E170" s="7"/>
      <c r="F170" s="7">
        <f aca="true" t="shared" si="18" ref="F170:F177">D170</f>
        <v>135</v>
      </c>
      <c r="G170" s="7">
        <f>F170</f>
        <v>135</v>
      </c>
      <c r="H170" s="7"/>
      <c r="I170" s="7"/>
      <c r="J170" s="7">
        <f>G170</f>
        <v>135</v>
      </c>
      <c r="K170" s="7"/>
      <c r="L170" s="7"/>
      <c r="M170" s="7"/>
      <c r="N170" s="7">
        <f>G170</f>
        <v>135</v>
      </c>
      <c r="O170" s="7"/>
      <c r="P170" s="7">
        <f>N170</f>
        <v>135</v>
      </c>
      <c r="R170" s="27"/>
      <c r="IB170" s="53"/>
      <c r="IC170" s="53"/>
      <c r="ID170" s="53"/>
      <c r="IE170" s="53"/>
      <c r="IF170" s="53"/>
      <c r="IG170" s="53"/>
    </row>
    <row r="171" spans="1:241" s="25" customFormat="1" ht="22.5">
      <c r="A171" s="8" t="s">
        <v>87</v>
      </c>
      <c r="B171" s="6"/>
      <c r="C171" s="6"/>
      <c r="D171" s="7">
        <v>4850</v>
      </c>
      <c r="E171" s="7"/>
      <c r="F171" s="7">
        <f t="shared" si="18"/>
        <v>4850</v>
      </c>
      <c r="G171" s="7">
        <f>F171</f>
        <v>4850</v>
      </c>
      <c r="H171" s="7"/>
      <c r="I171" s="7"/>
      <c r="J171" s="7">
        <f>G171</f>
        <v>4850</v>
      </c>
      <c r="K171" s="7"/>
      <c r="L171" s="7"/>
      <c r="M171" s="7"/>
      <c r="N171" s="7">
        <v>4850</v>
      </c>
      <c r="O171" s="7"/>
      <c r="P171" s="7">
        <f>N171</f>
        <v>4850</v>
      </c>
      <c r="IB171" s="53"/>
      <c r="IC171" s="53"/>
      <c r="ID171" s="53"/>
      <c r="IE171" s="53"/>
      <c r="IF171" s="53"/>
      <c r="IG171" s="53"/>
    </row>
    <row r="172" spans="1:241" s="25" customFormat="1" ht="18.75" customHeight="1">
      <c r="A172" s="8" t="s">
        <v>88</v>
      </c>
      <c r="B172" s="6"/>
      <c r="C172" s="6"/>
      <c r="D172" s="7">
        <v>8210</v>
      </c>
      <c r="E172" s="7"/>
      <c r="F172" s="7">
        <f t="shared" si="18"/>
        <v>8210</v>
      </c>
      <c r="G172" s="7">
        <f>F172</f>
        <v>8210</v>
      </c>
      <c r="H172" s="7"/>
      <c r="I172" s="7"/>
      <c r="J172" s="7">
        <f>G172</f>
        <v>8210</v>
      </c>
      <c r="K172" s="7"/>
      <c r="L172" s="7"/>
      <c r="M172" s="7"/>
      <c r="N172" s="7">
        <v>8210</v>
      </c>
      <c r="O172" s="7"/>
      <c r="P172" s="7">
        <f>N172</f>
        <v>8210</v>
      </c>
      <c r="IB172" s="53"/>
      <c r="IC172" s="53"/>
      <c r="ID172" s="53"/>
      <c r="IE172" s="53"/>
      <c r="IF172" s="53"/>
      <c r="IG172" s="53"/>
    </row>
    <row r="173" spans="1:241" s="25" customFormat="1" ht="24.75" customHeight="1">
      <c r="A173" s="8" t="s">
        <v>232</v>
      </c>
      <c r="B173" s="6"/>
      <c r="C173" s="6"/>
      <c r="D173" s="7">
        <v>2000</v>
      </c>
      <c r="E173" s="7">
        <v>700</v>
      </c>
      <c r="F173" s="7">
        <f>E173</f>
        <v>700</v>
      </c>
      <c r="G173" s="7"/>
      <c r="H173" s="7">
        <f>E173</f>
        <v>700</v>
      </c>
      <c r="I173" s="7"/>
      <c r="J173" s="7">
        <f>H173</f>
        <v>700</v>
      </c>
      <c r="K173" s="7"/>
      <c r="L173" s="7"/>
      <c r="M173" s="7"/>
      <c r="N173" s="7"/>
      <c r="O173" s="7">
        <f>H173</f>
        <v>700</v>
      </c>
      <c r="P173" s="7">
        <f>O173</f>
        <v>700</v>
      </c>
      <c r="IB173" s="53"/>
      <c r="IC173" s="53"/>
      <c r="ID173" s="53"/>
      <c r="IE173" s="53"/>
      <c r="IF173" s="53"/>
      <c r="IG173" s="53"/>
    </row>
    <row r="174" spans="1:241" s="25" customFormat="1" ht="25.5" customHeight="1">
      <c r="A174" s="8" t="s">
        <v>103</v>
      </c>
      <c r="B174" s="6"/>
      <c r="C174" s="6"/>
      <c r="D174" s="7">
        <v>300</v>
      </c>
      <c r="E174" s="7"/>
      <c r="F174" s="7">
        <f t="shared" si="18"/>
        <v>300</v>
      </c>
      <c r="G174" s="7">
        <v>300</v>
      </c>
      <c r="H174" s="7"/>
      <c r="I174" s="7"/>
      <c r="J174" s="7">
        <f>G174</f>
        <v>300</v>
      </c>
      <c r="K174" s="7"/>
      <c r="L174" s="7"/>
      <c r="M174" s="7"/>
      <c r="N174" s="7">
        <v>300</v>
      </c>
      <c r="O174" s="7"/>
      <c r="P174" s="7">
        <f>N174</f>
        <v>300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89</v>
      </c>
      <c r="B175" s="6"/>
      <c r="C175" s="6"/>
      <c r="D175" s="7">
        <v>123.45</v>
      </c>
      <c r="E175" s="7"/>
      <c r="F175" s="7">
        <f t="shared" si="18"/>
        <v>123.45</v>
      </c>
      <c r="G175" s="7">
        <f>F175</f>
        <v>123.45</v>
      </c>
      <c r="H175" s="7"/>
      <c r="I175" s="7"/>
      <c r="J175" s="7">
        <f>G175</f>
        <v>123.45</v>
      </c>
      <c r="K175" s="7"/>
      <c r="L175" s="7"/>
      <c r="M175" s="7"/>
      <c r="N175" s="7">
        <f>J175</f>
        <v>123.45</v>
      </c>
      <c r="O175" s="7"/>
      <c r="P175" s="7">
        <f>N175</f>
        <v>123.45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147</v>
      </c>
      <c r="B176" s="6"/>
      <c r="C176" s="6"/>
      <c r="D176" s="7">
        <v>11.549</v>
      </c>
      <c r="E176" s="7"/>
      <c r="F176" s="7">
        <f t="shared" si="18"/>
        <v>11.549</v>
      </c>
      <c r="G176" s="7">
        <v>11.549</v>
      </c>
      <c r="H176" s="7"/>
      <c r="I176" s="7">
        <f>G176</f>
        <v>11.549</v>
      </c>
      <c r="J176" s="7">
        <f>G176</f>
        <v>11.549</v>
      </c>
      <c r="K176" s="7"/>
      <c r="L176" s="7"/>
      <c r="M176" s="7"/>
      <c r="N176" s="7">
        <v>11.55</v>
      </c>
      <c r="O176" s="7"/>
      <c r="P176" s="7">
        <f>N176</f>
        <v>11.55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209</v>
      </c>
      <c r="B177" s="6"/>
      <c r="C177" s="6"/>
      <c r="D177" s="7">
        <v>5</v>
      </c>
      <c r="E177" s="7"/>
      <c r="F177" s="7">
        <f t="shared" si="18"/>
        <v>5</v>
      </c>
      <c r="G177" s="7">
        <v>4</v>
      </c>
      <c r="H177" s="7"/>
      <c r="I177" s="7"/>
      <c r="J177" s="7">
        <f>G177</f>
        <v>4</v>
      </c>
      <c r="K177" s="7"/>
      <c r="L177" s="7"/>
      <c r="M177" s="7"/>
      <c r="N177" s="7">
        <v>3</v>
      </c>
      <c r="O177" s="7"/>
      <c r="P177" s="7">
        <f>N177</f>
        <v>3</v>
      </c>
      <c r="IB177" s="53"/>
      <c r="IC177" s="53"/>
      <c r="ID177" s="53"/>
      <c r="IE177" s="53"/>
      <c r="IF177" s="53"/>
      <c r="IG177" s="53"/>
    </row>
    <row r="178" spans="1:241" s="25" customFormat="1" ht="29.25" customHeight="1">
      <c r="A178" s="8" t="s">
        <v>210</v>
      </c>
      <c r="B178" s="6"/>
      <c r="C178" s="6"/>
      <c r="D178" s="7"/>
      <c r="E178" s="7">
        <v>3.5</v>
      </c>
      <c r="F178" s="7">
        <f>E178</f>
        <v>3.5</v>
      </c>
      <c r="G178" s="7"/>
      <c r="H178" s="7">
        <v>3.5</v>
      </c>
      <c r="I178" s="7"/>
      <c r="J178" s="7">
        <f>H178</f>
        <v>3.5</v>
      </c>
      <c r="K178" s="7"/>
      <c r="L178" s="7"/>
      <c r="M178" s="7"/>
      <c r="N178" s="7"/>
      <c r="O178" s="7">
        <v>3.5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32.25" customHeight="1">
      <c r="A179" s="8" t="s">
        <v>227</v>
      </c>
      <c r="B179" s="6"/>
      <c r="C179" s="6"/>
      <c r="D179" s="7"/>
      <c r="E179" s="7">
        <v>25</v>
      </c>
      <c r="F179" s="7">
        <f>E179</f>
        <v>25</v>
      </c>
      <c r="G179" s="7"/>
      <c r="H179" s="7">
        <v>15</v>
      </c>
      <c r="I179" s="7"/>
      <c r="J179" s="7">
        <f>H179</f>
        <v>15</v>
      </c>
      <c r="K179" s="7"/>
      <c r="L179" s="7"/>
      <c r="M179" s="7"/>
      <c r="N179" s="7"/>
      <c r="O179" s="7">
        <v>10</v>
      </c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388</v>
      </c>
      <c r="B180" s="6"/>
      <c r="C180" s="6"/>
      <c r="D180" s="7"/>
      <c r="E180" s="7"/>
      <c r="F180" s="7"/>
      <c r="G180" s="7"/>
      <c r="H180" s="7">
        <v>6112</v>
      </c>
      <c r="I180" s="7"/>
      <c r="J180" s="7">
        <f>H180</f>
        <v>6112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26.25" customHeight="1">
      <c r="A181" s="8" t="s">
        <v>390</v>
      </c>
      <c r="B181" s="6"/>
      <c r="C181" s="6"/>
      <c r="D181" s="7"/>
      <c r="E181" s="7"/>
      <c r="F181" s="7"/>
      <c r="G181" s="7"/>
      <c r="H181" s="7">
        <v>320</v>
      </c>
      <c r="I181" s="7"/>
      <c r="J181" s="7">
        <f>H181</f>
        <v>320</v>
      </c>
      <c r="K181" s="7"/>
      <c r="L181" s="7"/>
      <c r="M181" s="7"/>
      <c r="N181" s="7"/>
      <c r="O181" s="7"/>
      <c r="P181" s="7"/>
      <c r="IB181" s="53"/>
      <c r="IC181" s="53"/>
      <c r="ID181" s="53"/>
      <c r="IE181" s="53"/>
      <c r="IF181" s="53"/>
      <c r="IG181" s="53"/>
    </row>
    <row r="182" spans="1:241" s="25" customFormat="1" ht="11.25">
      <c r="A182" s="5" t="s">
        <v>5</v>
      </c>
      <c r="B182" s="37"/>
      <c r="C182" s="37"/>
      <c r="D182" s="30"/>
      <c r="E182" s="30"/>
      <c r="F182" s="30"/>
      <c r="G182" s="30"/>
      <c r="H182" s="30"/>
      <c r="I182" s="30"/>
      <c r="J182" s="7"/>
      <c r="K182" s="7"/>
      <c r="L182" s="7"/>
      <c r="M182" s="7"/>
      <c r="N182" s="30"/>
      <c r="O182" s="30"/>
      <c r="P182" s="7"/>
      <c r="IB182" s="53"/>
      <c r="IC182" s="53"/>
      <c r="ID182" s="53"/>
      <c r="IE182" s="53"/>
      <c r="IF182" s="53"/>
      <c r="IG182" s="53"/>
    </row>
    <row r="183" spans="1:241" s="25" customFormat="1" ht="28.5" customHeight="1">
      <c r="A183" s="8" t="s">
        <v>90</v>
      </c>
      <c r="B183" s="6"/>
      <c r="C183" s="6"/>
      <c r="D183" s="7">
        <v>135</v>
      </c>
      <c r="E183" s="7"/>
      <c r="F183" s="7">
        <f>D183</f>
        <v>135</v>
      </c>
      <c r="G183" s="7">
        <f>F183</f>
        <v>135</v>
      </c>
      <c r="H183" s="7"/>
      <c r="I183" s="7"/>
      <c r="J183" s="7">
        <f aca="true" t="shared" si="19" ref="J183:J191">G183</f>
        <v>135</v>
      </c>
      <c r="K183" s="7"/>
      <c r="L183" s="7"/>
      <c r="M183" s="7"/>
      <c r="N183" s="7">
        <f>J183</f>
        <v>135</v>
      </c>
      <c r="O183" s="7"/>
      <c r="P183" s="7">
        <f aca="true" t="shared" si="20" ref="P183:P191">N183</f>
        <v>135</v>
      </c>
      <c r="IB183" s="53"/>
      <c r="IC183" s="53"/>
      <c r="ID183" s="53"/>
      <c r="IE183" s="53"/>
      <c r="IF183" s="53"/>
      <c r="IG183" s="53"/>
    </row>
    <row r="184" spans="1:241" s="25" customFormat="1" ht="22.5">
      <c r="A184" s="8" t="s">
        <v>91</v>
      </c>
      <c r="B184" s="6"/>
      <c r="C184" s="6"/>
      <c r="D184" s="7">
        <v>920</v>
      </c>
      <c r="E184" s="7"/>
      <c r="F184" s="7">
        <f aca="true" t="shared" si="21" ref="F184:F194">D184</f>
        <v>920</v>
      </c>
      <c r="G184" s="7">
        <v>920</v>
      </c>
      <c r="H184" s="7"/>
      <c r="I184" s="7"/>
      <c r="J184" s="7">
        <f t="shared" si="19"/>
        <v>920</v>
      </c>
      <c r="K184" s="7"/>
      <c r="L184" s="7"/>
      <c r="M184" s="7"/>
      <c r="N184" s="7">
        <v>920</v>
      </c>
      <c r="O184" s="7"/>
      <c r="P184" s="7">
        <f t="shared" si="20"/>
        <v>920</v>
      </c>
      <c r="IB184" s="53"/>
      <c r="IC184" s="53"/>
      <c r="ID184" s="53"/>
      <c r="IE184" s="53"/>
      <c r="IF184" s="53"/>
      <c r="IG184" s="53"/>
    </row>
    <row r="185" spans="1:241" s="25" customFormat="1" ht="26.25" customHeight="1">
      <c r="A185" s="8" t="s">
        <v>92</v>
      </c>
      <c r="B185" s="6"/>
      <c r="C185" s="6"/>
      <c r="D185" s="7">
        <v>800</v>
      </c>
      <c r="E185" s="7"/>
      <c r="F185" s="7">
        <f t="shared" si="21"/>
        <v>800</v>
      </c>
      <c r="G185" s="7">
        <v>800</v>
      </c>
      <c r="H185" s="7"/>
      <c r="I185" s="7"/>
      <c r="J185" s="7">
        <f t="shared" si="19"/>
        <v>800</v>
      </c>
      <c r="K185" s="7"/>
      <c r="L185" s="7"/>
      <c r="M185" s="7"/>
      <c r="N185" s="7">
        <v>800</v>
      </c>
      <c r="O185" s="7"/>
      <c r="P185" s="7">
        <f t="shared" si="20"/>
        <v>800</v>
      </c>
      <c r="IB185" s="53"/>
      <c r="IC185" s="53"/>
      <c r="ID185" s="53"/>
      <c r="IE185" s="53"/>
      <c r="IF185" s="53"/>
      <c r="IG185" s="53"/>
    </row>
    <row r="186" spans="1:241" s="25" customFormat="1" ht="33" customHeight="1">
      <c r="A186" s="8" t="s">
        <v>207</v>
      </c>
      <c r="B186" s="6"/>
      <c r="C186" s="6"/>
      <c r="D186" s="7"/>
      <c r="E186" s="7">
        <v>200</v>
      </c>
      <c r="F186" s="7">
        <f>E186</f>
        <v>200</v>
      </c>
      <c r="G186" s="7"/>
      <c r="H186" s="7">
        <v>200</v>
      </c>
      <c r="I186" s="7"/>
      <c r="J186" s="7">
        <f>H186</f>
        <v>200</v>
      </c>
      <c r="K186" s="7"/>
      <c r="L186" s="7"/>
      <c r="M186" s="7"/>
      <c r="N186" s="7"/>
      <c r="O186" s="7">
        <v>200</v>
      </c>
      <c r="P186" s="7">
        <f>O186</f>
        <v>200</v>
      </c>
      <c r="IB186" s="53"/>
      <c r="IC186" s="53"/>
      <c r="ID186" s="53"/>
      <c r="IE186" s="53"/>
      <c r="IF186" s="53"/>
      <c r="IG186" s="53"/>
    </row>
    <row r="187" spans="1:241" s="25" customFormat="1" ht="26.25" customHeight="1">
      <c r="A187" s="8" t="s">
        <v>335</v>
      </c>
      <c r="B187" s="6"/>
      <c r="C187" s="6"/>
      <c r="D187" s="7">
        <v>1000</v>
      </c>
      <c r="E187" s="7"/>
      <c r="F187" s="7">
        <f>D187</f>
        <v>1000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102</v>
      </c>
      <c r="B188" s="6"/>
      <c r="C188" s="6"/>
      <c r="D188" s="7">
        <v>300</v>
      </c>
      <c r="E188" s="7"/>
      <c r="F188" s="7">
        <f t="shared" si="21"/>
        <v>300</v>
      </c>
      <c r="G188" s="7">
        <v>300</v>
      </c>
      <c r="H188" s="7"/>
      <c r="I188" s="7"/>
      <c r="J188" s="7">
        <f t="shared" si="19"/>
        <v>300</v>
      </c>
      <c r="K188" s="7"/>
      <c r="L188" s="7"/>
      <c r="M188" s="7"/>
      <c r="N188" s="7">
        <v>300</v>
      </c>
      <c r="O188" s="7"/>
      <c r="P188" s="7">
        <f t="shared" si="20"/>
        <v>300</v>
      </c>
      <c r="IB188" s="53"/>
      <c r="IC188" s="53"/>
      <c r="ID188" s="53"/>
      <c r="IE188" s="53"/>
      <c r="IF188" s="53"/>
      <c r="IG188" s="53"/>
    </row>
    <row r="189" spans="1:241" s="25" customFormat="1" ht="22.5">
      <c r="A189" s="8" t="s">
        <v>93</v>
      </c>
      <c r="B189" s="6"/>
      <c r="C189" s="6"/>
      <c r="D189" s="7">
        <v>76.26</v>
      </c>
      <c r="E189" s="7"/>
      <c r="F189" s="7">
        <f t="shared" si="21"/>
        <v>76.26</v>
      </c>
      <c r="G189" s="7">
        <v>76.26</v>
      </c>
      <c r="H189" s="7"/>
      <c r="I189" s="7"/>
      <c r="J189" s="7">
        <f t="shared" si="19"/>
        <v>76.26</v>
      </c>
      <c r="K189" s="7"/>
      <c r="L189" s="7"/>
      <c r="M189" s="7"/>
      <c r="N189" s="7">
        <f>J189</f>
        <v>76.26</v>
      </c>
      <c r="O189" s="7"/>
      <c r="P189" s="7">
        <f t="shared" si="20"/>
        <v>76.26</v>
      </c>
      <c r="IB189" s="53"/>
      <c r="IC189" s="53"/>
      <c r="ID189" s="53"/>
      <c r="IE189" s="53"/>
      <c r="IF189" s="53"/>
      <c r="IG189" s="53"/>
    </row>
    <row r="190" spans="1:241" s="25" customFormat="1" ht="24" customHeight="1">
      <c r="A190" s="8" t="s">
        <v>225</v>
      </c>
      <c r="B190" s="6"/>
      <c r="C190" s="6"/>
      <c r="D190" s="7">
        <v>5</v>
      </c>
      <c r="E190" s="7"/>
      <c r="F190" s="7">
        <f t="shared" si="21"/>
        <v>5</v>
      </c>
      <c r="G190" s="7">
        <f>F190</f>
        <v>5</v>
      </c>
      <c r="H190" s="7"/>
      <c r="I190" s="7"/>
      <c r="J190" s="7">
        <f t="shared" si="19"/>
        <v>5</v>
      </c>
      <c r="K190" s="7"/>
      <c r="L190" s="7"/>
      <c r="M190" s="7"/>
      <c r="N190" s="7">
        <f>J190</f>
        <v>5</v>
      </c>
      <c r="O190" s="7"/>
      <c r="P190" s="7">
        <f t="shared" si="20"/>
        <v>5</v>
      </c>
      <c r="IB190" s="53"/>
      <c r="IC190" s="53"/>
      <c r="ID190" s="53"/>
      <c r="IE190" s="53"/>
      <c r="IF190" s="53"/>
      <c r="IG190" s="53"/>
    </row>
    <row r="191" spans="1:241" s="25" customFormat="1" ht="21.75" customHeight="1">
      <c r="A191" s="8" t="s">
        <v>136</v>
      </c>
      <c r="B191" s="6"/>
      <c r="C191" s="6"/>
      <c r="D191" s="7">
        <v>2</v>
      </c>
      <c r="E191" s="7"/>
      <c r="F191" s="7">
        <f t="shared" si="21"/>
        <v>2</v>
      </c>
      <c r="G191" s="7">
        <v>2</v>
      </c>
      <c r="H191" s="7"/>
      <c r="I191" s="7"/>
      <c r="J191" s="7">
        <f t="shared" si="19"/>
        <v>2</v>
      </c>
      <c r="K191" s="7"/>
      <c r="L191" s="7"/>
      <c r="M191" s="7"/>
      <c r="N191" s="7">
        <v>2</v>
      </c>
      <c r="O191" s="7"/>
      <c r="P191" s="7">
        <f t="shared" si="20"/>
        <v>2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148</v>
      </c>
      <c r="B192" s="6"/>
      <c r="C192" s="6"/>
      <c r="D192" s="7">
        <v>11.549</v>
      </c>
      <c r="E192" s="7"/>
      <c r="F192" s="7">
        <f t="shared" si="21"/>
        <v>11.549</v>
      </c>
      <c r="G192" s="7">
        <v>11.549</v>
      </c>
      <c r="H192" s="7"/>
      <c r="I192" s="7"/>
      <c r="J192" s="7">
        <v>11.55</v>
      </c>
      <c r="K192" s="7"/>
      <c r="L192" s="7"/>
      <c r="M192" s="7"/>
      <c r="N192" s="7">
        <v>11.549</v>
      </c>
      <c r="O192" s="7"/>
      <c r="P192" s="7">
        <v>11.55</v>
      </c>
      <c r="IB192" s="53"/>
      <c r="IC192" s="53"/>
      <c r="ID192" s="53"/>
      <c r="IE192" s="53"/>
      <c r="IF192" s="53"/>
      <c r="IG192" s="53"/>
    </row>
    <row r="193" spans="1:241" s="25" customFormat="1" ht="28.5" customHeight="1">
      <c r="A193" s="8" t="s">
        <v>211</v>
      </c>
      <c r="B193" s="6"/>
      <c r="C193" s="6"/>
      <c r="D193" s="7">
        <v>5</v>
      </c>
      <c r="E193" s="7"/>
      <c r="F193" s="7">
        <f t="shared" si="21"/>
        <v>5</v>
      </c>
      <c r="G193" s="7">
        <v>10</v>
      </c>
      <c r="H193" s="7"/>
      <c r="I193" s="7"/>
      <c r="J193" s="7">
        <f>G193</f>
        <v>10</v>
      </c>
      <c r="K193" s="7"/>
      <c r="L193" s="7"/>
      <c r="M193" s="7"/>
      <c r="N193" s="7">
        <v>15</v>
      </c>
      <c r="O193" s="7"/>
      <c r="P193" s="7">
        <f>N193</f>
        <v>15</v>
      </c>
      <c r="IB193" s="53"/>
      <c r="IC193" s="53"/>
      <c r="ID193" s="53"/>
      <c r="IE193" s="53"/>
      <c r="IF193" s="53"/>
      <c r="IG193" s="53"/>
    </row>
    <row r="194" spans="1:241" s="25" customFormat="1" ht="34.5" customHeight="1">
      <c r="A194" s="8" t="s">
        <v>212</v>
      </c>
      <c r="B194" s="6"/>
      <c r="C194" s="6"/>
      <c r="D194" s="7"/>
      <c r="E194" s="7">
        <v>3.5</v>
      </c>
      <c r="F194" s="7">
        <f t="shared" si="21"/>
        <v>0</v>
      </c>
      <c r="G194" s="7"/>
      <c r="H194" s="7">
        <v>3.5</v>
      </c>
      <c r="I194" s="7"/>
      <c r="J194" s="7">
        <f>G194</f>
        <v>0</v>
      </c>
      <c r="K194" s="7"/>
      <c r="L194" s="7"/>
      <c r="M194" s="7"/>
      <c r="N194" s="7"/>
      <c r="O194" s="7">
        <v>3.5</v>
      </c>
      <c r="P194" s="7">
        <f>N194</f>
        <v>0</v>
      </c>
      <c r="IB194" s="53"/>
      <c r="IC194" s="53"/>
      <c r="ID194" s="53"/>
      <c r="IE194" s="53"/>
      <c r="IF194" s="53"/>
      <c r="IG194" s="53"/>
    </row>
    <row r="195" spans="1:241" s="25" customFormat="1" ht="33" customHeight="1">
      <c r="A195" s="8" t="s">
        <v>228</v>
      </c>
      <c r="B195" s="6"/>
      <c r="C195" s="6"/>
      <c r="D195" s="7"/>
      <c r="E195" s="7">
        <v>10</v>
      </c>
      <c r="F195" s="7"/>
      <c r="G195" s="7"/>
      <c r="H195" s="7">
        <v>5</v>
      </c>
      <c r="I195" s="7"/>
      <c r="J195" s="7"/>
      <c r="K195" s="7"/>
      <c r="L195" s="7"/>
      <c r="M195" s="7"/>
      <c r="N195" s="7"/>
      <c r="O195" s="7">
        <v>10</v>
      </c>
      <c r="P195" s="7"/>
      <c r="IB195" s="53"/>
      <c r="IC195" s="53"/>
      <c r="ID195" s="53"/>
      <c r="IE195" s="53"/>
      <c r="IF195" s="53"/>
      <c r="IG195" s="53"/>
    </row>
    <row r="196" spans="1:241" s="25" customFormat="1" ht="11.25">
      <c r="A196" s="5" t="s">
        <v>7</v>
      </c>
      <c r="B196" s="37"/>
      <c r="C196" s="37"/>
      <c r="D196" s="30"/>
      <c r="E196" s="30"/>
      <c r="F196" s="7"/>
      <c r="G196" s="30"/>
      <c r="H196" s="30"/>
      <c r="I196" s="30"/>
      <c r="J196" s="7"/>
      <c r="K196" s="7"/>
      <c r="L196" s="7"/>
      <c r="M196" s="7"/>
      <c r="N196" s="30"/>
      <c r="O196" s="30"/>
      <c r="P196" s="7"/>
      <c r="IB196" s="53"/>
      <c r="IC196" s="53"/>
      <c r="ID196" s="53"/>
      <c r="IE196" s="53"/>
      <c r="IF196" s="53"/>
      <c r="IG196" s="53"/>
    </row>
    <row r="197" spans="1:241" s="25" customFormat="1" ht="33.75">
      <c r="A197" s="8" t="s">
        <v>94</v>
      </c>
      <c r="B197" s="37"/>
      <c r="C197" s="37"/>
      <c r="D197" s="7">
        <v>46611.41</v>
      </c>
      <c r="E197" s="30"/>
      <c r="F197" s="7">
        <f>D197</f>
        <v>46611.41</v>
      </c>
      <c r="G197" s="7">
        <v>48277.615</v>
      </c>
      <c r="H197" s="30"/>
      <c r="I197" s="30"/>
      <c r="J197" s="7">
        <f aca="true" t="shared" si="22" ref="J197:J206">G197</f>
        <v>48277.615</v>
      </c>
      <c r="K197" s="7"/>
      <c r="L197" s="7"/>
      <c r="M197" s="7"/>
      <c r="N197" s="7">
        <v>50079.48</v>
      </c>
      <c r="O197" s="30"/>
      <c r="P197" s="7">
        <f aca="true" t="shared" si="23" ref="P197:P208">N197</f>
        <v>50079.48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95</v>
      </c>
      <c r="B198" s="6"/>
      <c r="C198" s="6"/>
      <c r="D198" s="7">
        <v>1850.5</v>
      </c>
      <c r="E198" s="7"/>
      <c r="F198" s="7">
        <f>D198</f>
        <v>1850.5</v>
      </c>
      <c r="G198" s="7">
        <v>1910.35</v>
      </c>
      <c r="H198" s="7"/>
      <c r="I198" s="7"/>
      <c r="J198" s="7">
        <f t="shared" si="22"/>
        <v>1910.35</v>
      </c>
      <c r="K198" s="7"/>
      <c r="L198" s="7"/>
      <c r="M198" s="7"/>
      <c r="N198" s="7">
        <v>1950.3</v>
      </c>
      <c r="O198" s="7"/>
      <c r="P198" s="7">
        <f t="shared" si="23"/>
        <v>1950.3</v>
      </c>
      <c r="IB198" s="53"/>
      <c r="IC198" s="53"/>
      <c r="ID198" s="53"/>
      <c r="IE198" s="53"/>
      <c r="IF198" s="53"/>
      <c r="IG198" s="53"/>
    </row>
    <row r="199" spans="1:241" s="25" customFormat="1" ht="22.5">
      <c r="A199" s="8" t="s">
        <v>96</v>
      </c>
      <c r="B199" s="6"/>
      <c r="C199" s="6"/>
      <c r="D199" s="7">
        <v>943.75</v>
      </c>
      <c r="E199" s="7"/>
      <c r="F199" s="7">
        <f aca="true" t="shared" si="24" ref="F199:F208">D199</f>
        <v>943.75</v>
      </c>
      <c r="G199" s="7">
        <v>975</v>
      </c>
      <c r="H199" s="7"/>
      <c r="I199" s="7"/>
      <c r="J199" s="7">
        <f t="shared" si="22"/>
        <v>975</v>
      </c>
      <c r="K199" s="7"/>
      <c r="L199" s="7"/>
      <c r="M199" s="7"/>
      <c r="N199" s="7">
        <v>1018.75</v>
      </c>
      <c r="O199" s="7"/>
      <c r="P199" s="7">
        <f t="shared" si="23"/>
        <v>1018.75</v>
      </c>
      <c r="IB199" s="53"/>
      <c r="IC199" s="53"/>
      <c r="ID199" s="53"/>
      <c r="IE199" s="53"/>
      <c r="IF199" s="53"/>
      <c r="IG199" s="53"/>
    </row>
    <row r="200" spans="1:241" s="25" customFormat="1" ht="27" customHeight="1">
      <c r="A200" s="8" t="s">
        <v>208</v>
      </c>
      <c r="B200" s="6"/>
      <c r="C200" s="6"/>
      <c r="D200" s="7"/>
      <c r="E200" s="7">
        <v>700</v>
      </c>
      <c r="F200" s="7">
        <f>E200</f>
        <v>700</v>
      </c>
      <c r="G200" s="7"/>
      <c r="H200" s="7">
        <v>800</v>
      </c>
      <c r="I200" s="7"/>
      <c r="J200" s="7">
        <f>H200</f>
        <v>800</v>
      </c>
      <c r="K200" s="7"/>
      <c r="L200" s="7"/>
      <c r="M200" s="7"/>
      <c r="N200" s="7"/>
      <c r="O200" s="7">
        <v>850</v>
      </c>
      <c r="P200" s="7">
        <f>O200</f>
        <v>850</v>
      </c>
      <c r="IB200" s="53"/>
      <c r="IC200" s="53"/>
      <c r="ID200" s="53"/>
      <c r="IE200" s="53"/>
      <c r="IF200" s="53"/>
      <c r="IG200" s="53"/>
    </row>
    <row r="201" spans="1:241" s="25" customFormat="1" ht="22.5" customHeight="1">
      <c r="A201" s="8" t="s">
        <v>389</v>
      </c>
      <c r="B201" s="6"/>
      <c r="C201" s="6"/>
      <c r="D201" s="7"/>
      <c r="E201" s="7"/>
      <c r="F201" s="7"/>
      <c r="G201" s="7"/>
      <c r="H201" s="7">
        <v>65.45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7" customHeight="1">
      <c r="A202" s="8" t="s">
        <v>336</v>
      </c>
      <c r="B202" s="6"/>
      <c r="C202" s="6"/>
      <c r="D202" s="7">
        <v>500</v>
      </c>
      <c r="E202" s="7"/>
      <c r="F202" s="7"/>
      <c r="G202" s="7"/>
      <c r="H202" s="7">
        <v>1562.5</v>
      </c>
      <c r="I202" s="7"/>
      <c r="J202" s="7"/>
      <c r="K202" s="7"/>
      <c r="L202" s="7"/>
      <c r="M202" s="7"/>
      <c r="N202" s="7"/>
      <c r="O202" s="7"/>
      <c r="P202" s="7"/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97</v>
      </c>
      <c r="B203" s="6"/>
      <c r="C203" s="6"/>
      <c r="D203" s="7">
        <v>5866.6666666</v>
      </c>
      <c r="E203" s="7"/>
      <c r="F203" s="7">
        <f t="shared" si="24"/>
        <v>5866.6666666</v>
      </c>
      <c r="G203" s="7">
        <v>6433.333333</v>
      </c>
      <c r="H203" s="7"/>
      <c r="I203" s="7"/>
      <c r="J203" s="7">
        <f t="shared" si="22"/>
        <v>6433.333333</v>
      </c>
      <c r="K203" s="7"/>
      <c r="L203" s="7"/>
      <c r="M203" s="7"/>
      <c r="N203" s="7">
        <v>6966.666666</v>
      </c>
      <c r="O203" s="7"/>
      <c r="P203" s="7">
        <f t="shared" si="23"/>
        <v>6966.666666</v>
      </c>
      <c r="IB203" s="53"/>
      <c r="IC203" s="53"/>
      <c r="ID203" s="53"/>
      <c r="IE203" s="53"/>
      <c r="IF203" s="53"/>
      <c r="IG203" s="53"/>
    </row>
    <row r="204" spans="1:241" s="25" customFormat="1" ht="22.5">
      <c r="A204" s="8" t="s">
        <v>98</v>
      </c>
      <c r="B204" s="6"/>
      <c r="C204" s="6"/>
      <c r="D204" s="7">
        <v>89260.4248623</v>
      </c>
      <c r="E204" s="7"/>
      <c r="F204" s="7">
        <f t="shared" si="24"/>
        <v>89260.4248623</v>
      </c>
      <c r="G204" s="7">
        <v>93377.9176501</v>
      </c>
      <c r="H204" s="7"/>
      <c r="I204" s="7"/>
      <c r="J204" s="7">
        <f t="shared" si="22"/>
        <v>93377.9176501</v>
      </c>
      <c r="K204" s="7"/>
      <c r="L204" s="7"/>
      <c r="M204" s="7"/>
      <c r="N204" s="7">
        <v>98806.7138735</v>
      </c>
      <c r="O204" s="7"/>
      <c r="P204" s="7">
        <f t="shared" si="23"/>
        <v>98806.7138735</v>
      </c>
      <c r="IB204" s="53"/>
      <c r="IC204" s="53"/>
      <c r="ID204" s="53"/>
      <c r="IE204" s="53"/>
      <c r="IF204" s="53"/>
      <c r="IG204" s="53"/>
    </row>
    <row r="205" spans="1:241" s="25" customFormat="1" ht="29.25" customHeight="1">
      <c r="A205" s="8" t="s">
        <v>226</v>
      </c>
      <c r="B205" s="6"/>
      <c r="C205" s="6"/>
      <c r="D205" s="7">
        <v>38000</v>
      </c>
      <c r="E205" s="7"/>
      <c r="F205" s="7">
        <f t="shared" si="24"/>
        <v>38000</v>
      </c>
      <c r="G205" s="7">
        <v>38000</v>
      </c>
      <c r="H205" s="7"/>
      <c r="I205" s="7"/>
      <c r="J205" s="7">
        <f t="shared" si="22"/>
        <v>38000</v>
      </c>
      <c r="K205" s="7"/>
      <c r="L205" s="7"/>
      <c r="M205" s="7"/>
      <c r="N205" s="7">
        <v>38000</v>
      </c>
      <c r="O205" s="7"/>
      <c r="P205" s="7">
        <f t="shared" si="23"/>
        <v>38000</v>
      </c>
      <c r="IB205" s="53"/>
      <c r="IC205" s="53"/>
      <c r="ID205" s="53"/>
      <c r="IE205" s="53"/>
      <c r="IF205" s="53"/>
      <c r="IG205" s="53"/>
    </row>
    <row r="206" spans="1:241" s="25" customFormat="1" ht="27" customHeight="1">
      <c r="A206" s="8" t="s">
        <v>137</v>
      </c>
      <c r="B206" s="6"/>
      <c r="C206" s="6"/>
      <c r="D206" s="7">
        <v>3988</v>
      </c>
      <c r="E206" s="7"/>
      <c r="F206" s="7">
        <f t="shared" si="24"/>
        <v>3988</v>
      </c>
      <c r="G206" s="7">
        <v>4000</v>
      </c>
      <c r="H206" s="7"/>
      <c r="I206" s="7"/>
      <c r="J206" s="7">
        <f t="shared" si="22"/>
        <v>4000</v>
      </c>
      <c r="K206" s="7"/>
      <c r="L206" s="7"/>
      <c r="M206" s="7"/>
      <c r="N206" s="7">
        <v>4100</v>
      </c>
      <c r="O206" s="7"/>
      <c r="P206" s="7">
        <f t="shared" si="23"/>
        <v>4100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149</v>
      </c>
      <c r="B207" s="6"/>
      <c r="C207" s="6"/>
      <c r="D207" s="7">
        <v>12122.2616676</v>
      </c>
      <c r="E207" s="7"/>
      <c r="F207" s="7">
        <f t="shared" si="24"/>
        <v>12122.2616676</v>
      </c>
      <c r="G207" s="7">
        <v>17317.5166681</v>
      </c>
      <c r="H207" s="7"/>
      <c r="I207" s="7"/>
      <c r="J207" s="7">
        <f>G207</f>
        <v>17317.5166681</v>
      </c>
      <c r="K207" s="7"/>
      <c r="L207" s="7"/>
      <c r="M207" s="7"/>
      <c r="N207" s="7">
        <v>22512.7716685</v>
      </c>
      <c r="O207" s="7"/>
      <c r="P207" s="7">
        <f t="shared" si="23"/>
        <v>22512.7716685</v>
      </c>
      <c r="IB207" s="53"/>
      <c r="IC207" s="53"/>
      <c r="ID207" s="53"/>
      <c r="IE207" s="53"/>
      <c r="IF207" s="53"/>
      <c r="IG207" s="53"/>
    </row>
    <row r="208" spans="1:241" s="25" customFormat="1" ht="33.75" customHeight="1">
      <c r="A208" s="8" t="s">
        <v>213</v>
      </c>
      <c r="B208" s="6"/>
      <c r="C208" s="6"/>
      <c r="D208" s="7">
        <v>200000</v>
      </c>
      <c r="E208" s="7"/>
      <c r="F208" s="7">
        <f t="shared" si="24"/>
        <v>200000</v>
      </c>
      <c r="G208" s="7">
        <v>120000</v>
      </c>
      <c r="H208" s="7"/>
      <c r="I208" s="7"/>
      <c r="J208" s="7">
        <f>G208</f>
        <v>120000</v>
      </c>
      <c r="K208" s="7"/>
      <c r="L208" s="7"/>
      <c r="M208" s="7"/>
      <c r="N208" s="7">
        <v>100000</v>
      </c>
      <c r="O208" s="7"/>
      <c r="P208" s="7">
        <f t="shared" si="23"/>
        <v>100000</v>
      </c>
      <c r="IB208" s="53"/>
      <c r="IC208" s="53"/>
      <c r="ID208" s="53"/>
      <c r="IE208" s="53"/>
      <c r="IF208" s="53"/>
      <c r="IG208" s="53"/>
    </row>
    <row r="209" spans="1:241" s="25" customFormat="1" ht="36" customHeight="1">
      <c r="A209" s="8" t="s">
        <v>233</v>
      </c>
      <c r="B209" s="6"/>
      <c r="C209" s="6"/>
      <c r="D209" s="7"/>
      <c r="E209" s="7">
        <v>1428571.42857</v>
      </c>
      <c r="F209" s="7"/>
      <c r="G209" s="7"/>
      <c r="H209" s="7">
        <v>1428571.42857</v>
      </c>
      <c r="I209" s="7"/>
      <c r="J209" s="7"/>
      <c r="K209" s="7"/>
      <c r="L209" s="7"/>
      <c r="M209" s="7"/>
      <c r="N209" s="7"/>
      <c r="O209" s="7">
        <v>1428571.42857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42" customHeight="1">
      <c r="A210" s="8" t="s">
        <v>229</v>
      </c>
      <c r="B210" s="6"/>
      <c r="C210" s="6"/>
      <c r="D210" s="7"/>
      <c r="E210" s="7">
        <v>1800000</v>
      </c>
      <c r="F210" s="7"/>
      <c r="G210" s="7"/>
      <c r="H210" s="7">
        <v>3600000</v>
      </c>
      <c r="I210" s="7"/>
      <c r="J210" s="7"/>
      <c r="K210" s="7"/>
      <c r="L210" s="7"/>
      <c r="M210" s="7"/>
      <c r="N210" s="7"/>
      <c r="O210" s="7">
        <v>1800000</v>
      </c>
      <c r="P210" s="7"/>
      <c r="IB210" s="53"/>
      <c r="IC210" s="53"/>
      <c r="ID210" s="53"/>
      <c r="IE210" s="53"/>
      <c r="IF210" s="53"/>
      <c r="IG210" s="53"/>
    </row>
    <row r="211" spans="1:241" s="25" customFormat="1" ht="11.25">
      <c r="A211" s="5" t="s">
        <v>6</v>
      </c>
      <c r="B211" s="37"/>
      <c r="C211" s="37"/>
      <c r="D211" s="30"/>
      <c r="E211" s="30"/>
      <c r="F211" s="7"/>
      <c r="G211" s="30"/>
      <c r="H211" s="30"/>
      <c r="I211" s="30"/>
      <c r="J211" s="7"/>
      <c r="K211" s="7"/>
      <c r="L211" s="7"/>
      <c r="M211" s="7"/>
      <c r="N211" s="30"/>
      <c r="O211" s="30"/>
      <c r="P211" s="7"/>
      <c r="IB211" s="53"/>
      <c r="IC211" s="53"/>
      <c r="ID211" s="53"/>
      <c r="IE211" s="53"/>
      <c r="IF211" s="53"/>
      <c r="IG211" s="53"/>
    </row>
    <row r="212" spans="1:241" s="25" customFormat="1" ht="39" customHeight="1">
      <c r="A212" s="8" t="s">
        <v>99</v>
      </c>
      <c r="B212" s="6"/>
      <c r="C212" s="6"/>
      <c r="D212" s="7">
        <f>D183/D170*100</f>
        <v>100</v>
      </c>
      <c r="E212" s="7"/>
      <c r="F212" s="7">
        <f aca="true" t="shared" si="25" ref="F212:G214">F183/F170*100</f>
        <v>100</v>
      </c>
      <c r="G212" s="7">
        <f t="shared" si="25"/>
        <v>100</v>
      </c>
      <c r="H212" s="7"/>
      <c r="I212" s="7"/>
      <c r="J212" s="7">
        <f aca="true" t="shared" si="26" ref="J212:N214">J183/J170*100</f>
        <v>100</v>
      </c>
      <c r="K212" s="7" t="e">
        <f t="shared" si="26"/>
        <v>#DIV/0!</v>
      </c>
      <c r="L212" s="7" t="e">
        <f t="shared" si="26"/>
        <v>#DIV/0!</v>
      </c>
      <c r="M212" s="7" t="e">
        <f t="shared" si="26"/>
        <v>#DIV/0!</v>
      </c>
      <c r="N212" s="7">
        <f t="shared" si="26"/>
        <v>100</v>
      </c>
      <c r="O212" s="7"/>
      <c r="P212" s="7">
        <f>P183/P170*100</f>
        <v>100</v>
      </c>
      <c r="IB212" s="53"/>
      <c r="IC212" s="53"/>
      <c r="ID212" s="53"/>
      <c r="IE212" s="53"/>
      <c r="IF212" s="53"/>
      <c r="IG212" s="53"/>
    </row>
    <row r="213" spans="1:241" s="25" customFormat="1" ht="41.25" customHeight="1">
      <c r="A213" s="8" t="s">
        <v>100</v>
      </c>
      <c r="B213" s="6"/>
      <c r="C213" s="6"/>
      <c r="D213" s="7">
        <f>D184/D171*100</f>
        <v>18.969072164948454</v>
      </c>
      <c r="E213" s="7"/>
      <c r="F213" s="7">
        <f t="shared" si="25"/>
        <v>18.969072164948454</v>
      </c>
      <c r="G213" s="7">
        <f t="shared" si="25"/>
        <v>18.969072164948454</v>
      </c>
      <c r="H213" s="7"/>
      <c r="I213" s="7"/>
      <c r="J213" s="7">
        <f t="shared" si="26"/>
        <v>18.969072164948454</v>
      </c>
      <c r="K213" s="7" t="e">
        <f t="shared" si="26"/>
        <v>#DIV/0!</v>
      </c>
      <c r="L213" s="7" t="e">
        <f t="shared" si="26"/>
        <v>#DIV/0!</v>
      </c>
      <c r="M213" s="7" t="e">
        <f t="shared" si="26"/>
        <v>#DIV/0!</v>
      </c>
      <c r="N213" s="7">
        <f t="shared" si="26"/>
        <v>18.969072164948454</v>
      </c>
      <c r="O213" s="7"/>
      <c r="P213" s="7">
        <f>P184/P171*100</f>
        <v>18.969072164948454</v>
      </c>
      <c r="IB213" s="53"/>
      <c r="IC213" s="53"/>
      <c r="ID213" s="53"/>
      <c r="IE213" s="53"/>
      <c r="IF213" s="53"/>
      <c r="IG213" s="53"/>
    </row>
    <row r="214" spans="1:241" s="25" customFormat="1" ht="35.25" customHeight="1">
      <c r="A214" s="8" t="s">
        <v>101</v>
      </c>
      <c r="B214" s="6"/>
      <c r="C214" s="6"/>
      <c r="D214" s="7">
        <f>D185/D172*100</f>
        <v>9.744214372716199</v>
      </c>
      <c r="E214" s="7"/>
      <c r="F214" s="7">
        <f t="shared" si="25"/>
        <v>9.744214372716199</v>
      </c>
      <c r="G214" s="7">
        <f t="shared" si="25"/>
        <v>9.744214372716199</v>
      </c>
      <c r="H214" s="7"/>
      <c r="I214" s="7"/>
      <c r="J214" s="7">
        <f t="shared" si="26"/>
        <v>9.744214372716199</v>
      </c>
      <c r="K214" s="7" t="e">
        <f t="shared" si="26"/>
        <v>#DIV/0!</v>
      </c>
      <c r="L214" s="7" t="e">
        <f t="shared" si="26"/>
        <v>#DIV/0!</v>
      </c>
      <c r="M214" s="7" t="e">
        <f t="shared" si="26"/>
        <v>#DIV/0!</v>
      </c>
      <c r="N214" s="7">
        <f t="shared" si="26"/>
        <v>9.744214372716199</v>
      </c>
      <c r="O214" s="7"/>
      <c r="P214" s="7">
        <f>P185/P172*100</f>
        <v>9.744214372716199</v>
      </c>
      <c r="IB214" s="53"/>
      <c r="IC214" s="53"/>
      <c r="ID214" s="53"/>
      <c r="IE214" s="53"/>
      <c r="IF214" s="53"/>
      <c r="IG214" s="53"/>
    </row>
    <row r="215" spans="1:241" s="25" customFormat="1" ht="27.75" customHeight="1">
      <c r="A215" s="34" t="s">
        <v>376</v>
      </c>
      <c r="B215" s="20"/>
      <c r="C215" s="20"/>
      <c r="D215" s="43"/>
      <c r="E215" s="57">
        <f>SUM(E217)</f>
        <v>138333</v>
      </c>
      <c r="F215" s="57">
        <f>SUM(E215)</f>
        <v>138333</v>
      </c>
      <c r="G215" s="45"/>
      <c r="H215" s="45">
        <f>H217</f>
        <v>700000</v>
      </c>
      <c r="I215" s="45"/>
      <c r="J215" s="45">
        <f>H215</f>
        <v>700000</v>
      </c>
      <c r="K215" s="45">
        <f>I215</f>
        <v>0</v>
      </c>
      <c r="L215" s="45">
        <f>J215</f>
        <v>700000</v>
      </c>
      <c r="M215" s="45">
        <f>K215</f>
        <v>0</v>
      </c>
      <c r="N215" s="45"/>
      <c r="O215" s="45">
        <f>O217</f>
        <v>40999.99999999999</v>
      </c>
      <c r="P215" s="45">
        <f>P217</f>
        <v>40999.99999999999</v>
      </c>
      <c r="IB215" s="53"/>
      <c r="IC215" s="53"/>
      <c r="ID215" s="53"/>
      <c r="IE215" s="53"/>
      <c r="IF215" s="53"/>
      <c r="IG215" s="53"/>
    </row>
    <row r="216" spans="1:241" s="25" customFormat="1" ht="9.75" customHeight="1">
      <c r="A216" s="13" t="s">
        <v>4</v>
      </c>
      <c r="B216" s="20"/>
      <c r="C216" s="20"/>
      <c r="D216" s="43"/>
      <c r="E216" s="44"/>
      <c r="F216" s="44"/>
      <c r="G216" s="44"/>
      <c r="H216" s="44"/>
      <c r="I216" s="44"/>
      <c r="J216" s="44">
        <f aca="true" t="shared" si="27" ref="J216:J221">H216</f>
        <v>0</v>
      </c>
      <c r="K216" s="44"/>
      <c r="L216" s="44"/>
      <c r="M216" s="44"/>
      <c r="N216" s="44"/>
      <c r="O216" s="44"/>
      <c r="P216" s="44"/>
      <c r="IB216" s="53"/>
      <c r="IC216" s="53"/>
      <c r="ID216" s="53"/>
      <c r="IE216" s="53"/>
      <c r="IF216" s="53"/>
      <c r="IG216" s="53"/>
    </row>
    <row r="217" spans="1:241" s="25" customFormat="1" ht="18.75" customHeight="1">
      <c r="A217" s="16" t="s">
        <v>197</v>
      </c>
      <c r="B217" s="46"/>
      <c r="C217" s="46"/>
      <c r="D217" s="47"/>
      <c r="E217" s="48">
        <v>138333</v>
      </c>
      <c r="F217" s="48">
        <f>SUM(E217)</f>
        <v>138333</v>
      </c>
      <c r="G217" s="26"/>
      <c r="H217" s="48">
        <v>700000</v>
      </c>
      <c r="I217" s="26"/>
      <c r="J217" s="44">
        <f t="shared" si="27"/>
        <v>700000</v>
      </c>
      <c r="K217" s="48"/>
      <c r="L217" s="48"/>
      <c r="M217" s="48"/>
      <c r="N217" s="48"/>
      <c r="O217" s="48">
        <f>O219*O221+0.2</f>
        <v>40999.99999999999</v>
      </c>
      <c r="P217" s="48">
        <f>O217</f>
        <v>40999.99999999999</v>
      </c>
      <c r="IB217" s="53"/>
      <c r="IC217" s="53"/>
      <c r="ID217" s="53"/>
      <c r="IE217" s="53"/>
      <c r="IF217" s="53"/>
      <c r="IG217" s="53"/>
    </row>
    <row r="218" spans="1:241" s="25" customFormat="1" ht="15" customHeight="1">
      <c r="A218" s="5" t="s">
        <v>5</v>
      </c>
      <c r="B218" s="20"/>
      <c r="C218" s="20"/>
      <c r="D218" s="49"/>
      <c r="E218" s="44"/>
      <c r="F218" s="48">
        <f>SUM(E218)</f>
        <v>0</v>
      </c>
      <c r="G218" s="50"/>
      <c r="H218" s="44"/>
      <c r="I218" s="50"/>
      <c r="J218" s="44">
        <f t="shared" si="27"/>
        <v>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27.75" customHeight="1">
      <c r="A219" s="8" t="s">
        <v>341</v>
      </c>
      <c r="B219" s="20"/>
      <c r="C219" s="20"/>
      <c r="D219" s="49"/>
      <c r="E219" s="44">
        <v>260</v>
      </c>
      <c r="F219" s="48">
        <f>SUM(E219)</f>
        <v>260</v>
      </c>
      <c r="G219" s="50"/>
      <c r="H219" s="44">
        <v>780</v>
      </c>
      <c r="I219" s="50"/>
      <c r="J219" s="44">
        <f t="shared" si="27"/>
        <v>780</v>
      </c>
      <c r="K219" s="44"/>
      <c r="L219" s="44"/>
      <c r="M219" s="44"/>
      <c r="N219" s="44"/>
      <c r="O219" s="44">
        <v>115</v>
      </c>
      <c r="P219" s="44">
        <v>115</v>
      </c>
      <c r="IB219" s="53"/>
      <c r="IC219" s="53"/>
      <c r="ID219" s="53"/>
      <c r="IE219" s="53"/>
      <c r="IF219" s="53"/>
      <c r="IG219" s="53"/>
    </row>
    <row r="220" spans="1:241" s="25" customFormat="1" ht="12.75" customHeight="1">
      <c r="A220" s="19" t="s">
        <v>7</v>
      </c>
      <c r="B220" s="20"/>
      <c r="C220" s="20"/>
      <c r="D220" s="49"/>
      <c r="E220" s="44"/>
      <c r="F220" s="48">
        <f>SUM(E220)</f>
        <v>0</v>
      </c>
      <c r="G220" s="50"/>
      <c r="H220" s="44"/>
      <c r="I220" s="50"/>
      <c r="J220" s="44">
        <f t="shared" si="27"/>
        <v>0</v>
      </c>
      <c r="K220" s="44"/>
      <c r="L220" s="44"/>
      <c r="M220" s="44"/>
      <c r="N220" s="44"/>
      <c r="O220" s="44"/>
      <c r="P220" s="44"/>
      <c r="IB220" s="53"/>
      <c r="IC220" s="53"/>
      <c r="ID220" s="53"/>
      <c r="IE220" s="53"/>
      <c r="IF220" s="53"/>
      <c r="IG220" s="53"/>
    </row>
    <row r="221" spans="1:241" s="25" customFormat="1" ht="24.75" customHeight="1">
      <c r="A221" s="8" t="s">
        <v>342</v>
      </c>
      <c r="B221" s="6"/>
      <c r="C221" s="6"/>
      <c r="D221" s="7"/>
      <c r="E221" s="7">
        <f>SUM(E217)/E219</f>
        <v>532.05</v>
      </c>
      <c r="F221" s="48">
        <f>SUM(E221)</f>
        <v>532.05</v>
      </c>
      <c r="G221" s="7"/>
      <c r="H221" s="7">
        <f>H217/H219</f>
        <v>897.4358974358975</v>
      </c>
      <c r="I221" s="7"/>
      <c r="J221" s="44">
        <f t="shared" si="27"/>
        <v>897.4358974358975</v>
      </c>
      <c r="K221" s="7"/>
      <c r="L221" s="7"/>
      <c r="M221" s="7"/>
      <c r="N221" s="7"/>
      <c r="O221" s="7">
        <v>356.52</v>
      </c>
      <c r="P221" s="7">
        <v>356.52</v>
      </c>
      <c r="IB221" s="53"/>
      <c r="IC221" s="53"/>
      <c r="ID221" s="53"/>
      <c r="IE221" s="53"/>
      <c r="IF221" s="53"/>
      <c r="IG221" s="53"/>
    </row>
    <row r="222" spans="1:241" s="38" customFormat="1" ht="45">
      <c r="A222" s="34" t="s">
        <v>377</v>
      </c>
      <c r="B222" s="35"/>
      <c r="C222" s="35"/>
      <c r="D222" s="36">
        <f>D224+D225+D226+D228</f>
        <v>20696700</v>
      </c>
      <c r="E222" s="36">
        <f>E229</f>
        <v>1000000</v>
      </c>
      <c r="F222" s="36">
        <f>D222+E222</f>
        <v>21696700</v>
      </c>
      <c r="G222" s="36">
        <f>G224+G225+G226+G228+120000</f>
        <v>21211500</v>
      </c>
      <c r="H222" s="36">
        <f>H229</f>
        <v>1500000</v>
      </c>
      <c r="I222" s="36"/>
      <c r="J222" s="36">
        <f>G222+H222</f>
        <v>22711500</v>
      </c>
      <c r="K222" s="36" t="e">
        <f>(K224*K237)+(K232*K238)+(K233*K239)+(#REF!*#REF!)+11.5</f>
        <v>#REF!</v>
      </c>
      <c r="L222" s="36" t="e">
        <f>(L224*L237)+(L232*L238)+(L233*L239)+(#REF!*#REF!)+11.5</f>
        <v>#REF!</v>
      </c>
      <c r="M222" s="36" t="e">
        <f>(M224*M237)+(M232*M238)+(M233*M239)+(#REF!*#REF!)+11.5</f>
        <v>#REF!</v>
      </c>
      <c r="N222" s="36">
        <f>N224+N225+N226+N228+125000</f>
        <v>22835000</v>
      </c>
      <c r="O222" s="36">
        <f>O229</f>
        <v>2000000</v>
      </c>
      <c r="P222" s="36">
        <f>N222+O222</f>
        <v>24835000</v>
      </c>
      <c r="IB222" s="39"/>
      <c r="IC222" s="39"/>
      <c r="ID222" s="39"/>
      <c r="IE222" s="39"/>
      <c r="IF222" s="39"/>
      <c r="IG222" s="39"/>
    </row>
    <row r="223" spans="1:241" s="25" customFormat="1" ht="11.25">
      <c r="A223" s="5" t="s">
        <v>4</v>
      </c>
      <c r="B223" s="37"/>
      <c r="C223" s="37"/>
      <c r="D223" s="30"/>
      <c r="E223" s="30"/>
      <c r="F223" s="30"/>
      <c r="G223" s="30"/>
      <c r="H223" s="30"/>
      <c r="I223" s="30"/>
      <c r="J223" s="7"/>
      <c r="K223" s="7"/>
      <c r="L223" s="7"/>
      <c r="M223" s="7"/>
      <c r="N223" s="30"/>
      <c r="O223" s="30"/>
      <c r="P223" s="7"/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216</v>
      </c>
      <c r="B224" s="6"/>
      <c r="C224" s="6"/>
      <c r="D224" s="7">
        <f>15203900+116000</f>
        <v>15319900</v>
      </c>
      <c r="E224" s="7"/>
      <c r="F224" s="7">
        <f>D224+E224</f>
        <v>15319900</v>
      </c>
      <c r="G224" s="7">
        <f>15303500+98000</f>
        <v>15401500</v>
      </c>
      <c r="H224" s="7"/>
      <c r="I224" s="7"/>
      <c r="J224" s="7">
        <f>G224+H224</f>
        <v>15401500</v>
      </c>
      <c r="K224" s="7"/>
      <c r="L224" s="7"/>
      <c r="M224" s="7"/>
      <c r="N224" s="7">
        <f>15404000+1506000</f>
        <v>16910000</v>
      </c>
      <c r="O224" s="7"/>
      <c r="P224" s="7">
        <f>N224+O224</f>
        <v>16910000</v>
      </c>
      <c r="IB224" s="53"/>
      <c r="IC224" s="53"/>
      <c r="ID224" s="53"/>
      <c r="IE224" s="53"/>
      <c r="IF224" s="53"/>
      <c r="IG224" s="53"/>
    </row>
    <row r="225" spans="1:241" s="25" customFormat="1" ht="22.5">
      <c r="A225" s="8" t="s">
        <v>214</v>
      </c>
      <c r="B225" s="6"/>
      <c r="C225" s="6"/>
      <c r="D225" s="7">
        <v>4800200</v>
      </c>
      <c r="E225" s="7"/>
      <c r="F225" s="7">
        <f aca="true" t="shared" si="28" ref="F225:F245">D225+E225</f>
        <v>4800200</v>
      </c>
      <c r="G225" s="7">
        <f>G232*G238</f>
        <v>5100000</v>
      </c>
      <c r="H225" s="7"/>
      <c r="I225" s="7"/>
      <c r="J225" s="7">
        <f aca="true" t="shared" si="29" ref="J225:J245">G225+H225</f>
        <v>5100000</v>
      </c>
      <c r="K225" s="7"/>
      <c r="L225" s="7"/>
      <c r="M225" s="7"/>
      <c r="N225" s="7">
        <f>N232*N238</f>
        <v>5200000</v>
      </c>
      <c r="O225" s="7"/>
      <c r="P225" s="7">
        <f aca="true" t="shared" si="30" ref="P225:P245">N225+O225</f>
        <v>5200000</v>
      </c>
      <c r="IB225" s="53"/>
      <c r="IC225" s="53"/>
      <c r="ID225" s="53"/>
      <c r="IE225" s="53"/>
      <c r="IF225" s="53"/>
      <c r="IG225" s="53"/>
    </row>
    <row r="226" spans="1:241" s="25" customFormat="1" ht="31.5" customHeight="1">
      <c r="A226" s="8" t="s">
        <v>215</v>
      </c>
      <c r="B226" s="6"/>
      <c r="C226" s="6"/>
      <c r="D226" s="7">
        <v>401600</v>
      </c>
      <c r="E226" s="7"/>
      <c r="F226" s="7">
        <f t="shared" si="28"/>
        <v>401600</v>
      </c>
      <c r="G226" s="7">
        <f>G233*G239</f>
        <v>410000</v>
      </c>
      <c r="H226" s="7"/>
      <c r="I226" s="7"/>
      <c r="J226" s="7">
        <f t="shared" si="29"/>
        <v>410000</v>
      </c>
      <c r="K226" s="7"/>
      <c r="L226" s="7"/>
      <c r="M226" s="7"/>
      <c r="N226" s="7">
        <f>N233*N239</f>
        <v>415000</v>
      </c>
      <c r="O226" s="7"/>
      <c r="P226" s="7">
        <f t="shared" si="30"/>
        <v>415000</v>
      </c>
      <c r="IB226" s="53"/>
      <c r="IC226" s="53"/>
      <c r="ID226" s="53"/>
      <c r="IE226" s="53"/>
      <c r="IF226" s="53"/>
      <c r="IG226" s="53"/>
    </row>
    <row r="227" spans="1:241" s="25" customFormat="1" ht="22.5" hidden="1">
      <c r="A227" s="8" t="s">
        <v>173</v>
      </c>
      <c r="B227" s="6"/>
      <c r="C227" s="6"/>
      <c r="D227" s="7"/>
      <c r="E227" s="7"/>
      <c r="F227" s="7">
        <f t="shared" si="28"/>
        <v>0</v>
      </c>
      <c r="G227" s="7"/>
      <c r="H227" s="7">
        <v>1</v>
      </c>
      <c r="I227" s="7"/>
      <c r="J227" s="7">
        <f t="shared" si="29"/>
        <v>1</v>
      </c>
      <c r="K227" s="7"/>
      <c r="L227" s="7"/>
      <c r="M227" s="7"/>
      <c r="N227" s="7"/>
      <c r="O227" s="7"/>
      <c r="P227" s="7">
        <f t="shared" si="30"/>
        <v>0</v>
      </c>
      <c r="IB227" s="53"/>
      <c r="IC227" s="53"/>
      <c r="ID227" s="53"/>
      <c r="IE227" s="53"/>
      <c r="IF227" s="53"/>
      <c r="IG227" s="53"/>
    </row>
    <row r="228" spans="1:241" s="25" customFormat="1" ht="30.75" customHeight="1">
      <c r="A228" s="8" t="s">
        <v>217</v>
      </c>
      <c r="B228" s="6"/>
      <c r="C228" s="6"/>
      <c r="D228" s="7">
        <f>SUM(D235)*D240</f>
        <v>175000</v>
      </c>
      <c r="E228" s="7"/>
      <c r="F228" s="7">
        <f>D228+E228</f>
        <v>175000</v>
      </c>
      <c r="G228" s="7">
        <f>SUM(G235)*G240</f>
        <v>180000</v>
      </c>
      <c r="H228" s="7"/>
      <c r="I228" s="7"/>
      <c r="J228" s="7">
        <f>G228+H228</f>
        <v>180000</v>
      </c>
      <c r="K228" s="7"/>
      <c r="L228" s="7"/>
      <c r="M228" s="7"/>
      <c r="N228" s="7">
        <f>SUM(N235)*N240</f>
        <v>185000</v>
      </c>
      <c r="O228" s="7"/>
      <c r="P228" s="7">
        <f>N228+O228</f>
        <v>185000</v>
      </c>
      <c r="IB228" s="53"/>
      <c r="IC228" s="53"/>
      <c r="ID228" s="53"/>
      <c r="IE228" s="53"/>
      <c r="IF228" s="53"/>
      <c r="IG228" s="53"/>
    </row>
    <row r="229" spans="1:241" s="25" customFormat="1" ht="33.75">
      <c r="A229" s="8" t="s">
        <v>218</v>
      </c>
      <c r="B229" s="6"/>
      <c r="C229" s="6"/>
      <c r="D229" s="7"/>
      <c r="E229" s="7">
        <v>1000000</v>
      </c>
      <c r="F229" s="7">
        <f t="shared" si="28"/>
        <v>1000000</v>
      </c>
      <c r="G229" s="7"/>
      <c r="H229" s="7">
        <v>1500000</v>
      </c>
      <c r="I229" s="7"/>
      <c r="J229" s="7">
        <f t="shared" si="29"/>
        <v>1500000</v>
      </c>
      <c r="K229" s="7"/>
      <c r="L229" s="7"/>
      <c r="M229" s="7"/>
      <c r="N229" s="7"/>
      <c r="O229" s="7">
        <v>2000000</v>
      </c>
      <c r="P229" s="7">
        <f t="shared" si="30"/>
        <v>2000000</v>
      </c>
      <c r="IB229" s="53"/>
      <c r="IC229" s="53"/>
      <c r="ID229" s="53"/>
      <c r="IE229" s="53"/>
      <c r="IF229" s="53"/>
      <c r="IG229" s="53"/>
    </row>
    <row r="230" spans="1:241" s="25" customFormat="1" ht="11.25">
      <c r="A230" s="5" t="s">
        <v>5</v>
      </c>
      <c r="B230" s="37"/>
      <c r="C230" s="37"/>
      <c r="D230" s="30"/>
      <c r="E230" s="30"/>
      <c r="F230" s="7">
        <f t="shared" si="28"/>
        <v>0</v>
      </c>
      <c r="G230" s="30"/>
      <c r="H230" s="30"/>
      <c r="I230" s="30"/>
      <c r="J230" s="7">
        <f t="shared" si="29"/>
        <v>0</v>
      </c>
      <c r="K230" s="7"/>
      <c r="L230" s="7"/>
      <c r="M230" s="7"/>
      <c r="N230" s="30"/>
      <c r="O230" s="30"/>
      <c r="P230" s="7">
        <f t="shared" si="30"/>
        <v>0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219</v>
      </c>
      <c r="B231" s="6"/>
      <c r="C231" s="6"/>
      <c r="D231" s="7">
        <v>13</v>
      </c>
      <c r="E231" s="7"/>
      <c r="F231" s="7">
        <f t="shared" si="28"/>
        <v>13</v>
      </c>
      <c r="G231" s="7">
        <v>13</v>
      </c>
      <c r="H231" s="7"/>
      <c r="I231" s="7"/>
      <c r="J231" s="7">
        <f t="shared" si="29"/>
        <v>13</v>
      </c>
      <c r="K231" s="7"/>
      <c r="L231" s="7"/>
      <c r="M231" s="7"/>
      <c r="N231" s="7">
        <v>13</v>
      </c>
      <c r="O231" s="7"/>
      <c r="P231" s="7">
        <f t="shared" si="30"/>
        <v>13</v>
      </c>
      <c r="IB231" s="53"/>
      <c r="IC231" s="53"/>
      <c r="ID231" s="53"/>
      <c r="IE231" s="53"/>
      <c r="IF231" s="53"/>
      <c r="IG231" s="53"/>
    </row>
    <row r="232" spans="1:241" s="25" customFormat="1" ht="22.5">
      <c r="A232" s="8" t="s">
        <v>184</v>
      </c>
      <c r="B232" s="6"/>
      <c r="C232" s="6"/>
      <c r="D232" s="7">
        <v>1600</v>
      </c>
      <c r="E232" s="7"/>
      <c r="F232" s="7">
        <f t="shared" si="28"/>
        <v>1600</v>
      </c>
      <c r="G232" s="7">
        <v>1600</v>
      </c>
      <c r="H232" s="7"/>
      <c r="I232" s="7"/>
      <c r="J232" s="7">
        <f t="shared" si="29"/>
        <v>1600</v>
      </c>
      <c r="K232" s="7"/>
      <c r="L232" s="7"/>
      <c r="M232" s="7"/>
      <c r="N232" s="7">
        <v>1600</v>
      </c>
      <c r="O232" s="7"/>
      <c r="P232" s="7">
        <f t="shared" si="30"/>
        <v>1600</v>
      </c>
      <c r="IB232" s="53"/>
      <c r="IC232" s="53"/>
      <c r="ID232" s="53"/>
      <c r="IE232" s="53"/>
      <c r="IF232" s="53"/>
      <c r="IG232" s="53"/>
    </row>
    <row r="233" spans="1:241" s="25" customFormat="1" ht="21.75" customHeight="1">
      <c r="A233" s="8" t="s">
        <v>104</v>
      </c>
      <c r="B233" s="6"/>
      <c r="C233" s="6"/>
      <c r="D233" s="7">
        <v>2</v>
      </c>
      <c r="E233" s="7"/>
      <c r="F233" s="7">
        <f t="shared" si="28"/>
        <v>2</v>
      </c>
      <c r="G233" s="7">
        <v>2</v>
      </c>
      <c r="H233" s="7"/>
      <c r="I233" s="7"/>
      <c r="J233" s="7">
        <f t="shared" si="29"/>
        <v>2</v>
      </c>
      <c r="K233" s="7"/>
      <c r="L233" s="7"/>
      <c r="M233" s="7"/>
      <c r="N233" s="7">
        <v>2</v>
      </c>
      <c r="O233" s="7"/>
      <c r="P233" s="7">
        <f t="shared" si="30"/>
        <v>2</v>
      </c>
      <c r="IB233" s="53"/>
      <c r="IC233" s="53"/>
      <c r="ID233" s="53"/>
      <c r="IE233" s="53"/>
      <c r="IF233" s="53"/>
      <c r="IG233" s="53"/>
    </row>
    <row r="234" spans="1:241" s="25" customFormat="1" ht="30.75" customHeight="1">
      <c r="A234" s="8" t="s">
        <v>173</v>
      </c>
      <c r="B234" s="6"/>
      <c r="C234" s="6"/>
      <c r="D234" s="7"/>
      <c r="E234" s="7">
        <v>1</v>
      </c>
      <c r="F234" s="7">
        <f t="shared" si="28"/>
        <v>1</v>
      </c>
      <c r="G234" s="7"/>
      <c r="H234" s="7">
        <v>1</v>
      </c>
      <c r="I234" s="7"/>
      <c r="J234" s="7">
        <f t="shared" si="29"/>
        <v>1</v>
      </c>
      <c r="K234" s="7"/>
      <c r="L234" s="7"/>
      <c r="M234" s="7"/>
      <c r="N234" s="7"/>
      <c r="O234" s="7">
        <v>1</v>
      </c>
      <c r="P234" s="7">
        <f t="shared" si="30"/>
        <v>1</v>
      </c>
      <c r="IB234" s="53"/>
      <c r="IC234" s="53"/>
      <c r="ID234" s="53"/>
      <c r="IE234" s="53"/>
      <c r="IF234" s="53"/>
      <c r="IG234" s="53"/>
    </row>
    <row r="235" spans="1:241" s="25" customFormat="1" ht="19.5" customHeight="1">
      <c r="A235" s="8" t="s">
        <v>343</v>
      </c>
      <c r="B235" s="6"/>
      <c r="C235" s="6"/>
      <c r="D235" s="7">
        <v>80</v>
      </c>
      <c r="E235" s="7"/>
      <c r="F235" s="7">
        <v>80</v>
      </c>
      <c r="G235" s="7">
        <v>80</v>
      </c>
      <c r="H235" s="7"/>
      <c r="I235" s="7"/>
      <c r="J235" s="7">
        <v>80</v>
      </c>
      <c r="K235" s="7"/>
      <c r="L235" s="7"/>
      <c r="M235" s="7"/>
      <c r="N235" s="7">
        <v>80</v>
      </c>
      <c r="O235" s="7"/>
      <c r="P235" s="7">
        <v>80</v>
      </c>
      <c r="IB235" s="53"/>
      <c r="IC235" s="53"/>
      <c r="ID235" s="53"/>
      <c r="IE235" s="53"/>
      <c r="IF235" s="53"/>
      <c r="IG235" s="53"/>
    </row>
    <row r="236" spans="1:241" s="25" customFormat="1" ht="11.25">
      <c r="A236" s="5" t="s">
        <v>7</v>
      </c>
      <c r="B236" s="37"/>
      <c r="C236" s="37"/>
      <c r="D236" s="30"/>
      <c r="E236" s="30"/>
      <c r="F236" s="7">
        <f t="shared" si="28"/>
        <v>0</v>
      </c>
      <c r="G236" s="30"/>
      <c r="H236" s="30"/>
      <c r="I236" s="30"/>
      <c r="J236" s="7">
        <f t="shared" si="29"/>
        <v>0</v>
      </c>
      <c r="K236" s="7"/>
      <c r="L236" s="7"/>
      <c r="M236" s="7"/>
      <c r="N236" s="30"/>
      <c r="O236" s="30"/>
      <c r="P236" s="7">
        <f t="shared" si="30"/>
        <v>0</v>
      </c>
      <c r="IB236" s="53"/>
      <c r="IC236" s="53"/>
      <c r="ID236" s="53"/>
      <c r="IE236" s="53"/>
      <c r="IF236" s="53"/>
      <c r="IG236" s="53"/>
    </row>
    <row r="237" spans="1:241" s="25" customFormat="1" ht="22.5">
      <c r="A237" s="8" t="s">
        <v>220</v>
      </c>
      <c r="B237" s="6"/>
      <c r="C237" s="6"/>
      <c r="D237" s="7">
        <f>(11555000+3000)/13</f>
        <v>889076.9230769231</v>
      </c>
      <c r="E237" s="7"/>
      <c r="F237" s="7">
        <f t="shared" si="28"/>
        <v>889076.9230769231</v>
      </c>
      <c r="G237" s="7">
        <f>(12000000+3500)/13</f>
        <v>923346.1538461539</v>
      </c>
      <c r="H237" s="7"/>
      <c r="I237" s="7"/>
      <c r="J237" s="7">
        <f t="shared" si="29"/>
        <v>923346.1538461539</v>
      </c>
      <c r="K237" s="7"/>
      <c r="L237" s="7"/>
      <c r="M237" s="7"/>
      <c r="N237" s="7">
        <f>(12200000+4000)/13</f>
        <v>938769.2307692308</v>
      </c>
      <c r="O237" s="7"/>
      <c r="P237" s="7">
        <f t="shared" si="30"/>
        <v>938769.2307692308</v>
      </c>
      <c r="IB237" s="53"/>
      <c r="IC237" s="53"/>
      <c r="ID237" s="53"/>
      <c r="IE237" s="53"/>
      <c r="IF237" s="53"/>
      <c r="IG237" s="53"/>
    </row>
    <row r="238" spans="1:241" s="25" customFormat="1" ht="24.75" customHeight="1">
      <c r="A238" s="8" t="s">
        <v>105</v>
      </c>
      <c r="B238" s="6"/>
      <c r="C238" s="6"/>
      <c r="D238" s="7">
        <v>3062.5</v>
      </c>
      <c r="E238" s="7"/>
      <c r="F238" s="7">
        <f t="shared" si="28"/>
        <v>3062.5</v>
      </c>
      <c r="G238" s="7">
        <v>3187.5</v>
      </c>
      <c r="H238" s="7"/>
      <c r="I238" s="7"/>
      <c r="J238" s="7">
        <f t="shared" si="29"/>
        <v>3187.5</v>
      </c>
      <c r="K238" s="7"/>
      <c r="L238" s="7"/>
      <c r="M238" s="7"/>
      <c r="N238" s="7">
        <v>3250</v>
      </c>
      <c r="O238" s="7"/>
      <c r="P238" s="7">
        <f t="shared" si="30"/>
        <v>3250</v>
      </c>
      <c r="IB238" s="53"/>
      <c r="IC238" s="53"/>
      <c r="ID238" s="53"/>
      <c r="IE238" s="53"/>
      <c r="IF238" s="53"/>
      <c r="IG238" s="53"/>
    </row>
    <row r="239" spans="1:241" s="25" customFormat="1" ht="22.5">
      <c r="A239" s="8" t="s">
        <v>106</v>
      </c>
      <c r="B239" s="6"/>
      <c r="C239" s="6"/>
      <c r="D239" s="7">
        <v>202000</v>
      </c>
      <c r="E239" s="7"/>
      <c r="F239" s="7">
        <f t="shared" si="28"/>
        <v>202000</v>
      </c>
      <c r="G239" s="7">
        <v>205000</v>
      </c>
      <c r="H239" s="7"/>
      <c r="I239" s="7"/>
      <c r="J239" s="7">
        <f t="shared" si="29"/>
        <v>205000</v>
      </c>
      <c r="K239" s="7"/>
      <c r="L239" s="7"/>
      <c r="M239" s="7"/>
      <c r="N239" s="7">
        <v>207500</v>
      </c>
      <c r="O239" s="7"/>
      <c r="P239" s="7">
        <f t="shared" si="30"/>
        <v>207500</v>
      </c>
      <c r="IB239" s="53"/>
      <c r="IC239" s="53"/>
      <c r="ID239" s="53"/>
      <c r="IE239" s="53"/>
      <c r="IF239" s="53"/>
      <c r="IG239" s="53"/>
    </row>
    <row r="240" spans="1:241" s="25" customFormat="1" ht="27.75" customHeight="1">
      <c r="A240" s="8" t="s">
        <v>191</v>
      </c>
      <c r="B240" s="6"/>
      <c r="C240" s="6"/>
      <c r="D240" s="7">
        <v>2187.5</v>
      </c>
      <c r="E240" s="7"/>
      <c r="F240" s="7">
        <f t="shared" si="28"/>
        <v>2187.5</v>
      </c>
      <c r="G240" s="7">
        <v>2250</v>
      </c>
      <c r="H240" s="7"/>
      <c r="I240" s="7"/>
      <c r="J240" s="7">
        <f t="shared" si="29"/>
        <v>2250</v>
      </c>
      <c r="K240" s="7"/>
      <c r="L240" s="7"/>
      <c r="M240" s="7"/>
      <c r="N240" s="7">
        <v>2312.5</v>
      </c>
      <c r="O240" s="7"/>
      <c r="P240" s="7">
        <f t="shared" si="30"/>
        <v>2312.5</v>
      </c>
      <c r="IB240" s="53"/>
      <c r="IC240" s="53"/>
      <c r="ID240" s="53"/>
      <c r="IE240" s="53"/>
      <c r="IF240" s="53"/>
      <c r="IG240" s="53"/>
    </row>
    <row r="241" spans="1:241" s="138" customFormat="1" ht="22.5">
      <c r="A241" s="135" t="s">
        <v>174</v>
      </c>
      <c r="B241" s="136"/>
      <c r="C241" s="136"/>
      <c r="D241" s="137"/>
      <c r="E241" s="137">
        <v>1000000</v>
      </c>
      <c r="F241" s="137">
        <f t="shared" si="28"/>
        <v>1000000</v>
      </c>
      <c r="G241" s="137"/>
      <c r="H241" s="137">
        <v>1500000</v>
      </c>
      <c r="I241" s="137"/>
      <c r="J241" s="137">
        <f t="shared" si="29"/>
        <v>1500000</v>
      </c>
      <c r="K241" s="137"/>
      <c r="L241" s="137"/>
      <c r="M241" s="137"/>
      <c r="N241" s="137"/>
      <c r="O241" s="137">
        <v>2000000</v>
      </c>
      <c r="P241" s="137">
        <f t="shared" si="30"/>
        <v>2000000</v>
      </c>
      <c r="IB241" s="139"/>
      <c r="IC241" s="139"/>
      <c r="ID241" s="139"/>
      <c r="IE241" s="139"/>
      <c r="IF241" s="139"/>
      <c r="IG241" s="139"/>
    </row>
    <row r="242" spans="1:241" s="25" customFormat="1" ht="12" customHeight="1">
      <c r="A242" s="5" t="s">
        <v>6</v>
      </c>
      <c r="B242" s="6"/>
      <c r="C242" s="6"/>
      <c r="D242" s="7"/>
      <c r="E242" s="7"/>
      <c r="F242" s="7">
        <f t="shared" si="28"/>
        <v>0</v>
      </c>
      <c r="G242" s="7"/>
      <c r="H242" s="7"/>
      <c r="I242" s="7"/>
      <c r="J242" s="7">
        <f t="shared" si="29"/>
        <v>0</v>
      </c>
      <c r="K242" s="7"/>
      <c r="L242" s="7"/>
      <c r="M242" s="7"/>
      <c r="N242" s="7"/>
      <c r="O242" s="7"/>
      <c r="P242" s="7">
        <f t="shared" si="30"/>
        <v>0</v>
      </c>
      <c r="IB242" s="53"/>
      <c r="IC242" s="53"/>
      <c r="ID242" s="53"/>
      <c r="IE242" s="53"/>
      <c r="IF242" s="53"/>
      <c r="IG242" s="53"/>
    </row>
    <row r="243" spans="1:241" s="25" customFormat="1" ht="33.75">
      <c r="A243" s="8" t="s">
        <v>108</v>
      </c>
      <c r="B243" s="6"/>
      <c r="C243" s="6"/>
      <c r="D243" s="7">
        <v>100</v>
      </c>
      <c r="E243" s="7"/>
      <c r="F243" s="7">
        <f t="shared" si="28"/>
        <v>100</v>
      </c>
      <c r="G243" s="7">
        <f>G231/G224*100</f>
        <v>8.440736291919618E-05</v>
      </c>
      <c r="H243" s="7"/>
      <c r="I243" s="7"/>
      <c r="J243" s="7">
        <f t="shared" si="29"/>
        <v>8.440736291919618E-05</v>
      </c>
      <c r="K243" s="7" t="e">
        <f>K231/K224*100</f>
        <v>#DIV/0!</v>
      </c>
      <c r="L243" s="7" t="e">
        <f>L231/L224*100</f>
        <v>#DIV/0!</v>
      </c>
      <c r="M243" s="7" t="e">
        <f>M231/M224*100</f>
        <v>#DIV/0!</v>
      </c>
      <c r="N243" s="7">
        <f>N231/N224*100</f>
        <v>7.68775872264932E-05</v>
      </c>
      <c r="O243" s="7"/>
      <c r="P243" s="7">
        <f t="shared" si="30"/>
        <v>7.68775872264932E-05</v>
      </c>
      <c r="IB243" s="53"/>
      <c r="IC243" s="53"/>
      <c r="ID243" s="53"/>
      <c r="IE243" s="53"/>
      <c r="IF243" s="53"/>
      <c r="IG243" s="53"/>
    </row>
    <row r="244" spans="1:241" s="25" customFormat="1" ht="29.25" customHeight="1">
      <c r="A244" s="8" t="s">
        <v>107</v>
      </c>
      <c r="B244" s="6"/>
      <c r="C244" s="6"/>
      <c r="D244" s="7"/>
      <c r="E244" s="7"/>
      <c r="F244" s="7">
        <f t="shared" si="28"/>
        <v>0</v>
      </c>
      <c r="G244" s="7">
        <f>G238/D238*100</f>
        <v>104.08163265306123</v>
      </c>
      <c r="H244" s="7"/>
      <c r="I244" s="7"/>
      <c r="J244" s="7">
        <f t="shared" si="29"/>
        <v>104.08163265306123</v>
      </c>
      <c r="K244" s="7"/>
      <c r="L244" s="7"/>
      <c r="M244" s="7"/>
      <c r="N244" s="7">
        <f>N238/G238*100</f>
        <v>101.96078431372548</v>
      </c>
      <c r="O244" s="7"/>
      <c r="P244" s="7">
        <f t="shared" si="30"/>
        <v>101.96078431372548</v>
      </c>
      <c r="IB244" s="53"/>
      <c r="IC244" s="53"/>
      <c r="ID244" s="53"/>
      <c r="IE244" s="53"/>
      <c r="IF244" s="53"/>
      <c r="IG244" s="53"/>
    </row>
    <row r="245" spans="1:241" s="25" customFormat="1" ht="38.25" customHeight="1">
      <c r="A245" s="8" t="s">
        <v>109</v>
      </c>
      <c r="B245" s="6"/>
      <c r="C245" s="6"/>
      <c r="D245" s="7"/>
      <c r="E245" s="7"/>
      <c r="F245" s="7">
        <f t="shared" si="28"/>
        <v>0</v>
      </c>
      <c r="G245" s="7">
        <f>G239/D239*100</f>
        <v>101.48514851485149</v>
      </c>
      <c r="H245" s="7"/>
      <c r="I245" s="7"/>
      <c r="J245" s="7">
        <f t="shared" si="29"/>
        <v>101.48514851485149</v>
      </c>
      <c r="K245" s="7"/>
      <c r="L245" s="7"/>
      <c r="M245" s="7"/>
      <c r="N245" s="7">
        <f>N239/G239*100</f>
        <v>101.21951219512195</v>
      </c>
      <c r="O245" s="7"/>
      <c r="P245" s="7">
        <f t="shared" si="30"/>
        <v>101.21951219512195</v>
      </c>
      <c r="IB245" s="53"/>
      <c r="IC245" s="53"/>
      <c r="ID245" s="53"/>
      <c r="IE245" s="53"/>
      <c r="IF245" s="53"/>
      <c r="IG245" s="53"/>
    </row>
    <row r="246" spans="1:241" s="38" customFormat="1" ht="22.5">
      <c r="A246" s="34" t="s">
        <v>378</v>
      </c>
      <c r="B246" s="35"/>
      <c r="C246" s="35"/>
      <c r="D246" s="36">
        <f>D248+D250+D251+D252</f>
        <v>5421400</v>
      </c>
      <c r="E246" s="36">
        <f>(E255*E260)+(E256*E261)+(E258*E263)</f>
        <v>0</v>
      </c>
      <c r="F246" s="36">
        <f aca="true" t="shared" si="31" ref="F246:F253">D246+E246</f>
        <v>5421400</v>
      </c>
      <c r="G246" s="36">
        <f>G248+G249+G250+G251+G252+G253+96000</f>
        <v>8611000</v>
      </c>
      <c r="H246" s="36">
        <f>(H255*H260)+(H256*H261)+(H258*H263)</f>
        <v>0</v>
      </c>
      <c r="I246" s="36">
        <f>(I255*I260)+(I256*I261)+(I258*I263)</f>
        <v>0</v>
      </c>
      <c r="J246" s="36">
        <f>G246+H246</f>
        <v>8611000</v>
      </c>
      <c r="K246" s="36">
        <f>(K255*K260)+(K256*K261)+(K258*K263)</f>
        <v>0</v>
      </c>
      <c r="L246" s="36">
        <f>(L255*L260)+(L256*L261)+(L258*L263)</f>
        <v>0</v>
      </c>
      <c r="M246" s="36">
        <f>(M255*M260)+(M256*M261)+(M258*M263)</f>
        <v>0</v>
      </c>
      <c r="N246" s="36">
        <f>N248+N250+N251+N252+N249</f>
        <v>9410000</v>
      </c>
      <c r="O246" s="36">
        <f>(O255*O260)+(O256*O261)+(O258*O263)</f>
        <v>0</v>
      </c>
      <c r="P246" s="36">
        <f aca="true" t="shared" si="32" ref="P246:P252">N246+O246</f>
        <v>9410000</v>
      </c>
      <c r="Q246" s="36">
        <f>(Q255*Q260)+(Q256*Q261)+(Q258*Q263)</f>
        <v>0</v>
      </c>
      <c r="IB246" s="39"/>
      <c r="IC246" s="39"/>
      <c r="ID246" s="39"/>
      <c r="IE246" s="39"/>
      <c r="IF246" s="39"/>
      <c r="IG246" s="39"/>
    </row>
    <row r="247" spans="1:241" s="38" customFormat="1" ht="11.25">
      <c r="A247" s="5" t="s">
        <v>4</v>
      </c>
      <c r="B247" s="35"/>
      <c r="C247" s="35"/>
      <c r="D247" s="36"/>
      <c r="E247" s="36"/>
      <c r="F247" s="7">
        <f t="shared" si="31"/>
        <v>0</v>
      </c>
      <c r="G247" s="7"/>
      <c r="H247" s="7"/>
      <c r="I247" s="7"/>
      <c r="J247" s="7">
        <f aca="true" t="shared" si="33" ref="J247:J253">G247+H247</f>
        <v>0</v>
      </c>
      <c r="K247" s="7"/>
      <c r="L247" s="7"/>
      <c r="M247" s="7"/>
      <c r="N247" s="7"/>
      <c r="O247" s="7"/>
      <c r="P247" s="7">
        <f t="shared" si="32"/>
        <v>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234</v>
      </c>
      <c r="B248" s="35"/>
      <c r="C248" s="35"/>
      <c r="D248" s="7">
        <v>2971400</v>
      </c>
      <c r="E248" s="36"/>
      <c r="F248" s="7">
        <f t="shared" si="31"/>
        <v>2971400</v>
      </c>
      <c r="G248" s="7">
        <v>2000000</v>
      </c>
      <c r="H248" s="7"/>
      <c r="I248" s="7"/>
      <c r="J248" s="7">
        <f t="shared" si="33"/>
        <v>2000000</v>
      </c>
      <c r="K248" s="7"/>
      <c r="L248" s="7"/>
      <c r="M248" s="7"/>
      <c r="N248" s="7">
        <v>3100000</v>
      </c>
      <c r="O248" s="7"/>
      <c r="P248" s="7">
        <f t="shared" si="32"/>
        <v>3100000</v>
      </c>
      <c r="Q248" s="42"/>
      <c r="IB248" s="39"/>
      <c r="IC248" s="39"/>
      <c r="ID248" s="39"/>
      <c r="IE248" s="39"/>
      <c r="IF248" s="39"/>
      <c r="IG248" s="39"/>
    </row>
    <row r="249" spans="1:241" s="38" customFormat="1" ht="33.75">
      <c r="A249" s="8" t="s">
        <v>401</v>
      </c>
      <c r="B249" s="35"/>
      <c r="C249" s="35"/>
      <c r="D249" s="7">
        <v>0</v>
      </c>
      <c r="E249" s="36">
        <v>0</v>
      </c>
      <c r="F249" s="7">
        <v>0</v>
      </c>
      <c r="G249" s="7">
        <v>4000000</v>
      </c>
      <c r="H249" s="7"/>
      <c r="I249" s="7"/>
      <c r="J249" s="7">
        <f t="shared" si="33"/>
        <v>4000000</v>
      </c>
      <c r="K249" s="7"/>
      <c r="L249" s="7"/>
      <c r="M249" s="7"/>
      <c r="N249" s="7">
        <v>3750000</v>
      </c>
      <c r="O249" s="7"/>
      <c r="P249" s="7">
        <f t="shared" si="32"/>
        <v>3750000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11.25">
      <c r="A250" s="8" t="s">
        <v>235</v>
      </c>
      <c r="B250" s="35"/>
      <c r="C250" s="35"/>
      <c r="D250" s="7">
        <v>200000</v>
      </c>
      <c r="E250" s="36"/>
      <c r="F250" s="7">
        <f t="shared" si="31"/>
        <v>200000</v>
      </c>
      <c r="G250" s="7">
        <v>200000</v>
      </c>
      <c r="H250" s="7"/>
      <c r="I250" s="7"/>
      <c r="J250" s="7">
        <f t="shared" si="33"/>
        <v>200000</v>
      </c>
      <c r="K250" s="7"/>
      <c r="L250" s="7"/>
      <c r="M250" s="7"/>
      <c r="N250" s="7">
        <v>200000</v>
      </c>
      <c r="O250" s="7"/>
      <c r="P250" s="7">
        <f t="shared" si="32"/>
        <v>200000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236</v>
      </c>
      <c r="B251" s="35"/>
      <c r="C251" s="35"/>
      <c r="D251" s="7">
        <v>350000</v>
      </c>
      <c r="E251" s="36"/>
      <c r="F251" s="7">
        <f t="shared" si="31"/>
        <v>350000</v>
      </c>
      <c r="G251" s="7">
        <v>400000</v>
      </c>
      <c r="H251" s="7"/>
      <c r="I251" s="7"/>
      <c r="J251" s="7">
        <f t="shared" si="33"/>
        <v>400000</v>
      </c>
      <c r="K251" s="7"/>
      <c r="L251" s="7"/>
      <c r="M251" s="7"/>
      <c r="N251" s="7">
        <v>460000</v>
      </c>
      <c r="O251" s="7"/>
      <c r="P251" s="7">
        <f t="shared" si="32"/>
        <v>460000</v>
      </c>
      <c r="Q251" s="42"/>
      <c r="IB251" s="39"/>
      <c r="IC251" s="39"/>
      <c r="ID251" s="39"/>
      <c r="IE251" s="39"/>
      <c r="IF251" s="39"/>
      <c r="IG251" s="39"/>
    </row>
    <row r="252" spans="1:241" s="38" customFormat="1" ht="33.75">
      <c r="A252" s="8" t="s">
        <v>237</v>
      </c>
      <c r="B252" s="35"/>
      <c r="C252" s="35"/>
      <c r="D252" s="7">
        <v>1900000</v>
      </c>
      <c r="E252" s="7"/>
      <c r="F252" s="7">
        <f t="shared" si="31"/>
        <v>1900000</v>
      </c>
      <c r="G252" s="7">
        <v>1900000</v>
      </c>
      <c r="H252" s="7"/>
      <c r="I252" s="7"/>
      <c r="J252" s="7">
        <f t="shared" si="33"/>
        <v>1900000</v>
      </c>
      <c r="K252" s="7"/>
      <c r="L252" s="7"/>
      <c r="M252" s="7"/>
      <c r="N252" s="7">
        <v>1900000</v>
      </c>
      <c r="O252" s="7"/>
      <c r="P252" s="7">
        <f t="shared" si="32"/>
        <v>1900000</v>
      </c>
      <c r="Q252" s="42"/>
      <c r="IB252" s="39"/>
      <c r="IC252" s="39"/>
      <c r="ID252" s="39"/>
      <c r="IE252" s="39"/>
      <c r="IF252" s="39"/>
      <c r="IG252" s="39"/>
    </row>
    <row r="253" spans="1:241" s="38" customFormat="1" ht="33.75">
      <c r="A253" s="8" t="s">
        <v>445</v>
      </c>
      <c r="B253" s="35"/>
      <c r="C253" s="35"/>
      <c r="D253" s="7">
        <v>0</v>
      </c>
      <c r="E253" s="7"/>
      <c r="F253" s="7">
        <f t="shared" si="31"/>
        <v>0</v>
      </c>
      <c r="G253" s="7">
        <v>15000</v>
      </c>
      <c r="H253" s="7"/>
      <c r="I253" s="7"/>
      <c r="J253" s="7">
        <f t="shared" si="33"/>
        <v>15000</v>
      </c>
      <c r="K253" s="7"/>
      <c r="L253" s="7"/>
      <c r="M253" s="7"/>
      <c r="N253" s="7"/>
      <c r="O253" s="7"/>
      <c r="P253" s="7"/>
      <c r="Q253" s="42"/>
      <c r="IB253" s="39"/>
      <c r="IC253" s="39"/>
      <c r="ID253" s="39"/>
      <c r="IE253" s="39"/>
      <c r="IF253" s="39"/>
      <c r="IG253" s="39"/>
    </row>
    <row r="254" spans="1:241" s="25" customFormat="1" ht="11.25">
      <c r="A254" s="5" t="s">
        <v>5</v>
      </c>
      <c r="B254" s="37"/>
      <c r="C254" s="37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IB254" s="53"/>
      <c r="IC254" s="53"/>
      <c r="ID254" s="53"/>
      <c r="IE254" s="53"/>
      <c r="IF254" s="53"/>
      <c r="IG254" s="53"/>
    </row>
    <row r="255" spans="1:241" s="25" customFormat="1" ht="35.25" customHeight="1">
      <c r="A255" s="8" t="s">
        <v>238</v>
      </c>
      <c r="B255" s="6"/>
      <c r="C255" s="6"/>
      <c r="D255" s="7">
        <v>155760</v>
      </c>
      <c r="E255" s="7"/>
      <c r="F255" s="7">
        <f>D255+E255</f>
        <v>155760</v>
      </c>
      <c r="G255" s="7">
        <f>F255</f>
        <v>155760</v>
      </c>
      <c r="H255" s="7"/>
      <c r="I255" s="7"/>
      <c r="J255" s="7">
        <f>G255+H255</f>
        <v>155760</v>
      </c>
      <c r="K255" s="7"/>
      <c r="L255" s="7"/>
      <c r="M255" s="7"/>
      <c r="N255" s="7">
        <f>G255</f>
        <v>155760</v>
      </c>
      <c r="O255" s="7"/>
      <c r="P255" s="7">
        <f>N255+O255</f>
        <v>155760</v>
      </c>
      <c r="IB255" s="53"/>
      <c r="IC255" s="53"/>
      <c r="ID255" s="53"/>
      <c r="IE255" s="53"/>
      <c r="IF255" s="53"/>
      <c r="IG255" s="53"/>
    </row>
    <row r="256" spans="1:241" s="25" customFormat="1" ht="22.5">
      <c r="A256" s="8" t="s">
        <v>111</v>
      </c>
      <c r="B256" s="6"/>
      <c r="C256" s="6"/>
      <c r="D256" s="7">
        <v>243</v>
      </c>
      <c r="E256" s="7"/>
      <c r="F256" s="7">
        <f aca="true" t="shared" si="34" ref="F256:F269">D256+E256</f>
        <v>243</v>
      </c>
      <c r="G256" s="7">
        <v>250</v>
      </c>
      <c r="H256" s="7"/>
      <c r="I256" s="7"/>
      <c r="J256" s="7">
        <f aca="true" t="shared" si="35" ref="J256:J269">G256+H256</f>
        <v>250</v>
      </c>
      <c r="K256" s="7"/>
      <c r="L256" s="7"/>
      <c r="M256" s="7"/>
      <c r="N256" s="7">
        <v>260</v>
      </c>
      <c r="O256" s="7"/>
      <c r="P256" s="7">
        <f aca="true" t="shared" si="36" ref="P256:P269">N256+O256</f>
        <v>260</v>
      </c>
      <c r="IB256" s="53"/>
      <c r="IC256" s="53"/>
      <c r="ID256" s="53"/>
      <c r="IE256" s="53"/>
      <c r="IF256" s="53"/>
      <c r="IG256" s="53"/>
    </row>
    <row r="257" spans="1:241" s="25" customFormat="1" ht="33.75">
      <c r="A257" s="8" t="s">
        <v>243</v>
      </c>
      <c r="B257" s="6"/>
      <c r="C257" s="6"/>
      <c r="D257" s="7">
        <v>11036.4</v>
      </c>
      <c r="E257" s="7"/>
      <c r="F257" s="7">
        <f t="shared" si="34"/>
        <v>11036.4</v>
      </c>
      <c r="G257" s="7">
        <f>E257+F257</f>
        <v>11036.4</v>
      </c>
      <c r="H257" s="7"/>
      <c r="I257" s="7">
        <f>G257+H257</f>
        <v>11036.4</v>
      </c>
      <c r="J257" s="7">
        <f>H257+I257</f>
        <v>11036.4</v>
      </c>
      <c r="K257" s="7">
        <f>I257+J257</f>
        <v>22072.8</v>
      </c>
      <c r="L257" s="7">
        <f>J257+K257</f>
        <v>33109.2</v>
      </c>
      <c r="M257" s="7">
        <f>K257+L257</f>
        <v>55182</v>
      </c>
      <c r="N257" s="7">
        <v>11036.4</v>
      </c>
      <c r="O257" s="7"/>
      <c r="P257" s="7">
        <f t="shared" si="36"/>
        <v>11036.4</v>
      </c>
      <c r="IB257" s="53"/>
      <c r="IC257" s="53"/>
      <c r="ID257" s="53"/>
      <c r="IE257" s="53"/>
      <c r="IF257" s="53"/>
      <c r="IG257" s="53"/>
    </row>
    <row r="258" spans="1:241" s="25" customFormat="1" ht="33" customHeight="1">
      <c r="A258" s="8" t="s">
        <v>240</v>
      </c>
      <c r="B258" s="6"/>
      <c r="C258" s="6"/>
      <c r="D258" s="7">
        <v>51.4</v>
      </c>
      <c r="E258" s="7"/>
      <c r="F258" s="7">
        <f t="shared" si="34"/>
        <v>51.4</v>
      </c>
      <c r="G258" s="7">
        <v>48</v>
      </c>
      <c r="H258" s="7"/>
      <c r="I258" s="7"/>
      <c r="J258" s="7">
        <f t="shared" si="35"/>
        <v>48</v>
      </c>
      <c r="K258" s="7"/>
      <c r="L258" s="7"/>
      <c r="M258" s="7"/>
      <c r="N258" s="7">
        <v>45</v>
      </c>
      <c r="O258" s="7"/>
      <c r="P258" s="7">
        <f t="shared" si="36"/>
        <v>45</v>
      </c>
      <c r="IB258" s="53"/>
      <c r="IC258" s="53"/>
      <c r="ID258" s="53"/>
      <c r="IE258" s="53"/>
      <c r="IF258" s="53"/>
      <c r="IG258" s="53"/>
    </row>
    <row r="259" spans="1:241" s="25" customFormat="1" ht="11.25">
      <c r="A259" s="5" t="s">
        <v>7</v>
      </c>
      <c r="B259" s="37"/>
      <c r="C259" s="37"/>
      <c r="D259" s="30"/>
      <c r="E259" s="30"/>
      <c r="F259" s="7">
        <f t="shared" si="34"/>
        <v>0</v>
      </c>
      <c r="G259" s="30"/>
      <c r="H259" s="30"/>
      <c r="I259" s="30"/>
      <c r="J259" s="7">
        <f t="shared" si="35"/>
        <v>0</v>
      </c>
      <c r="K259" s="7"/>
      <c r="L259" s="7"/>
      <c r="M259" s="7"/>
      <c r="N259" s="30"/>
      <c r="O259" s="30"/>
      <c r="P259" s="7">
        <f t="shared" si="36"/>
        <v>0</v>
      </c>
      <c r="IB259" s="53"/>
      <c r="IC259" s="53"/>
      <c r="ID259" s="53"/>
      <c r="IE259" s="53"/>
      <c r="IF259" s="53"/>
      <c r="IG259" s="53"/>
    </row>
    <row r="260" spans="1:241" s="25" customFormat="1" ht="48.75" customHeight="1">
      <c r="A260" s="8" t="s">
        <v>239</v>
      </c>
      <c r="B260" s="6"/>
      <c r="C260" s="6"/>
      <c r="D260" s="7">
        <f>D248/D255</f>
        <v>19.07678479712378</v>
      </c>
      <c r="E260" s="7"/>
      <c r="F260" s="7">
        <f t="shared" si="34"/>
        <v>19.07678479712378</v>
      </c>
      <c r="G260" s="7">
        <f>G248/G255</f>
        <v>12.840267077555213</v>
      </c>
      <c r="H260" s="7"/>
      <c r="I260" s="7"/>
      <c r="J260" s="7">
        <f t="shared" si="35"/>
        <v>12.840267077555213</v>
      </c>
      <c r="K260" s="7"/>
      <c r="L260" s="7"/>
      <c r="M260" s="7"/>
      <c r="N260" s="7">
        <f>N248/N255</f>
        <v>19.90241397021058</v>
      </c>
      <c r="O260" s="7"/>
      <c r="P260" s="7">
        <f t="shared" si="36"/>
        <v>19.90241397021058</v>
      </c>
      <c r="IB260" s="53"/>
      <c r="IC260" s="53"/>
      <c r="ID260" s="53"/>
      <c r="IE260" s="53"/>
      <c r="IF260" s="53"/>
      <c r="IG260" s="53"/>
    </row>
    <row r="261" spans="1:241" s="25" customFormat="1" ht="19.5" customHeight="1">
      <c r="A261" s="8" t="s">
        <v>112</v>
      </c>
      <c r="B261" s="6"/>
      <c r="C261" s="6"/>
      <c r="D261" s="7">
        <f>D250/D256</f>
        <v>823.0452674897119</v>
      </c>
      <c r="E261" s="7"/>
      <c r="F261" s="7">
        <f t="shared" si="34"/>
        <v>823.0452674897119</v>
      </c>
      <c r="G261" s="7">
        <f>G250/G256</f>
        <v>800</v>
      </c>
      <c r="H261" s="7"/>
      <c r="I261" s="7"/>
      <c r="J261" s="7">
        <f t="shared" si="35"/>
        <v>800</v>
      </c>
      <c r="K261" s="7"/>
      <c r="L261" s="7"/>
      <c r="M261" s="7"/>
      <c r="N261" s="7">
        <f>N250/N256</f>
        <v>769.2307692307693</v>
      </c>
      <c r="O261" s="7"/>
      <c r="P261" s="7">
        <f t="shared" si="36"/>
        <v>769.2307692307693</v>
      </c>
      <c r="IB261" s="53"/>
      <c r="IC261" s="53"/>
      <c r="ID261" s="53"/>
      <c r="IE261" s="53"/>
      <c r="IF261" s="53"/>
      <c r="IG261" s="53"/>
    </row>
    <row r="262" spans="1:241" s="25" customFormat="1" ht="28.5" customHeight="1">
      <c r="A262" s="8" t="s">
        <v>242</v>
      </c>
      <c r="B262" s="6"/>
      <c r="C262" s="6"/>
      <c r="D262" s="7">
        <f>D251/D257</f>
        <v>31.71323982458048</v>
      </c>
      <c r="E262" s="7"/>
      <c r="F262" s="7">
        <f t="shared" si="34"/>
        <v>31.71323982458048</v>
      </c>
      <c r="G262" s="7">
        <f>G251/G257</f>
        <v>36.24370265666341</v>
      </c>
      <c r="H262" s="7"/>
      <c r="I262" s="7"/>
      <c r="J262" s="7">
        <f t="shared" si="35"/>
        <v>36.24370265666341</v>
      </c>
      <c r="K262" s="7"/>
      <c r="L262" s="7"/>
      <c r="M262" s="7"/>
      <c r="N262" s="7">
        <f>N251/N257</f>
        <v>41.680258055162916</v>
      </c>
      <c r="O262" s="7"/>
      <c r="P262" s="7">
        <f t="shared" si="36"/>
        <v>41.680258055162916</v>
      </c>
      <c r="IB262" s="53"/>
      <c r="IC262" s="53"/>
      <c r="ID262" s="53"/>
      <c r="IE262" s="53"/>
      <c r="IF262" s="53"/>
      <c r="IG262" s="53"/>
    </row>
    <row r="263" spans="1:241" s="25" customFormat="1" ht="28.5" customHeight="1">
      <c r="A263" s="8" t="s">
        <v>241</v>
      </c>
      <c r="B263" s="6"/>
      <c r="C263" s="6"/>
      <c r="D263" s="7">
        <f>D252/D258</f>
        <v>36964.980544747086</v>
      </c>
      <c r="E263" s="7"/>
      <c r="F263" s="7">
        <f t="shared" si="34"/>
        <v>36964.980544747086</v>
      </c>
      <c r="G263" s="7">
        <f>G252/G258</f>
        <v>39583.333333333336</v>
      </c>
      <c r="H263" s="7"/>
      <c r="I263" s="7"/>
      <c r="J263" s="7">
        <f t="shared" si="35"/>
        <v>39583.333333333336</v>
      </c>
      <c r="K263" s="7"/>
      <c r="L263" s="7"/>
      <c r="M263" s="7"/>
      <c r="N263" s="7">
        <f>N252/N258</f>
        <v>42222.22222222222</v>
      </c>
      <c r="O263" s="7"/>
      <c r="P263" s="7">
        <f t="shared" si="36"/>
        <v>42222.22222222222</v>
      </c>
      <c r="IB263" s="53"/>
      <c r="IC263" s="53"/>
      <c r="ID263" s="53"/>
      <c r="IE263" s="53"/>
      <c r="IF263" s="53"/>
      <c r="IG263" s="53"/>
    </row>
    <row r="264" spans="1:241" s="25" customFormat="1" ht="45">
      <c r="A264" s="8" t="s">
        <v>221</v>
      </c>
      <c r="B264" s="6"/>
      <c r="C264" s="6"/>
      <c r="D264" s="7"/>
      <c r="E264" s="7"/>
      <c r="F264" s="7">
        <f t="shared" si="34"/>
        <v>0</v>
      </c>
      <c r="G264" s="7">
        <v>145.4502</v>
      </c>
      <c r="H264" s="7"/>
      <c r="I264" s="7"/>
      <c r="J264" s="7">
        <f t="shared" si="35"/>
        <v>145.4502</v>
      </c>
      <c r="K264" s="7"/>
      <c r="L264" s="7"/>
      <c r="M264" s="7"/>
      <c r="N264" s="7">
        <v>145.461241023</v>
      </c>
      <c r="O264" s="7"/>
      <c r="P264" s="7">
        <f t="shared" si="36"/>
        <v>145.461241023</v>
      </c>
      <c r="IB264" s="53"/>
      <c r="IC264" s="53"/>
      <c r="ID264" s="53"/>
      <c r="IE264" s="53"/>
      <c r="IF264" s="53"/>
      <c r="IG264" s="53"/>
    </row>
    <row r="265" spans="1:241" s="25" customFormat="1" ht="11.25">
      <c r="A265" s="5" t="s">
        <v>6</v>
      </c>
      <c r="B265" s="6"/>
      <c r="C265" s="6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113</v>
      </c>
      <c r="B266" s="6"/>
      <c r="C266" s="6"/>
      <c r="D266" s="7"/>
      <c r="E266" s="7"/>
      <c r="F266" s="7">
        <f t="shared" si="34"/>
        <v>0</v>
      </c>
      <c r="G266" s="7">
        <f>G260/D260*100</f>
        <v>67.30833950326446</v>
      </c>
      <c r="H266" s="7"/>
      <c r="I266" s="7"/>
      <c r="J266" s="7">
        <f t="shared" si="35"/>
        <v>67.30833950326446</v>
      </c>
      <c r="K266" s="7"/>
      <c r="L266" s="7"/>
      <c r="M266" s="7"/>
      <c r="N266" s="7">
        <f>N260/G260*100</f>
        <v>155</v>
      </c>
      <c r="O266" s="7"/>
      <c r="P266" s="7">
        <f t="shared" si="36"/>
        <v>155</v>
      </c>
      <c r="IB266" s="53"/>
      <c r="IC266" s="53"/>
      <c r="ID266" s="53"/>
      <c r="IE266" s="53"/>
      <c r="IF266" s="53"/>
      <c r="IG266" s="53"/>
    </row>
    <row r="267" spans="1:241" s="25" customFormat="1" ht="36" customHeight="1">
      <c r="A267" s="8" t="s">
        <v>222</v>
      </c>
      <c r="B267" s="6"/>
      <c r="C267" s="6"/>
      <c r="D267" s="7"/>
      <c r="E267" s="7"/>
      <c r="F267" s="7">
        <f t="shared" si="34"/>
        <v>0</v>
      </c>
      <c r="G267" s="7">
        <f>G262/D262*100</f>
        <v>114.2857142857143</v>
      </c>
      <c r="H267" s="7"/>
      <c r="I267" s="7"/>
      <c r="J267" s="7">
        <f t="shared" si="35"/>
        <v>114.2857142857143</v>
      </c>
      <c r="K267" s="7"/>
      <c r="L267" s="7"/>
      <c r="M267" s="7"/>
      <c r="N267" s="7">
        <f>N261/G261*100</f>
        <v>96.15384615384616</v>
      </c>
      <c r="O267" s="7"/>
      <c r="P267" s="7">
        <f t="shared" si="36"/>
        <v>96.15384615384616</v>
      </c>
      <c r="IB267" s="53"/>
      <c r="IC267" s="53"/>
      <c r="ID267" s="53"/>
      <c r="IE267" s="53"/>
      <c r="IF267" s="53"/>
      <c r="IG267" s="53"/>
    </row>
    <row r="268" spans="1:241" s="25" customFormat="1" ht="36" customHeight="1">
      <c r="A268" s="8" t="s">
        <v>244</v>
      </c>
      <c r="B268" s="6"/>
      <c r="C268" s="6"/>
      <c r="D268" s="7"/>
      <c r="E268" s="7"/>
      <c r="F268" s="7">
        <f t="shared" si="34"/>
        <v>0</v>
      </c>
      <c r="G268" s="7">
        <f>G263/D263*100</f>
        <v>107.08333333333333</v>
      </c>
      <c r="H268" s="7"/>
      <c r="I268" s="7"/>
      <c r="J268" s="7">
        <f t="shared" si="35"/>
        <v>107.08333333333333</v>
      </c>
      <c r="K268" s="7"/>
      <c r="L268" s="7"/>
      <c r="M268" s="7"/>
      <c r="N268" s="7">
        <f>N262/G262*100</f>
        <v>114.99999999999999</v>
      </c>
      <c r="O268" s="7"/>
      <c r="P268" s="7">
        <f t="shared" si="36"/>
        <v>114.99999999999999</v>
      </c>
      <c r="IB268" s="53"/>
      <c r="IC268" s="53"/>
      <c r="ID268" s="53"/>
      <c r="IE268" s="53"/>
      <c r="IF268" s="53"/>
      <c r="IG268" s="53"/>
    </row>
    <row r="269" spans="1:241" s="25" customFormat="1" ht="33.75">
      <c r="A269" s="8" t="s">
        <v>245</v>
      </c>
      <c r="B269" s="6"/>
      <c r="C269" s="6"/>
      <c r="D269" s="7"/>
      <c r="E269" s="7"/>
      <c r="F269" s="7">
        <f t="shared" si="34"/>
        <v>0</v>
      </c>
      <c r="G269" s="7">
        <f>G263/D263*100</f>
        <v>107.08333333333333</v>
      </c>
      <c r="H269" s="7"/>
      <c r="I269" s="7"/>
      <c r="J269" s="7">
        <f t="shared" si="35"/>
        <v>107.08333333333333</v>
      </c>
      <c r="K269" s="7"/>
      <c r="L269" s="7"/>
      <c r="M269" s="7"/>
      <c r="N269" s="7">
        <f>N263/G263*100</f>
        <v>106.66666666666664</v>
      </c>
      <c r="O269" s="7"/>
      <c r="P269" s="7">
        <f t="shared" si="36"/>
        <v>106.66666666666664</v>
      </c>
      <c r="IB269" s="53"/>
      <c r="IC269" s="53"/>
      <c r="ID269" s="53"/>
      <c r="IE269" s="53"/>
      <c r="IF269" s="53"/>
      <c r="IG269" s="53"/>
    </row>
    <row r="270" spans="1:241" s="38" customFormat="1" ht="22.5">
      <c r="A270" s="34" t="s">
        <v>379</v>
      </c>
      <c r="B270" s="35"/>
      <c r="C270" s="35"/>
      <c r="D270" s="36">
        <f>(D271*D275)+(D272*D276)+(D273*D278)-1.78+25000</f>
        <v>20099999.999959998</v>
      </c>
      <c r="E270" s="36">
        <f>(E271*E275)+(E272*E276)+(E273*E278)</f>
        <v>0</v>
      </c>
      <c r="F270" s="36">
        <f>D270</f>
        <v>20099999.999959998</v>
      </c>
      <c r="G270" s="36">
        <f>(G271*G275)+(G272*G276)+(G273*G278)+2928700-3000000</f>
        <v>20183699.999900002</v>
      </c>
      <c r="H270" s="36">
        <f>(H271*H275)+(H272*H276)+(H273*H278)</f>
        <v>0</v>
      </c>
      <c r="I270" s="36">
        <v>0</v>
      </c>
      <c r="J270" s="36">
        <f>G270+H270</f>
        <v>20183699.999900002</v>
      </c>
      <c r="K270" s="36">
        <f>(K271*K275)+(K272*K276)+(K273*K278)</f>
        <v>0</v>
      </c>
      <c r="L270" s="36">
        <f>(L271*L275)+(L272*L276)+(L273*L278)</f>
        <v>0</v>
      </c>
      <c r="M270" s="36">
        <f>(M271*M275)+(M272*M276)+(M273*M278)</f>
        <v>0</v>
      </c>
      <c r="N270" s="36">
        <f>(N271*N275)+(N272*N276)+(N273*N278)</f>
        <v>21820000.00031</v>
      </c>
      <c r="O270" s="36">
        <f>(O271*O275)+(O272*O276)+(O273*O278)</f>
        <v>0</v>
      </c>
      <c r="P270" s="36">
        <f>N270+O270</f>
        <v>21820000.00031</v>
      </c>
      <c r="Q270" s="36">
        <f>(Q271*Q275)+(Q272*Q276)+(Q273*Q278)</f>
        <v>0</v>
      </c>
      <c r="IB270" s="39"/>
      <c r="IC270" s="39"/>
      <c r="ID270" s="39"/>
      <c r="IE270" s="39"/>
      <c r="IF270" s="39"/>
      <c r="IG270" s="39"/>
    </row>
    <row r="271" spans="1:241" s="25" customFormat="1" ht="22.5">
      <c r="A271" s="8" t="s">
        <v>114</v>
      </c>
      <c r="B271" s="6"/>
      <c r="C271" s="6"/>
      <c r="D271" s="7">
        <v>33</v>
      </c>
      <c r="E271" s="7"/>
      <c r="F271" s="7">
        <f>D271+E271</f>
        <v>33</v>
      </c>
      <c r="G271" s="7">
        <v>30</v>
      </c>
      <c r="H271" s="7"/>
      <c r="I271" s="7"/>
      <c r="J271" s="7">
        <f>G271+H271</f>
        <v>30</v>
      </c>
      <c r="K271" s="7"/>
      <c r="L271" s="7"/>
      <c r="M271" s="7"/>
      <c r="N271" s="7">
        <v>28</v>
      </c>
      <c r="O271" s="7"/>
      <c r="P271" s="7">
        <f>N271+O271</f>
        <v>28</v>
      </c>
      <c r="IB271" s="53"/>
      <c r="IC271" s="53"/>
      <c r="ID271" s="53"/>
      <c r="IE271" s="53"/>
      <c r="IF271" s="53"/>
      <c r="IG271" s="53"/>
    </row>
    <row r="272" spans="1:241" s="25" customFormat="1" ht="22.5" customHeight="1">
      <c r="A272" s="8" t="s">
        <v>115</v>
      </c>
      <c r="B272" s="6"/>
      <c r="C272" s="6"/>
      <c r="D272" s="7">
        <v>6</v>
      </c>
      <c r="E272" s="7"/>
      <c r="F272" s="7">
        <f aca="true" t="shared" si="37" ref="F272:F282">D272+E272</f>
        <v>6</v>
      </c>
      <c r="G272" s="7">
        <f>D272</f>
        <v>6</v>
      </c>
      <c r="H272" s="7"/>
      <c r="I272" s="7"/>
      <c r="J272" s="7">
        <f aca="true" t="shared" si="38" ref="J272:J282">G272+H272</f>
        <v>6</v>
      </c>
      <c r="K272" s="7"/>
      <c r="L272" s="7"/>
      <c r="M272" s="7"/>
      <c r="N272" s="7">
        <v>7</v>
      </c>
      <c r="O272" s="7"/>
      <c r="P272" s="7">
        <f aca="true" t="shared" si="39" ref="P272:P282">N272+O272</f>
        <v>7</v>
      </c>
      <c r="IB272" s="53"/>
      <c r="IC272" s="53"/>
      <c r="ID272" s="53"/>
      <c r="IE272" s="53"/>
      <c r="IF272" s="53"/>
      <c r="IG272" s="53"/>
    </row>
    <row r="273" spans="1:241" s="25" customFormat="1" ht="22.5" customHeight="1">
      <c r="A273" s="8" t="s">
        <v>161</v>
      </c>
      <c r="B273" s="6"/>
      <c r="C273" s="6"/>
      <c r="D273" s="7">
        <v>77</v>
      </c>
      <c r="E273" s="7"/>
      <c r="F273" s="7">
        <f t="shared" si="37"/>
        <v>77</v>
      </c>
      <c r="G273" s="7">
        <v>80</v>
      </c>
      <c r="H273" s="7"/>
      <c r="I273" s="7"/>
      <c r="J273" s="7">
        <f t="shared" si="38"/>
        <v>80</v>
      </c>
      <c r="K273" s="7"/>
      <c r="L273" s="7"/>
      <c r="M273" s="7"/>
      <c r="N273" s="7">
        <v>90</v>
      </c>
      <c r="O273" s="7"/>
      <c r="P273" s="7">
        <f t="shared" si="39"/>
        <v>90</v>
      </c>
      <c r="IB273" s="53"/>
      <c r="IC273" s="53"/>
      <c r="ID273" s="53"/>
      <c r="IE273" s="53"/>
      <c r="IF273" s="53"/>
      <c r="IG273" s="53"/>
    </row>
    <row r="274" spans="1:241" s="25" customFormat="1" ht="12" customHeight="1">
      <c r="A274" s="5" t="s">
        <v>7</v>
      </c>
      <c r="B274" s="37"/>
      <c r="C274" s="37"/>
      <c r="D274" s="30"/>
      <c r="E274" s="30"/>
      <c r="F274" s="7"/>
      <c r="G274" s="30"/>
      <c r="H274" s="30"/>
      <c r="I274" s="7"/>
      <c r="J274" s="7"/>
      <c r="K274" s="7"/>
      <c r="L274" s="7"/>
      <c r="M274" s="7"/>
      <c r="N274" s="30"/>
      <c r="O274" s="30"/>
      <c r="P274" s="7"/>
      <c r="IB274" s="53"/>
      <c r="IC274" s="53"/>
      <c r="ID274" s="53"/>
      <c r="IE274" s="53"/>
      <c r="IF274" s="53"/>
      <c r="IG274" s="53"/>
    </row>
    <row r="275" spans="1:241" s="25" customFormat="1" ht="22.5" customHeight="1">
      <c r="A275" s="8" t="s">
        <v>116</v>
      </c>
      <c r="B275" s="6"/>
      <c r="C275" s="6"/>
      <c r="D275" s="7">
        <v>506060.66</v>
      </c>
      <c r="E275" s="7"/>
      <c r="F275" s="7">
        <f t="shared" si="37"/>
        <v>506060.66</v>
      </c>
      <c r="G275" s="7">
        <v>593333.33333</v>
      </c>
      <c r="H275" s="7"/>
      <c r="I275" s="7"/>
      <c r="J275" s="7">
        <f t="shared" si="38"/>
        <v>593333.33333</v>
      </c>
      <c r="K275" s="7"/>
      <c r="L275" s="7"/>
      <c r="M275" s="7"/>
      <c r="N275" s="7">
        <v>675000</v>
      </c>
      <c r="O275" s="7"/>
      <c r="P275" s="7">
        <f t="shared" si="39"/>
        <v>675000</v>
      </c>
      <c r="IB275" s="53"/>
      <c r="IC275" s="53"/>
      <c r="ID275" s="53"/>
      <c r="IE275" s="53"/>
      <c r="IF275" s="53"/>
      <c r="IG275" s="53"/>
    </row>
    <row r="276" spans="1:241" s="25" customFormat="1" ht="22.5" customHeight="1">
      <c r="A276" s="8" t="s">
        <v>117</v>
      </c>
      <c r="B276" s="6"/>
      <c r="C276" s="6"/>
      <c r="D276" s="7">
        <v>529166.66666</v>
      </c>
      <c r="E276" s="7"/>
      <c r="F276" s="7">
        <f t="shared" si="37"/>
        <v>529166.66666</v>
      </c>
      <c r="G276" s="7">
        <v>367500</v>
      </c>
      <c r="H276" s="7"/>
      <c r="I276" s="7"/>
      <c r="J276" s="7">
        <f t="shared" si="38"/>
        <v>367500</v>
      </c>
      <c r="K276" s="7"/>
      <c r="L276" s="7"/>
      <c r="M276" s="7"/>
      <c r="N276" s="7">
        <f>395833.33333-21547.619</f>
        <v>374285.71433</v>
      </c>
      <c r="O276" s="7"/>
      <c r="P276" s="7">
        <f t="shared" si="39"/>
        <v>374285.71433</v>
      </c>
      <c r="IB276" s="53"/>
      <c r="IC276" s="53"/>
      <c r="ID276" s="53"/>
      <c r="IE276" s="53"/>
      <c r="IF276" s="53"/>
      <c r="IG276" s="53"/>
    </row>
    <row r="277" spans="1:241" s="25" customFormat="1" ht="12" customHeight="1">
      <c r="A277" s="5" t="s">
        <v>6</v>
      </c>
      <c r="B277" s="37"/>
      <c r="C277" s="37"/>
      <c r="D277" s="30"/>
      <c r="E277" s="30"/>
      <c r="F277" s="7"/>
      <c r="G277" s="30"/>
      <c r="H277" s="30"/>
      <c r="I277" s="7"/>
      <c r="J277" s="7"/>
      <c r="K277" s="7"/>
      <c r="L277" s="7"/>
      <c r="M277" s="7"/>
      <c r="N277" s="30"/>
      <c r="O277" s="30"/>
      <c r="P277" s="7"/>
      <c r="IB277" s="53"/>
      <c r="IC277" s="53"/>
      <c r="ID277" s="53"/>
      <c r="IE277" s="53"/>
      <c r="IF277" s="53"/>
      <c r="IG277" s="53"/>
    </row>
    <row r="278" spans="1:241" s="25" customFormat="1" ht="32.25" customHeight="1">
      <c r="A278" s="8" t="s">
        <v>185</v>
      </c>
      <c r="B278" s="6"/>
      <c r="C278" s="6"/>
      <c r="D278" s="7">
        <f>200000/77</f>
        <v>2597.4025974025976</v>
      </c>
      <c r="E278" s="7"/>
      <c r="F278" s="7">
        <f t="shared" si="37"/>
        <v>2597.4025974025976</v>
      </c>
      <c r="G278" s="7">
        <v>3125</v>
      </c>
      <c r="H278" s="7"/>
      <c r="I278" s="7"/>
      <c r="J278" s="7">
        <f t="shared" si="38"/>
        <v>3125</v>
      </c>
      <c r="K278" s="7"/>
      <c r="L278" s="7"/>
      <c r="M278" s="7"/>
      <c r="N278" s="7">
        <f>300000/90</f>
        <v>3333.3333333333335</v>
      </c>
      <c r="O278" s="7"/>
      <c r="P278" s="7">
        <f t="shared" si="39"/>
        <v>3333.3333333333335</v>
      </c>
      <c r="IB278" s="53"/>
      <c r="IC278" s="53"/>
      <c r="ID278" s="53"/>
      <c r="IE278" s="53"/>
      <c r="IF278" s="53"/>
      <c r="IG278" s="53"/>
    </row>
    <row r="279" spans="1:241" s="25" customFormat="1" ht="11.25">
      <c r="A279" s="5" t="s">
        <v>6</v>
      </c>
      <c r="B279" s="6"/>
      <c r="C279" s="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IB279" s="53"/>
      <c r="IC279" s="53"/>
      <c r="ID279" s="53"/>
      <c r="IE279" s="53"/>
      <c r="IF279" s="53"/>
      <c r="IG279" s="53"/>
    </row>
    <row r="280" spans="1:241" s="25" customFormat="1" ht="33.75">
      <c r="A280" s="8" t="s">
        <v>118</v>
      </c>
      <c r="B280" s="6"/>
      <c r="C280" s="6"/>
      <c r="D280" s="7"/>
      <c r="E280" s="7"/>
      <c r="F280" s="7">
        <f t="shared" si="37"/>
        <v>0</v>
      </c>
      <c r="G280" s="7">
        <f>G275/F275*100</f>
        <v>117.2454964845519</v>
      </c>
      <c r="H280" s="7"/>
      <c r="I280" s="7"/>
      <c r="J280" s="7">
        <f t="shared" si="38"/>
        <v>117.2454964845519</v>
      </c>
      <c r="K280" s="7"/>
      <c r="L280" s="7"/>
      <c r="M280" s="7"/>
      <c r="N280" s="7">
        <f>N275/J275*100</f>
        <v>113.76404494445933</v>
      </c>
      <c r="O280" s="7"/>
      <c r="P280" s="7">
        <f t="shared" si="39"/>
        <v>113.76404494445933</v>
      </c>
      <c r="IB280" s="53"/>
      <c r="IC280" s="53"/>
      <c r="ID280" s="53"/>
      <c r="IE280" s="53"/>
      <c r="IF280" s="53"/>
      <c r="IG280" s="53"/>
    </row>
    <row r="281" spans="1:241" s="25" customFormat="1" ht="33.75">
      <c r="A281" s="8" t="s">
        <v>119</v>
      </c>
      <c r="B281" s="6"/>
      <c r="C281" s="6"/>
      <c r="D281" s="7"/>
      <c r="E281" s="7"/>
      <c r="F281" s="7">
        <f t="shared" si="37"/>
        <v>0</v>
      </c>
      <c r="G281" s="7">
        <f>G276/D276*100</f>
        <v>69.44881889851274</v>
      </c>
      <c r="H281" s="7"/>
      <c r="I281" s="7"/>
      <c r="J281" s="7">
        <f t="shared" si="38"/>
        <v>69.44881889851274</v>
      </c>
      <c r="K281" s="7"/>
      <c r="L281" s="7"/>
      <c r="M281" s="7"/>
      <c r="N281" s="7">
        <f>N276/G276*100</f>
        <v>101.84645287891156</v>
      </c>
      <c r="O281" s="7"/>
      <c r="P281" s="7">
        <f t="shared" si="39"/>
        <v>101.84645287891156</v>
      </c>
      <c r="IB281" s="53"/>
      <c r="IC281" s="53"/>
      <c r="ID281" s="53"/>
      <c r="IE281" s="53"/>
      <c r="IF281" s="53"/>
      <c r="IG281" s="53"/>
    </row>
    <row r="282" spans="1:241" s="25" customFormat="1" ht="27" customHeight="1">
      <c r="A282" s="8" t="s">
        <v>223</v>
      </c>
      <c r="B282" s="6"/>
      <c r="C282" s="6"/>
      <c r="D282" s="7"/>
      <c r="E282" s="7"/>
      <c r="F282" s="7">
        <f t="shared" si="37"/>
        <v>0</v>
      </c>
      <c r="G282" s="7">
        <f>G278/D278*100</f>
        <v>120.3125</v>
      </c>
      <c r="H282" s="7"/>
      <c r="I282" s="7"/>
      <c r="J282" s="7">
        <f t="shared" si="38"/>
        <v>120.3125</v>
      </c>
      <c r="K282" s="7"/>
      <c r="L282" s="7"/>
      <c r="M282" s="7"/>
      <c r="N282" s="7">
        <f>N278/G278*100</f>
        <v>106.66666666666667</v>
      </c>
      <c r="O282" s="7"/>
      <c r="P282" s="7">
        <f t="shared" si="39"/>
        <v>106.66666666666667</v>
      </c>
      <c r="IB282" s="53"/>
      <c r="IC282" s="53"/>
      <c r="ID282" s="53"/>
      <c r="IE282" s="53"/>
      <c r="IF282" s="53"/>
      <c r="IG282" s="53"/>
    </row>
    <row r="283" spans="1:241" s="38" customFormat="1" ht="24" customHeight="1">
      <c r="A283" s="34" t="s">
        <v>380</v>
      </c>
      <c r="B283" s="35"/>
      <c r="C283" s="35"/>
      <c r="D283" s="36">
        <v>1000000</v>
      </c>
      <c r="E283" s="36"/>
      <c r="F283" s="36">
        <f>D283</f>
        <v>1000000</v>
      </c>
      <c r="G283" s="36">
        <v>1200000</v>
      </c>
      <c r="H283" s="36"/>
      <c r="I283" s="36"/>
      <c r="J283" s="36">
        <f>G283</f>
        <v>1200000</v>
      </c>
      <c r="K283" s="36">
        <f>(K285*K287)</f>
        <v>0</v>
      </c>
      <c r="L283" s="36">
        <f>(L285*L287)</f>
        <v>0</v>
      </c>
      <c r="M283" s="36">
        <f>(M285*M287)</f>
        <v>0</v>
      </c>
      <c r="N283" s="36">
        <v>1400000</v>
      </c>
      <c r="O283" s="36">
        <f>(O285*O287)</f>
        <v>0</v>
      </c>
      <c r="P283" s="36">
        <f>N283</f>
        <v>1400000</v>
      </c>
      <c r="IB283" s="39"/>
      <c r="IC283" s="39"/>
      <c r="ID283" s="39"/>
      <c r="IE283" s="39"/>
      <c r="IF283" s="39"/>
      <c r="IG283" s="39"/>
    </row>
    <row r="284" spans="1:241" s="25" customFormat="1" ht="11.25">
      <c r="A284" s="5" t="s">
        <v>5</v>
      </c>
      <c r="B284" s="6"/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IB284" s="53"/>
      <c r="IC284" s="53"/>
      <c r="ID284" s="53"/>
      <c r="IE284" s="53"/>
      <c r="IF284" s="53"/>
      <c r="IG284" s="53"/>
    </row>
    <row r="285" spans="1:241" s="25" customFormat="1" ht="33.75">
      <c r="A285" s="8" t="s">
        <v>246</v>
      </c>
      <c r="B285" s="6"/>
      <c r="C285" s="6"/>
      <c r="D285" s="7">
        <v>750</v>
      </c>
      <c r="E285" s="7"/>
      <c r="F285" s="7">
        <f>D285</f>
        <v>750</v>
      </c>
      <c r="G285" s="7">
        <v>700</v>
      </c>
      <c r="H285" s="7"/>
      <c r="I285" s="7"/>
      <c r="J285" s="7">
        <f>G285</f>
        <v>700</v>
      </c>
      <c r="K285" s="7"/>
      <c r="L285" s="7"/>
      <c r="M285" s="7"/>
      <c r="N285" s="7">
        <v>650</v>
      </c>
      <c r="O285" s="7"/>
      <c r="P285" s="7">
        <f>N285</f>
        <v>650</v>
      </c>
      <c r="IB285" s="53"/>
      <c r="IC285" s="53"/>
      <c r="ID285" s="53"/>
      <c r="IE285" s="53"/>
      <c r="IF285" s="53"/>
      <c r="IG285" s="53"/>
    </row>
    <row r="286" spans="1:241" s="25" customFormat="1" ht="11.25">
      <c r="A286" s="5" t="s">
        <v>7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IB286" s="53"/>
      <c r="IC286" s="53"/>
      <c r="ID286" s="53"/>
      <c r="IE286" s="53"/>
      <c r="IF286" s="53"/>
      <c r="IG286" s="53"/>
    </row>
    <row r="287" spans="1:241" s="25" customFormat="1" ht="22.5" customHeight="1">
      <c r="A287" s="8" t="s">
        <v>247</v>
      </c>
      <c r="B287" s="6"/>
      <c r="C287" s="6"/>
      <c r="D287" s="7">
        <f>D283/D285</f>
        <v>1333.3333333333333</v>
      </c>
      <c r="E287" s="7"/>
      <c r="F287" s="7">
        <f>D287</f>
        <v>1333.3333333333333</v>
      </c>
      <c r="G287" s="7">
        <f>G283/G285</f>
        <v>1714.2857142857142</v>
      </c>
      <c r="H287" s="7"/>
      <c r="I287" s="7"/>
      <c r="J287" s="7">
        <f>G287</f>
        <v>1714.2857142857142</v>
      </c>
      <c r="K287" s="7"/>
      <c r="L287" s="7"/>
      <c r="M287" s="7"/>
      <c r="N287" s="7">
        <f>1400000/750</f>
        <v>1866.6666666666667</v>
      </c>
      <c r="O287" s="7"/>
      <c r="P287" s="7">
        <f>N287</f>
        <v>1866.6666666666667</v>
      </c>
      <c r="IB287" s="53"/>
      <c r="IC287" s="53"/>
      <c r="ID287" s="53"/>
      <c r="IE287" s="53"/>
      <c r="IF287" s="53"/>
      <c r="IG287" s="53"/>
    </row>
    <row r="288" spans="1:241" s="25" customFormat="1" ht="11.25">
      <c r="A288" s="5" t="s">
        <v>6</v>
      </c>
      <c r="B288" s="6"/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IB288" s="53"/>
      <c r="IC288" s="53"/>
      <c r="ID288" s="53"/>
      <c r="IE288" s="53"/>
      <c r="IF288" s="53"/>
      <c r="IG288" s="53"/>
    </row>
    <row r="289" spans="1:241" s="25" customFormat="1" ht="24" customHeight="1">
      <c r="A289" s="8" t="s">
        <v>179</v>
      </c>
      <c r="B289" s="6"/>
      <c r="C289" s="6"/>
      <c r="D289" s="7"/>
      <c r="E289" s="7"/>
      <c r="F289" s="7"/>
      <c r="G289" s="7">
        <f>G285/D285*100</f>
        <v>93.33333333333333</v>
      </c>
      <c r="H289" s="7"/>
      <c r="I289" s="7"/>
      <c r="J289" s="7">
        <f>G289</f>
        <v>93.33333333333333</v>
      </c>
      <c r="K289" s="7"/>
      <c r="L289" s="7"/>
      <c r="M289" s="7"/>
      <c r="N289" s="7">
        <f>N285/G285*100</f>
        <v>92.85714285714286</v>
      </c>
      <c r="O289" s="7"/>
      <c r="P289" s="7">
        <f>N289</f>
        <v>92.85714285714286</v>
      </c>
      <c r="IB289" s="53"/>
      <c r="IC289" s="53"/>
      <c r="ID289" s="53"/>
      <c r="IE289" s="53"/>
      <c r="IF289" s="53"/>
      <c r="IG289" s="53"/>
    </row>
    <row r="290" spans="1:241" s="25" customFormat="1" ht="31.5" customHeight="1">
      <c r="A290" s="8" t="s">
        <v>180</v>
      </c>
      <c r="B290" s="6"/>
      <c r="C290" s="6"/>
      <c r="D290" s="7"/>
      <c r="E290" s="7"/>
      <c r="F290" s="7"/>
      <c r="G290" s="7">
        <f>G287/D287*100</f>
        <v>128.57142857142858</v>
      </c>
      <c r="H290" s="7"/>
      <c r="I290" s="7"/>
      <c r="J290" s="7">
        <f>G290</f>
        <v>128.57142857142858</v>
      </c>
      <c r="K290" s="7"/>
      <c r="L290" s="7"/>
      <c r="M290" s="7"/>
      <c r="N290" s="7">
        <f>N287/G287*100</f>
        <v>108.8888888888889</v>
      </c>
      <c r="O290" s="7"/>
      <c r="P290" s="7">
        <f>N290</f>
        <v>108.8888888888889</v>
      </c>
      <c r="IB290" s="53"/>
      <c r="IC290" s="53"/>
      <c r="ID290" s="53"/>
      <c r="IE290" s="53"/>
      <c r="IF290" s="53"/>
      <c r="IG290" s="53"/>
    </row>
    <row r="291" spans="1:241" s="38" customFormat="1" ht="22.5" customHeight="1">
      <c r="A291" s="34" t="s">
        <v>381</v>
      </c>
      <c r="B291" s="35"/>
      <c r="C291" s="35"/>
      <c r="D291" s="36"/>
      <c r="E291" s="36">
        <f>11780000+5075000+152250</f>
        <v>17007250</v>
      </c>
      <c r="F291" s="36">
        <f>E291</f>
        <v>17007250</v>
      </c>
      <c r="G291" s="36">
        <f>G293*G295</f>
        <v>0</v>
      </c>
      <c r="H291" s="36">
        <f>12000000+6097000+185000+6401000+20000+500000+636000+670000</f>
        <v>26509000</v>
      </c>
      <c r="I291" s="36">
        <f>I293*I295</f>
        <v>0</v>
      </c>
      <c r="J291" s="36">
        <f>G291+H291</f>
        <v>26509000</v>
      </c>
      <c r="K291" s="36">
        <f>K293*K295</f>
        <v>0</v>
      </c>
      <c r="L291" s="36">
        <f>L293*L295</f>
        <v>0</v>
      </c>
      <c r="M291" s="36">
        <f>M293*M295</f>
        <v>0</v>
      </c>
      <c r="N291" s="36">
        <f>N293*N295</f>
        <v>0</v>
      </c>
      <c r="O291" s="36">
        <f>12100000-18000+O299+O300+O298</f>
        <v>24384783.759999998</v>
      </c>
      <c r="P291" s="36">
        <f>N291+O291</f>
        <v>24384783.759999998</v>
      </c>
      <c r="IB291" s="39"/>
      <c r="IC291" s="39"/>
      <c r="ID291" s="39"/>
      <c r="IE291" s="39"/>
      <c r="IF291" s="39"/>
      <c r="IG291" s="39"/>
    </row>
    <row r="292" spans="1:241" s="25" customFormat="1" ht="11.25">
      <c r="A292" s="5" t="s">
        <v>5</v>
      </c>
      <c r="B292" s="37"/>
      <c r="C292" s="37"/>
      <c r="D292" s="30"/>
      <c r="E292" s="30"/>
      <c r="F292" s="7"/>
      <c r="G292" s="30"/>
      <c r="H292" s="30"/>
      <c r="I292" s="30"/>
      <c r="J292" s="7"/>
      <c r="K292" s="7"/>
      <c r="L292" s="7"/>
      <c r="M292" s="7"/>
      <c r="N292" s="30"/>
      <c r="O292" s="30"/>
      <c r="P292" s="7"/>
      <c r="IB292" s="53"/>
      <c r="IC292" s="53"/>
      <c r="ID292" s="53"/>
      <c r="IE292" s="53"/>
      <c r="IF292" s="53"/>
      <c r="IG292" s="53"/>
    </row>
    <row r="293" spans="1:241" s="25" customFormat="1" ht="21.75" customHeight="1">
      <c r="A293" s="8" t="s">
        <v>120</v>
      </c>
      <c r="B293" s="6"/>
      <c r="C293" s="6"/>
      <c r="D293" s="7"/>
      <c r="E293" s="7">
        <f>20+6</f>
        <v>26</v>
      </c>
      <c r="F293" s="7">
        <f>E293</f>
        <v>26</v>
      </c>
      <c r="G293" s="7"/>
      <c r="H293" s="7">
        <v>18</v>
      </c>
      <c r="I293" s="7"/>
      <c r="J293" s="7">
        <f>G293+H293</f>
        <v>18</v>
      </c>
      <c r="K293" s="7"/>
      <c r="L293" s="7"/>
      <c r="M293" s="7"/>
      <c r="N293" s="7"/>
      <c r="O293" s="7">
        <v>15</v>
      </c>
      <c r="P293" s="7">
        <f>O293</f>
        <v>15</v>
      </c>
      <c r="IB293" s="53"/>
      <c r="IC293" s="53"/>
      <c r="ID293" s="53"/>
      <c r="IE293" s="53"/>
      <c r="IF293" s="53"/>
      <c r="IG293" s="53"/>
    </row>
    <row r="294" spans="1:241" s="25" customFormat="1" ht="11.25">
      <c r="A294" s="5" t="s">
        <v>7</v>
      </c>
      <c r="B294" s="37"/>
      <c r="C294" s="37"/>
      <c r="D294" s="30"/>
      <c r="E294" s="30"/>
      <c r="F294" s="7"/>
      <c r="G294" s="30"/>
      <c r="H294" s="30"/>
      <c r="I294" s="30"/>
      <c r="J294" s="7"/>
      <c r="K294" s="7"/>
      <c r="L294" s="7"/>
      <c r="M294" s="7"/>
      <c r="N294" s="30"/>
      <c r="O294" s="30"/>
      <c r="P294" s="7"/>
      <c r="IB294" s="53"/>
      <c r="IC294" s="53"/>
      <c r="ID294" s="53"/>
      <c r="IE294" s="53"/>
      <c r="IF294" s="53"/>
      <c r="IG294" s="53"/>
    </row>
    <row r="295" spans="1:241" s="25" customFormat="1" ht="23.25" customHeight="1">
      <c r="A295" s="8" t="s">
        <v>121</v>
      </c>
      <c r="B295" s="6"/>
      <c r="C295" s="6"/>
      <c r="D295" s="7"/>
      <c r="E295" s="7">
        <f>E291/E293</f>
        <v>654125</v>
      </c>
      <c r="F295" s="7">
        <f>E295</f>
        <v>654125</v>
      </c>
      <c r="G295" s="7"/>
      <c r="H295" s="7">
        <f>H291/H293</f>
        <v>1472722.2222222222</v>
      </c>
      <c r="I295" s="7"/>
      <c r="J295" s="7">
        <f>G295+H295</f>
        <v>1472722.2222222222</v>
      </c>
      <c r="K295" s="7"/>
      <c r="L295" s="7"/>
      <c r="M295" s="7"/>
      <c r="N295" s="7"/>
      <c r="O295" s="7">
        <f>O291/O293</f>
        <v>1625652.2506666665</v>
      </c>
      <c r="P295" s="7">
        <f>O295</f>
        <v>1625652.2506666665</v>
      </c>
      <c r="IB295" s="53"/>
      <c r="IC295" s="53"/>
      <c r="ID295" s="53"/>
      <c r="IE295" s="53"/>
      <c r="IF295" s="53"/>
      <c r="IG295" s="53"/>
    </row>
    <row r="296" spans="1:241" s="25" customFormat="1" ht="11.25">
      <c r="A296" s="5" t="s">
        <v>6</v>
      </c>
      <c r="B296" s="6"/>
      <c r="C296" s="6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IB296" s="53"/>
      <c r="IC296" s="53"/>
      <c r="ID296" s="53"/>
      <c r="IE296" s="53"/>
      <c r="IF296" s="53"/>
      <c r="IG296" s="53"/>
    </row>
    <row r="297" spans="1:241" s="25" customFormat="1" ht="35.25" customHeight="1">
      <c r="A297" s="8" t="s">
        <v>122</v>
      </c>
      <c r="B297" s="6"/>
      <c r="C297" s="6"/>
      <c r="D297" s="7"/>
      <c r="E297" s="7">
        <v>0</v>
      </c>
      <c r="F297" s="7">
        <v>0</v>
      </c>
      <c r="G297" s="7"/>
      <c r="H297" s="7">
        <f>H295/E295*100</f>
        <v>225.1438520500244</v>
      </c>
      <c r="I297" s="7"/>
      <c r="J297" s="7">
        <f>G297+H297</f>
        <v>225.1438520500244</v>
      </c>
      <c r="K297" s="7"/>
      <c r="L297" s="7"/>
      <c r="M297" s="7"/>
      <c r="N297" s="7"/>
      <c r="O297" s="7">
        <f>O295/H295*100</f>
        <v>110.38417334490171</v>
      </c>
      <c r="P297" s="7">
        <f>O297</f>
        <v>110.38417334490171</v>
      </c>
      <c r="IB297" s="53"/>
      <c r="IC297" s="53"/>
      <c r="ID297" s="53"/>
      <c r="IE297" s="53"/>
      <c r="IF297" s="53"/>
      <c r="IG297" s="53"/>
    </row>
    <row r="298" spans="1:241" s="25" customFormat="1" ht="22.5" customHeight="1">
      <c r="A298" s="8" t="s">
        <v>464</v>
      </c>
      <c r="B298" s="6"/>
      <c r="C298" s="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>
        <v>11500000</v>
      </c>
      <c r="P298" s="7">
        <v>11500000</v>
      </c>
      <c r="IB298" s="53"/>
      <c r="IC298" s="53"/>
      <c r="ID298" s="53"/>
      <c r="IE298" s="53"/>
      <c r="IF298" s="53"/>
      <c r="IG298" s="53"/>
    </row>
    <row r="299" spans="1:241" s="25" customFormat="1" ht="17.25" customHeight="1">
      <c r="A299" s="8" t="s">
        <v>394</v>
      </c>
      <c r="B299" s="6"/>
      <c r="C299" s="6"/>
      <c r="D299" s="7"/>
      <c r="E299" s="7">
        <v>5075000</v>
      </c>
      <c r="F299" s="7">
        <f>E299</f>
        <v>5075000</v>
      </c>
      <c r="G299" s="7"/>
      <c r="H299" s="7">
        <f>0+6097000+6401000+20000+500000+636000+670000</f>
        <v>14324000</v>
      </c>
      <c r="I299" s="7"/>
      <c r="J299" s="7">
        <f>H299</f>
        <v>14324000</v>
      </c>
      <c r="K299" s="7"/>
      <c r="L299" s="7"/>
      <c r="M299" s="7"/>
      <c r="N299" s="7"/>
      <c r="O299" s="7">
        <v>784783.76</v>
      </c>
      <c r="P299" s="7">
        <f>N299+O299</f>
        <v>784783.76</v>
      </c>
      <c r="IB299" s="53"/>
      <c r="IC299" s="53"/>
      <c r="ID299" s="53"/>
      <c r="IE299" s="53"/>
      <c r="IF299" s="53"/>
      <c r="IG299" s="53"/>
    </row>
    <row r="300" spans="1:241" s="25" customFormat="1" ht="20.25" customHeight="1">
      <c r="A300" s="8" t="s">
        <v>395</v>
      </c>
      <c r="B300" s="6"/>
      <c r="C300" s="6"/>
      <c r="D300" s="7"/>
      <c r="E300" s="7">
        <v>152250</v>
      </c>
      <c r="F300" s="7">
        <f>E300</f>
        <v>152250</v>
      </c>
      <c r="G300" s="7"/>
      <c r="H300" s="7">
        <f>0+185000+15000</f>
        <v>200000</v>
      </c>
      <c r="I300" s="7"/>
      <c r="J300" s="7">
        <f>H300</f>
        <v>200000</v>
      </c>
      <c r="K300" s="7"/>
      <c r="L300" s="7"/>
      <c r="M300" s="7"/>
      <c r="N300" s="7"/>
      <c r="O300" s="7">
        <v>18000</v>
      </c>
      <c r="P300" s="7">
        <f>N300+O300</f>
        <v>18000</v>
      </c>
      <c r="IB300" s="53"/>
      <c r="IC300" s="53"/>
      <c r="ID300" s="53"/>
      <c r="IE300" s="53"/>
      <c r="IF300" s="53"/>
      <c r="IG300" s="53"/>
    </row>
    <row r="301" spans="1:16" ht="15" customHeight="1">
      <c r="A301" s="37" t="s">
        <v>353</v>
      </c>
      <c r="B301" s="37"/>
      <c r="C301" s="37"/>
      <c r="D301" s="30"/>
      <c r="E301" s="30">
        <f aca="true" t="shared" si="40" ref="E301:N301">E303+E317+E332</f>
        <v>76757323</v>
      </c>
      <c r="F301" s="30">
        <f t="shared" si="40"/>
        <v>76757323</v>
      </c>
      <c r="G301" s="30">
        <f t="shared" si="40"/>
        <v>0</v>
      </c>
      <c r="H301" s="30">
        <f>H303+H317+H332</f>
        <v>83062199.9975</v>
      </c>
      <c r="I301" s="30">
        <f t="shared" si="40"/>
        <v>742600</v>
      </c>
      <c r="J301" s="30">
        <f t="shared" si="40"/>
        <v>83062199.9975</v>
      </c>
      <c r="K301" s="30">
        <f t="shared" si="40"/>
        <v>10668.66666388889</v>
      </c>
      <c r="L301" s="30">
        <f t="shared" si="40"/>
        <v>2</v>
      </c>
      <c r="M301" s="30">
        <f t="shared" si="40"/>
        <v>2</v>
      </c>
      <c r="N301" s="30">
        <f t="shared" si="40"/>
        <v>0</v>
      </c>
      <c r="O301" s="30">
        <f>O303+O317+O332+O315+O316-O332</f>
        <v>70152636.62200001</v>
      </c>
      <c r="P301" s="30">
        <f>P303+P317+P332+P315+P316-P332</f>
        <v>70152636.62200001</v>
      </c>
    </row>
    <row r="302" spans="1:16" ht="56.25" customHeight="1">
      <c r="A302" s="34" t="s">
        <v>123</v>
      </c>
      <c r="B302" s="6"/>
      <c r="C302" s="6"/>
      <c r="D302" s="7"/>
      <c r="E302" s="36"/>
      <c r="F302" s="36"/>
      <c r="G302" s="7"/>
      <c r="H302" s="36"/>
      <c r="I302" s="36"/>
      <c r="J302" s="36"/>
      <c r="K302" s="7" t="e">
        <f>H302/E302*100</f>
        <v>#DIV/0!</v>
      </c>
      <c r="L302" s="36"/>
      <c r="M302" s="36"/>
      <c r="N302" s="7"/>
      <c r="O302" s="36"/>
      <c r="P302" s="36"/>
    </row>
    <row r="303" spans="1:16" ht="22.5" customHeight="1">
      <c r="A303" s="34" t="s">
        <v>128</v>
      </c>
      <c r="B303" s="6"/>
      <c r="C303" s="6"/>
      <c r="D303" s="7"/>
      <c r="E303" s="36">
        <f>E304</f>
        <v>55957320</v>
      </c>
      <c r="F303" s="36">
        <f>D303+E303</f>
        <v>55957320</v>
      </c>
      <c r="G303" s="36"/>
      <c r="H303" s="36">
        <f>H304</f>
        <v>62659599.997499995</v>
      </c>
      <c r="I303" s="36"/>
      <c r="J303" s="36">
        <f>G303+H303</f>
        <v>62659599.997499995</v>
      </c>
      <c r="K303" s="36">
        <f>K304+K318+K325</f>
        <v>10667.66666388889</v>
      </c>
      <c r="L303" s="36">
        <f>L304+L318+L325</f>
        <v>1</v>
      </c>
      <c r="M303" s="36">
        <f>M304+M318+M325</f>
        <v>1</v>
      </c>
      <c r="N303" s="36"/>
      <c r="O303" s="36">
        <f>O304</f>
        <v>49999233.691999994</v>
      </c>
      <c r="P303" s="36">
        <f>N303+O303</f>
        <v>49999233.691999994</v>
      </c>
    </row>
    <row r="304" spans="1:235" s="39" customFormat="1" ht="22.5">
      <c r="A304" s="34" t="s">
        <v>382</v>
      </c>
      <c r="B304" s="35"/>
      <c r="C304" s="35"/>
      <c r="D304" s="36"/>
      <c r="E304" s="145">
        <f>(E308*E310)+E314+E315+E316</f>
        <v>55957320</v>
      </c>
      <c r="F304" s="36">
        <f>E304</f>
        <v>55957320</v>
      </c>
      <c r="G304" s="36"/>
      <c r="H304" s="36">
        <f>H308*H310+0.01+5339300+4663300+4487000+990000+295000-1115000</f>
        <v>62659599.997499995</v>
      </c>
      <c r="I304" s="36"/>
      <c r="J304" s="36">
        <f>H304</f>
        <v>62659599.997499995</v>
      </c>
      <c r="K304" s="36">
        <f>K308*K310</f>
        <v>10666.66666388889</v>
      </c>
      <c r="L304" s="36">
        <f>L308*L310</f>
        <v>0</v>
      </c>
      <c r="M304" s="36">
        <f>M308*M310</f>
        <v>0</v>
      </c>
      <c r="N304" s="36"/>
      <c r="O304" s="36">
        <f>O308*O310+0.01-766.31</f>
        <v>49999233.691999994</v>
      </c>
      <c r="P304" s="36">
        <f>N304+O304</f>
        <v>49999233.691999994</v>
      </c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8"/>
      <c r="CX304" s="38"/>
      <c r="CY304" s="38"/>
      <c r="CZ304" s="38"/>
      <c r="DA304" s="38"/>
      <c r="DB304" s="38"/>
      <c r="DC304" s="38"/>
      <c r="DD304" s="38"/>
      <c r="DE304" s="38"/>
      <c r="DF304" s="38"/>
      <c r="DG304" s="38"/>
      <c r="DH304" s="38"/>
      <c r="DI304" s="38"/>
      <c r="DJ304" s="38"/>
      <c r="DK304" s="38"/>
      <c r="DL304" s="38"/>
      <c r="DM304" s="38"/>
      <c r="DN304" s="38"/>
      <c r="DO304" s="38"/>
      <c r="DP304" s="38"/>
      <c r="DQ304" s="38"/>
      <c r="DR304" s="38"/>
      <c r="DS304" s="38"/>
      <c r="DT304" s="38"/>
      <c r="DU304" s="38"/>
      <c r="DV304" s="38"/>
      <c r="DW304" s="38"/>
      <c r="DX304" s="38"/>
      <c r="DY304" s="38"/>
      <c r="DZ304" s="38"/>
      <c r="EA304" s="38"/>
      <c r="EB304" s="38"/>
      <c r="EC304" s="38"/>
      <c r="ED304" s="38"/>
      <c r="EE304" s="38"/>
      <c r="EF304" s="38"/>
      <c r="EG304" s="38"/>
      <c r="EH304" s="38"/>
      <c r="EI304" s="38"/>
      <c r="EJ304" s="38"/>
      <c r="EK304" s="38"/>
      <c r="EL304" s="38"/>
      <c r="EM304" s="38"/>
      <c r="EN304" s="38"/>
      <c r="EO304" s="38"/>
      <c r="EP304" s="38"/>
      <c r="EQ304" s="38"/>
      <c r="ER304" s="38"/>
      <c r="ES304" s="38"/>
      <c r="ET304" s="38"/>
      <c r="EU304" s="38"/>
      <c r="EV304" s="38"/>
      <c r="EW304" s="38"/>
      <c r="EX304" s="38"/>
      <c r="EY304" s="38"/>
      <c r="EZ304" s="38"/>
      <c r="FA304" s="38"/>
      <c r="FB304" s="38"/>
      <c r="FC304" s="38"/>
      <c r="FD304" s="38"/>
      <c r="FE304" s="38"/>
      <c r="FF304" s="38"/>
      <c r="FG304" s="38"/>
      <c r="FH304" s="38"/>
      <c r="FI304" s="38"/>
      <c r="FJ304" s="38"/>
      <c r="FK304" s="38"/>
      <c r="FL304" s="38"/>
      <c r="FM304" s="38"/>
      <c r="FN304" s="38"/>
      <c r="FO304" s="38"/>
      <c r="FP304" s="38"/>
      <c r="FQ304" s="38"/>
      <c r="FR304" s="38"/>
      <c r="FS304" s="38"/>
      <c r="FT304" s="38"/>
      <c r="FU304" s="38"/>
      <c r="FV304" s="38"/>
      <c r="FW304" s="38"/>
      <c r="FX304" s="38"/>
      <c r="FY304" s="38"/>
      <c r="FZ304" s="38"/>
      <c r="GA304" s="38"/>
      <c r="GB304" s="38"/>
      <c r="GC304" s="38"/>
      <c r="GD304" s="38"/>
      <c r="GE304" s="38"/>
      <c r="GF304" s="38"/>
      <c r="GG304" s="38"/>
      <c r="GH304" s="38"/>
      <c r="GI304" s="38"/>
      <c r="GJ304" s="38"/>
      <c r="GK304" s="38"/>
      <c r="GL304" s="38"/>
      <c r="GM304" s="38"/>
      <c r="GN304" s="38"/>
      <c r="GO304" s="38"/>
      <c r="GP304" s="38"/>
      <c r="GQ304" s="38"/>
      <c r="GR304" s="38"/>
      <c r="GS304" s="38"/>
      <c r="GT304" s="38"/>
      <c r="GU304" s="38"/>
      <c r="GV304" s="38"/>
      <c r="GW304" s="38"/>
      <c r="GX304" s="38"/>
      <c r="GY304" s="38"/>
      <c r="GZ304" s="38"/>
      <c r="HA304" s="38"/>
      <c r="HB304" s="38"/>
      <c r="HC304" s="38"/>
      <c r="HD304" s="38"/>
      <c r="HE304" s="38"/>
      <c r="HF304" s="38"/>
      <c r="HG304" s="38"/>
      <c r="HH304" s="38"/>
      <c r="HI304" s="38"/>
      <c r="HJ304" s="38"/>
      <c r="HK304" s="38"/>
      <c r="HL304" s="38"/>
      <c r="HM304" s="38"/>
      <c r="HN304" s="38"/>
      <c r="HO304" s="38"/>
      <c r="HP304" s="38"/>
      <c r="HQ304" s="38"/>
      <c r="HR304" s="38"/>
      <c r="HS304" s="38"/>
      <c r="HT304" s="38"/>
      <c r="HU304" s="38"/>
      <c r="HV304" s="38"/>
      <c r="HW304" s="38"/>
      <c r="HX304" s="38"/>
      <c r="HY304" s="38"/>
      <c r="HZ304" s="38"/>
      <c r="IA304" s="38"/>
    </row>
    <row r="305" spans="1:16" ht="11.25">
      <c r="A305" s="5" t="s">
        <v>4</v>
      </c>
      <c r="B305" s="37"/>
      <c r="C305" s="37"/>
      <c r="D305" s="7"/>
      <c r="E305" s="36"/>
      <c r="F305" s="36"/>
      <c r="G305" s="7"/>
      <c r="H305" s="36"/>
      <c r="I305" s="36"/>
      <c r="J305" s="36"/>
      <c r="K305" s="7"/>
      <c r="L305" s="36"/>
      <c r="M305" s="36"/>
      <c r="N305" s="7"/>
      <c r="O305" s="36"/>
      <c r="P305" s="36"/>
    </row>
    <row r="306" spans="1:16" ht="22.5">
      <c r="A306" s="8" t="s">
        <v>124</v>
      </c>
      <c r="B306" s="6"/>
      <c r="C306" s="6"/>
      <c r="D306" s="7"/>
      <c r="E306" s="7">
        <v>1072</v>
      </c>
      <c r="F306" s="7">
        <f>E306</f>
        <v>1072</v>
      </c>
      <c r="G306" s="7"/>
      <c r="H306" s="7">
        <v>892</v>
      </c>
      <c r="I306" s="7"/>
      <c r="J306" s="7">
        <f>H306</f>
        <v>892</v>
      </c>
      <c r="K306" s="7"/>
      <c r="L306" s="36"/>
      <c r="M306" s="36"/>
      <c r="N306" s="7"/>
      <c r="O306" s="7">
        <v>617</v>
      </c>
      <c r="P306" s="7">
        <f>O306</f>
        <v>617</v>
      </c>
    </row>
    <row r="307" spans="1:16" ht="11.25">
      <c r="A307" s="5" t="s">
        <v>5</v>
      </c>
      <c r="B307" s="37"/>
      <c r="C307" s="37"/>
      <c r="D307" s="7"/>
      <c r="E307" s="30"/>
      <c r="F307" s="30"/>
      <c r="G307" s="7"/>
      <c r="H307" s="30"/>
      <c r="I307" s="30"/>
      <c r="J307" s="30"/>
      <c r="K307" s="7" t="e">
        <f>H307/E307*100</f>
        <v>#DIV/0!</v>
      </c>
      <c r="L307" s="30"/>
      <c r="M307" s="30"/>
      <c r="N307" s="7"/>
      <c r="O307" s="30"/>
      <c r="P307" s="30"/>
    </row>
    <row r="308" spans="1:16" ht="22.5">
      <c r="A308" s="8" t="s">
        <v>125</v>
      </c>
      <c r="B308" s="6"/>
      <c r="C308" s="6"/>
      <c r="D308" s="7"/>
      <c r="E308" s="7">
        <v>180</v>
      </c>
      <c r="F308" s="7">
        <f>E308</f>
        <v>180</v>
      </c>
      <c r="G308" s="7"/>
      <c r="H308" s="7">
        <v>275</v>
      </c>
      <c r="I308" s="7"/>
      <c r="J308" s="7">
        <f>H308</f>
        <v>275</v>
      </c>
      <c r="K308" s="7">
        <f>H308/E308*100</f>
        <v>152.77777777777777</v>
      </c>
      <c r="L308" s="7"/>
      <c r="M308" s="7"/>
      <c r="N308" s="7"/>
      <c r="O308" s="7">
        <v>240</v>
      </c>
      <c r="P308" s="7">
        <f>O308</f>
        <v>240</v>
      </c>
    </row>
    <row r="309" spans="1:16" ht="11.25">
      <c r="A309" s="5" t="s">
        <v>7</v>
      </c>
      <c r="B309" s="37"/>
      <c r="C309" s="37"/>
      <c r="D309" s="7"/>
      <c r="E309" s="30"/>
      <c r="F309" s="30"/>
      <c r="G309" s="7"/>
      <c r="H309" s="30"/>
      <c r="I309" s="30"/>
      <c r="J309" s="30"/>
      <c r="K309" s="7" t="e">
        <f>H309/E309*100</f>
        <v>#DIV/0!</v>
      </c>
      <c r="L309" s="30"/>
      <c r="M309" s="30"/>
      <c r="N309" s="7"/>
      <c r="O309" s="30"/>
      <c r="P309" s="30"/>
    </row>
    <row r="310" spans="1:16" ht="24" customHeight="1">
      <c r="A310" s="8" t="s">
        <v>126</v>
      </c>
      <c r="B310" s="6"/>
      <c r="C310" s="6"/>
      <c r="D310" s="7"/>
      <c r="E310" s="7">
        <v>250000</v>
      </c>
      <c r="F310" s="7">
        <f>E310</f>
        <v>250000</v>
      </c>
      <c r="G310" s="7"/>
      <c r="H310" s="7">
        <v>174545.4545</v>
      </c>
      <c r="I310" s="7"/>
      <c r="J310" s="7">
        <f>H310</f>
        <v>174545.4545</v>
      </c>
      <c r="K310" s="7">
        <f>H310/E310*100</f>
        <v>69.8181818</v>
      </c>
      <c r="L310" s="7"/>
      <c r="M310" s="7"/>
      <c r="N310" s="7"/>
      <c r="O310" s="7">
        <v>208333.3333</v>
      </c>
      <c r="P310" s="7">
        <f>O310</f>
        <v>208333.3333</v>
      </c>
    </row>
    <row r="311" spans="1:16" ht="11.25">
      <c r="A311" s="5" t="s">
        <v>6</v>
      </c>
      <c r="B311" s="37"/>
      <c r="C311" s="3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50.25" customHeight="1">
      <c r="A312" s="8" t="s">
        <v>127</v>
      </c>
      <c r="B312" s="6"/>
      <c r="C312" s="6"/>
      <c r="D312" s="7"/>
      <c r="E312" s="7">
        <f>E308/E306*100</f>
        <v>16.791044776119403</v>
      </c>
      <c r="F312" s="7">
        <f>D312+E312</f>
        <v>16.791044776119403</v>
      </c>
      <c r="G312" s="7"/>
      <c r="H312" s="7">
        <f>H308/H306*100</f>
        <v>30.829596412556054</v>
      </c>
      <c r="I312" s="7"/>
      <c r="J312" s="7">
        <f>J308/J306*100</f>
        <v>30.829596412556054</v>
      </c>
      <c r="K312" s="7" t="e">
        <f>K308/K306*100</f>
        <v>#DIV/0!</v>
      </c>
      <c r="L312" s="7" t="e">
        <f>L308/L306*100</f>
        <v>#DIV/0!</v>
      </c>
      <c r="M312" s="7" t="e">
        <f>M308/M306*100</f>
        <v>#DIV/0!</v>
      </c>
      <c r="N312" s="7"/>
      <c r="O312" s="7">
        <f>O308/O306*100</f>
        <v>38.897893030794165</v>
      </c>
      <c r="P312" s="7">
        <f>P308/P306*100</f>
        <v>38.897893030794165</v>
      </c>
    </row>
    <row r="313" spans="1:16" ht="11.25">
      <c r="A313" s="5" t="s">
        <v>5</v>
      </c>
      <c r="B313" s="35"/>
      <c r="C313" s="35"/>
      <c r="D313" s="7"/>
      <c r="E313" s="36"/>
      <c r="F313" s="36"/>
      <c r="G313" s="7"/>
      <c r="H313" s="36"/>
      <c r="I313" s="36"/>
      <c r="J313" s="36"/>
      <c r="K313" s="36"/>
      <c r="L313" s="36"/>
      <c r="M313" s="36"/>
      <c r="N313" s="7"/>
      <c r="O313" s="36"/>
      <c r="P313" s="36"/>
    </row>
    <row r="314" spans="1:16" ht="33.75">
      <c r="A314" s="8" t="s">
        <v>277</v>
      </c>
      <c r="B314" s="37"/>
      <c r="C314" s="37"/>
      <c r="D314" s="30"/>
      <c r="E314" s="7">
        <v>160000</v>
      </c>
      <c r="F314" s="7">
        <v>160000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1.25">
      <c r="A315" s="8" t="s">
        <v>354</v>
      </c>
      <c r="B315" s="37"/>
      <c r="C315" s="37"/>
      <c r="D315" s="30"/>
      <c r="E315" s="7">
        <f>1522000+8354000</f>
        <v>9876000</v>
      </c>
      <c r="F315" s="7">
        <f>E315</f>
        <v>9876000</v>
      </c>
      <c r="G315" s="7"/>
      <c r="H315" s="7">
        <f>0+5339300+4663300+4487000+990000+295000</f>
        <v>15774600</v>
      </c>
      <c r="I315" s="7"/>
      <c r="J315" s="7">
        <f>G315+H315</f>
        <v>15774600</v>
      </c>
      <c r="K315" s="7"/>
      <c r="L315" s="7"/>
      <c r="M315" s="7"/>
      <c r="N315" s="7"/>
      <c r="O315" s="7">
        <v>152636.62</v>
      </c>
      <c r="P315" s="7">
        <f>N315+O315</f>
        <v>152636.62</v>
      </c>
    </row>
    <row r="316" spans="1:16" ht="22.5">
      <c r="A316" s="8" t="s">
        <v>365</v>
      </c>
      <c r="B316" s="37"/>
      <c r="C316" s="37"/>
      <c r="D316" s="30"/>
      <c r="E316" s="7">
        <f>245700+675620</f>
        <v>921320</v>
      </c>
      <c r="F316" s="7">
        <f>E316</f>
        <v>921320</v>
      </c>
      <c r="G316" s="7"/>
      <c r="H316" s="7">
        <f>0+192200</f>
        <v>192200</v>
      </c>
      <c r="I316" s="7"/>
      <c r="J316" s="7">
        <f>G316+H316</f>
        <v>192200</v>
      </c>
      <c r="K316" s="7"/>
      <c r="L316" s="7"/>
      <c r="M316" s="7"/>
      <c r="N316" s="7"/>
      <c r="O316" s="7">
        <v>766.31</v>
      </c>
      <c r="P316" s="7">
        <f>N316+O316</f>
        <v>766.31</v>
      </c>
    </row>
    <row r="317" spans="1:235" s="39" customFormat="1" ht="36" customHeight="1">
      <c r="A317" s="34" t="s">
        <v>339</v>
      </c>
      <c r="B317" s="35"/>
      <c r="C317" s="35"/>
      <c r="D317" s="36"/>
      <c r="E317" s="36">
        <f>SUM(E318)+E325</f>
        <v>20000000</v>
      </c>
      <c r="F317" s="36">
        <f aca="true" t="shared" si="41" ref="F317:P317">SUM(F318)+F325</f>
        <v>20000000</v>
      </c>
      <c r="G317" s="36">
        <f t="shared" si="41"/>
        <v>0</v>
      </c>
      <c r="H317" s="36">
        <f>SUM(H318)+H325</f>
        <v>19660000</v>
      </c>
      <c r="I317" s="36">
        <f t="shared" si="41"/>
        <v>0</v>
      </c>
      <c r="J317" s="36">
        <f t="shared" si="41"/>
        <v>19660000</v>
      </c>
      <c r="K317" s="36">
        <f t="shared" si="41"/>
        <v>1</v>
      </c>
      <c r="L317" s="36">
        <f t="shared" si="41"/>
        <v>1</v>
      </c>
      <c r="M317" s="36">
        <f t="shared" si="41"/>
        <v>1</v>
      </c>
      <c r="N317" s="36">
        <f t="shared" si="41"/>
        <v>0</v>
      </c>
      <c r="O317" s="36">
        <f t="shared" si="41"/>
        <v>20000000</v>
      </c>
      <c r="P317" s="36">
        <f t="shared" si="41"/>
        <v>20000000</v>
      </c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  <c r="FH317" s="38"/>
      <c r="FI317" s="38"/>
      <c r="FJ317" s="38"/>
      <c r="FK317" s="38"/>
      <c r="FL317" s="38"/>
      <c r="FM317" s="38"/>
      <c r="FN317" s="38"/>
      <c r="FO317" s="38"/>
      <c r="FP317" s="38"/>
      <c r="FQ317" s="38"/>
      <c r="FR317" s="38"/>
      <c r="FS317" s="38"/>
      <c r="FT317" s="38"/>
      <c r="FU317" s="38"/>
      <c r="FV317" s="38"/>
      <c r="FW317" s="38"/>
      <c r="FX317" s="38"/>
      <c r="FY317" s="38"/>
      <c r="FZ317" s="38"/>
      <c r="GA317" s="38"/>
      <c r="GB317" s="38"/>
      <c r="GC317" s="38"/>
      <c r="GD317" s="38"/>
      <c r="GE317" s="38"/>
      <c r="GF317" s="38"/>
      <c r="GG317" s="38"/>
      <c r="GH317" s="38"/>
      <c r="GI317" s="38"/>
      <c r="GJ317" s="38"/>
      <c r="GK317" s="38"/>
      <c r="GL317" s="38"/>
      <c r="GM317" s="38"/>
      <c r="GN317" s="38"/>
      <c r="GO317" s="38"/>
      <c r="GP317" s="38"/>
      <c r="GQ317" s="38"/>
      <c r="GR317" s="38"/>
      <c r="GS317" s="38"/>
      <c r="GT317" s="38"/>
      <c r="GU317" s="38"/>
      <c r="GV317" s="38"/>
      <c r="GW317" s="38"/>
      <c r="GX317" s="38"/>
      <c r="GY317" s="38"/>
      <c r="GZ317" s="38"/>
      <c r="HA317" s="38"/>
      <c r="HB317" s="38"/>
      <c r="HC317" s="38"/>
      <c r="HD317" s="38"/>
      <c r="HE317" s="38"/>
      <c r="HF317" s="38"/>
      <c r="HG317" s="38"/>
      <c r="HH317" s="38"/>
      <c r="HI317" s="38"/>
      <c r="HJ317" s="38"/>
      <c r="HK317" s="38"/>
      <c r="HL317" s="38"/>
      <c r="HM317" s="38"/>
      <c r="HN317" s="38"/>
      <c r="HO317" s="38"/>
      <c r="HP317" s="38"/>
      <c r="HQ317" s="38"/>
      <c r="HR317" s="38"/>
      <c r="HS317" s="38"/>
      <c r="HT317" s="38"/>
      <c r="HU317" s="38"/>
      <c r="HV317" s="38"/>
      <c r="HW317" s="38"/>
      <c r="HX317" s="38"/>
      <c r="HY317" s="38"/>
      <c r="HZ317" s="38"/>
      <c r="IA317" s="38"/>
    </row>
    <row r="318" spans="1:235" s="39" customFormat="1" ht="41.25" customHeight="1">
      <c r="A318" s="34" t="s">
        <v>383</v>
      </c>
      <c r="B318" s="35"/>
      <c r="C318" s="35"/>
      <c r="D318" s="36"/>
      <c r="E318" s="36">
        <f>E322*E324</f>
        <v>14999999.999999998</v>
      </c>
      <c r="F318" s="36">
        <f>F322*F324</f>
        <v>14999999.999999998</v>
      </c>
      <c r="G318" s="36"/>
      <c r="H318" s="36">
        <f>H322*H324</f>
        <v>14000000</v>
      </c>
      <c r="I318" s="36"/>
      <c r="J318" s="36">
        <f>H318</f>
        <v>14000000</v>
      </c>
      <c r="K318" s="36">
        <f>K322*K324+1</f>
        <v>1</v>
      </c>
      <c r="L318" s="36">
        <f>L322*L324+1</f>
        <v>1</v>
      </c>
      <c r="M318" s="36">
        <f>M322*M324+1</f>
        <v>1</v>
      </c>
      <c r="N318" s="36"/>
      <c r="O318" s="36">
        <f>O320</f>
        <v>13000000</v>
      </c>
      <c r="P318" s="36">
        <f>O318</f>
        <v>13000000</v>
      </c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  <c r="DG318" s="38"/>
      <c r="DH318" s="38"/>
      <c r="DI318" s="38"/>
      <c r="DJ318" s="38"/>
      <c r="DK318" s="38"/>
      <c r="DL318" s="38"/>
      <c r="DM318" s="38"/>
      <c r="DN318" s="38"/>
      <c r="DO318" s="38"/>
      <c r="DP318" s="38"/>
      <c r="DQ318" s="38"/>
      <c r="DR318" s="38"/>
      <c r="DS318" s="38"/>
      <c r="DT318" s="38"/>
      <c r="DU318" s="38"/>
      <c r="DV318" s="38"/>
      <c r="DW318" s="38"/>
      <c r="DX318" s="38"/>
      <c r="DY318" s="38"/>
      <c r="DZ318" s="38"/>
      <c r="EA318" s="38"/>
      <c r="EB318" s="38"/>
      <c r="EC318" s="38"/>
      <c r="ED318" s="38"/>
      <c r="EE318" s="38"/>
      <c r="EF318" s="38"/>
      <c r="EG318" s="38"/>
      <c r="EH318" s="38"/>
      <c r="EI318" s="38"/>
      <c r="EJ318" s="38"/>
      <c r="EK318" s="38"/>
      <c r="EL318" s="38"/>
      <c r="EM318" s="38"/>
      <c r="EN318" s="38"/>
      <c r="EO318" s="38"/>
      <c r="EP318" s="38"/>
      <c r="EQ318" s="38"/>
      <c r="ER318" s="38"/>
      <c r="ES318" s="38"/>
      <c r="ET318" s="38"/>
      <c r="EU318" s="38"/>
      <c r="EV318" s="38"/>
      <c r="EW318" s="38"/>
      <c r="EX318" s="38"/>
      <c r="EY318" s="38"/>
      <c r="EZ318" s="38"/>
      <c r="FA318" s="38"/>
      <c r="FB318" s="38"/>
      <c r="FC318" s="38"/>
      <c r="FD318" s="38"/>
      <c r="FE318" s="38"/>
      <c r="FF318" s="38"/>
      <c r="FG318" s="38"/>
      <c r="FH318" s="38"/>
      <c r="FI318" s="38"/>
      <c r="FJ318" s="38"/>
      <c r="FK318" s="38"/>
      <c r="FL318" s="38"/>
      <c r="FM318" s="38"/>
      <c r="FN318" s="38"/>
      <c r="FO318" s="38"/>
      <c r="FP318" s="38"/>
      <c r="FQ318" s="38"/>
      <c r="FR318" s="38"/>
      <c r="FS318" s="38"/>
      <c r="FT318" s="38"/>
      <c r="FU318" s="38"/>
      <c r="FV318" s="38"/>
      <c r="FW318" s="38"/>
      <c r="FX318" s="38"/>
      <c r="FY318" s="38"/>
      <c r="FZ318" s="38"/>
      <c r="GA318" s="38"/>
      <c r="GB318" s="38"/>
      <c r="GC318" s="38"/>
      <c r="GD318" s="38"/>
      <c r="GE318" s="38"/>
      <c r="GF318" s="38"/>
      <c r="GG318" s="38"/>
      <c r="GH318" s="38"/>
      <c r="GI318" s="38"/>
      <c r="GJ318" s="38"/>
      <c r="GK318" s="38"/>
      <c r="GL318" s="38"/>
      <c r="GM318" s="38"/>
      <c r="GN318" s="38"/>
      <c r="GO318" s="38"/>
      <c r="GP318" s="38"/>
      <c r="GQ318" s="38"/>
      <c r="GR318" s="38"/>
      <c r="GS318" s="38"/>
      <c r="GT318" s="38"/>
      <c r="GU318" s="38"/>
      <c r="GV318" s="38"/>
      <c r="GW318" s="38"/>
      <c r="GX318" s="38"/>
      <c r="GY318" s="38"/>
      <c r="GZ318" s="38"/>
      <c r="HA318" s="38"/>
      <c r="HB318" s="38"/>
      <c r="HC318" s="38"/>
      <c r="HD318" s="38"/>
      <c r="HE318" s="38"/>
      <c r="HF318" s="38"/>
      <c r="HG318" s="38"/>
      <c r="HH318" s="38"/>
      <c r="HI318" s="38"/>
      <c r="HJ318" s="38"/>
      <c r="HK318" s="38"/>
      <c r="HL318" s="38"/>
      <c r="HM318" s="38"/>
      <c r="HN318" s="38"/>
      <c r="HO318" s="38"/>
      <c r="HP318" s="38"/>
      <c r="HQ318" s="38"/>
      <c r="HR318" s="38"/>
      <c r="HS318" s="38"/>
      <c r="HT318" s="38"/>
      <c r="HU318" s="38"/>
      <c r="HV318" s="38"/>
      <c r="HW318" s="38"/>
      <c r="HX318" s="38"/>
      <c r="HY318" s="38"/>
      <c r="HZ318" s="38"/>
      <c r="IA318" s="38"/>
    </row>
    <row r="319" spans="1:16" ht="11.25">
      <c r="A319" s="5" t="s">
        <v>4</v>
      </c>
      <c r="B319" s="6"/>
      <c r="C319" s="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22.5">
      <c r="A320" s="8" t="s">
        <v>193</v>
      </c>
      <c r="B320" s="6"/>
      <c r="C320" s="6"/>
      <c r="D320" s="7"/>
      <c r="E320" s="7">
        <f>E322*E324</f>
        <v>14999999.999999998</v>
      </c>
      <c r="F320" s="7">
        <f>E320</f>
        <v>14999999.999999998</v>
      </c>
      <c r="G320" s="7"/>
      <c r="H320" s="7">
        <f>H322*H324</f>
        <v>14000000</v>
      </c>
      <c r="I320" s="7"/>
      <c r="J320" s="7">
        <f>H320</f>
        <v>14000000</v>
      </c>
      <c r="K320" s="7"/>
      <c r="L320" s="7"/>
      <c r="M320" s="7"/>
      <c r="N320" s="7"/>
      <c r="O320" s="7">
        <f>O322*O324</f>
        <v>13000000</v>
      </c>
      <c r="P320" s="7">
        <f>O320</f>
        <v>13000000</v>
      </c>
    </row>
    <row r="321" spans="1:16" ht="11.25">
      <c r="A321" s="5" t="s">
        <v>5</v>
      </c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2.5">
      <c r="A322" s="8" t="s">
        <v>192</v>
      </c>
      <c r="B322" s="6"/>
      <c r="C322" s="6"/>
      <c r="D322" s="7"/>
      <c r="E322" s="7">
        <v>43</v>
      </c>
      <c r="F322" s="7">
        <f>E322</f>
        <v>43</v>
      </c>
      <c r="G322" s="7"/>
      <c r="H322" s="7">
        <v>40</v>
      </c>
      <c r="I322" s="7"/>
      <c r="J322" s="7">
        <f>H322</f>
        <v>40</v>
      </c>
      <c r="K322" s="7"/>
      <c r="L322" s="7"/>
      <c r="M322" s="7"/>
      <c r="N322" s="7"/>
      <c r="O322" s="7">
        <v>36</v>
      </c>
      <c r="P322" s="7">
        <f>O322</f>
        <v>36</v>
      </c>
    </row>
    <row r="323" spans="1:16" ht="11.25">
      <c r="A323" s="5" t="s">
        <v>7</v>
      </c>
      <c r="B323" s="6"/>
      <c r="C323" s="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2.5">
      <c r="A324" s="8" t="s">
        <v>126</v>
      </c>
      <c r="B324" s="6"/>
      <c r="C324" s="6"/>
      <c r="D324" s="7"/>
      <c r="E324" s="7">
        <f>15000000/43</f>
        <v>348837.20930232556</v>
      </c>
      <c r="F324" s="7">
        <f>E324</f>
        <v>348837.20930232556</v>
      </c>
      <c r="G324" s="7"/>
      <c r="H324" s="7">
        <f>14000000/40</f>
        <v>350000</v>
      </c>
      <c r="I324" s="7"/>
      <c r="J324" s="7">
        <f>H324</f>
        <v>350000</v>
      </c>
      <c r="K324" s="7"/>
      <c r="L324" s="7"/>
      <c r="M324" s="7"/>
      <c r="N324" s="7"/>
      <c r="O324" s="7">
        <f>13000000/36</f>
        <v>361111.1111111111</v>
      </c>
      <c r="P324" s="7">
        <f>O324</f>
        <v>361111.1111111111</v>
      </c>
    </row>
    <row r="325" spans="1:16" ht="40.5" customHeight="1">
      <c r="A325" s="34" t="s">
        <v>384</v>
      </c>
      <c r="B325" s="37"/>
      <c r="C325" s="37"/>
      <c r="D325" s="30">
        <f>D327</f>
        <v>0</v>
      </c>
      <c r="E325" s="30">
        <f>E327</f>
        <v>5000000</v>
      </c>
      <c r="F325" s="30">
        <f>D325+E325</f>
        <v>5000000</v>
      </c>
      <c r="G325" s="30"/>
      <c r="H325" s="30">
        <f>H327</f>
        <v>5660000</v>
      </c>
      <c r="I325" s="30">
        <f aca="true" t="shared" si="42" ref="I325:P325">I327</f>
        <v>0</v>
      </c>
      <c r="J325" s="30">
        <f t="shared" si="42"/>
        <v>5660000</v>
      </c>
      <c r="K325" s="30">
        <f t="shared" si="42"/>
        <v>0</v>
      </c>
      <c r="L325" s="30">
        <f t="shared" si="42"/>
        <v>0</v>
      </c>
      <c r="M325" s="30">
        <f t="shared" si="42"/>
        <v>0</v>
      </c>
      <c r="N325" s="30">
        <f t="shared" si="42"/>
        <v>0</v>
      </c>
      <c r="O325" s="30">
        <f>O327</f>
        <v>7000000</v>
      </c>
      <c r="P325" s="30">
        <f t="shared" si="42"/>
        <v>7000000</v>
      </c>
    </row>
    <row r="326" spans="1:16" ht="17.25" customHeight="1">
      <c r="A326" s="5" t="s">
        <v>4</v>
      </c>
      <c r="B326" s="37"/>
      <c r="C326" s="37"/>
      <c r="D326" s="30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30.75" customHeight="1">
      <c r="A327" s="8" t="s">
        <v>194</v>
      </c>
      <c r="B327" s="37"/>
      <c r="C327" s="37"/>
      <c r="D327" s="30"/>
      <c r="E327" s="7">
        <f>E329*E331</f>
        <v>5000000</v>
      </c>
      <c r="F327" s="7">
        <f>D327+E327</f>
        <v>5000000</v>
      </c>
      <c r="G327" s="7"/>
      <c r="H327" s="7">
        <f>H329*H331-170000</f>
        <v>5660000</v>
      </c>
      <c r="I327" s="7"/>
      <c r="J327" s="7">
        <f>H327</f>
        <v>5660000</v>
      </c>
      <c r="K327" s="7"/>
      <c r="L327" s="7"/>
      <c r="M327" s="7"/>
      <c r="N327" s="7"/>
      <c r="O327" s="7">
        <f>O329*O331</f>
        <v>7000000</v>
      </c>
      <c r="P327" s="7">
        <f>O327</f>
        <v>7000000</v>
      </c>
    </row>
    <row r="328" spans="1:16" ht="15.75" customHeight="1">
      <c r="A328" s="5" t="s">
        <v>5</v>
      </c>
      <c r="B328" s="37"/>
      <c r="C328" s="37"/>
      <c r="D328" s="30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25.5" customHeight="1">
      <c r="A329" s="8" t="s">
        <v>125</v>
      </c>
      <c r="B329" s="37"/>
      <c r="C329" s="37"/>
      <c r="D329" s="30"/>
      <c r="E329" s="7">
        <v>16</v>
      </c>
      <c r="F329" s="7">
        <f>D329+E329</f>
        <v>16</v>
      </c>
      <c r="G329" s="7"/>
      <c r="H329" s="7">
        <v>16</v>
      </c>
      <c r="I329" s="7"/>
      <c r="J329" s="7">
        <f>H329</f>
        <v>16</v>
      </c>
      <c r="K329" s="7"/>
      <c r="L329" s="7"/>
      <c r="M329" s="7"/>
      <c r="N329" s="7"/>
      <c r="O329" s="7">
        <v>16</v>
      </c>
      <c r="P329" s="7">
        <v>16</v>
      </c>
    </row>
    <row r="330" spans="1:16" ht="15.75" customHeight="1">
      <c r="A330" s="5" t="s">
        <v>7</v>
      </c>
      <c r="B330" s="37"/>
      <c r="C330" s="37"/>
      <c r="D330" s="30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37.5" customHeight="1">
      <c r="A331" s="8" t="s">
        <v>195</v>
      </c>
      <c r="B331" s="37"/>
      <c r="C331" s="37"/>
      <c r="D331" s="30"/>
      <c r="E331" s="7">
        <v>312500</v>
      </c>
      <c r="F331" s="7">
        <f>D331+E331</f>
        <v>312500</v>
      </c>
      <c r="G331" s="7"/>
      <c r="H331" s="7">
        <v>364375</v>
      </c>
      <c r="I331" s="7"/>
      <c r="J331" s="7">
        <f>H331</f>
        <v>364375</v>
      </c>
      <c r="K331" s="7"/>
      <c r="L331" s="7"/>
      <c r="M331" s="7"/>
      <c r="N331" s="7"/>
      <c r="O331" s="7">
        <v>437500</v>
      </c>
      <c r="P331" s="7">
        <f>O331</f>
        <v>437500</v>
      </c>
    </row>
    <row r="332" spans="1:235" s="52" customFormat="1" ht="37.5" customHeight="1">
      <c r="A332" s="5" t="s">
        <v>385</v>
      </c>
      <c r="B332" s="37"/>
      <c r="C332" s="37"/>
      <c r="D332" s="30"/>
      <c r="E332" s="30">
        <f aca="true" t="shared" si="43" ref="E332:P332">SUM(E334)</f>
        <v>800003</v>
      </c>
      <c r="F332" s="30">
        <f t="shared" si="43"/>
        <v>800003</v>
      </c>
      <c r="G332" s="30">
        <f t="shared" si="43"/>
        <v>0</v>
      </c>
      <c r="H332" s="30">
        <f t="shared" si="43"/>
        <v>742600</v>
      </c>
      <c r="I332" s="30">
        <f t="shared" si="43"/>
        <v>742600</v>
      </c>
      <c r="J332" s="30">
        <f t="shared" si="43"/>
        <v>742600</v>
      </c>
      <c r="K332" s="30">
        <f t="shared" si="43"/>
        <v>0</v>
      </c>
      <c r="L332" s="30">
        <f t="shared" si="43"/>
        <v>0</v>
      </c>
      <c r="M332" s="30">
        <f t="shared" si="43"/>
        <v>0</v>
      </c>
      <c r="N332" s="30">
        <f t="shared" si="43"/>
        <v>0</v>
      </c>
      <c r="O332" s="30">
        <f t="shared" si="43"/>
        <v>133200</v>
      </c>
      <c r="P332" s="30">
        <f t="shared" si="43"/>
        <v>133200</v>
      </c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  <c r="CZ332" s="51"/>
      <c r="DA332" s="51"/>
      <c r="DB332" s="51"/>
      <c r="DC332" s="51"/>
      <c r="DD332" s="51"/>
      <c r="DE332" s="51"/>
      <c r="DF332" s="51"/>
      <c r="DG332" s="51"/>
      <c r="DH332" s="51"/>
      <c r="DI332" s="51"/>
      <c r="DJ332" s="51"/>
      <c r="DK332" s="51"/>
      <c r="DL332" s="51"/>
      <c r="DM332" s="51"/>
      <c r="DN332" s="51"/>
      <c r="DO332" s="51"/>
      <c r="DP332" s="51"/>
      <c r="DQ332" s="51"/>
      <c r="DR332" s="51"/>
      <c r="DS332" s="51"/>
      <c r="DT332" s="51"/>
      <c r="DU332" s="51"/>
      <c r="DV332" s="51"/>
      <c r="DW332" s="51"/>
      <c r="DX332" s="51"/>
      <c r="DY332" s="51"/>
      <c r="DZ332" s="51"/>
      <c r="EA332" s="51"/>
      <c r="EB332" s="51"/>
      <c r="EC332" s="51"/>
      <c r="ED332" s="51"/>
      <c r="EE332" s="51"/>
      <c r="EF332" s="51"/>
      <c r="EG332" s="51"/>
      <c r="EH332" s="51"/>
      <c r="EI332" s="51"/>
      <c r="EJ332" s="51"/>
      <c r="EK332" s="51"/>
      <c r="EL332" s="51"/>
      <c r="EM332" s="51"/>
      <c r="EN332" s="51"/>
      <c r="EO332" s="51"/>
      <c r="EP332" s="51"/>
      <c r="EQ332" s="51"/>
      <c r="ER332" s="51"/>
      <c r="ES332" s="51"/>
      <c r="ET332" s="51"/>
      <c r="EU332" s="51"/>
      <c r="EV332" s="51"/>
      <c r="EW332" s="51"/>
      <c r="EX332" s="51"/>
      <c r="EY332" s="51"/>
      <c r="EZ332" s="51"/>
      <c r="FA332" s="51"/>
      <c r="FB332" s="51"/>
      <c r="FC332" s="51"/>
      <c r="FD332" s="51"/>
      <c r="FE332" s="51"/>
      <c r="FF332" s="51"/>
      <c r="FG332" s="51"/>
      <c r="FH332" s="51"/>
      <c r="FI332" s="51"/>
      <c r="FJ332" s="51"/>
      <c r="FK332" s="51"/>
      <c r="FL332" s="51"/>
      <c r="FM332" s="51"/>
      <c r="FN332" s="51"/>
      <c r="FO332" s="51"/>
      <c r="FP332" s="51"/>
      <c r="FQ332" s="51"/>
      <c r="FR332" s="51"/>
      <c r="FS332" s="51"/>
      <c r="FT332" s="51"/>
      <c r="FU332" s="51"/>
      <c r="FV332" s="51"/>
      <c r="FW332" s="51"/>
      <c r="FX332" s="51"/>
      <c r="FY332" s="51"/>
      <c r="FZ332" s="51"/>
      <c r="GA332" s="51"/>
      <c r="GB332" s="51"/>
      <c r="GC332" s="51"/>
      <c r="GD332" s="51"/>
      <c r="GE332" s="51"/>
      <c r="GF332" s="51"/>
      <c r="GG332" s="51"/>
      <c r="GH332" s="51"/>
      <c r="GI332" s="51"/>
      <c r="GJ332" s="51"/>
      <c r="GK332" s="51"/>
      <c r="GL332" s="51"/>
      <c r="GM332" s="51"/>
      <c r="GN332" s="51"/>
      <c r="GO332" s="51"/>
      <c r="GP332" s="51"/>
      <c r="GQ332" s="51"/>
      <c r="GR332" s="51"/>
      <c r="GS332" s="51"/>
      <c r="GT332" s="51"/>
      <c r="GU332" s="51"/>
      <c r="GV332" s="51"/>
      <c r="GW332" s="51"/>
      <c r="GX332" s="51"/>
      <c r="GY332" s="51"/>
      <c r="GZ332" s="51"/>
      <c r="HA332" s="51"/>
      <c r="HB332" s="51"/>
      <c r="HC332" s="51"/>
      <c r="HD332" s="51"/>
      <c r="HE332" s="51"/>
      <c r="HF332" s="51"/>
      <c r="HG332" s="51"/>
      <c r="HH332" s="51"/>
      <c r="HI332" s="51"/>
      <c r="HJ332" s="51"/>
      <c r="HK332" s="51"/>
      <c r="HL332" s="51"/>
      <c r="HM332" s="51"/>
      <c r="HN332" s="51"/>
      <c r="HO332" s="51"/>
      <c r="HP332" s="51"/>
      <c r="HQ332" s="51"/>
      <c r="HR332" s="51"/>
      <c r="HS332" s="51"/>
      <c r="HT332" s="51"/>
      <c r="HU332" s="51"/>
      <c r="HV332" s="51"/>
      <c r="HW332" s="51"/>
      <c r="HX332" s="51"/>
      <c r="HY332" s="51"/>
      <c r="HZ332" s="51"/>
      <c r="IA332" s="51"/>
    </row>
    <row r="333" spans="1:16" ht="10.5" customHeight="1">
      <c r="A333" s="5" t="s">
        <v>4</v>
      </c>
      <c r="B333" s="37"/>
      <c r="C333" s="37"/>
      <c r="D333" s="30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32.25" customHeight="1">
      <c r="A334" s="8" t="s">
        <v>337</v>
      </c>
      <c r="B334" s="37"/>
      <c r="C334" s="37"/>
      <c r="D334" s="30"/>
      <c r="E334" s="7">
        <v>800003</v>
      </c>
      <c r="F334" s="7">
        <v>800003</v>
      </c>
      <c r="G334" s="7"/>
      <c r="H334" s="7">
        <v>742600</v>
      </c>
      <c r="I334" s="7">
        <v>742600</v>
      </c>
      <c r="J334" s="7">
        <v>742600</v>
      </c>
      <c r="K334" s="7"/>
      <c r="L334" s="7"/>
      <c r="M334" s="7"/>
      <c r="N334" s="7"/>
      <c r="O334" s="7">
        <f>O336*O338</f>
        <v>133200</v>
      </c>
      <c r="P334" s="7">
        <f>P336*P338</f>
        <v>133200</v>
      </c>
    </row>
    <row r="335" spans="1:16" ht="16.5" customHeight="1">
      <c r="A335" s="5" t="s">
        <v>5</v>
      </c>
      <c r="B335" s="37"/>
      <c r="C335" s="37"/>
      <c r="D335" s="30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26.25" customHeight="1">
      <c r="A336" s="8" t="s">
        <v>125</v>
      </c>
      <c r="B336" s="37"/>
      <c r="C336" s="37"/>
      <c r="D336" s="30"/>
      <c r="E336" s="7">
        <v>10</v>
      </c>
      <c r="F336" s="7">
        <v>10</v>
      </c>
      <c r="G336" s="7"/>
      <c r="H336" s="7">
        <v>10</v>
      </c>
      <c r="I336" s="7">
        <v>10</v>
      </c>
      <c r="J336" s="7">
        <v>10</v>
      </c>
      <c r="K336" s="7"/>
      <c r="L336" s="7"/>
      <c r="M336" s="7"/>
      <c r="N336" s="7"/>
      <c r="O336" s="7">
        <v>10</v>
      </c>
      <c r="P336" s="7">
        <v>10</v>
      </c>
    </row>
    <row r="337" spans="1:235" s="52" customFormat="1" ht="18" customHeight="1">
      <c r="A337" s="5" t="s">
        <v>7</v>
      </c>
      <c r="B337" s="37"/>
      <c r="C337" s="37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  <c r="DG337" s="51"/>
      <c r="DH337" s="51"/>
      <c r="DI337" s="51"/>
      <c r="DJ337" s="51"/>
      <c r="DK337" s="51"/>
      <c r="DL337" s="51"/>
      <c r="DM337" s="51"/>
      <c r="DN337" s="51"/>
      <c r="DO337" s="51"/>
      <c r="DP337" s="51"/>
      <c r="DQ337" s="51"/>
      <c r="DR337" s="51"/>
      <c r="DS337" s="51"/>
      <c r="DT337" s="51"/>
      <c r="DU337" s="51"/>
      <c r="DV337" s="51"/>
      <c r="DW337" s="51"/>
      <c r="DX337" s="51"/>
      <c r="DY337" s="51"/>
      <c r="DZ337" s="51"/>
      <c r="EA337" s="51"/>
      <c r="EB337" s="51"/>
      <c r="EC337" s="51"/>
      <c r="ED337" s="51"/>
      <c r="EE337" s="51"/>
      <c r="EF337" s="51"/>
      <c r="EG337" s="51"/>
      <c r="EH337" s="51"/>
      <c r="EI337" s="51"/>
      <c r="EJ337" s="51"/>
      <c r="EK337" s="51"/>
      <c r="EL337" s="51"/>
      <c r="EM337" s="51"/>
      <c r="EN337" s="51"/>
      <c r="EO337" s="51"/>
      <c r="EP337" s="51"/>
      <c r="EQ337" s="51"/>
      <c r="ER337" s="51"/>
      <c r="ES337" s="51"/>
      <c r="ET337" s="51"/>
      <c r="EU337" s="51"/>
      <c r="EV337" s="51"/>
      <c r="EW337" s="51"/>
      <c r="EX337" s="51"/>
      <c r="EY337" s="51"/>
      <c r="EZ337" s="51"/>
      <c r="FA337" s="51"/>
      <c r="FB337" s="51"/>
      <c r="FC337" s="51"/>
      <c r="FD337" s="51"/>
      <c r="FE337" s="51"/>
      <c r="FF337" s="51"/>
      <c r="FG337" s="51"/>
      <c r="FH337" s="51"/>
      <c r="FI337" s="51"/>
      <c r="FJ337" s="51"/>
      <c r="FK337" s="51"/>
      <c r="FL337" s="51"/>
      <c r="FM337" s="51"/>
      <c r="FN337" s="51"/>
      <c r="FO337" s="51"/>
      <c r="FP337" s="51"/>
      <c r="FQ337" s="51"/>
      <c r="FR337" s="51"/>
      <c r="FS337" s="51"/>
      <c r="FT337" s="51"/>
      <c r="FU337" s="51"/>
      <c r="FV337" s="51"/>
      <c r="FW337" s="51"/>
      <c r="FX337" s="51"/>
      <c r="FY337" s="51"/>
      <c r="FZ337" s="51"/>
      <c r="GA337" s="51"/>
      <c r="GB337" s="51"/>
      <c r="GC337" s="51"/>
      <c r="GD337" s="51"/>
      <c r="GE337" s="51"/>
      <c r="GF337" s="51"/>
      <c r="GG337" s="51"/>
      <c r="GH337" s="51"/>
      <c r="GI337" s="51"/>
      <c r="GJ337" s="51"/>
      <c r="GK337" s="51"/>
      <c r="GL337" s="51"/>
      <c r="GM337" s="51"/>
      <c r="GN337" s="51"/>
      <c r="GO337" s="51"/>
      <c r="GP337" s="51"/>
      <c r="GQ337" s="51"/>
      <c r="GR337" s="51"/>
      <c r="GS337" s="51"/>
      <c r="GT337" s="51"/>
      <c r="GU337" s="51"/>
      <c r="GV337" s="51"/>
      <c r="GW337" s="51"/>
      <c r="GX337" s="51"/>
      <c r="GY337" s="51"/>
      <c r="GZ337" s="51"/>
      <c r="HA337" s="51"/>
      <c r="HB337" s="51"/>
      <c r="HC337" s="51"/>
      <c r="HD337" s="51"/>
      <c r="HE337" s="51"/>
      <c r="HF337" s="51"/>
      <c r="HG337" s="51"/>
      <c r="HH337" s="51"/>
      <c r="HI337" s="51"/>
      <c r="HJ337" s="51"/>
      <c r="HK337" s="51"/>
      <c r="HL337" s="51"/>
      <c r="HM337" s="51"/>
      <c r="HN337" s="51"/>
      <c r="HO337" s="51"/>
      <c r="HP337" s="51"/>
      <c r="HQ337" s="51"/>
      <c r="HR337" s="51"/>
      <c r="HS337" s="51"/>
      <c r="HT337" s="51"/>
      <c r="HU337" s="51"/>
      <c r="HV337" s="51"/>
      <c r="HW337" s="51"/>
      <c r="HX337" s="51"/>
      <c r="HY337" s="51"/>
      <c r="HZ337" s="51"/>
      <c r="IA337" s="51"/>
    </row>
    <row r="338" spans="1:16" ht="37.5" customHeight="1">
      <c r="A338" s="8" t="s">
        <v>338</v>
      </c>
      <c r="B338" s="37"/>
      <c r="C338" s="37"/>
      <c r="D338" s="30"/>
      <c r="E338" s="7">
        <f>SUM(E334)/E336</f>
        <v>80000.3</v>
      </c>
      <c r="F338" s="7">
        <f>SUM(F334)/F336</f>
        <v>80000.3</v>
      </c>
      <c r="G338" s="7"/>
      <c r="H338" s="7">
        <f>H334/H336</f>
        <v>74260</v>
      </c>
      <c r="I338" s="7">
        <f>I334/I336</f>
        <v>74260</v>
      </c>
      <c r="J338" s="7">
        <f>J334/J336</f>
        <v>74260</v>
      </c>
      <c r="K338" s="7"/>
      <c r="L338" s="7"/>
      <c r="M338" s="7"/>
      <c r="N338" s="7"/>
      <c r="O338" s="7">
        <v>13320</v>
      </c>
      <c r="P338" s="7">
        <v>13320</v>
      </c>
    </row>
    <row r="339" spans="1:16" ht="16.5" customHeight="1">
      <c r="A339" s="37" t="s">
        <v>359</v>
      </c>
      <c r="B339" s="37"/>
      <c r="C339" s="37"/>
      <c r="D339" s="30">
        <f>D340+D341</f>
        <v>3794380.0029998</v>
      </c>
      <c r="E339" s="30">
        <f>E340+E341</f>
        <v>692840</v>
      </c>
      <c r="F339" s="30">
        <f>D339+E339</f>
        <v>4487220.002999799</v>
      </c>
      <c r="G339" s="30">
        <f>G340+G341</f>
        <v>4506475</v>
      </c>
      <c r="H339" s="30">
        <f>H340+H341</f>
        <v>763900</v>
      </c>
      <c r="I339" s="30">
        <f>I340+I341</f>
        <v>0</v>
      </c>
      <c r="J339" s="30">
        <f>G339+H339</f>
        <v>5270375</v>
      </c>
      <c r="K339" s="30" t="e">
        <f>K340+K341</f>
        <v>#REF!</v>
      </c>
      <c r="L339" s="30">
        <f>L340+L341</f>
        <v>0</v>
      </c>
      <c r="M339" s="30">
        <f>M340+M341</f>
        <v>0</v>
      </c>
      <c r="N339" s="30">
        <f>N340+N341</f>
        <v>4525761.99999968</v>
      </c>
      <c r="O339" s="30">
        <f>O340+O341</f>
        <v>787532</v>
      </c>
      <c r="P339" s="30">
        <f>N339+O339</f>
        <v>5313293.99999968</v>
      </c>
    </row>
    <row r="340" spans="1:16" ht="13.5" customHeight="1">
      <c r="A340" s="37" t="s">
        <v>54</v>
      </c>
      <c r="B340" s="37"/>
      <c r="C340" s="37"/>
      <c r="D340" s="30">
        <f>D343+D350+D428+D433</f>
        <v>3331999.9999997998</v>
      </c>
      <c r="E340" s="30">
        <f>E343+E350+E428+E433</f>
        <v>0</v>
      </c>
      <c r="F340" s="30">
        <f>D340+E340</f>
        <v>3331999.9999997998</v>
      </c>
      <c r="G340" s="30">
        <f>G343+G350+G428+G433+G360</f>
        <v>4062700</v>
      </c>
      <c r="H340" s="30">
        <f>H343+H350+H428+H433</f>
        <v>0</v>
      </c>
      <c r="I340" s="30">
        <f>I343+I350+I428+I433</f>
        <v>0</v>
      </c>
      <c r="J340" s="30">
        <f>G340+H340</f>
        <v>4062700</v>
      </c>
      <c r="K340" s="30" t="e">
        <f>K343+K350+K428+K433</f>
        <v>#REF!</v>
      </c>
      <c r="L340" s="30">
        <f>L343+L350+L428+L433</f>
        <v>0</v>
      </c>
      <c r="M340" s="30">
        <f>M343+M350+M428+M433</f>
        <v>0</v>
      </c>
      <c r="N340" s="30">
        <f>N343+N350+N428+N433</f>
        <v>4173241.99999968</v>
      </c>
      <c r="O340" s="30">
        <f>O343+O350+O428+O433</f>
        <v>0</v>
      </c>
      <c r="P340" s="30">
        <f>N340+O340</f>
        <v>4173241.99999968</v>
      </c>
    </row>
    <row r="341" spans="1:235" s="139" customFormat="1" ht="11.25">
      <c r="A341" s="152" t="s">
        <v>189</v>
      </c>
      <c r="B341" s="152"/>
      <c r="C341" s="152"/>
      <c r="D341" s="153">
        <f>D369+D458</f>
        <v>462380.003</v>
      </c>
      <c r="E341" s="153">
        <f>E403</f>
        <v>692840</v>
      </c>
      <c r="F341" s="153">
        <f>D341+E341</f>
        <v>1155220.003</v>
      </c>
      <c r="G341" s="153">
        <f>G369+G458</f>
        <v>443775</v>
      </c>
      <c r="H341" s="153">
        <f>H403</f>
        <v>763900</v>
      </c>
      <c r="I341" s="153">
        <f>I371+I381</f>
        <v>0</v>
      </c>
      <c r="J341" s="153">
        <f>G341+H341</f>
        <v>1207675</v>
      </c>
      <c r="K341" s="153">
        <f>K371+K381</f>
        <v>0</v>
      </c>
      <c r="L341" s="153">
        <f>L371+L381</f>
        <v>0</v>
      </c>
      <c r="M341" s="153">
        <f>M371+M381</f>
        <v>0</v>
      </c>
      <c r="N341" s="153">
        <f>N369</f>
        <v>352520</v>
      </c>
      <c r="O341" s="153">
        <f>O403</f>
        <v>787532</v>
      </c>
      <c r="P341" s="153">
        <f>N341+O341</f>
        <v>1140052</v>
      </c>
      <c r="Q341" s="138"/>
      <c r="R341" s="138"/>
      <c r="S341" s="138"/>
      <c r="T341" s="138"/>
      <c r="U341" s="138"/>
      <c r="V341" s="138"/>
      <c r="W341" s="138"/>
      <c r="X341" s="138"/>
      <c r="Y341" s="138"/>
      <c r="Z341" s="138"/>
      <c r="AA341" s="138"/>
      <c r="AB341" s="138"/>
      <c r="AC341" s="138"/>
      <c r="AD341" s="138"/>
      <c r="AE341" s="138"/>
      <c r="AF341" s="138"/>
      <c r="AG341" s="138"/>
      <c r="AH341" s="138"/>
      <c r="AI341" s="138"/>
      <c r="AJ341" s="138"/>
      <c r="AK341" s="138"/>
      <c r="AL341" s="138"/>
      <c r="AM341" s="138"/>
      <c r="AN341" s="138"/>
      <c r="AO341" s="138"/>
      <c r="AP341" s="138"/>
      <c r="AQ341" s="138"/>
      <c r="AR341" s="138"/>
      <c r="AS341" s="138"/>
      <c r="AT341" s="138"/>
      <c r="AU341" s="138"/>
      <c r="AV341" s="138"/>
      <c r="AW341" s="138"/>
      <c r="AX341" s="138"/>
      <c r="AY341" s="138"/>
      <c r="AZ341" s="138"/>
      <c r="BA341" s="138"/>
      <c r="BB341" s="138"/>
      <c r="BC341" s="138"/>
      <c r="BD341" s="138"/>
      <c r="BE341" s="138"/>
      <c r="BF341" s="138"/>
      <c r="BG341" s="138"/>
      <c r="BH341" s="138"/>
      <c r="BI341" s="138"/>
      <c r="BJ341" s="138"/>
      <c r="BK341" s="138"/>
      <c r="BL341" s="138"/>
      <c r="BM341" s="138"/>
      <c r="BN341" s="138"/>
      <c r="BO341" s="138"/>
      <c r="BP341" s="138"/>
      <c r="BQ341" s="138"/>
      <c r="BR341" s="138"/>
      <c r="BS341" s="138"/>
      <c r="BT341" s="138"/>
      <c r="BU341" s="138"/>
      <c r="BV341" s="138"/>
      <c r="BW341" s="138"/>
      <c r="BX341" s="138"/>
      <c r="BY341" s="138"/>
      <c r="BZ341" s="138"/>
      <c r="CA341" s="138"/>
      <c r="CB341" s="138"/>
      <c r="CC341" s="138"/>
      <c r="CD341" s="138"/>
      <c r="CE341" s="138"/>
      <c r="CF341" s="138"/>
      <c r="CG341" s="138"/>
      <c r="CH341" s="138"/>
      <c r="CI341" s="138"/>
      <c r="CJ341" s="138"/>
      <c r="CK341" s="138"/>
      <c r="CL341" s="138"/>
      <c r="CM341" s="138"/>
      <c r="CN341" s="138"/>
      <c r="CO341" s="138"/>
      <c r="CP341" s="138"/>
      <c r="CQ341" s="138"/>
      <c r="CR341" s="138"/>
      <c r="CS341" s="138"/>
      <c r="CT341" s="138"/>
      <c r="CU341" s="138"/>
      <c r="CV341" s="138"/>
      <c r="CW341" s="138"/>
      <c r="CX341" s="138"/>
      <c r="CY341" s="138"/>
      <c r="CZ341" s="138"/>
      <c r="DA341" s="138"/>
      <c r="DB341" s="138"/>
      <c r="DC341" s="138"/>
      <c r="DD341" s="138"/>
      <c r="DE341" s="138"/>
      <c r="DF341" s="138"/>
      <c r="DG341" s="138"/>
      <c r="DH341" s="138"/>
      <c r="DI341" s="138"/>
      <c r="DJ341" s="138"/>
      <c r="DK341" s="138"/>
      <c r="DL341" s="138"/>
      <c r="DM341" s="138"/>
      <c r="DN341" s="138"/>
      <c r="DO341" s="138"/>
      <c r="DP341" s="138"/>
      <c r="DQ341" s="138"/>
      <c r="DR341" s="138"/>
      <c r="DS341" s="138"/>
      <c r="DT341" s="138"/>
      <c r="DU341" s="138"/>
      <c r="DV341" s="138"/>
      <c r="DW341" s="138"/>
      <c r="DX341" s="138"/>
      <c r="DY341" s="138"/>
      <c r="DZ341" s="138"/>
      <c r="EA341" s="138"/>
      <c r="EB341" s="138"/>
      <c r="EC341" s="138"/>
      <c r="ED341" s="138"/>
      <c r="EE341" s="138"/>
      <c r="EF341" s="138"/>
      <c r="EG341" s="138"/>
      <c r="EH341" s="138"/>
      <c r="EI341" s="138"/>
      <c r="EJ341" s="138"/>
      <c r="EK341" s="138"/>
      <c r="EL341" s="138"/>
      <c r="EM341" s="138"/>
      <c r="EN341" s="138"/>
      <c r="EO341" s="138"/>
      <c r="EP341" s="138"/>
      <c r="EQ341" s="138"/>
      <c r="ER341" s="138"/>
      <c r="ES341" s="138"/>
      <c r="ET341" s="138"/>
      <c r="EU341" s="138"/>
      <c r="EV341" s="138"/>
      <c r="EW341" s="138"/>
      <c r="EX341" s="138"/>
      <c r="EY341" s="138"/>
      <c r="EZ341" s="138"/>
      <c r="FA341" s="138"/>
      <c r="FB341" s="138"/>
      <c r="FC341" s="138"/>
      <c r="FD341" s="138"/>
      <c r="FE341" s="138"/>
      <c r="FF341" s="138"/>
      <c r="FG341" s="138"/>
      <c r="FH341" s="138"/>
      <c r="FI341" s="138"/>
      <c r="FJ341" s="138"/>
      <c r="FK341" s="138"/>
      <c r="FL341" s="138"/>
      <c r="FM341" s="138"/>
      <c r="FN341" s="138"/>
      <c r="FO341" s="138"/>
      <c r="FP341" s="138"/>
      <c r="FQ341" s="138"/>
      <c r="FR341" s="138"/>
      <c r="FS341" s="138"/>
      <c r="FT341" s="138"/>
      <c r="FU341" s="138"/>
      <c r="FV341" s="138"/>
      <c r="FW341" s="138"/>
      <c r="FX341" s="138"/>
      <c r="FY341" s="138"/>
      <c r="FZ341" s="138"/>
      <c r="GA341" s="138"/>
      <c r="GB341" s="138"/>
      <c r="GC341" s="138"/>
      <c r="GD341" s="138"/>
      <c r="GE341" s="138"/>
      <c r="GF341" s="138"/>
      <c r="GG341" s="138"/>
      <c r="GH341" s="138"/>
      <c r="GI341" s="138"/>
      <c r="GJ341" s="138"/>
      <c r="GK341" s="138"/>
      <c r="GL341" s="138"/>
      <c r="GM341" s="138"/>
      <c r="GN341" s="138"/>
      <c r="GO341" s="138"/>
      <c r="GP341" s="138"/>
      <c r="GQ341" s="138"/>
      <c r="GR341" s="138"/>
      <c r="GS341" s="138"/>
      <c r="GT341" s="138"/>
      <c r="GU341" s="138"/>
      <c r="GV341" s="138"/>
      <c r="GW341" s="138"/>
      <c r="GX341" s="138"/>
      <c r="GY341" s="138"/>
      <c r="GZ341" s="138"/>
      <c r="HA341" s="138"/>
      <c r="HB341" s="138"/>
      <c r="HC341" s="138"/>
      <c r="HD341" s="138"/>
      <c r="HE341" s="138"/>
      <c r="HF341" s="138"/>
      <c r="HG341" s="138"/>
      <c r="HH341" s="138"/>
      <c r="HI341" s="138"/>
      <c r="HJ341" s="138"/>
      <c r="HK341" s="138"/>
      <c r="HL341" s="138"/>
      <c r="HM341" s="138"/>
      <c r="HN341" s="138"/>
      <c r="HO341" s="138"/>
      <c r="HP341" s="138"/>
      <c r="HQ341" s="138"/>
      <c r="HR341" s="138"/>
      <c r="HS341" s="138"/>
      <c r="HT341" s="138"/>
      <c r="HU341" s="138"/>
      <c r="HV341" s="138"/>
      <c r="HW341" s="138"/>
      <c r="HX341" s="138"/>
      <c r="HY341" s="138"/>
      <c r="HZ341" s="138"/>
      <c r="IA341" s="138"/>
    </row>
    <row r="342" spans="1:16" ht="36" customHeight="1">
      <c r="A342" s="8" t="s">
        <v>129</v>
      </c>
      <c r="B342" s="6"/>
      <c r="C342" s="6"/>
      <c r="D342" s="36"/>
      <c r="E342" s="36"/>
      <c r="F342" s="36"/>
      <c r="G342" s="36"/>
      <c r="H342" s="36"/>
      <c r="I342" s="36"/>
      <c r="J342" s="36"/>
      <c r="K342" s="7"/>
      <c r="L342" s="36"/>
      <c r="M342" s="36"/>
      <c r="N342" s="36"/>
      <c r="O342" s="36"/>
      <c r="P342" s="36"/>
    </row>
    <row r="343" spans="1:235" s="39" customFormat="1" ht="22.5">
      <c r="A343" s="34" t="s">
        <v>386</v>
      </c>
      <c r="B343" s="35"/>
      <c r="C343" s="35"/>
      <c r="D343" s="36">
        <f>D345</f>
        <v>2700000</v>
      </c>
      <c r="E343" s="36"/>
      <c r="F343" s="36">
        <f>F345</f>
        <v>2700000</v>
      </c>
      <c r="G343" s="36">
        <f>G347*G349+800000-2000-220000-11090</f>
        <v>2566910</v>
      </c>
      <c r="H343" s="36"/>
      <c r="I343" s="36"/>
      <c r="J343" s="36">
        <f>J345</f>
        <v>2578000</v>
      </c>
      <c r="K343" s="36"/>
      <c r="L343" s="36"/>
      <c r="M343" s="36"/>
      <c r="N343" s="36">
        <f>N345</f>
        <v>2934892</v>
      </c>
      <c r="O343" s="36"/>
      <c r="P343" s="36">
        <f>N343</f>
        <v>2934892</v>
      </c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  <c r="CW343" s="38"/>
      <c r="CX343" s="38"/>
      <c r="CY343" s="38"/>
      <c r="CZ343" s="38"/>
      <c r="DA343" s="38"/>
      <c r="DB343" s="38"/>
      <c r="DC343" s="38"/>
      <c r="DD343" s="38"/>
      <c r="DE343" s="38"/>
      <c r="DF343" s="38"/>
      <c r="DG343" s="38"/>
      <c r="DH343" s="38"/>
      <c r="DI343" s="38"/>
      <c r="DJ343" s="38"/>
      <c r="DK343" s="38"/>
      <c r="DL343" s="38"/>
      <c r="DM343" s="38"/>
      <c r="DN343" s="38"/>
      <c r="DO343" s="38"/>
      <c r="DP343" s="38"/>
      <c r="DQ343" s="38"/>
      <c r="DR343" s="38"/>
      <c r="DS343" s="38"/>
      <c r="DT343" s="38"/>
      <c r="DU343" s="38"/>
      <c r="DV343" s="38"/>
      <c r="DW343" s="38"/>
      <c r="DX343" s="38"/>
      <c r="DY343" s="38"/>
      <c r="DZ343" s="38"/>
      <c r="EA343" s="38"/>
      <c r="EB343" s="38"/>
      <c r="EC343" s="38"/>
      <c r="ED343" s="38"/>
      <c r="EE343" s="38"/>
      <c r="EF343" s="38"/>
      <c r="EG343" s="38"/>
      <c r="EH343" s="38"/>
      <c r="EI343" s="38"/>
      <c r="EJ343" s="38"/>
      <c r="EK343" s="38"/>
      <c r="EL343" s="38"/>
      <c r="EM343" s="38"/>
      <c r="EN343" s="38"/>
      <c r="EO343" s="38"/>
      <c r="EP343" s="38"/>
      <c r="EQ343" s="38"/>
      <c r="ER343" s="38"/>
      <c r="ES343" s="38"/>
      <c r="ET343" s="38"/>
      <c r="EU343" s="38"/>
      <c r="EV343" s="38"/>
      <c r="EW343" s="38"/>
      <c r="EX343" s="38"/>
      <c r="EY343" s="38"/>
      <c r="EZ343" s="38"/>
      <c r="FA343" s="38"/>
      <c r="FB343" s="38"/>
      <c r="FC343" s="38"/>
      <c r="FD343" s="38"/>
      <c r="FE343" s="38"/>
      <c r="FF343" s="38"/>
      <c r="FG343" s="38"/>
      <c r="FH343" s="38"/>
      <c r="FI343" s="38"/>
      <c r="FJ343" s="38"/>
      <c r="FK343" s="38"/>
      <c r="FL343" s="38"/>
      <c r="FM343" s="38"/>
      <c r="FN343" s="38"/>
      <c r="FO343" s="38"/>
      <c r="FP343" s="38"/>
      <c r="FQ343" s="38"/>
      <c r="FR343" s="38"/>
      <c r="FS343" s="38"/>
      <c r="FT343" s="38"/>
      <c r="FU343" s="38"/>
      <c r="FV343" s="38"/>
      <c r="FW343" s="38"/>
      <c r="FX343" s="38"/>
      <c r="FY343" s="38"/>
      <c r="FZ343" s="38"/>
      <c r="GA343" s="38"/>
      <c r="GB343" s="38"/>
      <c r="GC343" s="38"/>
      <c r="GD343" s="38"/>
      <c r="GE343" s="38"/>
      <c r="GF343" s="38"/>
      <c r="GG343" s="38"/>
      <c r="GH343" s="38"/>
      <c r="GI343" s="38"/>
      <c r="GJ343" s="38"/>
      <c r="GK343" s="38"/>
      <c r="GL343" s="38"/>
      <c r="GM343" s="38"/>
      <c r="GN343" s="38"/>
      <c r="GO343" s="38"/>
      <c r="GP343" s="38"/>
      <c r="GQ343" s="38"/>
      <c r="GR343" s="38"/>
      <c r="GS343" s="38"/>
      <c r="GT343" s="38"/>
      <c r="GU343" s="38"/>
      <c r="GV343" s="38"/>
      <c r="GW343" s="38"/>
      <c r="GX343" s="38"/>
      <c r="GY343" s="38"/>
      <c r="GZ343" s="38"/>
      <c r="HA343" s="38"/>
      <c r="HB343" s="38"/>
      <c r="HC343" s="38"/>
      <c r="HD343" s="38"/>
      <c r="HE343" s="38"/>
      <c r="HF343" s="38"/>
      <c r="HG343" s="38"/>
      <c r="HH343" s="38"/>
      <c r="HI343" s="38"/>
      <c r="HJ343" s="38"/>
      <c r="HK343" s="38"/>
      <c r="HL343" s="38"/>
      <c r="HM343" s="38"/>
      <c r="HN343" s="38"/>
      <c r="HO343" s="38"/>
      <c r="HP343" s="38"/>
      <c r="HQ343" s="38"/>
      <c r="HR343" s="38"/>
      <c r="HS343" s="38"/>
      <c r="HT343" s="38"/>
      <c r="HU343" s="38"/>
      <c r="HV343" s="38"/>
      <c r="HW343" s="38"/>
      <c r="HX343" s="38"/>
      <c r="HY343" s="38"/>
      <c r="HZ343" s="38"/>
      <c r="IA343" s="38"/>
    </row>
    <row r="344" spans="1:16" ht="11.25">
      <c r="A344" s="5" t="s">
        <v>38</v>
      </c>
      <c r="B344" s="37"/>
      <c r="C344" s="37"/>
      <c r="D344" s="30"/>
      <c r="E344" s="30"/>
      <c r="F344" s="30"/>
      <c r="G344" s="30"/>
      <c r="H344" s="30"/>
      <c r="I344" s="30"/>
      <c r="J344" s="30"/>
      <c r="K344" s="7"/>
      <c r="L344" s="30"/>
      <c r="M344" s="30"/>
      <c r="N344" s="30"/>
      <c r="O344" s="30"/>
      <c r="P344" s="30"/>
    </row>
    <row r="345" spans="1:16" ht="23.25" customHeight="1">
      <c r="A345" s="8" t="s">
        <v>269</v>
      </c>
      <c r="B345" s="6"/>
      <c r="C345" s="6"/>
      <c r="D345" s="7">
        <f>(D347*D349)+280000+700000</f>
        <v>2700000</v>
      </c>
      <c r="E345" s="7"/>
      <c r="F345" s="7">
        <f>D345</f>
        <v>2700000</v>
      </c>
      <c r="G345" s="7">
        <f>G347*G349+800000-2000-220000</f>
        <v>2578000</v>
      </c>
      <c r="H345" s="7"/>
      <c r="I345" s="7"/>
      <c r="J345" s="7">
        <f>G345</f>
        <v>2578000</v>
      </c>
      <c r="K345" s="7">
        <f>G345/D345*100</f>
        <v>95.48148148148148</v>
      </c>
      <c r="L345" s="7"/>
      <c r="M345" s="7"/>
      <c r="N345" s="7">
        <f>N347*N349+700000+34892</f>
        <v>2934892</v>
      </c>
      <c r="O345" s="7"/>
      <c r="P345" s="7">
        <f>N345</f>
        <v>2934892</v>
      </c>
    </row>
    <row r="346" spans="1:16" ht="11.25">
      <c r="A346" s="5" t="s">
        <v>5</v>
      </c>
      <c r="B346" s="37"/>
      <c r="C346" s="37"/>
      <c r="D346" s="30"/>
      <c r="E346" s="30"/>
      <c r="F346" s="7"/>
      <c r="G346" s="30"/>
      <c r="H346" s="30"/>
      <c r="I346" s="30"/>
      <c r="J346" s="7"/>
      <c r="K346" s="7"/>
      <c r="L346" s="30"/>
      <c r="M346" s="30"/>
      <c r="N346" s="30"/>
      <c r="O346" s="30"/>
      <c r="P346" s="7"/>
    </row>
    <row r="347" spans="1:16" ht="22.5">
      <c r="A347" s="8" t="s">
        <v>268</v>
      </c>
      <c r="B347" s="6"/>
      <c r="C347" s="6"/>
      <c r="D347" s="7">
        <v>8</v>
      </c>
      <c r="E347" s="7"/>
      <c r="F347" s="7">
        <f>D347</f>
        <v>8</v>
      </c>
      <c r="G347" s="7">
        <v>8</v>
      </c>
      <c r="H347" s="7"/>
      <c r="I347" s="7"/>
      <c r="J347" s="7">
        <f>G347</f>
        <v>8</v>
      </c>
      <c r="K347" s="7">
        <f>G347/D347*100</f>
        <v>100</v>
      </c>
      <c r="L347" s="7"/>
      <c r="M347" s="7"/>
      <c r="N347" s="7">
        <v>8</v>
      </c>
      <c r="O347" s="7"/>
      <c r="P347" s="7">
        <f>N347</f>
        <v>8</v>
      </c>
    </row>
    <row r="348" spans="1:16" ht="11.25">
      <c r="A348" s="5" t="s">
        <v>7</v>
      </c>
      <c r="B348" s="37"/>
      <c r="C348" s="37"/>
      <c r="D348" s="30"/>
      <c r="E348" s="30"/>
      <c r="F348" s="7"/>
      <c r="G348" s="30"/>
      <c r="H348" s="30"/>
      <c r="I348" s="30"/>
      <c r="J348" s="7"/>
      <c r="K348" s="7"/>
      <c r="L348" s="30"/>
      <c r="M348" s="30"/>
      <c r="N348" s="30"/>
      <c r="O348" s="30"/>
      <c r="P348" s="7"/>
    </row>
    <row r="349" spans="1:16" ht="22.5">
      <c r="A349" s="8" t="s">
        <v>270</v>
      </c>
      <c r="B349" s="6"/>
      <c r="C349" s="6"/>
      <c r="D349" s="7">
        <v>215000</v>
      </c>
      <c r="E349" s="7"/>
      <c r="F349" s="7">
        <f>D349</f>
        <v>215000</v>
      </c>
      <c r="G349" s="7">
        <v>250000</v>
      </c>
      <c r="H349" s="7"/>
      <c r="I349" s="7"/>
      <c r="J349" s="7">
        <f>G349</f>
        <v>250000</v>
      </c>
      <c r="K349" s="7">
        <f>G349/D349*100</f>
        <v>116.27906976744187</v>
      </c>
      <c r="L349" s="7"/>
      <c r="M349" s="7"/>
      <c r="N349" s="7">
        <v>275000</v>
      </c>
      <c r="O349" s="7"/>
      <c r="P349" s="7">
        <f>N349</f>
        <v>275000</v>
      </c>
    </row>
    <row r="350" spans="1:235" s="39" customFormat="1" ht="36" customHeight="1">
      <c r="A350" s="34" t="s">
        <v>387</v>
      </c>
      <c r="B350" s="35"/>
      <c r="C350" s="35"/>
      <c r="D350" s="45">
        <f>D354*D357</f>
        <v>163000</v>
      </c>
      <c r="E350" s="45"/>
      <c r="F350" s="45">
        <f>D350+E350</f>
        <v>163000</v>
      </c>
      <c r="G350" s="45">
        <f aca="true" t="shared" si="44" ref="G350:M350">G354*G357</f>
        <v>300000</v>
      </c>
      <c r="H350" s="45"/>
      <c r="I350" s="45"/>
      <c r="J350" s="45">
        <f t="shared" si="44"/>
        <v>300000</v>
      </c>
      <c r="K350" s="45" t="e">
        <f t="shared" si="44"/>
        <v>#REF!</v>
      </c>
      <c r="L350" s="45">
        <f t="shared" si="44"/>
        <v>0</v>
      </c>
      <c r="M350" s="45">
        <f t="shared" si="44"/>
        <v>0</v>
      </c>
      <c r="N350" s="45">
        <f>N354*N357</f>
        <v>350000</v>
      </c>
      <c r="O350" s="45"/>
      <c r="P350" s="45">
        <f>P354*P357+P355</f>
        <v>350005</v>
      </c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  <c r="CW350" s="38"/>
      <c r="CX350" s="38"/>
      <c r="CY350" s="38"/>
      <c r="CZ350" s="38"/>
      <c r="DA350" s="38"/>
      <c r="DB350" s="38"/>
      <c r="DC350" s="38"/>
      <c r="DD350" s="38"/>
      <c r="DE350" s="38"/>
      <c r="DF350" s="38"/>
      <c r="DG350" s="38"/>
      <c r="DH350" s="38"/>
      <c r="DI350" s="38"/>
      <c r="DJ350" s="38"/>
      <c r="DK350" s="38"/>
      <c r="DL350" s="38"/>
      <c r="DM350" s="38"/>
      <c r="DN350" s="38"/>
      <c r="DO350" s="38"/>
      <c r="DP350" s="38"/>
      <c r="DQ350" s="38"/>
      <c r="DR350" s="38"/>
      <c r="DS350" s="38"/>
      <c r="DT350" s="38"/>
      <c r="DU350" s="38"/>
      <c r="DV350" s="38"/>
      <c r="DW350" s="38"/>
      <c r="DX350" s="38"/>
      <c r="DY350" s="38"/>
      <c r="DZ350" s="38"/>
      <c r="EA350" s="38"/>
      <c r="EB350" s="38"/>
      <c r="EC350" s="38"/>
      <c r="ED350" s="38"/>
      <c r="EE350" s="38"/>
      <c r="EF350" s="38"/>
      <c r="EG350" s="38"/>
      <c r="EH350" s="38"/>
      <c r="EI350" s="38"/>
      <c r="EJ350" s="38"/>
      <c r="EK350" s="38"/>
      <c r="EL350" s="38"/>
      <c r="EM350" s="38"/>
      <c r="EN350" s="38"/>
      <c r="EO350" s="38"/>
      <c r="EP350" s="38"/>
      <c r="EQ350" s="38"/>
      <c r="ER350" s="38"/>
      <c r="ES350" s="38"/>
      <c r="ET350" s="38"/>
      <c r="EU350" s="38"/>
      <c r="EV350" s="38"/>
      <c r="EW350" s="38"/>
      <c r="EX350" s="38"/>
      <c r="EY350" s="38"/>
      <c r="EZ350" s="38"/>
      <c r="FA350" s="38"/>
      <c r="FB350" s="38"/>
      <c r="FC350" s="38"/>
      <c r="FD350" s="38"/>
      <c r="FE350" s="38"/>
      <c r="FF350" s="38"/>
      <c r="FG350" s="38"/>
      <c r="FH350" s="38"/>
      <c r="FI350" s="38"/>
      <c r="FJ350" s="38"/>
      <c r="FK350" s="38"/>
      <c r="FL350" s="38"/>
      <c r="FM350" s="38"/>
      <c r="FN350" s="38"/>
      <c r="FO350" s="38"/>
      <c r="FP350" s="38"/>
      <c r="FQ350" s="38"/>
      <c r="FR350" s="38"/>
      <c r="FS350" s="38"/>
      <c r="FT350" s="38"/>
      <c r="FU350" s="38"/>
      <c r="FV350" s="38"/>
      <c r="FW350" s="38"/>
      <c r="FX350" s="38"/>
      <c r="FY350" s="38"/>
      <c r="FZ350" s="38"/>
      <c r="GA350" s="38"/>
      <c r="GB350" s="38"/>
      <c r="GC350" s="38"/>
      <c r="GD350" s="38"/>
      <c r="GE350" s="38"/>
      <c r="GF350" s="38"/>
      <c r="GG350" s="38"/>
      <c r="GH350" s="38"/>
      <c r="GI350" s="38"/>
      <c r="GJ350" s="38"/>
      <c r="GK350" s="38"/>
      <c r="GL350" s="38"/>
      <c r="GM350" s="38"/>
      <c r="GN350" s="38"/>
      <c r="GO350" s="38"/>
      <c r="GP350" s="38"/>
      <c r="GQ350" s="38"/>
      <c r="GR350" s="38"/>
      <c r="GS350" s="38"/>
      <c r="GT350" s="38"/>
      <c r="GU350" s="38"/>
      <c r="GV350" s="38"/>
      <c r="GW350" s="38"/>
      <c r="GX350" s="38"/>
      <c r="GY350" s="38"/>
      <c r="GZ350" s="38"/>
      <c r="HA350" s="38"/>
      <c r="HB350" s="38"/>
      <c r="HC350" s="38"/>
      <c r="HD350" s="38"/>
      <c r="HE350" s="38"/>
      <c r="HF350" s="38"/>
      <c r="HG350" s="38"/>
      <c r="HH350" s="38"/>
      <c r="HI350" s="38"/>
      <c r="HJ350" s="38"/>
      <c r="HK350" s="38"/>
      <c r="HL350" s="38"/>
      <c r="HM350" s="38"/>
      <c r="HN350" s="38"/>
      <c r="HO350" s="38"/>
      <c r="HP350" s="38"/>
      <c r="HQ350" s="38"/>
      <c r="HR350" s="38"/>
      <c r="HS350" s="38"/>
      <c r="HT350" s="38"/>
      <c r="HU350" s="38"/>
      <c r="HV350" s="38"/>
      <c r="HW350" s="38"/>
      <c r="HX350" s="38"/>
      <c r="HY350" s="38"/>
      <c r="HZ350" s="38"/>
      <c r="IA350" s="38"/>
    </row>
    <row r="351" spans="1:16" ht="11.25">
      <c r="A351" s="5" t="s">
        <v>38</v>
      </c>
      <c r="B351" s="37"/>
      <c r="C351" s="37"/>
      <c r="D351" s="44"/>
      <c r="E351" s="44"/>
      <c r="F351" s="44"/>
      <c r="G351" s="30"/>
      <c r="H351" s="30"/>
      <c r="I351" s="30"/>
      <c r="J351" s="30"/>
      <c r="K351" s="7"/>
      <c r="L351" s="30"/>
      <c r="M351" s="30"/>
      <c r="N351" s="30"/>
      <c r="O351" s="30"/>
      <c r="P351" s="30"/>
    </row>
    <row r="352" spans="1:16" ht="23.25" customHeight="1">
      <c r="A352" s="8" t="s">
        <v>132</v>
      </c>
      <c r="B352" s="6"/>
      <c r="C352" s="6"/>
      <c r="D352" s="44">
        <v>2752</v>
      </c>
      <c r="E352" s="44"/>
      <c r="F352" s="44">
        <f>D352</f>
        <v>2752</v>
      </c>
      <c r="G352" s="44">
        <v>1752</v>
      </c>
      <c r="H352" s="44"/>
      <c r="I352" s="44"/>
      <c r="J352" s="44">
        <f>G352</f>
        <v>1752</v>
      </c>
      <c r="K352" s="7" t="e">
        <f>#REF!/G352*100</f>
        <v>#REF!</v>
      </c>
      <c r="L352" s="7"/>
      <c r="M352" s="7"/>
      <c r="N352" s="44">
        <v>952</v>
      </c>
      <c r="O352" s="44"/>
      <c r="P352" s="44">
        <f>N352</f>
        <v>952</v>
      </c>
    </row>
    <row r="353" spans="1:16" ht="11.25">
      <c r="A353" s="5" t="s">
        <v>5</v>
      </c>
      <c r="B353" s="37"/>
      <c r="C353" s="37"/>
      <c r="D353" s="44"/>
      <c r="E353" s="44"/>
      <c r="F353" s="44"/>
      <c r="G353" s="30"/>
      <c r="H353" s="30"/>
      <c r="I353" s="30"/>
      <c r="J353" s="7"/>
      <c r="K353" s="7"/>
      <c r="L353" s="30"/>
      <c r="M353" s="30"/>
      <c r="N353" s="30"/>
      <c r="O353" s="30"/>
      <c r="P353" s="7"/>
    </row>
    <row r="354" spans="1:16" ht="24" customHeight="1">
      <c r="A354" s="8" t="s">
        <v>130</v>
      </c>
      <c r="B354" s="6"/>
      <c r="C354" s="6"/>
      <c r="D354" s="44">
        <v>1000</v>
      </c>
      <c r="E354" s="44"/>
      <c r="F354" s="44">
        <f>D354</f>
        <v>1000</v>
      </c>
      <c r="G354" s="44">
        <v>800</v>
      </c>
      <c r="H354" s="44"/>
      <c r="I354" s="44"/>
      <c r="J354" s="44">
        <f>G354</f>
        <v>800</v>
      </c>
      <c r="K354" s="7" t="e">
        <f>#REF!/G354*100</f>
        <v>#REF!</v>
      </c>
      <c r="L354" s="7"/>
      <c r="M354" s="7"/>
      <c r="N354" s="44">
        <v>875</v>
      </c>
      <c r="O354" s="44"/>
      <c r="P354" s="44">
        <f>N354</f>
        <v>875</v>
      </c>
    </row>
    <row r="355" spans="1:16" ht="33.75" customHeight="1">
      <c r="A355" s="8" t="s">
        <v>202</v>
      </c>
      <c r="B355" s="6"/>
      <c r="C355" s="6"/>
      <c r="D355" s="44"/>
      <c r="E355" s="44"/>
      <c r="F355" s="44"/>
      <c r="G355" s="44">
        <v>0</v>
      </c>
      <c r="H355" s="44"/>
      <c r="I355" s="44"/>
      <c r="J355" s="44"/>
      <c r="K355" s="7"/>
      <c r="L355" s="7"/>
      <c r="M355" s="7"/>
      <c r="N355" s="44">
        <v>5</v>
      </c>
      <c r="O355" s="44"/>
      <c r="P355" s="44">
        <f>N355</f>
        <v>5</v>
      </c>
    </row>
    <row r="356" spans="1:16" ht="11.25">
      <c r="A356" s="5" t="s">
        <v>7</v>
      </c>
      <c r="B356" s="37"/>
      <c r="C356" s="37"/>
      <c r="D356" s="44"/>
      <c r="E356" s="44"/>
      <c r="F356" s="44"/>
      <c r="G356" s="44"/>
      <c r="H356" s="44"/>
      <c r="I356" s="44"/>
      <c r="J356" s="44"/>
      <c r="K356" s="7"/>
      <c r="L356" s="30"/>
      <c r="M356" s="30"/>
      <c r="N356" s="44"/>
      <c r="O356" s="44"/>
      <c r="P356" s="44"/>
    </row>
    <row r="357" spans="1:16" ht="24" customHeight="1">
      <c r="A357" s="8" t="s">
        <v>40</v>
      </c>
      <c r="B357" s="6"/>
      <c r="C357" s="6"/>
      <c r="D357" s="44">
        <v>163</v>
      </c>
      <c r="E357" s="44"/>
      <c r="F357" s="44">
        <f>D357</f>
        <v>163</v>
      </c>
      <c r="G357" s="44">
        <v>375</v>
      </c>
      <c r="H357" s="44"/>
      <c r="I357" s="44"/>
      <c r="J357" s="44">
        <f>G357</f>
        <v>375</v>
      </c>
      <c r="K357" s="7" t="e">
        <f>#REF!/G357*100</f>
        <v>#REF!</v>
      </c>
      <c r="L357" s="7"/>
      <c r="M357" s="7"/>
      <c r="N357" s="44">
        <v>400</v>
      </c>
      <c r="O357" s="44"/>
      <c r="P357" s="44">
        <f>N357</f>
        <v>400</v>
      </c>
    </row>
    <row r="358" spans="1:16" ht="11.25">
      <c r="A358" s="54" t="s">
        <v>6</v>
      </c>
      <c r="B358" s="55"/>
      <c r="C358" s="55"/>
      <c r="D358" s="48"/>
      <c r="E358" s="48"/>
      <c r="F358" s="48"/>
      <c r="G358" s="23"/>
      <c r="H358" s="23"/>
      <c r="I358" s="23"/>
      <c r="J358" s="23"/>
      <c r="K358" s="23"/>
      <c r="L358" s="23"/>
      <c r="M358" s="23"/>
      <c r="N358" s="23"/>
      <c r="O358" s="23"/>
      <c r="P358" s="23"/>
    </row>
    <row r="359" spans="1:235" s="22" customFormat="1" ht="39" customHeight="1">
      <c r="A359" s="8" t="s">
        <v>131</v>
      </c>
      <c r="B359" s="6"/>
      <c r="C359" s="6"/>
      <c r="D359" s="44">
        <f>D354/D352*100</f>
        <v>36.337209302325576</v>
      </c>
      <c r="E359" s="44"/>
      <c r="F359" s="44">
        <f>D359</f>
        <v>36.337209302325576</v>
      </c>
      <c r="G359" s="44">
        <f>G354/G352*100</f>
        <v>45.662100456621005</v>
      </c>
      <c r="H359" s="44"/>
      <c r="I359" s="44"/>
      <c r="J359" s="44">
        <f>G359</f>
        <v>45.662100456621005</v>
      </c>
      <c r="K359" s="7"/>
      <c r="L359" s="7"/>
      <c r="M359" s="7"/>
      <c r="N359" s="44">
        <f>N354/N352*100</f>
        <v>91.91176470588235</v>
      </c>
      <c r="O359" s="44"/>
      <c r="P359" s="44">
        <f>N359</f>
        <v>91.91176470588235</v>
      </c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</row>
    <row r="360" spans="1:235" s="22" customFormat="1" ht="45.75" customHeight="1">
      <c r="A360" s="34" t="s">
        <v>396</v>
      </c>
      <c r="B360" s="6"/>
      <c r="C360" s="6"/>
      <c r="D360" s="44"/>
      <c r="E360" s="44"/>
      <c r="F360" s="44"/>
      <c r="G360" s="57">
        <f>G362</f>
        <v>250000</v>
      </c>
      <c r="H360" s="44"/>
      <c r="I360" s="44"/>
      <c r="J360" s="44">
        <f>G360</f>
        <v>250000</v>
      </c>
      <c r="K360" s="7"/>
      <c r="L360" s="7"/>
      <c r="M360" s="7"/>
      <c r="N360" s="44"/>
      <c r="O360" s="44"/>
      <c r="P360" s="44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15" customHeight="1">
      <c r="A361" s="5" t="s">
        <v>38</v>
      </c>
      <c r="B361" s="6"/>
      <c r="C361" s="6"/>
      <c r="D361" s="44"/>
      <c r="E361" s="44"/>
      <c r="F361" s="44"/>
      <c r="G361" s="44"/>
      <c r="H361" s="44"/>
      <c r="I361" s="44"/>
      <c r="J361" s="44"/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22.5" customHeight="1">
      <c r="A362" s="8" t="s">
        <v>399</v>
      </c>
      <c r="B362" s="6"/>
      <c r="C362" s="6"/>
      <c r="D362" s="44"/>
      <c r="E362" s="44"/>
      <c r="F362" s="44"/>
      <c r="G362" s="44">
        <f>G364*G366</f>
        <v>250000</v>
      </c>
      <c r="H362" s="44"/>
      <c r="I362" s="44"/>
      <c r="J362" s="44">
        <f>G362</f>
        <v>250000</v>
      </c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15.75" customHeight="1">
      <c r="A363" s="5" t="s">
        <v>5</v>
      </c>
      <c r="B363" s="6"/>
      <c r="C363" s="6"/>
      <c r="D363" s="44"/>
      <c r="E363" s="44"/>
      <c r="F363" s="44"/>
      <c r="G363" s="44"/>
      <c r="H363" s="44"/>
      <c r="I363" s="44"/>
      <c r="J363" s="44"/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22.5" customHeight="1">
      <c r="A364" s="8" t="s">
        <v>397</v>
      </c>
      <c r="B364" s="6"/>
      <c r="C364" s="6"/>
      <c r="D364" s="44"/>
      <c r="E364" s="44"/>
      <c r="F364" s="44"/>
      <c r="G364" s="44">
        <v>5000</v>
      </c>
      <c r="H364" s="44"/>
      <c r="I364" s="44"/>
      <c r="J364" s="44">
        <f>G364</f>
        <v>5000</v>
      </c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22.5" customHeight="1">
      <c r="A365" s="5" t="s">
        <v>7</v>
      </c>
      <c r="B365" s="6"/>
      <c r="C365" s="6"/>
      <c r="D365" s="44"/>
      <c r="E365" s="44"/>
      <c r="F365" s="44"/>
      <c r="G365" s="44"/>
      <c r="H365" s="44"/>
      <c r="I365" s="44"/>
      <c r="J365" s="44"/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2.5" customHeight="1">
      <c r="A366" s="8" t="s">
        <v>398</v>
      </c>
      <c r="B366" s="6"/>
      <c r="C366" s="6"/>
      <c r="D366" s="44"/>
      <c r="E366" s="44"/>
      <c r="F366" s="44"/>
      <c r="G366" s="44">
        <v>50</v>
      </c>
      <c r="H366" s="44"/>
      <c r="I366" s="44"/>
      <c r="J366" s="44">
        <f>G366</f>
        <v>50</v>
      </c>
      <c r="K366" s="7"/>
      <c r="L366" s="7"/>
      <c r="M366" s="7"/>
      <c r="N366" s="44"/>
      <c r="O366" s="44"/>
      <c r="P366" s="44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16.5" customHeight="1">
      <c r="A367" s="54" t="s">
        <v>6</v>
      </c>
      <c r="B367" s="6"/>
      <c r="C367" s="6"/>
      <c r="D367" s="44"/>
      <c r="E367" s="44"/>
      <c r="F367" s="44"/>
      <c r="G367" s="44"/>
      <c r="H367" s="44"/>
      <c r="I367" s="44"/>
      <c r="J367" s="44"/>
      <c r="K367" s="7"/>
      <c r="L367" s="7"/>
      <c r="M367" s="7"/>
      <c r="N367" s="44"/>
      <c r="O367" s="44"/>
      <c r="P367" s="44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22" customFormat="1" ht="22.5" customHeight="1">
      <c r="A368" s="8" t="s">
        <v>131</v>
      </c>
      <c r="B368" s="6"/>
      <c r="C368" s="6"/>
      <c r="D368" s="44"/>
      <c r="E368" s="44"/>
      <c r="F368" s="44"/>
      <c r="G368" s="44"/>
      <c r="H368" s="44"/>
      <c r="I368" s="44"/>
      <c r="J368" s="44"/>
      <c r="K368" s="7"/>
      <c r="L368" s="7"/>
      <c r="M368" s="7"/>
      <c r="N368" s="44"/>
      <c r="O368" s="44"/>
      <c r="P368" s="44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  <c r="EG368" s="56"/>
      <c r="EH368" s="56"/>
      <c r="EI368" s="56"/>
      <c r="EJ368" s="56"/>
      <c r="EK368" s="56"/>
      <c r="EL368" s="56"/>
      <c r="EM368" s="56"/>
      <c r="EN368" s="56"/>
      <c r="EO368" s="56"/>
      <c r="EP368" s="56"/>
      <c r="EQ368" s="56"/>
      <c r="ER368" s="56"/>
      <c r="ES368" s="56"/>
      <c r="ET368" s="56"/>
      <c r="EU368" s="56"/>
      <c r="EV368" s="56"/>
      <c r="EW368" s="56"/>
      <c r="EX368" s="56"/>
      <c r="EY368" s="56"/>
      <c r="EZ368" s="56"/>
      <c r="FA368" s="56"/>
      <c r="FB368" s="56"/>
      <c r="FC368" s="56"/>
      <c r="FD368" s="56"/>
      <c r="FE368" s="56"/>
      <c r="FF368" s="56"/>
      <c r="FG368" s="56"/>
      <c r="FH368" s="56"/>
      <c r="FI368" s="56"/>
      <c r="FJ368" s="56"/>
      <c r="FK368" s="56"/>
      <c r="FL368" s="56"/>
      <c r="FM368" s="56"/>
      <c r="FN368" s="56"/>
      <c r="FO368" s="56"/>
      <c r="FP368" s="56"/>
      <c r="FQ368" s="56"/>
      <c r="FR368" s="56"/>
      <c r="FS368" s="56"/>
      <c r="FT368" s="56"/>
      <c r="FU368" s="56"/>
      <c r="FV368" s="56"/>
      <c r="FW368" s="56"/>
      <c r="FX368" s="56"/>
      <c r="FY368" s="56"/>
      <c r="FZ368" s="56"/>
      <c r="GA368" s="56"/>
      <c r="GB368" s="56"/>
      <c r="GC368" s="56"/>
      <c r="GD368" s="56"/>
      <c r="GE368" s="56"/>
      <c r="GF368" s="56"/>
      <c r="GG368" s="56"/>
      <c r="GH368" s="56"/>
      <c r="GI368" s="56"/>
      <c r="GJ368" s="56"/>
      <c r="GK368" s="56"/>
      <c r="GL368" s="56"/>
      <c r="GM368" s="56"/>
      <c r="GN368" s="56"/>
      <c r="GO368" s="56"/>
      <c r="GP368" s="56"/>
      <c r="GQ368" s="56"/>
      <c r="GR368" s="56"/>
      <c r="GS368" s="56"/>
      <c r="GT368" s="56"/>
      <c r="GU368" s="56"/>
      <c r="GV368" s="56"/>
      <c r="GW368" s="56"/>
      <c r="GX368" s="56"/>
      <c r="GY368" s="56"/>
      <c r="GZ368" s="56"/>
      <c r="HA368" s="56"/>
      <c r="HB368" s="56"/>
      <c r="HC368" s="56"/>
      <c r="HD368" s="56"/>
      <c r="HE368" s="56"/>
      <c r="HF368" s="56"/>
      <c r="HG368" s="56"/>
      <c r="HH368" s="56"/>
      <c r="HI368" s="56"/>
      <c r="HJ368" s="56"/>
      <c r="HK368" s="56"/>
      <c r="HL368" s="56"/>
      <c r="HM368" s="56"/>
      <c r="HN368" s="56"/>
      <c r="HO368" s="56"/>
      <c r="HP368" s="56"/>
      <c r="HQ368" s="56"/>
      <c r="HR368" s="56"/>
      <c r="HS368" s="56"/>
      <c r="HT368" s="56"/>
      <c r="HU368" s="56"/>
      <c r="HV368" s="56"/>
      <c r="HW368" s="56"/>
      <c r="HX368" s="56"/>
      <c r="HY368" s="56"/>
      <c r="HZ368" s="56"/>
      <c r="IA368" s="56"/>
    </row>
    <row r="369" spans="1:235" s="22" customFormat="1" ht="24" customHeight="1">
      <c r="A369" s="37" t="s">
        <v>302</v>
      </c>
      <c r="B369" s="20"/>
      <c r="C369" s="20"/>
      <c r="D369" s="57">
        <f>D371+D381</f>
        <v>312380.003</v>
      </c>
      <c r="E369" s="57"/>
      <c r="F369" s="57">
        <f>F371+F381</f>
        <v>312380.003</v>
      </c>
      <c r="G369" s="57">
        <f>G371+G381</f>
        <v>343775</v>
      </c>
      <c r="H369" s="57"/>
      <c r="I369" s="57"/>
      <c r="J369" s="57">
        <f>J371+J381</f>
        <v>343775</v>
      </c>
      <c r="K369" s="57"/>
      <c r="L369" s="57"/>
      <c r="M369" s="57"/>
      <c r="N369" s="57">
        <f>N371+N381</f>
        <v>352520</v>
      </c>
      <c r="O369" s="57"/>
      <c r="P369" s="57">
        <f>P371+P381</f>
        <v>352520</v>
      </c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56"/>
      <c r="CQ369" s="56"/>
      <c r="CR369" s="56"/>
      <c r="CS369" s="56"/>
      <c r="CT369" s="56"/>
      <c r="CU369" s="56"/>
      <c r="CV369" s="56"/>
      <c r="CW369" s="56"/>
      <c r="CX369" s="56"/>
      <c r="CY369" s="56"/>
      <c r="CZ369" s="56"/>
      <c r="DA369" s="56"/>
      <c r="DB369" s="56"/>
      <c r="DC369" s="56"/>
      <c r="DD369" s="56"/>
      <c r="DE369" s="56"/>
      <c r="DF369" s="56"/>
      <c r="DG369" s="56"/>
      <c r="DH369" s="56"/>
      <c r="DI369" s="56"/>
      <c r="DJ369" s="56"/>
      <c r="DK369" s="56"/>
      <c r="DL369" s="56"/>
      <c r="DM369" s="56"/>
      <c r="DN369" s="56"/>
      <c r="DO369" s="56"/>
      <c r="DP369" s="56"/>
      <c r="DQ369" s="56"/>
      <c r="DR369" s="56"/>
      <c r="DS369" s="56"/>
      <c r="DT369" s="56"/>
      <c r="DU369" s="56"/>
      <c r="DV369" s="56"/>
      <c r="DW369" s="56"/>
      <c r="DX369" s="56"/>
      <c r="DY369" s="56"/>
      <c r="DZ369" s="56"/>
      <c r="EA369" s="56"/>
      <c r="EB369" s="56"/>
      <c r="EC369" s="56"/>
      <c r="ED369" s="56"/>
      <c r="EE369" s="56"/>
      <c r="EF369" s="56"/>
      <c r="EG369" s="56"/>
      <c r="EH369" s="56"/>
      <c r="EI369" s="56"/>
      <c r="EJ369" s="56"/>
      <c r="EK369" s="56"/>
      <c r="EL369" s="56"/>
      <c r="EM369" s="56"/>
      <c r="EN369" s="56"/>
      <c r="EO369" s="56"/>
      <c r="EP369" s="56"/>
      <c r="EQ369" s="56"/>
      <c r="ER369" s="56"/>
      <c r="ES369" s="56"/>
      <c r="ET369" s="56"/>
      <c r="EU369" s="56"/>
      <c r="EV369" s="56"/>
      <c r="EW369" s="56"/>
      <c r="EX369" s="56"/>
      <c r="EY369" s="56"/>
      <c r="EZ369" s="56"/>
      <c r="FA369" s="56"/>
      <c r="FB369" s="56"/>
      <c r="FC369" s="56"/>
      <c r="FD369" s="56"/>
      <c r="FE369" s="56"/>
      <c r="FF369" s="56"/>
      <c r="FG369" s="56"/>
      <c r="FH369" s="56"/>
      <c r="FI369" s="56"/>
      <c r="FJ369" s="56"/>
      <c r="FK369" s="56"/>
      <c r="FL369" s="56"/>
      <c r="FM369" s="56"/>
      <c r="FN369" s="56"/>
      <c r="FO369" s="56"/>
      <c r="FP369" s="56"/>
      <c r="FQ369" s="56"/>
      <c r="FR369" s="56"/>
      <c r="FS369" s="56"/>
      <c r="FT369" s="56"/>
      <c r="FU369" s="56"/>
      <c r="FV369" s="56"/>
      <c r="FW369" s="56"/>
      <c r="FX369" s="56"/>
      <c r="FY369" s="56"/>
      <c r="FZ369" s="56"/>
      <c r="GA369" s="56"/>
      <c r="GB369" s="56"/>
      <c r="GC369" s="56"/>
      <c r="GD369" s="56"/>
      <c r="GE369" s="56"/>
      <c r="GF369" s="56"/>
      <c r="GG369" s="56"/>
      <c r="GH369" s="56"/>
      <c r="GI369" s="56"/>
      <c r="GJ369" s="56"/>
      <c r="GK369" s="56"/>
      <c r="GL369" s="56"/>
      <c r="GM369" s="56"/>
      <c r="GN369" s="56"/>
      <c r="GO369" s="56"/>
      <c r="GP369" s="56"/>
      <c r="GQ369" s="56"/>
      <c r="GR369" s="56"/>
      <c r="GS369" s="56"/>
      <c r="GT369" s="56"/>
      <c r="GU369" s="56"/>
      <c r="GV369" s="56"/>
      <c r="GW369" s="56"/>
      <c r="GX369" s="56"/>
      <c r="GY369" s="56"/>
      <c r="GZ369" s="56"/>
      <c r="HA369" s="56"/>
      <c r="HB369" s="56"/>
      <c r="HC369" s="56"/>
      <c r="HD369" s="56"/>
      <c r="HE369" s="56"/>
      <c r="HF369" s="56"/>
      <c r="HG369" s="56"/>
      <c r="HH369" s="56"/>
      <c r="HI369" s="56"/>
      <c r="HJ369" s="56"/>
      <c r="HK369" s="56"/>
      <c r="HL369" s="56"/>
      <c r="HM369" s="56"/>
      <c r="HN369" s="56"/>
      <c r="HO369" s="56"/>
      <c r="HP369" s="56"/>
      <c r="HQ369" s="56"/>
      <c r="HR369" s="56"/>
      <c r="HS369" s="56"/>
      <c r="HT369" s="56"/>
      <c r="HU369" s="56"/>
      <c r="HV369" s="56"/>
      <c r="HW369" s="56"/>
      <c r="HX369" s="56"/>
      <c r="HY369" s="56"/>
      <c r="HZ369" s="56"/>
      <c r="IA369" s="56"/>
    </row>
    <row r="370" spans="1:235" s="22" customFormat="1" ht="24" customHeight="1">
      <c r="A370" s="8" t="s">
        <v>279</v>
      </c>
      <c r="B370" s="20"/>
      <c r="C370" s="20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6"/>
      <c r="DE370" s="56"/>
      <c r="DF370" s="56"/>
      <c r="DG370" s="56"/>
      <c r="DH370" s="56"/>
      <c r="DI370" s="56"/>
      <c r="DJ370" s="56"/>
      <c r="DK370" s="56"/>
      <c r="DL370" s="56"/>
      <c r="DM370" s="56"/>
      <c r="DN370" s="56"/>
      <c r="DO370" s="56"/>
      <c r="DP370" s="56"/>
      <c r="DQ370" s="56"/>
      <c r="DR370" s="56"/>
      <c r="DS370" s="56"/>
      <c r="DT370" s="56"/>
      <c r="DU370" s="56"/>
      <c r="DV370" s="56"/>
      <c r="DW370" s="56"/>
      <c r="DX370" s="56"/>
      <c r="DY370" s="56"/>
      <c r="DZ370" s="56"/>
      <c r="EA370" s="56"/>
      <c r="EB370" s="56"/>
      <c r="EC370" s="56"/>
      <c r="ED370" s="56"/>
      <c r="EE370" s="56"/>
      <c r="EF370" s="56"/>
      <c r="EG370" s="56"/>
      <c r="EH370" s="56"/>
      <c r="EI370" s="56"/>
      <c r="EJ370" s="56"/>
      <c r="EK370" s="56"/>
      <c r="EL370" s="56"/>
      <c r="EM370" s="56"/>
      <c r="EN370" s="56"/>
      <c r="EO370" s="56"/>
      <c r="EP370" s="56"/>
      <c r="EQ370" s="56"/>
      <c r="ER370" s="56"/>
      <c r="ES370" s="56"/>
      <c r="ET370" s="56"/>
      <c r="EU370" s="56"/>
      <c r="EV370" s="56"/>
      <c r="EW370" s="56"/>
      <c r="EX370" s="56"/>
      <c r="EY370" s="56"/>
      <c r="EZ370" s="56"/>
      <c r="FA370" s="56"/>
      <c r="FB370" s="56"/>
      <c r="FC370" s="56"/>
      <c r="FD370" s="56"/>
      <c r="FE370" s="56"/>
      <c r="FF370" s="56"/>
      <c r="FG370" s="56"/>
      <c r="FH370" s="56"/>
      <c r="FI370" s="56"/>
      <c r="FJ370" s="56"/>
      <c r="FK370" s="56"/>
      <c r="FL370" s="56"/>
      <c r="FM370" s="56"/>
      <c r="FN370" s="56"/>
      <c r="FO370" s="56"/>
      <c r="FP370" s="56"/>
      <c r="FQ370" s="56"/>
      <c r="FR370" s="56"/>
      <c r="FS370" s="56"/>
      <c r="FT370" s="56"/>
      <c r="FU370" s="56"/>
      <c r="FV370" s="56"/>
      <c r="FW370" s="56"/>
      <c r="FX370" s="56"/>
      <c r="FY370" s="56"/>
      <c r="FZ370" s="56"/>
      <c r="GA370" s="56"/>
      <c r="GB370" s="56"/>
      <c r="GC370" s="56"/>
      <c r="GD370" s="56"/>
      <c r="GE370" s="56"/>
      <c r="GF370" s="56"/>
      <c r="GG370" s="56"/>
      <c r="GH370" s="56"/>
      <c r="GI370" s="56"/>
      <c r="GJ370" s="56"/>
      <c r="GK370" s="56"/>
      <c r="GL370" s="56"/>
      <c r="GM370" s="56"/>
      <c r="GN370" s="56"/>
      <c r="GO370" s="56"/>
      <c r="GP370" s="56"/>
      <c r="GQ370" s="56"/>
      <c r="GR370" s="56"/>
      <c r="GS370" s="56"/>
      <c r="GT370" s="56"/>
      <c r="GU370" s="56"/>
      <c r="GV370" s="56"/>
      <c r="GW370" s="56"/>
      <c r="GX370" s="56"/>
      <c r="GY370" s="56"/>
      <c r="GZ370" s="56"/>
      <c r="HA370" s="56"/>
      <c r="HB370" s="56"/>
      <c r="HC370" s="56"/>
      <c r="HD370" s="56"/>
      <c r="HE370" s="56"/>
      <c r="HF370" s="56"/>
      <c r="HG370" s="56"/>
      <c r="HH370" s="56"/>
      <c r="HI370" s="56"/>
      <c r="HJ370" s="56"/>
      <c r="HK370" s="56"/>
      <c r="HL370" s="56"/>
      <c r="HM370" s="56"/>
      <c r="HN370" s="56"/>
      <c r="HO370" s="56"/>
      <c r="HP370" s="56"/>
      <c r="HQ370" s="56"/>
      <c r="HR370" s="56"/>
      <c r="HS370" s="56"/>
      <c r="HT370" s="56"/>
      <c r="HU370" s="56"/>
      <c r="HV370" s="56"/>
      <c r="HW370" s="56"/>
      <c r="HX370" s="56"/>
      <c r="HY370" s="56"/>
      <c r="HZ370" s="56"/>
      <c r="IA370" s="56"/>
    </row>
    <row r="371" spans="1:235" s="60" customFormat="1" ht="44.25" customHeight="1">
      <c r="A371" s="58" t="s">
        <v>403</v>
      </c>
      <c r="B371" s="58"/>
      <c r="C371" s="58"/>
      <c r="D371" s="45">
        <f>D373+D374</f>
        <v>209000.003</v>
      </c>
      <c r="E371" s="45"/>
      <c r="F371" s="45">
        <f>F373+F374</f>
        <v>209000.003</v>
      </c>
      <c r="G371" s="45">
        <f>G373+G374</f>
        <v>224075</v>
      </c>
      <c r="H371" s="45"/>
      <c r="I371" s="45"/>
      <c r="J371" s="45">
        <f>J373+J374</f>
        <v>224075</v>
      </c>
      <c r="K371" s="45"/>
      <c r="L371" s="45"/>
      <c r="M371" s="45"/>
      <c r="N371" s="45">
        <f>N373+N374</f>
        <v>237530</v>
      </c>
      <c r="O371" s="45"/>
      <c r="P371" s="45">
        <f>P373+P374</f>
        <v>237530</v>
      </c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  <c r="EN371" s="59"/>
      <c r="EO371" s="59"/>
      <c r="EP371" s="59"/>
      <c r="EQ371" s="59"/>
      <c r="ER371" s="59"/>
      <c r="ES371" s="59"/>
      <c r="ET371" s="59"/>
      <c r="EU371" s="59"/>
      <c r="EV371" s="59"/>
      <c r="EW371" s="59"/>
      <c r="EX371" s="59"/>
      <c r="EY371" s="59"/>
      <c r="EZ371" s="59"/>
      <c r="FA371" s="59"/>
      <c r="FB371" s="59"/>
      <c r="FC371" s="59"/>
      <c r="FD371" s="59"/>
      <c r="FE371" s="59"/>
      <c r="FF371" s="59"/>
      <c r="FG371" s="59"/>
      <c r="FH371" s="59"/>
      <c r="FI371" s="59"/>
      <c r="FJ371" s="59"/>
      <c r="FK371" s="59"/>
      <c r="FL371" s="59"/>
      <c r="FM371" s="59"/>
      <c r="FN371" s="59"/>
      <c r="FO371" s="59"/>
      <c r="FP371" s="59"/>
      <c r="FQ371" s="59"/>
      <c r="FR371" s="59"/>
      <c r="FS371" s="59"/>
      <c r="FT371" s="59"/>
      <c r="FU371" s="59"/>
      <c r="FV371" s="59"/>
      <c r="FW371" s="59"/>
      <c r="FX371" s="59"/>
      <c r="FY371" s="59"/>
      <c r="FZ371" s="59"/>
      <c r="GA371" s="59"/>
      <c r="GB371" s="59"/>
      <c r="GC371" s="59"/>
      <c r="GD371" s="59"/>
      <c r="GE371" s="59"/>
      <c r="GF371" s="59"/>
      <c r="GG371" s="59"/>
      <c r="GH371" s="59"/>
      <c r="GI371" s="59"/>
      <c r="GJ371" s="59"/>
      <c r="GK371" s="59"/>
      <c r="GL371" s="59"/>
      <c r="GM371" s="59"/>
      <c r="GN371" s="59"/>
      <c r="GO371" s="59"/>
      <c r="GP371" s="59"/>
      <c r="GQ371" s="59"/>
      <c r="GR371" s="59"/>
      <c r="GS371" s="59"/>
      <c r="GT371" s="59"/>
      <c r="GU371" s="59"/>
      <c r="GV371" s="59"/>
      <c r="GW371" s="59"/>
      <c r="GX371" s="59"/>
      <c r="GY371" s="59"/>
      <c r="GZ371" s="59"/>
      <c r="HA371" s="59"/>
      <c r="HB371" s="59"/>
      <c r="HC371" s="59"/>
      <c r="HD371" s="59"/>
      <c r="HE371" s="59"/>
      <c r="HF371" s="59"/>
      <c r="HG371" s="59"/>
      <c r="HH371" s="59"/>
      <c r="HI371" s="59"/>
      <c r="HJ371" s="59"/>
      <c r="HK371" s="59"/>
      <c r="HL371" s="59"/>
      <c r="HM371" s="59"/>
      <c r="HN371" s="59"/>
      <c r="HO371" s="59"/>
      <c r="HP371" s="59"/>
      <c r="HQ371" s="59"/>
      <c r="HR371" s="59"/>
      <c r="HS371" s="59"/>
      <c r="HT371" s="59"/>
      <c r="HU371" s="59"/>
      <c r="HV371" s="59"/>
      <c r="HW371" s="59"/>
      <c r="HX371" s="59"/>
      <c r="HY371" s="59"/>
      <c r="HZ371" s="59"/>
      <c r="IA371" s="59"/>
    </row>
    <row r="372" spans="1:16" ht="11.25">
      <c r="A372" s="61" t="s">
        <v>4</v>
      </c>
      <c r="B372" s="61"/>
      <c r="C372" s="61"/>
      <c r="D372" s="62"/>
      <c r="E372" s="62"/>
      <c r="F372" s="62"/>
      <c r="G372" s="62"/>
      <c r="H372" s="62"/>
      <c r="I372" s="62"/>
      <c r="J372" s="62"/>
      <c r="K372" s="63"/>
      <c r="L372" s="62"/>
      <c r="M372" s="62"/>
      <c r="N372" s="62"/>
      <c r="O372" s="62"/>
      <c r="P372" s="62"/>
    </row>
    <row r="373" spans="1:16" ht="33.75">
      <c r="A373" s="11" t="s">
        <v>391</v>
      </c>
      <c r="B373" s="11"/>
      <c r="C373" s="11"/>
      <c r="D373" s="43">
        <f>D376*D379</f>
        <v>132000.003</v>
      </c>
      <c r="E373" s="43"/>
      <c r="F373" s="43">
        <f>F376*F379</f>
        <v>132000.003</v>
      </c>
      <c r="G373" s="43">
        <f>G376*G379</f>
        <v>141525</v>
      </c>
      <c r="H373" s="43"/>
      <c r="I373" s="43"/>
      <c r="J373" s="43">
        <f>J376*J379</f>
        <v>141525</v>
      </c>
      <c r="K373" s="43">
        <f>G373/D373*100</f>
        <v>107.21590665418394</v>
      </c>
      <c r="L373" s="43"/>
      <c r="M373" s="43"/>
      <c r="N373" s="43">
        <f>N376*N379</f>
        <v>150030</v>
      </c>
      <c r="O373" s="43"/>
      <c r="P373" s="43">
        <f>P376*P379</f>
        <v>150030</v>
      </c>
    </row>
    <row r="374" spans="1:16" ht="36.75" customHeight="1">
      <c r="A374" s="11" t="s">
        <v>392</v>
      </c>
      <c r="B374" s="11"/>
      <c r="C374" s="11"/>
      <c r="D374" s="43">
        <f>D377*D380</f>
        <v>77000</v>
      </c>
      <c r="E374" s="43"/>
      <c r="F374" s="43">
        <f>F377*F380</f>
        <v>77000</v>
      </c>
      <c r="G374" s="43">
        <f>G377*G380</f>
        <v>82550</v>
      </c>
      <c r="H374" s="43"/>
      <c r="I374" s="43"/>
      <c r="J374" s="43">
        <f>J377*J380</f>
        <v>82550</v>
      </c>
      <c r="K374" s="43"/>
      <c r="L374" s="43"/>
      <c r="M374" s="43"/>
      <c r="N374" s="43">
        <f>N377*N380</f>
        <v>87500</v>
      </c>
      <c r="O374" s="43"/>
      <c r="P374" s="43">
        <f>P377*P380</f>
        <v>87500</v>
      </c>
    </row>
    <row r="375" spans="1:16" ht="11.25">
      <c r="A375" s="13" t="s">
        <v>5</v>
      </c>
      <c r="B375" s="13"/>
      <c r="C375" s="13"/>
      <c r="D375" s="10"/>
      <c r="E375" s="10"/>
      <c r="F375" s="43"/>
      <c r="G375" s="10"/>
      <c r="H375" s="10"/>
      <c r="I375" s="10"/>
      <c r="J375" s="43"/>
      <c r="K375" s="43"/>
      <c r="L375" s="10"/>
      <c r="M375" s="10"/>
      <c r="N375" s="10"/>
      <c r="O375" s="10"/>
      <c r="P375" s="43"/>
    </row>
    <row r="376" spans="1:16" ht="25.5" customHeight="1">
      <c r="A376" s="11" t="s">
        <v>281</v>
      </c>
      <c r="B376" s="11"/>
      <c r="C376" s="11"/>
      <c r="D376" s="43">
        <v>9</v>
      </c>
      <c r="E376" s="43"/>
      <c r="F376" s="43">
        <f>D376</f>
        <v>9</v>
      </c>
      <c r="G376" s="43">
        <v>9</v>
      </c>
      <c r="H376" s="43"/>
      <c r="I376" s="43"/>
      <c r="J376" s="43">
        <f>G376+H376</f>
        <v>9</v>
      </c>
      <c r="K376" s="43">
        <f>G376/D376*100</f>
        <v>100</v>
      </c>
      <c r="L376" s="43"/>
      <c r="M376" s="43"/>
      <c r="N376" s="43">
        <v>9</v>
      </c>
      <c r="O376" s="43"/>
      <c r="P376" s="43">
        <f>N376</f>
        <v>9</v>
      </c>
    </row>
    <row r="377" spans="1:16" ht="25.5" customHeight="1">
      <c r="A377" s="11" t="s">
        <v>280</v>
      </c>
      <c r="B377" s="11"/>
      <c r="C377" s="11"/>
      <c r="D377" s="43">
        <v>10</v>
      </c>
      <c r="E377" s="43"/>
      <c r="F377" s="43">
        <v>10</v>
      </c>
      <c r="G377" s="43">
        <v>10</v>
      </c>
      <c r="H377" s="43"/>
      <c r="I377" s="43"/>
      <c r="J377" s="43">
        <v>10</v>
      </c>
      <c r="K377" s="43"/>
      <c r="L377" s="43"/>
      <c r="M377" s="43"/>
      <c r="N377" s="43">
        <v>10</v>
      </c>
      <c r="O377" s="43"/>
      <c r="P377" s="43">
        <v>10</v>
      </c>
    </row>
    <row r="378" spans="1:16" ht="11.25">
      <c r="A378" s="13" t="s">
        <v>7</v>
      </c>
      <c r="B378" s="13"/>
      <c r="C378" s="13"/>
      <c r="D378" s="64"/>
      <c r="E378" s="64"/>
      <c r="F378" s="65"/>
      <c r="G378" s="64"/>
      <c r="H378" s="64"/>
      <c r="I378" s="64"/>
      <c r="J378" s="65"/>
      <c r="K378" s="65"/>
      <c r="L378" s="64"/>
      <c r="M378" s="64"/>
      <c r="N378" s="64"/>
      <c r="O378" s="64"/>
      <c r="P378" s="65"/>
    </row>
    <row r="379" spans="1:16" ht="33.75">
      <c r="A379" s="11" t="s">
        <v>282</v>
      </c>
      <c r="B379" s="11"/>
      <c r="C379" s="11"/>
      <c r="D379" s="65">
        <v>14666.667</v>
      </c>
      <c r="E379" s="65"/>
      <c r="F379" s="65">
        <f>D379</f>
        <v>14666.667</v>
      </c>
      <c r="G379" s="65">
        <v>15725</v>
      </c>
      <c r="H379" s="65"/>
      <c r="I379" s="65"/>
      <c r="J379" s="65">
        <f>G379</f>
        <v>15725</v>
      </c>
      <c r="K379" s="65">
        <f>G379/D379*100</f>
        <v>107.21590665418394</v>
      </c>
      <c r="L379" s="65"/>
      <c r="M379" s="65"/>
      <c r="N379" s="65">
        <v>16670</v>
      </c>
      <c r="O379" s="65"/>
      <c r="P379" s="65">
        <f>N379</f>
        <v>16670</v>
      </c>
    </row>
    <row r="380" spans="1:16" ht="24" customHeight="1">
      <c r="A380" s="11" t="s">
        <v>283</v>
      </c>
      <c r="B380" s="11"/>
      <c r="C380" s="11"/>
      <c r="D380" s="43">
        <v>7700</v>
      </c>
      <c r="E380" s="43"/>
      <c r="F380" s="43">
        <v>7700</v>
      </c>
      <c r="G380" s="43">
        <v>8255</v>
      </c>
      <c r="H380" s="43"/>
      <c r="I380" s="43"/>
      <c r="J380" s="43">
        <v>8255</v>
      </c>
      <c r="K380" s="65"/>
      <c r="L380" s="65"/>
      <c r="M380" s="65"/>
      <c r="N380" s="43">
        <v>8750</v>
      </c>
      <c r="O380" s="43"/>
      <c r="P380" s="43">
        <v>8750</v>
      </c>
    </row>
    <row r="381" spans="1:235" s="39" customFormat="1" ht="33.75">
      <c r="A381" s="9" t="s">
        <v>404</v>
      </c>
      <c r="B381" s="9"/>
      <c r="C381" s="9"/>
      <c r="D381" s="10">
        <f>D383+D384+D385+D386+D387+D388</f>
        <v>103380</v>
      </c>
      <c r="E381" s="10"/>
      <c r="F381" s="10">
        <f>D381+E381</f>
        <v>103380</v>
      </c>
      <c r="G381" s="10">
        <f>G383+G384+G385+G386+G387+G388</f>
        <v>119700</v>
      </c>
      <c r="H381" s="10"/>
      <c r="I381" s="10"/>
      <c r="J381" s="10">
        <f>G381+H381</f>
        <v>119700</v>
      </c>
      <c r="K381" s="10"/>
      <c r="L381" s="10"/>
      <c r="M381" s="10"/>
      <c r="N381" s="10">
        <f>N383+N384+N385+N386+N387+N388</f>
        <v>114990</v>
      </c>
      <c r="O381" s="10"/>
      <c r="P381" s="10">
        <f>N381</f>
        <v>114990</v>
      </c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</row>
    <row r="382" spans="1:235" s="39" customFormat="1" ht="11.25">
      <c r="A382" s="61" t="s">
        <v>4</v>
      </c>
      <c r="B382" s="9"/>
      <c r="C382" s="9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32.25" customHeight="1">
      <c r="A383" s="9" t="s">
        <v>284</v>
      </c>
      <c r="B383" s="9"/>
      <c r="C383" s="9"/>
      <c r="D383" s="10">
        <f>D390*D397</f>
        <v>7200</v>
      </c>
      <c r="E383" s="10"/>
      <c r="F383" s="10">
        <f aca="true" t="shared" si="45" ref="F383:F388">D383+E383</f>
        <v>7200</v>
      </c>
      <c r="G383" s="10">
        <f>G390*G397</f>
        <v>7800</v>
      </c>
      <c r="H383" s="10"/>
      <c r="I383" s="10"/>
      <c r="J383" s="10">
        <f aca="true" t="shared" si="46" ref="J383:J388">G383+H383</f>
        <v>7800</v>
      </c>
      <c r="K383" s="10"/>
      <c r="L383" s="10"/>
      <c r="M383" s="10"/>
      <c r="N383" s="10">
        <f>N390*N397</f>
        <v>8250</v>
      </c>
      <c r="O383" s="10"/>
      <c r="P383" s="10">
        <f aca="true" t="shared" si="47" ref="P383:P388">N383+O383</f>
        <v>8250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33.75">
      <c r="A384" s="9" t="s">
        <v>285</v>
      </c>
      <c r="B384" s="9"/>
      <c r="C384" s="9"/>
      <c r="D384" s="10">
        <f>D398*D391</f>
        <v>22800</v>
      </c>
      <c r="E384" s="10"/>
      <c r="F384" s="10">
        <f t="shared" si="45"/>
        <v>22800</v>
      </c>
      <c r="G384" s="10">
        <f>G398*G391</f>
        <v>24600</v>
      </c>
      <c r="H384" s="10"/>
      <c r="I384" s="10"/>
      <c r="J384" s="10">
        <f t="shared" si="46"/>
        <v>24600</v>
      </c>
      <c r="K384" s="10"/>
      <c r="L384" s="10"/>
      <c r="M384" s="10"/>
      <c r="N384" s="10">
        <f>N398*N391</f>
        <v>26100</v>
      </c>
      <c r="O384" s="10"/>
      <c r="P384" s="10">
        <f t="shared" si="47"/>
        <v>26100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33.75">
      <c r="A385" s="9" t="s">
        <v>286</v>
      </c>
      <c r="B385" s="9"/>
      <c r="C385" s="9"/>
      <c r="D385" s="10">
        <f>D392*D399</f>
        <v>40500</v>
      </c>
      <c r="E385" s="10"/>
      <c r="F385" s="10">
        <f t="shared" si="45"/>
        <v>40500</v>
      </c>
      <c r="G385" s="10">
        <f>G392*G399</f>
        <v>43500</v>
      </c>
      <c r="H385" s="10"/>
      <c r="I385" s="10"/>
      <c r="J385" s="10">
        <f t="shared" si="46"/>
        <v>43500</v>
      </c>
      <c r="K385" s="10"/>
      <c r="L385" s="10"/>
      <c r="M385" s="10"/>
      <c r="N385" s="10">
        <f>N392*N399</f>
        <v>46200</v>
      </c>
      <c r="O385" s="10"/>
      <c r="P385" s="10">
        <f t="shared" si="47"/>
        <v>46200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235" s="39" customFormat="1" ht="33.75">
      <c r="A386" s="9" t="s">
        <v>287</v>
      </c>
      <c r="B386" s="9"/>
      <c r="C386" s="9"/>
      <c r="D386" s="10">
        <f>D400*D393</f>
        <v>25200</v>
      </c>
      <c r="E386" s="10"/>
      <c r="F386" s="10">
        <f t="shared" si="45"/>
        <v>25200</v>
      </c>
      <c r="G386" s="10">
        <f>G393*G400</f>
        <v>27000</v>
      </c>
      <c r="H386" s="10"/>
      <c r="I386" s="10"/>
      <c r="J386" s="10">
        <f t="shared" si="46"/>
        <v>27000</v>
      </c>
      <c r="K386" s="10"/>
      <c r="L386" s="10"/>
      <c r="M386" s="10"/>
      <c r="N386" s="10">
        <f>N400*N393</f>
        <v>28800</v>
      </c>
      <c r="O386" s="10"/>
      <c r="P386" s="10">
        <f t="shared" si="47"/>
        <v>28800</v>
      </c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  <c r="DG386" s="38"/>
      <c r="DH386" s="38"/>
      <c r="DI386" s="38"/>
      <c r="DJ386" s="38"/>
      <c r="DK386" s="38"/>
      <c r="DL386" s="38"/>
      <c r="DM386" s="38"/>
      <c r="DN386" s="38"/>
      <c r="DO386" s="38"/>
      <c r="DP386" s="38"/>
      <c r="DQ386" s="38"/>
      <c r="DR386" s="38"/>
      <c r="DS386" s="38"/>
      <c r="DT386" s="38"/>
      <c r="DU386" s="38"/>
      <c r="DV386" s="38"/>
      <c r="DW386" s="38"/>
      <c r="DX386" s="38"/>
      <c r="DY386" s="38"/>
      <c r="DZ386" s="38"/>
      <c r="EA386" s="38"/>
      <c r="EB386" s="38"/>
      <c r="EC386" s="38"/>
      <c r="ED386" s="38"/>
      <c r="EE386" s="38"/>
      <c r="EF386" s="38"/>
      <c r="EG386" s="38"/>
      <c r="EH386" s="38"/>
      <c r="EI386" s="38"/>
      <c r="EJ386" s="38"/>
      <c r="EK386" s="38"/>
      <c r="EL386" s="38"/>
      <c r="EM386" s="38"/>
      <c r="EN386" s="38"/>
      <c r="EO386" s="38"/>
      <c r="EP386" s="38"/>
      <c r="EQ386" s="38"/>
      <c r="ER386" s="38"/>
      <c r="ES386" s="38"/>
      <c r="ET386" s="38"/>
      <c r="EU386" s="38"/>
      <c r="EV386" s="38"/>
      <c r="EW386" s="38"/>
      <c r="EX386" s="38"/>
      <c r="EY386" s="38"/>
      <c r="EZ386" s="38"/>
      <c r="FA386" s="38"/>
      <c r="FB386" s="38"/>
      <c r="FC386" s="38"/>
      <c r="FD386" s="38"/>
      <c r="FE386" s="38"/>
      <c r="FF386" s="38"/>
      <c r="FG386" s="38"/>
      <c r="FH386" s="38"/>
      <c r="FI386" s="38"/>
      <c r="FJ386" s="38"/>
      <c r="FK386" s="38"/>
      <c r="FL386" s="38"/>
      <c r="FM386" s="38"/>
      <c r="FN386" s="38"/>
      <c r="FO386" s="38"/>
      <c r="FP386" s="38"/>
      <c r="FQ386" s="38"/>
      <c r="FR386" s="38"/>
      <c r="FS386" s="38"/>
      <c r="FT386" s="38"/>
      <c r="FU386" s="38"/>
      <c r="FV386" s="38"/>
      <c r="FW386" s="38"/>
      <c r="FX386" s="38"/>
      <c r="FY386" s="38"/>
      <c r="FZ386" s="38"/>
      <c r="GA386" s="38"/>
      <c r="GB386" s="38"/>
      <c r="GC386" s="38"/>
      <c r="GD386" s="38"/>
      <c r="GE386" s="38"/>
      <c r="GF386" s="38"/>
      <c r="GG386" s="38"/>
      <c r="GH386" s="38"/>
      <c r="GI386" s="38"/>
      <c r="GJ386" s="38"/>
      <c r="GK386" s="38"/>
      <c r="GL386" s="38"/>
      <c r="GM386" s="38"/>
      <c r="GN386" s="38"/>
      <c r="GO386" s="38"/>
      <c r="GP386" s="38"/>
      <c r="GQ386" s="38"/>
      <c r="GR386" s="38"/>
      <c r="GS386" s="38"/>
      <c r="GT386" s="38"/>
      <c r="GU386" s="38"/>
      <c r="GV386" s="38"/>
      <c r="GW386" s="38"/>
      <c r="GX386" s="38"/>
      <c r="GY386" s="38"/>
      <c r="GZ386" s="38"/>
      <c r="HA386" s="38"/>
      <c r="HB386" s="38"/>
      <c r="HC386" s="38"/>
      <c r="HD386" s="38"/>
      <c r="HE386" s="38"/>
      <c r="HF386" s="38"/>
      <c r="HG386" s="38"/>
      <c r="HH386" s="38"/>
      <c r="HI386" s="38"/>
      <c r="HJ386" s="38"/>
      <c r="HK386" s="38"/>
      <c r="HL386" s="38"/>
      <c r="HM386" s="38"/>
      <c r="HN386" s="38"/>
      <c r="HO386" s="38"/>
      <c r="HP386" s="38"/>
      <c r="HQ386" s="38"/>
      <c r="HR386" s="38"/>
      <c r="HS386" s="38"/>
      <c r="HT386" s="38"/>
      <c r="HU386" s="38"/>
      <c r="HV386" s="38"/>
      <c r="HW386" s="38"/>
      <c r="HX386" s="38"/>
      <c r="HY386" s="38"/>
      <c r="HZ386" s="38"/>
      <c r="IA386" s="38"/>
    </row>
    <row r="387" spans="1:235" s="39" customFormat="1" ht="22.5">
      <c r="A387" s="9" t="s">
        <v>288</v>
      </c>
      <c r="B387" s="9"/>
      <c r="C387" s="9"/>
      <c r="D387" s="10">
        <f>D394*D401</f>
        <v>6120</v>
      </c>
      <c r="E387" s="10"/>
      <c r="F387" s="10">
        <f t="shared" si="45"/>
        <v>6120</v>
      </c>
      <c r="G387" s="10">
        <f>G394*G401</f>
        <v>6600</v>
      </c>
      <c r="H387" s="10"/>
      <c r="I387" s="10"/>
      <c r="J387" s="10">
        <f t="shared" si="46"/>
        <v>6600</v>
      </c>
      <c r="K387" s="10"/>
      <c r="L387" s="10"/>
      <c r="M387" s="10"/>
      <c r="N387" s="10">
        <f>N394*N400</f>
        <v>3840</v>
      </c>
      <c r="O387" s="10"/>
      <c r="P387" s="10">
        <f t="shared" si="47"/>
        <v>3840</v>
      </c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  <c r="CS387" s="38"/>
      <c r="CT387" s="38"/>
      <c r="CU387" s="38"/>
      <c r="CV387" s="38"/>
      <c r="CW387" s="38"/>
      <c r="CX387" s="38"/>
      <c r="CY387" s="38"/>
      <c r="CZ387" s="38"/>
      <c r="DA387" s="38"/>
      <c r="DB387" s="38"/>
      <c r="DC387" s="38"/>
      <c r="DD387" s="38"/>
      <c r="DE387" s="38"/>
      <c r="DF387" s="38"/>
      <c r="DG387" s="38"/>
      <c r="DH387" s="38"/>
      <c r="DI387" s="38"/>
      <c r="DJ387" s="38"/>
      <c r="DK387" s="38"/>
      <c r="DL387" s="38"/>
      <c r="DM387" s="38"/>
      <c r="DN387" s="38"/>
      <c r="DO387" s="38"/>
      <c r="DP387" s="38"/>
      <c r="DQ387" s="38"/>
      <c r="DR387" s="38"/>
      <c r="DS387" s="38"/>
      <c r="DT387" s="38"/>
      <c r="DU387" s="38"/>
      <c r="DV387" s="38"/>
      <c r="DW387" s="38"/>
      <c r="DX387" s="38"/>
      <c r="DY387" s="38"/>
      <c r="DZ387" s="38"/>
      <c r="EA387" s="38"/>
      <c r="EB387" s="38"/>
      <c r="EC387" s="38"/>
      <c r="ED387" s="38"/>
      <c r="EE387" s="38"/>
      <c r="EF387" s="38"/>
      <c r="EG387" s="38"/>
      <c r="EH387" s="38"/>
      <c r="EI387" s="38"/>
      <c r="EJ387" s="38"/>
      <c r="EK387" s="38"/>
      <c r="EL387" s="38"/>
      <c r="EM387" s="38"/>
      <c r="EN387" s="38"/>
      <c r="EO387" s="38"/>
      <c r="EP387" s="38"/>
      <c r="EQ387" s="38"/>
      <c r="ER387" s="38"/>
      <c r="ES387" s="38"/>
      <c r="ET387" s="38"/>
      <c r="EU387" s="38"/>
      <c r="EV387" s="38"/>
      <c r="EW387" s="38"/>
      <c r="EX387" s="38"/>
      <c r="EY387" s="38"/>
      <c r="EZ387" s="38"/>
      <c r="FA387" s="38"/>
      <c r="FB387" s="38"/>
      <c r="FC387" s="38"/>
      <c r="FD387" s="38"/>
      <c r="FE387" s="38"/>
      <c r="FF387" s="38"/>
      <c r="FG387" s="38"/>
      <c r="FH387" s="38"/>
      <c r="FI387" s="38"/>
      <c r="FJ387" s="38"/>
      <c r="FK387" s="38"/>
      <c r="FL387" s="38"/>
      <c r="FM387" s="38"/>
      <c r="FN387" s="38"/>
      <c r="FO387" s="38"/>
      <c r="FP387" s="38"/>
      <c r="FQ387" s="38"/>
      <c r="FR387" s="38"/>
      <c r="FS387" s="38"/>
      <c r="FT387" s="38"/>
      <c r="FU387" s="38"/>
      <c r="FV387" s="38"/>
      <c r="FW387" s="38"/>
      <c r="FX387" s="38"/>
      <c r="FY387" s="38"/>
      <c r="FZ387" s="38"/>
      <c r="GA387" s="38"/>
      <c r="GB387" s="38"/>
      <c r="GC387" s="38"/>
      <c r="GD387" s="38"/>
      <c r="GE387" s="38"/>
      <c r="GF387" s="38"/>
      <c r="GG387" s="38"/>
      <c r="GH387" s="38"/>
      <c r="GI387" s="38"/>
      <c r="GJ387" s="38"/>
      <c r="GK387" s="38"/>
      <c r="GL387" s="38"/>
      <c r="GM387" s="38"/>
      <c r="GN387" s="38"/>
      <c r="GO387" s="38"/>
      <c r="GP387" s="38"/>
      <c r="GQ387" s="38"/>
      <c r="GR387" s="38"/>
      <c r="GS387" s="38"/>
      <c r="GT387" s="38"/>
      <c r="GU387" s="38"/>
      <c r="GV387" s="38"/>
      <c r="GW387" s="38"/>
      <c r="GX387" s="38"/>
      <c r="GY387" s="38"/>
      <c r="GZ387" s="38"/>
      <c r="HA387" s="38"/>
      <c r="HB387" s="38"/>
      <c r="HC387" s="38"/>
      <c r="HD387" s="38"/>
      <c r="HE387" s="38"/>
      <c r="HF387" s="38"/>
      <c r="HG387" s="38"/>
      <c r="HH387" s="38"/>
      <c r="HI387" s="38"/>
      <c r="HJ387" s="38"/>
      <c r="HK387" s="38"/>
      <c r="HL387" s="38"/>
      <c r="HM387" s="38"/>
      <c r="HN387" s="38"/>
      <c r="HO387" s="38"/>
      <c r="HP387" s="38"/>
      <c r="HQ387" s="38"/>
      <c r="HR387" s="38"/>
      <c r="HS387" s="38"/>
      <c r="HT387" s="38"/>
      <c r="HU387" s="38"/>
      <c r="HV387" s="38"/>
      <c r="HW387" s="38"/>
      <c r="HX387" s="38"/>
      <c r="HY387" s="38"/>
      <c r="HZ387" s="38"/>
      <c r="IA387" s="38"/>
    </row>
    <row r="388" spans="1:235" s="39" customFormat="1" ht="33.75">
      <c r="A388" s="9" t="s">
        <v>289</v>
      </c>
      <c r="B388" s="9"/>
      <c r="C388" s="9"/>
      <c r="D388" s="10">
        <f>D395*D402</f>
        <v>1560</v>
      </c>
      <c r="E388" s="10"/>
      <c r="F388" s="10">
        <f t="shared" si="45"/>
        <v>1560</v>
      </c>
      <c r="G388" s="10">
        <v>10200</v>
      </c>
      <c r="H388" s="10"/>
      <c r="I388" s="10"/>
      <c r="J388" s="10">
        <f t="shared" si="46"/>
        <v>10200</v>
      </c>
      <c r="K388" s="10"/>
      <c r="L388" s="10"/>
      <c r="M388" s="10"/>
      <c r="N388" s="10">
        <f>N395*N402</f>
        <v>1800</v>
      </c>
      <c r="O388" s="10"/>
      <c r="P388" s="10">
        <f t="shared" si="47"/>
        <v>1800</v>
      </c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  <c r="CS388" s="38"/>
      <c r="CT388" s="38"/>
      <c r="CU388" s="38"/>
      <c r="CV388" s="38"/>
      <c r="CW388" s="38"/>
      <c r="CX388" s="38"/>
      <c r="CY388" s="38"/>
      <c r="CZ388" s="38"/>
      <c r="DA388" s="38"/>
      <c r="DB388" s="38"/>
      <c r="DC388" s="38"/>
      <c r="DD388" s="38"/>
      <c r="DE388" s="38"/>
      <c r="DF388" s="38"/>
      <c r="DG388" s="38"/>
      <c r="DH388" s="38"/>
      <c r="DI388" s="38"/>
      <c r="DJ388" s="38"/>
      <c r="DK388" s="38"/>
      <c r="DL388" s="38"/>
      <c r="DM388" s="38"/>
      <c r="DN388" s="38"/>
      <c r="DO388" s="38"/>
      <c r="DP388" s="38"/>
      <c r="DQ388" s="38"/>
      <c r="DR388" s="38"/>
      <c r="DS388" s="38"/>
      <c r="DT388" s="38"/>
      <c r="DU388" s="38"/>
      <c r="DV388" s="38"/>
      <c r="DW388" s="38"/>
      <c r="DX388" s="38"/>
      <c r="DY388" s="38"/>
      <c r="DZ388" s="38"/>
      <c r="EA388" s="38"/>
      <c r="EB388" s="38"/>
      <c r="EC388" s="38"/>
      <c r="ED388" s="38"/>
      <c r="EE388" s="38"/>
      <c r="EF388" s="38"/>
      <c r="EG388" s="38"/>
      <c r="EH388" s="38"/>
      <c r="EI388" s="38"/>
      <c r="EJ388" s="38"/>
      <c r="EK388" s="38"/>
      <c r="EL388" s="38"/>
      <c r="EM388" s="38"/>
      <c r="EN388" s="38"/>
      <c r="EO388" s="38"/>
      <c r="EP388" s="38"/>
      <c r="EQ388" s="38"/>
      <c r="ER388" s="38"/>
      <c r="ES388" s="38"/>
      <c r="ET388" s="38"/>
      <c r="EU388" s="38"/>
      <c r="EV388" s="38"/>
      <c r="EW388" s="38"/>
      <c r="EX388" s="38"/>
      <c r="EY388" s="38"/>
      <c r="EZ388" s="38"/>
      <c r="FA388" s="38"/>
      <c r="FB388" s="38"/>
      <c r="FC388" s="38"/>
      <c r="FD388" s="38"/>
      <c r="FE388" s="38"/>
      <c r="FF388" s="38"/>
      <c r="FG388" s="38"/>
      <c r="FH388" s="38"/>
      <c r="FI388" s="38"/>
      <c r="FJ388" s="38"/>
      <c r="FK388" s="38"/>
      <c r="FL388" s="38"/>
      <c r="FM388" s="38"/>
      <c r="FN388" s="38"/>
      <c r="FO388" s="38"/>
      <c r="FP388" s="38"/>
      <c r="FQ388" s="38"/>
      <c r="FR388" s="38"/>
      <c r="FS388" s="38"/>
      <c r="FT388" s="38"/>
      <c r="FU388" s="38"/>
      <c r="FV388" s="38"/>
      <c r="FW388" s="38"/>
      <c r="FX388" s="38"/>
      <c r="FY388" s="38"/>
      <c r="FZ388" s="38"/>
      <c r="GA388" s="38"/>
      <c r="GB388" s="38"/>
      <c r="GC388" s="38"/>
      <c r="GD388" s="38"/>
      <c r="GE388" s="38"/>
      <c r="GF388" s="38"/>
      <c r="GG388" s="38"/>
      <c r="GH388" s="38"/>
      <c r="GI388" s="38"/>
      <c r="GJ388" s="38"/>
      <c r="GK388" s="38"/>
      <c r="GL388" s="38"/>
      <c r="GM388" s="38"/>
      <c r="GN388" s="38"/>
      <c r="GO388" s="38"/>
      <c r="GP388" s="38"/>
      <c r="GQ388" s="38"/>
      <c r="GR388" s="38"/>
      <c r="GS388" s="38"/>
      <c r="GT388" s="38"/>
      <c r="GU388" s="38"/>
      <c r="GV388" s="38"/>
      <c r="GW388" s="38"/>
      <c r="GX388" s="38"/>
      <c r="GY388" s="38"/>
      <c r="GZ388" s="38"/>
      <c r="HA388" s="38"/>
      <c r="HB388" s="38"/>
      <c r="HC388" s="38"/>
      <c r="HD388" s="38"/>
      <c r="HE388" s="38"/>
      <c r="HF388" s="38"/>
      <c r="HG388" s="38"/>
      <c r="HH388" s="38"/>
      <c r="HI388" s="38"/>
      <c r="HJ388" s="38"/>
      <c r="HK388" s="38"/>
      <c r="HL388" s="38"/>
      <c r="HM388" s="38"/>
      <c r="HN388" s="38"/>
      <c r="HO388" s="38"/>
      <c r="HP388" s="38"/>
      <c r="HQ388" s="38"/>
      <c r="HR388" s="38"/>
      <c r="HS388" s="38"/>
      <c r="HT388" s="38"/>
      <c r="HU388" s="38"/>
      <c r="HV388" s="38"/>
      <c r="HW388" s="38"/>
      <c r="HX388" s="38"/>
      <c r="HY388" s="38"/>
      <c r="HZ388" s="38"/>
      <c r="IA388" s="38"/>
    </row>
    <row r="389" spans="1:16" ht="11.25">
      <c r="A389" s="13" t="s">
        <v>5</v>
      </c>
      <c r="B389" s="13"/>
      <c r="C389" s="13"/>
      <c r="D389" s="64"/>
      <c r="E389" s="64"/>
      <c r="F389" s="65"/>
      <c r="G389" s="64"/>
      <c r="H389" s="64"/>
      <c r="I389" s="64"/>
      <c r="J389" s="65"/>
      <c r="K389" s="65"/>
      <c r="L389" s="64"/>
      <c r="M389" s="64"/>
      <c r="N389" s="64"/>
      <c r="O389" s="64"/>
      <c r="P389" s="65"/>
    </row>
    <row r="390" spans="1:16" ht="33.75" customHeight="1">
      <c r="A390" s="11" t="s">
        <v>290</v>
      </c>
      <c r="B390" s="11"/>
      <c r="C390" s="11"/>
      <c r="D390" s="66">
        <v>30</v>
      </c>
      <c r="E390" s="66"/>
      <c r="F390" s="66">
        <f aca="true" t="shared" si="48" ref="F390:F395">D390+E390</f>
        <v>30</v>
      </c>
      <c r="G390" s="66">
        <v>30</v>
      </c>
      <c r="H390" s="66"/>
      <c r="I390" s="66"/>
      <c r="J390" s="66">
        <f aca="true" t="shared" si="49" ref="J390:J395">G390+H390</f>
        <v>30</v>
      </c>
      <c r="K390" s="66">
        <f aca="true" t="shared" si="50" ref="K390:K395">G390/D390*100</f>
        <v>100</v>
      </c>
      <c r="L390" s="66"/>
      <c r="M390" s="66"/>
      <c r="N390" s="66">
        <v>30</v>
      </c>
      <c r="O390" s="66"/>
      <c r="P390" s="66">
        <f>N390+O390</f>
        <v>30</v>
      </c>
    </row>
    <row r="391" spans="1:16" ht="39" customHeight="1">
      <c r="A391" s="11" t="s">
        <v>291</v>
      </c>
      <c r="B391" s="11"/>
      <c r="C391" s="11"/>
      <c r="D391" s="66">
        <v>30</v>
      </c>
      <c r="E391" s="66"/>
      <c r="F391" s="66">
        <f t="shared" si="48"/>
        <v>30</v>
      </c>
      <c r="G391" s="66">
        <v>30</v>
      </c>
      <c r="H391" s="66"/>
      <c r="I391" s="66"/>
      <c r="J391" s="66">
        <f t="shared" si="49"/>
        <v>30</v>
      </c>
      <c r="K391" s="66">
        <f t="shared" si="50"/>
        <v>100</v>
      </c>
      <c r="L391" s="66"/>
      <c r="M391" s="66"/>
      <c r="N391" s="66">
        <v>30</v>
      </c>
      <c r="O391" s="66"/>
      <c r="P391" s="66">
        <f>N391+O391</f>
        <v>30</v>
      </c>
    </row>
    <row r="392" spans="1:16" ht="33.75" customHeight="1">
      <c r="A392" s="11" t="s">
        <v>292</v>
      </c>
      <c r="B392" s="11"/>
      <c r="C392" s="11"/>
      <c r="D392" s="66">
        <v>30</v>
      </c>
      <c r="E392" s="66"/>
      <c r="F392" s="66">
        <f t="shared" si="48"/>
        <v>30</v>
      </c>
      <c r="G392" s="66">
        <v>30</v>
      </c>
      <c r="H392" s="66"/>
      <c r="I392" s="66"/>
      <c r="J392" s="66">
        <f t="shared" si="49"/>
        <v>30</v>
      </c>
      <c r="K392" s="66">
        <f t="shared" si="50"/>
        <v>100</v>
      </c>
      <c r="L392" s="66"/>
      <c r="M392" s="66"/>
      <c r="N392" s="66">
        <v>30</v>
      </c>
      <c r="O392" s="66"/>
      <c r="P392" s="66">
        <f>N392+O392</f>
        <v>30</v>
      </c>
    </row>
    <row r="393" spans="1:16" ht="39" customHeight="1">
      <c r="A393" s="11" t="s">
        <v>293</v>
      </c>
      <c r="B393" s="11"/>
      <c r="C393" s="11"/>
      <c r="D393" s="66">
        <v>90</v>
      </c>
      <c r="E393" s="66"/>
      <c r="F393" s="66">
        <f t="shared" si="48"/>
        <v>90</v>
      </c>
      <c r="G393" s="66">
        <v>90</v>
      </c>
      <c r="H393" s="66"/>
      <c r="I393" s="66"/>
      <c r="J393" s="66">
        <f t="shared" si="49"/>
        <v>90</v>
      </c>
      <c r="K393" s="66">
        <f t="shared" si="50"/>
        <v>100</v>
      </c>
      <c r="L393" s="66"/>
      <c r="M393" s="66"/>
      <c r="N393" s="66">
        <v>90</v>
      </c>
      <c r="O393" s="66"/>
      <c r="P393" s="66">
        <f>N393+O393</f>
        <v>90</v>
      </c>
    </row>
    <row r="394" spans="1:16" ht="22.5">
      <c r="A394" s="11" t="s">
        <v>294</v>
      </c>
      <c r="B394" s="11"/>
      <c r="C394" s="11"/>
      <c r="D394" s="66">
        <v>12</v>
      </c>
      <c r="E394" s="66"/>
      <c r="F394" s="66">
        <f t="shared" si="48"/>
        <v>12</v>
      </c>
      <c r="G394" s="66">
        <v>12</v>
      </c>
      <c r="H394" s="66"/>
      <c r="I394" s="66"/>
      <c r="J394" s="66">
        <f t="shared" si="49"/>
        <v>12</v>
      </c>
      <c r="K394" s="66">
        <f t="shared" si="50"/>
        <v>100</v>
      </c>
      <c r="L394" s="66"/>
      <c r="M394" s="66"/>
      <c r="N394" s="66">
        <v>12</v>
      </c>
      <c r="O394" s="66"/>
      <c r="P394" s="66">
        <f>N394</f>
        <v>12</v>
      </c>
    </row>
    <row r="395" spans="1:16" ht="22.5">
      <c r="A395" s="11" t="s">
        <v>295</v>
      </c>
      <c r="B395" s="11"/>
      <c r="C395" s="11"/>
      <c r="D395" s="66">
        <v>12</v>
      </c>
      <c r="E395" s="66"/>
      <c r="F395" s="66">
        <f t="shared" si="48"/>
        <v>12</v>
      </c>
      <c r="G395" s="66">
        <v>12</v>
      </c>
      <c r="H395" s="66"/>
      <c r="I395" s="66"/>
      <c r="J395" s="66">
        <f t="shared" si="49"/>
        <v>12</v>
      </c>
      <c r="K395" s="66">
        <f t="shared" si="50"/>
        <v>100</v>
      </c>
      <c r="L395" s="66"/>
      <c r="M395" s="66"/>
      <c r="N395" s="66">
        <v>12</v>
      </c>
      <c r="O395" s="66"/>
      <c r="P395" s="66">
        <f>N395</f>
        <v>12</v>
      </c>
    </row>
    <row r="396" spans="1:16" ht="11.25">
      <c r="A396" s="13" t="s">
        <v>7</v>
      </c>
      <c r="B396" s="13"/>
      <c r="C396" s="13"/>
      <c r="D396" s="10"/>
      <c r="E396" s="10"/>
      <c r="F396" s="43"/>
      <c r="G396" s="10"/>
      <c r="H396" s="10"/>
      <c r="I396" s="10"/>
      <c r="J396" s="43"/>
      <c r="K396" s="43"/>
      <c r="L396" s="10"/>
      <c r="M396" s="10"/>
      <c r="N396" s="10"/>
      <c r="O396" s="10"/>
      <c r="P396" s="43"/>
    </row>
    <row r="397" spans="1:16" ht="41.25" customHeight="1">
      <c r="A397" s="11" t="s">
        <v>296</v>
      </c>
      <c r="B397" s="11"/>
      <c r="C397" s="11"/>
      <c r="D397" s="43">
        <v>240</v>
      </c>
      <c r="E397" s="43"/>
      <c r="F397" s="43">
        <f aca="true" t="shared" si="51" ref="F397:F402">D397+E397</f>
        <v>240</v>
      </c>
      <c r="G397" s="43">
        <v>260</v>
      </c>
      <c r="H397" s="43"/>
      <c r="I397" s="43"/>
      <c r="J397" s="43">
        <f aca="true" t="shared" si="52" ref="J397:J402">G397+H397</f>
        <v>260</v>
      </c>
      <c r="K397" s="43">
        <f>G397/D397*100</f>
        <v>108.33333333333333</v>
      </c>
      <c r="L397" s="43"/>
      <c r="M397" s="43"/>
      <c r="N397" s="43">
        <v>275</v>
      </c>
      <c r="O397" s="43"/>
      <c r="P397" s="43">
        <f>N397+O397</f>
        <v>275</v>
      </c>
    </row>
    <row r="398" spans="1:16" ht="33.75">
      <c r="A398" s="11" t="s">
        <v>297</v>
      </c>
      <c r="B398" s="11"/>
      <c r="C398" s="11"/>
      <c r="D398" s="65">
        <v>760</v>
      </c>
      <c r="E398" s="65"/>
      <c r="F398" s="65">
        <f t="shared" si="51"/>
        <v>760</v>
      </c>
      <c r="G398" s="65">
        <v>820</v>
      </c>
      <c r="H398" s="65"/>
      <c r="I398" s="65"/>
      <c r="J398" s="65">
        <f t="shared" si="52"/>
        <v>820</v>
      </c>
      <c r="K398" s="65">
        <f>G398/D398*100</f>
        <v>107.89473684210526</v>
      </c>
      <c r="L398" s="65"/>
      <c r="M398" s="65"/>
      <c r="N398" s="65">
        <v>870</v>
      </c>
      <c r="O398" s="65"/>
      <c r="P398" s="65">
        <f>N398+O398</f>
        <v>870</v>
      </c>
    </row>
    <row r="399" spans="1:16" ht="33.75" customHeight="1">
      <c r="A399" s="11" t="s">
        <v>298</v>
      </c>
      <c r="B399" s="11"/>
      <c r="C399" s="11"/>
      <c r="D399" s="43">
        <v>1350</v>
      </c>
      <c r="E399" s="43"/>
      <c r="F399" s="43">
        <f t="shared" si="51"/>
        <v>1350</v>
      </c>
      <c r="G399" s="43">
        <v>1450</v>
      </c>
      <c r="H399" s="43"/>
      <c r="I399" s="43"/>
      <c r="J399" s="43">
        <f t="shared" si="52"/>
        <v>1450</v>
      </c>
      <c r="K399" s="65"/>
      <c r="L399" s="65"/>
      <c r="M399" s="65"/>
      <c r="N399" s="43">
        <v>1540</v>
      </c>
      <c r="O399" s="43"/>
      <c r="P399" s="43">
        <f>N399</f>
        <v>1540</v>
      </c>
    </row>
    <row r="400" spans="1:16" ht="38.25" customHeight="1">
      <c r="A400" s="11" t="s">
        <v>299</v>
      </c>
      <c r="B400" s="11"/>
      <c r="C400" s="11"/>
      <c r="D400" s="43">
        <v>280</v>
      </c>
      <c r="E400" s="43"/>
      <c r="F400" s="43">
        <f t="shared" si="51"/>
        <v>280</v>
      </c>
      <c r="G400" s="43">
        <v>300</v>
      </c>
      <c r="H400" s="43"/>
      <c r="I400" s="43"/>
      <c r="J400" s="43">
        <f t="shared" si="52"/>
        <v>300</v>
      </c>
      <c r="K400" s="65"/>
      <c r="L400" s="65"/>
      <c r="M400" s="65"/>
      <c r="N400" s="43">
        <v>320</v>
      </c>
      <c r="O400" s="43"/>
      <c r="P400" s="43">
        <f>N400</f>
        <v>320</v>
      </c>
    </row>
    <row r="401" spans="1:16" ht="22.5">
      <c r="A401" s="11" t="s">
        <v>300</v>
      </c>
      <c r="B401" s="11"/>
      <c r="C401" s="11"/>
      <c r="D401" s="43">
        <v>510</v>
      </c>
      <c r="E401" s="43"/>
      <c r="F401" s="43">
        <f t="shared" si="51"/>
        <v>510</v>
      </c>
      <c r="G401" s="43">
        <v>550</v>
      </c>
      <c r="H401" s="43"/>
      <c r="I401" s="43"/>
      <c r="J401" s="43">
        <f t="shared" si="52"/>
        <v>550</v>
      </c>
      <c r="K401" s="65"/>
      <c r="L401" s="65"/>
      <c r="M401" s="65"/>
      <c r="N401" s="43">
        <v>585</v>
      </c>
      <c r="O401" s="43"/>
      <c r="P401" s="43">
        <f>N401</f>
        <v>585</v>
      </c>
    </row>
    <row r="402" spans="1:16" ht="22.5">
      <c r="A402" s="11" t="s">
        <v>301</v>
      </c>
      <c r="B402" s="11"/>
      <c r="C402" s="11"/>
      <c r="D402" s="43">
        <v>130</v>
      </c>
      <c r="E402" s="43"/>
      <c r="F402" s="43">
        <f t="shared" si="51"/>
        <v>130</v>
      </c>
      <c r="G402" s="43">
        <v>850</v>
      </c>
      <c r="H402" s="43"/>
      <c r="I402" s="43"/>
      <c r="J402" s="43">
        <f t="shared" si="52"/>
        <v>850</v>
      </c>
      <c r="K402" s="65"/>
      <c r="L402" s="65"/>
      <c r="M402" s="65"/>
      <c r="N402" s="43">
        <v>150</v>
      </c>
      <c r="O402" s="43"/>
      <c r="P402" s="43">
        <f>N402+O402</f>
        <v>150</v>
      </c>
    </row>
    <row r="403" spans="1:16" ht="11.25">
      <c r="A403" s="125" t="s">
        <v>423</v>
      </c>
      <c r="B403" s="13"/>
      <c r="C403" s="13"/>
      <c r="D403" s="10"/>
      <c r="E403" s="10">
        <f>E405+E421</f>
        <v>692840</v>
      </c>
      <c r="F403" s="10">
        <f>F405+F421</f>
        <v>692840</v>
      </c>
      <c r="G403" s="10"/>
      <c r="H403" s="10">
        <f>H405+H421</f>
        <v>763900</v>
      </c>
      <c r="I403" s="10"/>
      <c r="J403" s="10">
        <f>J405+J421</f>
        <v>763900</v>
      </c>
      <c r="K403" s="64"/>
      <c r="L403" s="64"/>
      <c r="M403" s="64"/>
      <c r="N403" s="10"/>
      <c r="O403" s="10">
        <f>O405+O421</f>
        <v>787532</v>
      </c>
      <c r="P403" s="10">
        <f>P405+P421</f>
        <v>787532</v>
      </c>
    </row>
    <row r="404" spans="1:16" ht="101.25">
      <c r="A404" s="12" t="s">
        <v>304</v>
      </c>
      <c r="B404" s="11"/>
      <c r="C404" s="11"/>
      <c r="D404" s="43"/>
      <c r="E404" s="43"/>
      <c r="F404" s="43"/>
      <c r="G404" s="43"/>
      <c r="H404" s="43"/>
      <c r="I404" s="43"/>
      <c r="J404" s="43"/>
      <c r="K404" s="65"/>
      <c r="L404" s="65"/>
      <c r="M404" s="65"/>
      <c r="N404" s="43"/>
      <c r="O404" s="43"/>
      <c r="P404" s="43"/>
    </row>
    <row r="405" spans="1:16" ht="66.75" customHeight="1">
      <c r="A405" s="67" t="s">
        <v>405</v>
      </c>
      <c r="B405" s="11"/>
      <c r="C405" s="11"/>
      <c r="D405" s="43"/>
      <c r="E405" s="43">
        <f>E407+E408+E409+E410</f>
        <v>428840</v>
      </c>
      <c r="F405" s="43">
        <f>D405+E405</f>
        <v>428840</v>
      </c>
      <c r="G405" s="43"/>
      <c r="H405" s="43">
        <f>H407+H408+H409+H410</f>
        <v>480700</v>
      </c>
      <c r="I405" s="43"/>
      <c r="J405" s="43">
        <f>J407+J408+J409+J410</f>
        <v>480700</v>
      </c>
      <c r="K405" s="65"/>
      <c r="L405" s="65"/>
      <c r="M405" s="65"/>
      <c r="N405" s="43"/>
      <c r="O405" s="43">
        <f>O407+O408+O409+O410</f>
        <v>487340</v>
      </c>
      <c r="P405" s="43">
        <f>P407+P408+P409+P410</f>
        <v>487340</v>
      </c>
    </row>
    <row r="406" spans="1:16" ht="11.25">
      <c r="A406" s="13" t="s">
        <v>4</v>
      </c>
      <c r="B406" s="11"/>
      <c r="C406" s="11"/>
      <c r="D406" s="43"/>
      <c r="E406" s="43"/>
      <c r="F406" s="43"/>
      <c r="G406" s="43"/>
      <c r="H406" s="43"/>
      <c r="I406" s="43"/>
      <c r="J406" s="43"/>
      <c r="K406" s="65"/>
      <c r="L406" s="65"/>
      <c r="M406" s="65"/>
      <c r="N406" s="43"/>
      <c r="O406" s="43"/>
      <c r="P406" s="43"/>
    </row>
    <row r="407" spans="1:16" ht="33.75">
      <c r="A407" s="8" t="s">
        <v>306</v>
      </c>
      <c r="B407" s="11"/>
      <c r="C407" s="11"/>
      <c r="D407" s="43"/>
      <c r="E407" s="43">
        <f>E412*E417</f>
        <v>387500</v>
      </c>
      <c r="F407" s="43">
        <f>D407+E407</f>
        <v>387500</v>
      </c>
      <c r="G407" s="43"/>
      <c r="H407" s="43">
        <f>H412*H417</f>
        <v>415000</v>
      </c>
      <c r="I407" s="43"/>
      <c r="J407" s="43">
        <f>G407+H407</f>
        <v>415000</v>
      </c>
      <c r="K407" s="65"/>
      <c r="L407" s="65"/>
      <c r="M407" s="65"/>
      <c r="N407" s="43"/>
      <c r="O407" s="43">
        <f>O412*O417</f>
        <v>440000</v>
      </c>
      <c r="P407" s="43">
        <f>N407+O407</f>
        <v>440000</v>
      </c>
    </row>
    <row r="408" spans="1:16" ht="22.5">
      <c r="A408" s="8" t="s">
        <v>305</v>
      </c>
      <c r="B408" s="11"/>
      <c r="C408" s="11"/>
      <c r="D408" s="43"/>
      <c r="E408" s="43">
        <f>E413*E418</f>
        <v>12240</v>
      </c>
      <c r="F408" s="43">
        <f>D408+E408</f>
        <v>12240</v>
      </c>
      <c r="G408" s="43"/>
      <c r="H408" s="43">
        <f>H413*H418</f>
        <v>13200</v>
      </c>
      <c r="I408" s="43"/>
      <c r="J408" s="43">
        <f>G408+H408</f>
        <v>13200</v>
      </c>
      <c r="K408" s="65"/>
      <c r="L408" s="65"/>
      <c r="M408" s="65"/>
      <c r="N408" s="43"/>
      <c r="O408" s="43">
        <f>O413*O418</f>
        <v>14040</v>
      </c>
      <c r="P408" s="43">
        <f>N408+O408</f>
        <v>14040</v>
      </c>
    </row>
    <row r="409" spans="1:16" ht="33.75">
      <c r="A409" s="8" t="s">
        <v>307</v>
      </c>
      <c r="B409" s="11"/>
      <c r="C409" s="11"/>
      <c r="D409" s="43"/>
      <c r="E409" s="43">
        <f>E414*E419</f>
        <v>25200</v>
      </c>
      <c r="F409" s="43">
        <f>D409+E409</f>
        <v>25200</v>
      </c>
      <c r="G409" s="43"/>
      <c r="H409" s="43">
        <f>H414*H419</f>
        <v>27000</v>
      </c>
      <c r="I409" s="43"/>
      <c r="J409" s="43">
        <f>G409+H409</f>
        <v>27000</v>
      </c>
      <c r="K409" s="65"/>
      <c r="L409" s="65"/>
      <c r="M409" s="65"/>
      <c r="N409" s="43"/>
      <c r="O409" s="43">
        <f>O414*O419</f>
        <v>28800</v>
      </c>
      <c r="P409" s="43">
        <f>N409+O409</f>
        <v>28800</v>
      </c>
    </row>
    <row r="410" spans="1:16" ht="33.75">
      <c r="A410" s="8" t="s">
        <v>308</v>
      </c>
      <c r="B410" s="11"/>
      <c r="C410" s="11"/>
      <c r="D410" s="43"/>
      <c r="E410" s="43">
        <f>E415*E420</f>
        <v>3900</v>
      </c>
      <c r="F410" s="43">
        <f>D410+E410</f>
        <v>3900</v>
      </c>
      <c r="G410" s="43"/>
      <c r="H410" s="43">
        <v>25500</v>
      </c>
      <c r="I410" s="43"/>
      <c r="J410" s="43">
        <f>G410+H410</f>
        <v>25500</v>
      </c>
      <c r="K410" s="65"/>
      <c r="L410" s="65"/>
      <c r="M410" s="65"/>
      <c r="N410" s="43"/>
      <c r="O410" s="43">
        <f>O415*O420</f>
        <v>4500</v>
      </c>
      <c r="P410" s="43">
        <f>N410+O410</f>
        <v>4500</v>
      </c>
    </row>
    <row r="411" spans="1:16" ht="11.25">
      <c r="A411" s="13" t="s">
        <v>5</v>
      </c>
      <c r="B411" s="11"/>
      <c r="C411" s="11"/>
      <c r="D411" s="43"/>
      <c r="E411" s="43"/>
      <c r="F411" s="43"/>
      <c r="G411" s="43"/>
      <c r="H411" s="43"/>
      <c r="I411" s="43"/>
      <c r="J411" s="43"/>
      <c r="K411" s="65"/>
      <c r="L411" s="65"/>
      <c r="M411" s="65"/>
      <c r="N411" s="43"/>
      <c r="O411" s="43"/>
      <c r="P411" s="43"/>
    </row>
    <row r="412" spans="1:16" ht="30.75" customHeight="1">
      <c r="A412" s="8" t="s">
        <v>309</v>
      </c>
      <c r="B412" s="11"/>
      <c r="C412" s="11"/>
      <c r="D412" s="43"/>
      <c r="E412" s="14">
        <f>60+160+30</f>
        <v>250</v>
      </c>
      <c r="F412" s="43">
        <f aca="true" t="shared" si="53" ref="F412:F420">D412+E412</f>
        <v>250</v>
      </c>
      <c r="G412" s="43"/>
      <c r="H412" s="14">
        <f>60+160+30</f>
        <v>250</v>
      </c>
      <c r="I412" s="43"/>
      <c r="J412" s="43">
        <f aca="true" t="shared" si="54" ref="J412:J420">G412+H412</f>
        <v>250</v>
      </c>
      <c r="K412" s="65"/>
      <c r="L412" s="65"/>
      <c r="M412" s="65"/>
      <c r="N412" s="43"/>
      <c r="O412" s="14">
        <f>60+160+30</f>
        <v>250</v>
      </c>
      <c r="P412" s="43">
        <f aca="true" t="shared" si="55" ref="P412:P420">N412+O412</f>
        <v>250</v>
      </c>
    </row>
    <row r="413" spans="1:16" ht="28.5" customHeight="1">
      <c r="A413" s="8" t="s">
        <v>310</v>
      </c>
      <c r="B413" s="11"/>
      <c r="C413" s="11"/>
      <c r="D413" s="43"/>
      <c r="E413" s="14">
        <v>24</v>
      </c>
      <c r="F413" s="43">
        <f t="shared" si="53"/>
        <v>24</v>
      </c>
      <c r="G413" s="43"/>
      <c r="H413" s="14">
        <v>24</v>
      </c>
      <c r="I413" s="43"/>
      <c r="J413" s="43">
        <f t="shared" si="54"/>
        <v>24</v>
      </c>
      <c r="K413" s="65"/>
      <c r="L413" s="65"/>
      <c r="M413" s="65"/>
      <c r="N413" s="43"/>
      <c r="O413" s="14">
        <v>24</v>
      </c>
      <c r="P413" s="43">
        <f t="shared" si="55"/>
        <v>24</v>
      </c>
    </row>
    <row r="414" spans="1:16" ht="33.75">
      <c r="A414" s="8" t="s">
        <v>311</v>
      </c>
      <c r="B414" s="11"/>
      <c r="C414" s="11"/>
      <c r="D414" s="43"/>
      <c r="E414" s="14">
        <v>90</v>
      </c>
      <c r="F414" s="43">
        <f t="shared" si="53"/>
        <v>90</v>
      </c>
      <c r="G414" s="43"/>
      <c r="H414" s="14">
        <v>90</v>
      </c>
      <c r="I414" s="43"/>
      <c r="J414" s="43">
        <f t="shared" si="54"/>
        <v>90</v>
      </c>
      <c r="K414" s="65"/>
      <c r="L414" s="65"/>
      <c r="M414" s="65"/>
      <c r="N414" s="43"/>
      <c r="O414" s="14">
        <v>90</v>
      </c>
      <c r="P414" s="43">
        <f t="shared" si="55"/>
        <v>90</v>
      </c>
    </row>
    <row r="415" spans="1:16" ht="22.5">
      <c r="A415" s="8" t="s">
        <v>312</v>
      </c>
      <c r="B415" s="11"/>
      <c r="C415" s="11"/>
      <c r="D415" s="43"/>
      <c r="E415" s="14">
        <v>30</v>
      </c>
      <c r="F415" s="43">
        <f t="shared" si="53"/>
        <v>30</v>
      </c>
      <c r="G415" s="43"/>
      <c r="H415" s="14">
        <v>30</v>
      </c>
      <c r="I415" s="43"/>
      <c r="J415" s="43">
        <f t="shared" si="54"/>
        <v>30</v>
      </c>
      <c r="K415" s="65"/>
      <c r="L415" s="65"/>
      <c r="M415" s="65"/>
      <c r="N415" s="43"/>
      <c r="O415" s="14">
        <v>30</v>
      </c>
      <c r="P415" s="43">
        <f t="shared" si="55"/>
        <v>30</v>
      </c>
    </row>
    <row r="416" spans="1:16" ht="11.25">
      <c r="A416" s="13" t="s">
        <v>7</v>
      </c>
      <c r="B416" s="68"/>
      <c r="C416" s="11"/>
      <c r="D416" s="43"/>
      <c r="E416" s="15">
        <f>E417+E418+E419+E420</f>
        <v>2470</v>
      </c>
      <c r="F416" s="43">
        <f t="shared" si="53"/>
        <v>2470</v>
      </c>
      <c r="G416" s="43"/>
      <c r="H416" s="15">
        <f>H417+H418+H419+H420</f>
        <v>3360</v>
      </c>
      <c r="I416" s="43"/>
      <c r="J416" s="43">
        <f t="shared" si="54"/>
        <v>3360</v>
      </c>
      <c r="K416" s="65"/>
      <c r="L416" s="65"/>
      <c r="M416" s="65"/>
      <c r="N416" s="43"/>
      <c r="O416" s="15">
        <f>O417+O418+O419+O420</f>
        <v>2815</v>
      </c>
      <c r="P416" s="43">
        <f t="shared" si="55"/>
        <v>2815</v>
      </c>
    </row>
    <row r="417" spans="1:16" ht="30" customHeight="1">
      <c r="A417" s="11" t="s">
        <v>313</v>
      </c>
      <c r="B417" s="68"/>
      <c r="C417" s="11"/>
      <c r="D417" s="43"/>
      <c r="E417" s="15">
        <v>1550</v>
      </c>
      <c r="F417" s="43">
        <f t="shared" si="53"/>
        <v>1550</v>
      </c>
      <c r="G417" s="43"/>
      <c r="H417" s="15">
        <v>1660</v>
      </c>
      <c r="I417" s="43"/>
      <c r="J417" s="43">
        <f t="shared" si="54"/>
        <v>1660</v>
      </c>
      <c r="K417" s="65"/>
      <c r="L417" s="65"/>
      <c r="M417" s="65"/>
      <c r="N417" s="43"/>
      <c r="O417" s="15">
        <v>1760</v>
      </c>
      <c r="P417" s="43">
        <f t="shared" si="55"/>
        <v>1760</v>
      </c>
    </row>
    <row r="418" spans="1:16" ht="20.25" customHeight="1">
      <c r="A418" s="11" t="s">
        <v>314</v>
      </c>
      <c r="B418" s="68"/>
      <c r="C418" s="11"/>
      <c r="D418" s="43"/>
      <c r="E418" s="15">
        <v>510</v>
      </c>
      <c r="F418" s="43">
        <f t="shared" si="53"/>
        <v>510</v>
      </c>
      <c r="G418" s="43"/>
      <c r="H418" s="15">
        <v>550</v>
      </c>
      <c r="I418" s="43"/>
      <c r="J418" s="43">
        <f t="shared" si="54"/>
        <v>550</v>
      </c>
      <c r="K418" s="65"/>
      <c r="L418" s="65"/>
      <c r="M418" s="65"/>
      <c r="N418" s="43"/>
      <c r="O418" s="15">
        <v>585</v>
      </c>
      <c r="P418" s="43">
        <f t="shared" si="55"/>
        <v>585</v>
      </c>
    </row>
    <row r="419" spans="1:16" ht="33.75">
      <c r="A419" s="11" t="s">
        <v>315</v>
      </c>
      <c r="B419" s="11"/>
      <c r="C419" s="11"/>
      <c r="D419" s="43"/>
      <c r="E419" s="15">
        <v>280</v>
      </c>
      <c r="F419" s="43">
        <f t="shared" si="53"/>
        <v>280</v>
      </c>
      <c r="G419" s="43"/>
      <c r="H419" s="15">
        <v>300</v>
      </c>
      <c r="I419" s="43"/>
      <c r="J419" s="43">
        <f t="shared" si="54"/>
        <v>300</v>
      </c>
      <c r="K419" s="65"/>
      <c r="L419" s="65"/>
      <c r="M419" s="65"/>
      <c r="N419" s="43"/>
      <c r="O419" s="15">
        <v>320</v>
      </c>
      <c r="P419" s="43">
        <f t="shared" si="55"/>
        <v>320</v>
      </c>
    </row>
    <row r="420" spans="1:16" ht="22.5">
      <c r="A420" s="16" t="s">
        <v>316</v>
      </c>
      <c r="B420" s="11"/>
      <c r="C420" s="11"/>
      <c r="D420" s="43"/>
      <c r="E420" s="17">
        <v>130</v>
      </c>
      <c r="F420" s="43">
        <f t="shared" si="53"/>
        <v>130</v>
      </c>
      <c r="G420" s="43"/>
      <c r="H420" s="17">
        <v>850</v>
      </c>
      <c r="I420" s="43"/>
      <c r="J420" s="43">
        <f t="shared" si="54"/>
        <v>850</v>
      </c>
      <c r="K420" s="65"/>
      <c r="L420" s="65"/>
      <c r="M420" s="65"/>
      <c r="N420" s="43"/>
      <c r="O420" s="18">
        <v>150</v>
      </c>
      <c r="P420" s="43">
        <f t="shared" si="55"/>
        <v>150</v>
      </c>
    </row>
    <row r="421" spans="1:16" ht="45">
      <c r="A421" s="58" t="s">
        <v>406</v>
      </c>
      <c r="B421" s="11"/>
      <c r="C421" s="11"/>
      <c r="D421" s="43">
        <f>D423</f>
        <v>0</v>
      </c>
      <c r="E421" s="43">
        <f>E423</f>
        <v>264000</v>
      </c>
      <c r="F421" s="43">
        <f>F423</f>
        <v>264000</v>
      </c>
      <c r="G421" s="43"/>
      <c r="H421" s="43">
        <f>H423</f>
        <v>283200</v>
      </c>
      <c r="I421" s="43"/>
      <c r="J421" s="43">
        <f>J423</f>
        <v>283200</v>
      </c>
      <c r="K421" s="65"/>
      <c r="L421" s="65"/>
      <c r="M421" s="65"/>
      <c r="N421" s="43"/>
      <c r="O421" s="43">
        <f>O423</f>
        <v>300192</v>
      </c>
      <c r="P421" s="43">
        <f>P423</f>
        <v>300192</v>
      </c>
    </row>
    <row r="422" spans="1:16" ht="11.25">
      <c r="A422" s="19" t="s">
        <v>4</v>
      </c>
      <c r="B422" s="11"/>
      <c r="C422" s="11"/>
      <c r="D422" s="43"/>
      <c r="E422" s="17"/>
      <c r="F422" s="43"/>
      <c r="G422" s="43"/>
      <c r="H422" s="17"/>
      <c r="I422" s="43"/>
      <c r="J422" s="43"/>
      <c r="K422" s="65"/>
      <c r="L422" s="65"/>
      <c r="M422" s="65"/>
      <c r="N422" s="43"/>
      <c r="O422" s="18"/>
      <c r="P422" s="43"/>
    </row>
    <row r="423" spans="1:16" ht="22.5">
      <c r="A423" s="8" t="s">
        <v>317</v>
      </c>
      <c r="B423" s="11"/>
      <c r="C423" s="11"/>
      <c r="D423" s="43"/>
      <c r="E423" s="17">
        <v>264000</v>
      </c>
      <c r="F423" s="43">
        <f>D423+E423</f>
        <v>264000</v>
      </c>
      <c r="G423" s="43"/>
      <c r="H423" s="17">
        <f>H425*H427</f>
        <v>283200</v>
      </c>
      <c r="I423" s="43"/>
      <c r="J423" s="43">
        <f>G423+H423</f>
        <v>283200</v>
      </c>
      <c r="K423" s="65"/>
      <c r="L423" s="65"/>
      <c r="M423" s="65"/>
      <c r="N423" s="43"/>
      <c r="O423" s="18">
        <f>O425*O427</f>
        <v>300192</v>
      </c>
      <c r="P423" s="43">
        <f>N423+O423</f>
        <v>300192</v>
      </c>
    </row>
    <row r="424" spans="1:16" ht="11.25">
      <c r="A424" s="19" t="s">
        <v>5</v>
      </c>
      <c r="B424" s="11"/>
      <c r="C424" s="11"/>
      <c r="D424" s="43"/>
      <c r="E424" s="17"/>
      <c r="F424" s="43"/>
      <c r="G424" s="43"/>
      <c r="H424" s="17"/>
      <c r="I424" s="43"/>
      <c r="J424" s="43"/>
      <c r="K424" s="65"/>
      <c r="L424" s="65"/>
      <c r="M424" s="65"/>
      <c r="N424" s="43"/>
      <c r="O424" s="18"/>
      <c r="P424" s="43"/>
    </row>
    <row r="425" spans="1:16" ht="22.5">
      <c r="A425" s="20" t="s">
        <v>318</v>
      </c>
      <c r="B425" s="11"/>
      <c r="C425" s="11"/>
      <c r="D425" s="43"/>
      <c r="E425" s="21">
        <v>236</v>
      </c>
      <c r="F425" s="69">
        <f>D425+E425</f>
        <v>236</v>
      </c>
      <c r="G425" s="69"/>
      <c r="H425" s="21">
        <v>236</v>
      </c>
      <c r="I425" s="69"/>
      <c r="J425" s="69">
        <f>G425+H425</f>
        <v>236</v>
      </c>
      <c r="K425" s="70"/>
      <c r="L425" s="70"/>
      <c r="M425" s="70"/>
      <c r="N425" s="69"/>
      <c r="O425" s="21">
        <v>236</v>
      </c>
      <c r="P425" s="69">
        <f>N425+O425</f>
        <v>236</v>
      </c>
    </row>
    <row r="426" spans="1:16" ht="11.25">
      <c r="A426" s="19" t="s">
        <v>7</v>
      </c>
      <c r="B426" s="11"/>
      <c r="C426" s="11"/>
      <c r="D426" s="43"/>
      <c r="E426" s="17"/>
      <c r="F426" s="43"/>
      <c r="G426" s="43"/>
      <c r="H426" s="17"/>
      <c r="I426" s="43"/>
      <c r="J426" s="43"/>
      <c r="K426" s="65"/>
      <c r="L426" s="65"/>
      <c r="M426" s="65"/>
      <c r="N426" s="43"/>
      <c r="O426" s="18"/>
      <c r="P426" s="43"/>
    </row>
    <row r="427" spans="1:16" ht="22.5">
      <c r="A427" s="20" t="s">
        <v>319</v>
      </c>
      <c r="B427" s="11"/>
      <c r="C427" s="11"/>
      <c r="D427" s="43"/>
      <c r="E427" s="43">
        <v>1118.64</v>
      </c>
      <c r="F427" s="43">
        <f>D427+E427</f>
        <v>1118.64</v>
      </c>
      <c r="G427" s="43"/>
      <c r="H427" s="43">
        <v>1200</v>
      </c>
      <c r="I427" s="43"/>
      <c r="J427" s="43">
        <f>G427+H427</f>
        <v>1200</v>
      </c>
      <c r="K427" s="65"/>
      <c r="L427" s="65"/>
      <c r="M427" s="65"/>
      <c r="N427" s="43"/>
      <c r="O427" s="43">
        <v>1272</v>
      </c>
      <c r="P427" s="43">
        <f>N427+O427</f>
        <v>1272</v>
      </c>
    </row>
    <row r="428" spans="1:235" s="39" customFormat="1" ht="21" customHeight="1">
      <c r="A428" s="9" t="s">
        <v>407</v>
      </c>
      <c r="B428" s="9"/>
      <c r="C428" s="9"/>
      <c r="D428" s="10">
        <f>(D430*D432)</f>
        <v>64999.9999998</v>
      </c>
      <c r="E428" s="10"/>
      <c r="F428" s="10">
        <f>D428</f>
        <v>64999.9999998</v>
      </c>
      <c r="G428" s="10">
        <f>G430*G432</f>
        <v>58000</v>
      </c>
      <c r="H428" s="10"/>
      <c r="I428" s="10"/>
      <c r="J428" s="10">
        <f>G428</f>
        <v>58000</v>
      </c>
      <c r="K428" s="10"/>
      <c r="L428" s="10"/>
      <c r="M428" s="10"/>
      <c r="N428" s="10">
        <f>N430*N432</f>
        <v>74999.99999968</v>
      </c>
      <c r="O428" s="10"/>
      <c r="P428" s="10">
        <f>N428</f>
        <v>74999.99999968</v>
      </c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  <c r="CP428" s="38"/>
      <c r="CQ428" s="38"/>
      <c r="CR428" s="38"/>
      <c r="CS428" s="38"/>
      <c r="CT428" s="38"/>
      <c r="CU428" s="38"/>
      <c r="CV428" s="38"/>
      <c r="CW428" s="38"/>
      <c r="CX428" s="38"/>
      <c r="CY428" s="38"/>
      <c r="CZ428" s="38"/>
      <c r="DA428" s="38"/>
      <c r="DB428" s="38"/>
      <c r="DC428" s="38"/>
      <c r="DD428" s="38"/>
      <c r="DE428" s="38"/>
      <c r="DF428" s="38"/>
      <c r="DG428" s="38"/>
      <c r="DH428" s="38"/>
      <c r="DI428" s="38"/>
      <c r="DJ428" s="38"/>
      <c r="DK428" s="38"/>
      <c r="DL428" s="38"/>
      <c r="DM428" s="38"/>
      <c r="DN428" s="38"/>
      <c r="DO428" s="38"/>
      <c r="DP428" s="38"/>
      <c r="DQ428" s="38"/>
      <c r="DR428" s="38"/>
      <c r="DS428" s="38"/>
      <c r="DT428" s="38"/>
      <c r="DU428" s="38"/>
      <c r="DV428" s="38"/>
      <c r="DW428" s="38"/>
      <c r="DX428" s="38"/>
      <c r="DY428" s="38"/>
      <c r="DZ428" s="38"/>
      <c r="EA428" s="38"/>
      <c r="EB428" s="38"/>
      <c r="EC428" s="38"/>
      <c r="ED428" s="38"/>
      <c r="EE428" s="38"/>
      <c r="EF428" s="38"/>
      <c r="EG428" s="38"/>
      <c r="EH428" s="38"/>
      <c r="EI428" s="38"/>
      <c r="EJ428" s="38"/>
      <c r="EK428" s="38"/>
      <c r="EL428" s="38"/>
      <c r="EM428" s="38"/>
      <c r="EN428" s="38"/>
      <c r="EO428" s="38"/>
      <c r="EP428" s="38"/>
      <c r="EQ428" s="38"/>
      <c r="ER428" s="38"/>
      <c r="ES428" s="38"/>
      <c r="ET428" s="38"/>
      <c r="EU428" s="38"/>
      <c r="EV428" s="38"/>
      <c r="EW428" s="38"/>
      <c r="EX428" s="38"/>
      <c r="EY428" s="38"/>
      <c r="EZ428" s="38"/>
      <c r="FA428" s="38"/>
      <c r="FB428" s="38"/>
      <c r="FC428" s="38"/>
      <c r="FD428" s="38"/>
      <c r="FE428" s="38"/>
      <c r="FF428" s="38"/>
      <c r="FG428" s="38"/>
      <c r="FH428" s="38"/>
      <c r="FI428" s="38"/>
      <c r="FJ428" s="38"/>
      <c r="FK428" s="38"/>
      <c r="FL428" s="38"/>
      <c r="FM428" s="38"/>
      <c r="FN428" s="38"/>
      <c r="FO428" s="38"/>
      <c r="FP428" s="38"/>
      <c r="FQ428" s="38"/>
      <c r="FR428" s="38"/>
      <c r="FS428" s="38"/>
      <c r="FT428" s="38"/>
      <c r="FU428" s="38"/>
      <c r="FV428" s="38"/>
      <c r="FW428" s="38"/>
      <c r="FX428" s="38"/>
      <c r="FY428" s="38"/>
      <c r="FZ428" s="38"/>
      <c r="GA428" s="38"/>
      <c r="GB428" s="38"/>
      <c r="GC428" s="38"/>
      <c r="GD428" s="38"/>
      <c r="GE428" s="38"/>
      <c r="GF428" s="38"/>
      <c r="GG428" s="38"/>
      <c r="GH428" s="38"/>
      <c r="GI428" s="38"/>
      <c r="GJ428" s="38"/>
      <c r="GK428" s="38"/>
      <c r="GL428" s="38"/>
      <c r="GM428" s="38"/>
      <c r="GN428" s="38"/>
      <c r="GO428" s="38"/>
      <c r="GP428" s="38"/>
      <c r="GQ428" s="38"/>
      <c r="GR428" s="38"/>
      <c r="GS428" s="38"/>
      <c r="GT428" s="38"/>
      <c r="GU428" s="38"/>
      <c r="GV428" s="38"/>
      <c r="GW428" s="38"/>
      <c r="GX428" s="38"/>
      <c r="GY428" s="38"/>
      <c r="GZ428" s="38"/>
      <c r="HA428" s="38"/>
      <c r="HB428" s="38"/>
      <c r="HC428" s="38"/>
      <c r="HD428" s="38"/>
      <c r="HE428" s="38"/>
      <c r="HF428" s="38"/>
      <c r="HG428" s="38"/>
      <c r="HH428" s="38"/>
      <c r="HI428" s="38"/>
      <c r="HJ428" s="38"/>
      <c r="HK428" s="38"/>
      <c r="HL428" s="38"/>
      <c r="HM428" s="38"/>
      <c r="HN428" s="38"/>
      <c r="HO428" s="38"/>
      <c r="HP428" s="38"/>
      <c r="HQ428" s="38"/>
      <c r="HR428" s="38"/>
      <c r="HS428" s="38"/>
      <c r="HT428" s="38"/>
      <c r="HU428" s="38"/>
      <c r="HV428" s="38"/>
      <c r="HW428" s="38"/>
      <c r="HX428" s="38"/>
      <c r="HY428" s="38"/>
      <c r="HZ428" s="38"/>
      <c r="IA428" s="38"/>
    </row>
    <row r="429" spans="1:16" ht="12.75" customHeight="1">
      <c r="A429" s="13" t="s">
        <v>152</v>
      </c>
      <c r="B429" s="9"/>
      <c r="C429" s="9"/>
      <c r="D429" s="10"/>
      <c r="E429" s="10"/>
      <c r="F429" s="10"/>
      <c r="G429" s="10"/>
      <c r="H429" s="10"/>
      <c r="I429" s="10"/>
      <c r="J429" s="10"/>
      <c r="K429" s="65"/>
      <c r="L429" s="10"/>
      <c r="M429" s="10"/>
      <c r="N429" s="10"/>
      <c r="O429" s="10"/>
      <c r="P429" s="10"/>
    </row>
    <row r="430" spans="1:16" ht="24" customHeight="1">
      <c r="A430" s="8" t="s">
        <v>151</v>
      </c>
      <c r="B430" s="11"/>
      <c r="C430" s="11"/>
      <c r="D430" s="43">
        <v>5400</v>
      </c>
      <c r="E430" s="43"/>
      <c r="F430" s="43">
        <f>D430</f>
        <v>5400</v>
      </c>
      <c r="G430" s="43">
        <v>4640</v>
      </c>
      <c r="H430" s="43"/>
      <c r="I430" s="43"/>
      <c r="J430" s="43">
        <f>G430</f>
        <v>4640</v>
      </c>
      <c r="K430" s="65"/>
      <c r="L430" s="65"/>
      <c r="M430" s="65"/>
      <c r="N430" s="43">
        <v>5600</v>
      </c>
      <c r="O430" s="43"/>
      <c r="P430" s="43">
        <f>N430</f>
        <v>5600</v>
      </c>
    </row>
    <row r="431" spans="1:16" ht="11.25">
      <c r="A431" s="13" t="s">
        <v>7</v>
      </c>
      <c r="B431" s="11"/>
      <c r="C431" s="11"/>
      <c r="D431" s="43"/>
      <c r="E431" s="43"/>
      <c r="F431" s="43"/>
      <c r="G431" s="43"/>
      <c r="H431" s="43"/>
      <c r="I431" s="43"/>
      <c r="J431" s="43"/>
      <c r="K431" s="65"/>
      <c r="L431" s="65"/>
      <c r="M431" s="65"/>
      <c r="N431" s="43"/>
      <c r="O431" s="43"/>
      <c r="P431" s="43"/>
    </row>
    <row r="432" spans="1:16" ht="18.75" customHeight="1">
      <c r="A432" s="11" t="s">
        <v>153</v>
      </c>
      <c r="B432" s="11"/>
      <c r="C432" s="11"/>
      <c r="D432" s="43">
        <v>12.037037037</v>
      </c>
      <c r="E432" s="43"/>
      <c r="F432" s="43">
        <f>D432</f>
        <v>12.037037037</v>
      </c>
      <c r="G432" s="43">
        <v>12.5</v>
      </c>
      <c r="H432" s="43"/>
      <c r="I432" s="43"/>
      <c r="J432" s="43">
        <f>G432</f>
        <v>12.5</v>
      </c>
      <c r="K432" s="65"/>
      <c r="L432" s="65"/>
      <c r="M432" s="65"/>
      <c r="N432" s="43">
        <v>13.3928571428</v>
      </c>
      <c r="O432" s="43"/>
      <c r="P432" s="43">
        <f>N432</f>
        <v>13.3928571428</v>
      </c>
    </row>
    <row r="433" spans="1:235" s="39" customFormat="1" ht="196.5" customHeight="1">
      <c r="A433" s="67" t="s">
        <v>453</v>
      </c>
      <c r="B433" s="9"/>
      <c r="C433" s="9"/>
      <c r="D433" s="146">
        <f>D435*D447+D437*D449+D436*D448+D438*D450+D441*D452+D442*D453</f>
        <v>404000</v>
      </c>
      <c r="E433" s="10"/>
      <c r="F433" s="10">
        <f>F435*F447+F437*F449+F436*F448+F438*F450+F441*F452+F442*F453</f>
        <v>404000</v>
      </c>
      <c r="G433" s="10">
        <f>G435*G447+G437*G449+G436*G448+G438*G450+G441*G452+G442*G453+G443*G455+G440*G454+G439*G451+84000+11090</f>
        <v>887790</v>
      </c>
      <c r="H433" s="10"/>
      <c r="I433" s="10"/>
      <c r="J433" s="10">
        <f>G433</f>
        <v>887790</v>
      </c>
      <c r="K433" s="10"/>
      <c r="L433" s="10"/>
      <c r="M433" s="10"/>
      <c r="N433" s="10">
        <f>N437*N449+N435*N447+N442*N453+N444*N456+N445*N457+285000+60000</f>
        <v>813350</v>
      </c>
      <c r="O433" s="10"/>
      <c r="P433" s="10">
        <f>N433</f>
        <v>813350</v>
      </c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  <c r="CW433" s="38"/>
      <c r="CX433" s="38"/>
      <c r="CY433" s="38"/>
      <c r="CZ433" s="38"/>
      <c r="DA433" s="38"/>
      <c r="DB433" s="38"/>
      <c r="DC433" s="38"/>
      <c r="DD433" s="38"/>
      <c r="DE433" s="38"/>
      <c r="DF433" s="38"/>
      <c r="DG433" s="38"/>
      <c r="DH433" s="38"/>
      <c r="DI433" s="38"/>
      <c r="DJ433" s="38"/>
      <c r="DK433" s="38"/>
      <c r="DL433" s="38"/>
      <c r="DM433" s="38"/>
      <c r="DN433" s="38"/>
      <c r="DO433" s="38"/>
      <c r="DP433" s="38"/>
      <c r="DQ433" s="38"/>
      <c r="DR433" s="38"/>
      <c r="DS433" s="38"/>
      <c r="DT433" s="38"/>
      <c r="DU433" s="38"/>
      <c r="DV433" s="38"/>
      <c r="DW433" s="38"/>
      <c r="DX433" s="38"/>
      <c r="DY433" s="38"/>
      <c r="DZ433" s="38"/>
      <c r="EA433" s="38"/>
      <c r="EB433" s="38"/>
      <c r="EC433" s="38"/>
      <c r="ED433" s="38"/>
      <c r="EE433" s="38"/>
      <c r="EF433" s="38"/>
      <c r="EG433" s="38"/>
      <c r="EH433" s="38"/>
      <c r="EI433" s="38"/>
      <c r="EJ433" s="38"/>
      <c r="EK433" s="38"/>
      <c r="EL433" s="38"/>
      <c r="EM433" s="38"/>
      <c r="EN433" s="38"/>
      <c r="EO433" s="38"/>
      <c r="EP433" s="38"/>
      <c r="EQ433" s="38"/>
      <c r="ER433" s="38"/>
      <c r="ES433" s="38"/>
      <c r="ET433" s="38"/>
      <c r="EU433" s="38"/>
      <c r="EV433" s="38"/>
      <c r="EW433" s="38"/>
      <c r="EX433" s="38"/>
      <c r="EY433" s="38"/>
      <c r="EZ433" s="38"/>
      <c r="FA433" s="38"/>
      <c r="FB433" s="38"/>
      <c r="FC433" s="38"/>
      <c r="FD433" s="38"/>
      <c r="FE433" s="38"/>
      <c r="FF433" s="38"/>
      <c r="FG433" s="38"/>
      <c r="FH433" s="38"/>
      <c r="FI433" s="38"/>
      <c r="FJ433" s="38"/>
      <c r="FK433" s="38"/>
      <c r="FL433" s="38"/>
      <c r="FM433" s="38"/>
      <c r="FN433" s="38"/>
      <c r="FO433" s="38"/>
      <c r="FP433" s="38"/>
      <c r="FQ433" s="38"/>
      <c r="FR433" s="38"/>
      <c r="FS433" s="38"/>
      <c r="FT433" s="38"/>
      <c r="FU433" s="38"/>
      <c r="FV433" s="38"/>
      <c r="FW433" s="38"/>
      <c r="FX433" s="38"/>
      <c r="FY433" s="38"/>
      <c r="FZ433" s="38"/>
      <c r="GA433" s="38"/>
      <c r="GB433" s="38"/>
      <c r="GC433" s="38"/>
      <c r="GD433" s="38"/>
      <c r="GE433" s="38"/>
      <c r="GF433" s="38"/>
      <c r="GG433" s="38"/>
      <c r="GH433" s="38"/>
      <c r="GI433" s="38"/>
      <c r="GJ433" s="38"/>
      <c r="GK433" s="38"/>
      <c r="GL433" s="38"/>
      <c r="GM433" s="38"/>
      <c r="GN433" s="38"/>
      <c r="GO433" s="38"/>
      <c r="GP433" s="38"/>
      <c r="GQ433" s="38"/>
      <c r="GR433" s="38"/>
      <c r="GS433" s="38"/>
      <c r="GT433" s="38"/>
      <c r="GU433" s="38"/>
      <c r="GV433" s="38"/>
      <c r="GW433" s="38"/>
      <c r="GX433" s="38"/>
      <c r="GY433" s="38"/>
      <c r="GZ433" s="38"/>
      <c r="HA433" s="38"/>
      <c r="HB433" s="38"/>
      <c r="HC433" s="38"/>
      <c r="HD433" s="38"/>
      <c r="HE433" s="38"/>
      <c r="HF433" s="38"/>
      <c r="HG433" s="38"/>
      <c r="HH433" s="38"/>
      <c r="HI433" s="38"/>
      <c r="HJ433" s="38"/>
      <c r="HK433" s="38"/>
      <c r="HL433" s="38"/>
      <c r="HM433" s="38"/>
      <c r="HN433" s="38"/>
      <c r="HO433" s="38"/>
      <c r="HP433" s="38"/>
      <c r="HQ433" s="38"/>
      <c r="HR433" s="38"/>
      <c r="HS433" s="38"/>
      <c r="HT433" s="38"/>
      <c r="HU433" s="38"/>
      <c r="HV433" s="38"/>
      <c r="HW433" s="38"/>
      <c r="HX433" s="38"/>
      <c r="HY433" s="38"/>
      <c r="HZ433" s="38"/>
      <c r="IA433" s="38"/>
    </row>
    <row r="434" spans="1:16" ht="11.25">
      <c r="A434" s="13" t="s">
        <v>152</v>
      </c>
      <c r="B434" s="9"/>
      <c r="C434" s="9"/>
      <c r="D434" s="10"/>
      <c r="E434" s="10"/>
      <c r="F434" s="10"/>
      <c r="G434" s="10"/>
      <c r="H434" s="10"/>
      <c r="I434" s="10"/>
      <c r="J434" s="10"/>
      <c r="K434" s="65"/>
      <c r="L434" s="65"/>
      <c r="M434" s="65"/>
      <c r="N434" s="43"/>
      <c r="O434" s="43"/>
      <c r="P434" s="43"/>
    </row>
    <row r="435" spans="1:16" ht="23.25" customHeight="1">
      <c r="A435" s="8" t="s">
        <v>267</v>
      </c>
      <c r="B435" s="9"/>
      <c r="C435" s="9"/>
      <c r="D435" s="43">
        <v>5</v>
      </c>
      <c r="E435" s="10"/>
      <c r="F435" s="43">
        <f>D435+E435</f>
        <v>5</v>
      </c>
      <c r="G435" s="43">
        <v>5</v>
      </c>
      <c r="H435" s="10"/>
      <c r="I435" s="43"/>
      <c r="J435" s="43">
        <f aca="true" t="shared" si="56" ref="J435:J443">G435+H435</f>
        <v>5</v>
      </c>
      <c r="K435" s="65"/>
      <c r="L435" s="65"/>
      <c r="M435" s="65"/>
      <c r="N435" s="43">
        <v>5</v>
      </c>
      <c r="O435" s="43"/>
      <c r="P435" s="43">
        <f>N435</f>
        <v>5</v>
      </c>
    </row>
    <row r="436" spans="1:16" ht="21" customHeight="1">
      <c r="A436" s="8" t="s">
        <v>272</v>
      </c>
      <c r="B436" s="9"/>
      <c r="C436" s="9"/>
      <c r="D436" s="43">
        <v>1</v>
      </c>
      <c r="E436" s="10"/>
      <c r="F436" s="43">
        <v>1</v>
      </c>
      <c r="G436" s="43">
        <v>1</v>
      </c>
      <c r="H436" s="10"/>
      <c r="I436" s="43"/>
      <c r="J436" s="43">
        <f t="shared" si="56"/>
        <v>1</v>
      </c>
      <c r="K436" s="65"/>
      <c r="L436" s="65"/>
      <c r="M436" s="65"/>
      <c r="N436" s="43"/>
      <c r="O436" s="43"/>
      <c r="P436" s="43"/>
    </row>
    <row r="437" spans="1:16" ht="43.5" customHeight="1">
      <c r="A437" s="8" t="s">
        <v>224</v>
      </c>
      <c r="B437" s="11"/>
      <c r="C437" s="11"/>
      <c r="D437" s="43">
        <v>12</v>
      </c>
      <c r="E437" s="43"/>
      <c r="F437" s="43">
        <f>D437+E437</f>
        <v>12</v>
      </c>
      <c r="G437" s="43">
        <v>12</v>
      </c>
      <c r="H437" s="43"/>
      <c r="I437" s="43"/>
      <c r="J437" s="43">
        <f t="shared" si="56"/>
        <v>12</v>
      </c>
      <c r="K437" s="65"/>
      <c r="L437" s="65"/>
      <c r="M437" s="65"/>
      <c r="N437" s="43">
        <v>12</v>
      </c>
      <c r="O437" s="43"/>
      <c r="P437" s="43">
        <f>N437</f>
        <v>12</v>
      </c>
    </row>
    <row r="438" spans="1:16" ht="21.75" customHeight="1">
      <c r="A438" s="71" t="s">
        <v>323</v>
      </c>
      <c r="B438" s="11"/>
      <c r="C438" s="11"/>
      <c r="D438" s="43">
        <v>1</v>
      </c>
      <c r="E438" s="43"/>
      <c r="F438" s="43">
        <f>D438+E438</f>
        <v>1</v>
      </c>
      <c r="G438" s="43">
        <v>1</v>
      </c>
      <c r="H438" s="43"/>
      <c r="I438" s="43"/>
      <c r="J438" s="43">
        <f t="shared" si="56"/>
        <v>1</v>
      </c>
      <c r="K438" s="65"/>
      <c r="L438" s="65"/>
      <c r="M438" s="65"/>
      <c r="N438" s="43"/>
      <c r="O438" s="43"/>
      <c r="P438" s="43"/>
    </row>
    <row r="439" spans="1:16" ht="23.25" customHeight="1">
      <c r="A439" s="71" t="s">
        <v>448</v>
      </c>
      <c r="B439" s="11"/>
      <c r="C439" s="11"/>
      <c r="D439" s="43"/>
      <c r="E439" s="43"/>
      <c r="F439" s="43"/>
      <c r="G439" s="43">
        <v>1</v>
      </c>
      <c r="H439" s="43"/>
      <c r="I439" s="43"/>
      <c r="J439" s="43">
        <f t="shared" si="56"/>
        <v>1</v>
      </c>
      <c r="K439" s="65"/>
      <c r="L439" s="65"/>
      <c r="M439" s="65"/>
      <c r="N439" s="43"/>
      <c r="O439" s="43"/>
      <c r="P439" s="43"/>
    </row>
    <row r="440" spans="1:16" ht="29.25" customHeight="1">
      <c r="A440" s="71" t="s">
        <v>446</v>
      </c>
      <c r="B440" s="11"/>
      <c r="C440" s="11"/>
      <c r="D440" s="43"/>
      <c r="E440" s="43"/>
      <c r="F440" s="43"/>
      <c r="G440" s="43">
        <v>1</v>
      </c>
      <c r="H440" s="43"/>
      <c r="I440" s="43"/>
      <c r="J440" s="43">
        <f t="shared" si="56"/>
        <v>1</v>
      </c>
      <c r="K440" s="65"/>
      <c r="L440" s="65"/>
      <c r="M440" s="65"/>
      <c r="N440" s="43"/>
      <c r="O440" s="43"/>
      <c r="P440" s="43"/>
    </row>
    <row r="441" spans="1:16" ht="12.75" customHeight="1">
      <c r="A441" s="71" t="s">
        <v>325</v>
      </c>
      <c r="B441" s="11"/>
      <c r="C441" s="11"/>
      <c r="D441" s="43">
        <v>1</v>
      </c>
      <c r="E441" s="43"/>
      <c r="F441" s="43">
        <f>D441+E441</f>
        <v>1</v>
      </c>
      <c r="G441" s="43"/>
      <c r="H441" s="43"/>
      <c r="I441" s="43"/>
      <c r="J441" s="43">
        <f t="shared" si="56"/>
        <v>0</v>
      </c>
      <c r="K441" s="65"/>
      <c r="L441" s="65"/>
      <c r="M441" s="65"/>
      <c r="N441" s="43"/>
      <c r="O441" s="43"/>
      <c r="P441" s="43"/>
    </row>
    <row r="442" spans="1:16" ht="21.75" customHeight="1">
      <c r="A442" s="8" t="s">
        <v>355</v>
      </c>
      <c r="B442" s="68"/>
      <c r="C442" s="11"/>
      <c r="D442" s="43">
        <v>4</v>
      </c>
      <c r="E442" s="43"/>
      <c r="F442" s="43">
        <f>D442+E442</f>
        <v>4</v>
      </c>
      <c r="G442" s="43">
        <v>4</v>
      </c>
      <c r="H442" s="43"/>
      <c r="I442" s="43"/>
      <c r="J442" s="43">
        <f t="shared" si="56"/>
        <v>4</v>
      </c>
      <c r="K442" s="65"/>
      <c r="L442" s="65"/>
      <c r="M442" s="65"/>
      <c r="N442" s="43">
        <v>5</v>
      </c>
      <c r="O442" s="43"/>
      <c r="P442" s="43">
        <v>5</v>
      </c>
    </row>
    <row r="443" spans="1:16" ht="46.5" customHeight="1">
      <c r="A443" s="8" t="s">
        <v>421</v>
      </c>
      <c r="B443" s="68"/>
      <c r="C443" s="11"/>
      <c r="D443" s="43">
        <v>0</v>
      </c>
      <c r="E443" s="43"/>
      <c r="F443" s="43">
        <f>D443+E443</f>
        <v>0</v>
      </c>
      <c r="G443" s="43">
        <v>1</v>
      </c>
      <c r="H443" s="43"/>
      <c r="I443" s="43"/>
      <c r="J443" s="43">
        <f t="shared" si="56"/>
        <v>1</v>
      </c>
      <c r="K443" s="65"/>
      <c r="L443" s="65"/>
      <c r="M443" s="65"/>
      <c r="N443" s="43"/>
      <c r="O443" s="43"/>
      <c r="P443" s="43"/>
    </row>
    <row r="444" spans="1:16" ht="21" customHeight="1">
      <c r="A444" s="97" t="s">
        <v>454</v>
      </c>
      <c r="B444" s="68"/>
      <c r="C444" s="11"/>
      <c r="D444" s="43"/>
      <c r="E444" s="43"/>
      <c r="F444" s="43"/>
      <c r="G444" s="43"/>
      <c r="H444" s="43"/>
      <c r="I444" s="43"/>
      <c r="J444" s="43"/>
      <c r="K444" s="65"/>
      <c r="L444" s="65"/>
      <c r="M444" s="65"/>
      <c r="N444" s="43">
        <v>1</v>
      </c>
      <c r="O444" s="43"/>
      <c r="P444" s="43">
        <v>1</v>
      </c>
    </row>
    <row r="445" spans="1:16" ht="21" customHeight="1">
      <c r="A445" s="97" t="s">
        <v>456</v>
      </c>
      <c r="B445" s="68"/>
      <c r="C445" s="11"/>
      <c r="D445" s="43"/>
      <c r="E445" s="43"/>
      <c r="F445" s="43"/>
      <c r="G445" s="43"/>
      <c r="H445" s="43"/>
      <c r="I445" s="43"/>
      <c r="J445" s="43"/>
      <c r="K445" s="65"/>
      <c r="L445" s="65"/>
      <c r="M445" s="65"/>
      <c r="N445" s="43">
        <v>8</v>
      </c>
      <c r="O445" s="43"/>
      <c r="P445" s="43">
        <v>8</v>
      </c>
    </row>
    <row r="446" spans="1:16" ht="11.25">
      <c r="A446" s="61" t="s">
        <v>7</v>
      </c>
      <c r="B446" s="11"/>
      <c r="C446" s="11"/>
      <c r="D446" s="43"/>
      <c r="E446" s="43"/>
      <c r="F446" s="43"/>
      <c r="G446" s="43"/>
      <c r="H446" s="43"/>
      <c r="I446" s="43"/>
      <c r="J446" s="43"/>
      <c r="K446" s="65"/>
      <c r="L446" s="65"/>
      <c r="M446" s="65"/>
      <c r="N446" s="43"/>
      <c r="O446" s="43"/>
      <c r="P446" s="43"/>
    </row>
    <row r="447" spans="1:16" ht="22.5">
      <c r="A447" s="11" t="s">
        <v>266</v>
      </c>
      <c r="B447" s="11"/>
      <c r="C447" s="11"/>
      <c r="D447" s="43">
        <v>8400</v>
      </c>
      <c r="E447" s="43"/>
      <c r="F447" s="43">
        <f>D447+E447</f>
        <v>8400</v>
      </c>
      <c r="G447" s="43">
        <v>13000</v>
      </c>
      <c r="H447" s="43"/>
      <c r="I447" s="43"/>
      <c r="J447" s="43">
        <f aca="true" t="shared" si="57" ref="J447:J455">G447+H447</f>
        <v>13000</v>
      </c>
      <c r="K447" s="65"/>
      <c r="L447" s="65"/>
      <c r="M447" s="65"/>
      <c r="N447" s="43">
        <v>15000</v>
      </c>
      <c r="O447" s="43"/>
      <c r="P447" s="43">
        <f>N447</f>
        <v>15000</v>
      </c>
    </row>
    <row r="448" spans="1:16" ht="22.5">
      <c r="A448" s="11" t="s">
        <v>271</v>
      </c>
      <c r="B448" s="11"/>
      <c r="C448" s="11"/>
      <c r="D448" s="43">
        <v>167000</v>
      </c>
      <c r="E448" s="43"/>
      <c r="F448" s="43">
        <f>D448+E448</f>
        <v>167000</v>
      </c>
      <c r="G448" s="43">
        <v>200000</v>
      </c>
      <c r="H448" s="43"/>
      <c r="I448" s="43"/>
      <c r="J448" s="43">
        <f t="shared" si="57"/>
        <v>200000</v>
      </c>
      <c r="K448" s="65"/>
      <c r="L448" s="65"/>
      <c r="M448" s="65"/>
      <c r="N448" s="43"/>
      <c r="O448" s="43"/>
      <c r="P448" s="43"/>
    </row>
    <row r="449" spans="1:16" ht="33.75" customHeight="1">
      <c r="A449" s="11" t="s">
        <v>175</v>
      </c>
      <c r="B449" s="11"/>
      <c r="C449" s="11"/>
      <c r="D449" s="43">
        <f>10000/12</f>
        <v>833.3333333333334</v>
      </c>
      <c r="E449" s="43"/>
      <c r="F449" s="43">
        <f>D449+E449</f>
        <v>833.3333333333334</v>
      </c>
      <c r="G449" s="43">
        <v>500</v>
      </c>
      <c r="H449" s="43"/>
      <c r="I449" s="43"/>
      <c r="J449" s="43">
        <f t="shared" si="57"/>
        <v>500</v>
      </c>
      <c r="K449" s="65"/>
      <c r="L449" s="65"/>
      <c r="M449" s="65"/>
      <c r="N449" s="43">
        <f>15000/12</f>
        <v>1250</v>
      </c>
      <c r="O449" s="43"/>
      <c r="P449" s="43">
        <f>N449</f>
        <v>1250</v>
      </c>
    </row>
    <row r="450" spans="1:16" ht="19.5" customHeight="1">
      <c r="A450" s="11" t="s">
        <v>324</v>
      </c>
      <c r="B450" s="20"/>
      <c r="C450" s="20"/>
      <c r="D450" s="43">
        <v>150000</v>
      </c>
      <c r="E450" s="44"/>
      <c r="F450" s="44">
        <v>150000</v>
      </c>
      <c r="G450" s="44">
        <v>96000</v>
      </c>
      <c r="H450" s="44"/>
      <c r="I450" s="44"/>
      <c r="J450" s="65">
        <f t="shared" si="57"/>
        <v>96000</v>
      </c>
      <c r="K450" s="44"/>
      <c r="L450" s="44"/>
      <c r="M450" s="44"/>
      <c r="N450" s="44"/>
      <c r="O450" s="44"/>
      <c r="P450" s="44"/>
    </row>
    <row r="451" spans="1:16" ht="19.5" customHeight="1">
      <c r="A451" s="16" t="s">
        <v>449</v>
      </c>
      <c r="B451" s="20"/>
      <c r="C451" s="20"/>
      <c r="D451" s="160"/>
      <c r="E451" s="44"/>
      <c r="F451" s="44"/>
      <c r="G451" s="44">
        <v>200000</v>
      </c>
      <c r="H451" s="44"/>
      <c r="I451" s="44"/>
      <c r="J451" s="65">
        <f t="shared" si="57"/>
        <v>200000</v>
      </c>
      <c r="K451" s="44"/>
      <c r="L451" s="44"/>
      <c r="M451" s="44"/>
      <c r="N451" s="44"/>
      <c r="O451" s="44"/>
      <c r="P451" s="44"/>
    </row>
    <row r="452" spans="1:16" ht="19.5" customHeight="1">
      <c r="A452" s="16" t="s">
        <v>326</v>
      </c>
      <c r="B452" s="20"/>
      <c r="C452" s="20"/>
      <c r="D452" s="44">
        <v>1000</v>
      </c>
      <c r="E452" s="44"/>
      <c r="F452" s="44">
        <v>1000</v>
      </c>
      <c r="G452" s="44"/>
      <c r="H452" s="44"/>
      <c r="I452" s="44"/>
      <c r="J452" s="65">
        <f t="shared" si="57"/>
        <v>0</v>
      </c>
      <c r="K452" s="44"/>
      <c r="L452" s="44"/>
      <c r="M452" s="44"/>
      <c r="N452" s="44"/>
      <c r="O452" s="44"/>
      <c r="P452" s="44"/>
    </row>
    <row r="453" spans="1:16" ht="21.75" customHeight="1">
      <c r="A453" s="20" t="s">
        <v>356</v>
      </c>
      <c r="B453" s="20"/>
      <c r="C453" s="20"/>
      <c r="D453" s="44">
        <v>8500</v>
      </c>
      <c r="E453" s="44"/>
      <c r="F453" s="44">
        <v>8500</v>
      </c>
      <c r="G453" s="44">
        <v>12750</v>
      </c>
      <c r="H453" s="44"/>
      <c r="I453" s="44"/>
      <c r="J453" s="65">
        <f t="shared" si="57"/>
        <v>12750</v>
      </c>
      <c r="K453" s="44"/>
      <c r="L453" s="44"/>
      <c r="M453" s="44"/>
      <c r="N453" s="44">
        <v>9670</v>
      </c>
      <c r="O453" s="44"/>
      <c r="P453" s="44">
        <v>9670</v>
      </c>
    </row>
    <row r="454" spans="1:16" ht="21.75" customHeight="1">
      <c r="A454" s="20" t="s">
        <v>447</v>
      </c>
      <c r="B454" s="20"/>
      <c r="C454" s="20"/>
      <c r="D454" s="44"/>
      <c r="E454" s="44"/>
      <c r="F454" s="44"/>
      <c r="G454" s="44">
        <v>80000</v>
      </c>
      <c r="H454" s="44"/>
      <c r="I454" s="44"/>
      <c r="J454" s="65">
        <f t="shared" si="57"/>
        <v>80000</v>
      </c>
      <c r="K454" s="44"/>
      <c r="L454" s="44"/>
      <c r="M454" s="44"/>
      <c r="N454" s="44"/>
      <c r="O454" s="44"/>
      <c r="P454" s="44"/>
    </row>
    <row r="455" spans="1:16" ht="21.75" customHeight="1">
      <c r="A455" s="20" t="s">
        <v>422</v>
      </c>
      <c r="B455" s="20"/>
      <c r="C455" s="20"/>
      <c r="D455" s="44"/>
      <c r="E455" s="44"/>
      <c r="F455" s="44"/>
      <c r="G455" s="44">
        <f>20000+30000+16200+13500+12000+3000</f>
        <v>94700</v>
      </c>
      <c r="H455" s="44"/>
      <c r="I455" s="44"/>
      <c r="J455" s="65">
        <f t="shared" si="57"/>
        <v>94700</v>
      </c>
      <c r="K455" s="44"/>
      <c r="L455" s="44"/>
      <c r="M455" s="44"/>
      <c r="N455" s="44"/>
      <c r="O455" s="44"/>
      <c r="P455" s="44"/>
    </row>
    <row r="456" spans="1:16" ht="21.75" customHeight="1">
      <c r="A456" s="20" t="s">
        <v>455</v>
      </c>
      <c r="B456" s="20"/>
      <c r="C456" s="20"/>
      <c r="D456" s="44"/>
      <c r="E456" s="44"/>
      <c r="F456" s="44"/>
      <c r="G456" s="44"/>
      <c r="H456" s="44"/>
      <c r="I456" s="44"/>
      <c r="J456" s="163"/>
      <c r="K456" s="44"/>
      <c r="L456" s="44"/>
      <c r="M456" s="44"/>
      <c r="N456" s="44">
        <v>30000</v>
      </c>
      <c r="O456" s="44"/>
      <c r="P456" s="44">
        <v>30000</v>
      </c>
    </row>
    <row r="457" spans="1:16" ht="21.75" customHeight="1">
      <c r="A457" s="20" t="s">
        <v>457</v>
      </c>
      <c r="B457" s="20"/>
      <c r="C457" s="20"/>
      <c r="D457" s="44"/>
      <c r="E457" s="44"/>
      <c r="F457" s="44"/>
      <c r="G457" s="44"/>
      <c r="H457" s="44"/>
      <c r="I457" s="44"/>
      <c r="J457" s="163"/>
      <c r="K457" s="44"/>
      <c r="L457" s="44"/>
      <c r="M457" s="44"/>
      <c r="N457" s="44">
        <v>37500</v>
      </c>
      <c r="O457" s="44"/>
      <c r="P457" s="44">
        <v>37500</v>
      </c>
    </row>
    <row r="458" spans="1:16" ht="21.75" customHeight="1">
      <c r="A458" s="151" t="s">
        <v>364</v>
      </c>
      <c r="B458" s="20"/>
      <c r="C458" s="20"/>
      <c r="D458" s="57">
        <f>D460</f>
        <v>150000</v>
      </c>
      <c r="E458" s="57"/>
      <c r="F458" s="57">
        <f>F460</f>
        <v>150000</v>
      </c>
      <c r="G458" s="57">
        <f>G460</f>
        <v>100000</v>
      </c>
      <c r="H458" s="57"/>
      <c r="I458" s="57">
        <f>I460</f>
        <v>0</v>
      </c>
      <c r="J458" s="57">
        <f>J460</f>
        <v>100000</v>
      </c>
      <c r="K458" s="44"/>
      <c r="L458" s="44"/>
      <c r="M458" s="44"/>
      <c r="N458" s="44"/>
      <c r="O458" s="44"/>
      <c r="P458" s="44"/>
    </row>
    <row r="459" spans="1:16" ht="21.75" customHeight="1">
      <c r="A459" s="147" t="s">
        <v>360</v>
      </c>
      <c r="B459" s="20"/>
      <c r="C459" s="20"/>
      <c r="D459" s="57"/>
      <c r="E459" s="57"/>
      <c r="F459" s="57"/>
      <c r="G459" s="57"/>
      <c r="H459" s="57"/>
      <c r="I459" s="57"/>
      <c r="J459" s="57"/>
      <c r="K459" s="44"/>
      <c r="L459" s="44"/>
      <c r="M459" s="44"/>
      <c r="N459" s="44"/>
      <c r="O459" s="44"/>
      <c r="P459" s="44"/>
    </row>
    <row r="460" spans="1:16" ht="46.5" customHeight="1">
      <c r="A460" s="148" t="s">
        <v>408</v>
      </c>
      <c r="B460" s="20"/>
      <c r="C460" s="20"/>
      <c r="D460" s="57">
        <f>D462</f>
        <v>150000</v>
      </c>
      <c r="E460" s="57"/>
      <c r="F460" s="57">
        <f>F462</f>
        <v>150000</v>
      </c>
      <c r="G460" s="57">
        <f>G462</f>
        <v>100000</v>
      </c>
      <c r="H460" s="57"/>
      <c r="I460" s="57">
        <f>I462</f>
        <v>0</v>
      </c>
      <c r="J460" s="57">
        <f>J462</f>
        <v>100000</v>
      </c>
      <c r="K460" s="44"/>
      <c r="L460" s="44"/>
      <c r="M460" s="44"/>
      <c r="N460" s="44"/>
      <c r="O460" s="44"/>
      <c r="P460" s="44"/>
    </row>
    <row r="461" spans="1:16" ht="21.75" customHeight="1">
      <c r="A461" s="149" t="s">
        <v>4</v>
      </c>
      <c r="B461" s="20"/>
      <c r="C461" s="20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</row>
    <row r="462" spans="1:16" ht="21.75" customHeight="1">
      <c r="A462" s="147" t="s">
        <v>361</v>
      </c>
      <c r="B462" s="20"/>
      <c r="C462" s="20"/>
      <c r="D462" s="44">
        <f>D464*D466</f>
        <v>150000</v>
      </c>
      <c r="E462" s="44"/>
      <c r="F462" s="44">
        <f>F464*F466</f>
        <v>150000</v>
      </c>
      <c r="G462" s="44">
        <f>G464*G466</f>
        <v>100000</v>
      </c>
      <c r="H462" s="44"/>
      <c r="I462" s="44">
        <f>I464*I466</f>
        <v>0</v>
      </c>
      <c r="J462" s="44">
        <f>J464*J466</f>
        <v>100000</v>
      </c>
      <c r="K462" s="44"/>
      <c r="L462" s="44"/>
      <c r="M462" s="44"/>
      <c r="N462" s="44"/>
      <c r="O462" s="44"/>
      <c r="P462" s="44"/>
    </row>
    <row r="463" spans="1:16" ht="21.75" customHeight="1">
      <c r="A463" s="149" t="s">
        <v>5</v>
      </c>
      <c r="B463" s="20"/>
      <c r="C463" s="20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</row>
    <row r="464" spans="1:16" ht="21.75" customHeight="1">
      <c r="A464" s="147" t="s">
        <v>362</v>
      </c>
      <c r="B464" s="20"/>
      <c r="C464" s="20"/>
      <c r="D464" s="44">
        <v>1</v>
      </c>
      <c r="E464" s="44"/>
      <c r="F464" s="44">
        <v>1</v>
      </c>
      <c r="G464" s="44">
        <v>2</v>
      </c>
      <c r="H464" s="44"/>
      <c r="I464" s="44"/>
      <c r="J464" s="44">
        <v>2</v>
      </c>
      <c r="K464" s="44"/>
      <c r="L464" s="44"/>
      <c r="M464" s="44"/>
      <c r="N464" s="44"/>
      <c r="O464" s="44"/>
      <c r="P464" s="44"/>
    </row>
    <row r="465" spans="1:16" ht="21.75" customHeight="1">
      <c r="A465" s="149" t="s">
        <v>7</v>
      </c>
      <c r="B465" s="20"/>
      <c r="C465" s="20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</row>
    <row r="466" spans="1:16" ht="21.75" customHeight="1">
      <c r="A466" s="150" t="s">
        <v>363</v>
      </c>
      <c r="B466" s="20"/>
      <c r="C466" s="20"/>
      <c r="D466" s="44">
        <v>150000</v>
      </c>
      <c r="E466" s="44"/>
      <c r="F466" s="44">
        <v>150000</v>
      </c>
      <c r="G466" s="44">
        <v>50000</v>
      </c>
      <c r="H466" s="44"/>
      <c r="I466" s="44"/>
      <c r="J466" s="44">
        <v>50000</v>
      </c>
      <c r="K466" s="44"/>
      <c r="L466" s="44"/>
      <c r="M466" s="44"/>
      <c r="N466" s="44"/>
      <c r="O466" s="44"/>
      <c r="P466" s="44"/>
    </row>
    <row r="467" spans="1:16" ht="16.5" customHeight="1">
      <c r="A467" s="37" t="s">
        <v>248</v>
      </c>
      <c r="B467" s="37"/>
      <c r="C467" s="37"/>
      <c r="D467" s="30">
        <f>D468</f>
        <v>8624700</v>
      </c>
      <c r="E467" s="30">
        <f>E468</f>
        <v>13705000</v>
      </c>
      <c r="F467" s="30">
        <f>F468</f>
        <v>22329700</v>
      </c>
      <c r="G467" s="30">
        <f>G468</f>
        <v>5983100</v>
      </c>
      <c r="H467" s="30"/>
      <c r="I467" s="30">
        <f>I468</f>
        <v>0</v>
      </c>
      <c r="J467" s="30">
        <f>G467</f>
        <v>5983100</v>
      </c>
      <c r="K467" s="30" t="e">
        <f>#REF!+K468</f>
        <v>#REF!</v>
      </c>
      <c r="L467" s="30" t="e">
        <f>#REF!+L468</f>
        <v>#REF!</v>
      </c>
      <c r="M467" s="30" t="e">
        <f>#REF!+M468</f>
        <v>#REF!</v>
      </c>
      <c r="N467" s="30">
        <f>N468</f>
        <v>3945230</v>
      </c>
      <c r="O467" s="30">
        <f>O468</f>
        <v>0</v>
      </c>
      <c r="P467" s="30">
        <f>N467</f>
        <v>3945230</v>
      </c>
    </row>
    <row r="468" spans="1:235" s="39" customFormat="1" ht="26.25" customHeight="1">
      <c r="A468" s="34" t="s">
        <v>409</v>
      </c>
      <c r="B468" s="35"/>
      <c r="C468" s="35"/>
      <c r="D468" s="36">
        <f>D470</f>
        <v>8624700</v>
      </c>
      <c r="E468" s="36">
        <f>SUM(E471)</f>
        <v>13705000</v>
      </c>
      <c r="F468" s="36">
        <f>D468+E468</f>
        <v>22329700</v>
      </c>
      <c r="G468" s="36">
        <f>G470</f>
        <v>5983100</v>
      </c>
      <c r="H468" s="36"/>
      <c r="I468" s="36">
        <f>I470</f>
        <v>0</v>
      </c>
      <c r="J468" s="36">
        <f>G468</f>
        <v>5983100</v>
      </c>
      <c r="K468" s="36"/>
      <c r="L468" s="36"/>
      <c r="M468" s="36"/>
      <c r="N468" s="36">
        <f>N470</f>
        <v>3945230</v>
      </c>
      <c r="O468" s="36">
        <f>O470</f>
        <v>0</v>
      </c>
      <c r="P468" s="36">
        <f>N468</f>
        <v>3945230</v>
      </c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  <c r="DH468" s="38"/>
      <c r="DI468" s="38"/>
      <c r="DJ468" s="38"/>
      <c r="DK468" s="38"/>
      <c r="DL468" s="38"/>
      <c r="DM468" s="38"/>
      <c r="DN468" s="38"/>
      <c r="DO468" s="38"/>
      <c r="DP468" s="38"/>
      <c r="DQ468" s="38"/>
      <c r="DR468" s="38"/>
      <c r="DS468" s="38"/>
      <c r="DT468" s="38"/>
      <c r="DU468" s="38"/>
      <c r="DV468" s="38"/>
      <c r="DW468" s="38"/>
      <c r="DX468" s="38"/>
      <c r="DY468" s="38"/>
      <c r="DZ468" s="38"/>
      <c r="EA468" s="38"/>
      <c r="EB468" s="38"/>
      <c r="EC468" s="38"/>
      <c r="ED468" s="38"/>
      <c r="EE468" s="38"/>
      <c r="EF468" s="38"/>
      <c r="EG468" s="38"/>
      <c r="EH468" s="38"/>
      <c r="EI468" s="38"/>
      <c r="EJ468" s="38"/>
      <c r="EK468" s="38"/>
      <c r="EL468" s="38"/>
      <c r="EM468" s="38"/>
      <c r="EN468" s="38"/>
      <c r="EO468" s="38"/>
      <c r="EP468" s="38"/>
      <c r="EQ468" s="38"/>
      <c r="ER468" s="38"/>
      <c r="ES468" s="38"/>
      <c r="ET468" s="38"/>
      <c r="EU468" s="38"/>
      <c r="EV468" s="38"/>
      <c r="EW468" s="38"/>
      <c r="EX468" s="38"/>
      <c r="EY468" s="38"/>
      <c r="EZ468" s="38"/>
      <c r="FA468" s="38"/>
      <c r="FB468" s="38"/>
      <c r="FC468" s="38"/>
      <c r="FD468" s="38"/>
      <c r="FE468" s="38"/>
      <c r="FF468" s="38"/>
      <c r="FG468" s="38"/>
      <c r="FH468" s="38"/>
      <c r="FI468" s="38"/>
      <c r="FJ468" s="38"/>
      <c r="FK468" s="38"/>
      <c r="FL468" s="38"/>
      <c r="FM468" s="38"/>
      <c r="FN468" s="38"/>
      <c r="FO468" s="38"/>
      <c r="FP468" s="38"/>
      <c r="FQ468" s="38"/>
      <c r="FR468" s="38"/>
      <c r="FS468" s="38"/>
      <c r="FT468" s="38"/>
      <c r="FU468" s="38"/>
      <c r="FV468" s="38"/>
      <c r="FW468" s="38"/>
      <c r="FX468" s="38"/>
      <c r="FY468" s="38"/>
      <c r="FZ468" s="38"/>
      <c r="GA468" s="38"/>
      <c r="GB468" s="38"/>
      <c r="GC468" s="38"/>
      <c r="GD468" s="38"/>
      <c r="GE468" s="38"/>
      <c r="GF468" s="38"/>
      <c r="GG468" s="38"/>
      <c r="GH468" s="38"/>
      <c r="GI468" s="38"/>
      <c r="GJ468" s="38"/>
      <c r="GK468" s="38"/>
      <c r="GL468" s="38"/>
      <c r="GM468" s="38"/>
      <c r="GN468" s="38"/>
      <c r="GO468" s="38"/>
      <c r="GP468" s="38"/>
      <c r="GQ468" s="38"/>
      <c r="GR468" s="38"/>
      <c r="GS468" s="38"/>
      <c r="GT468" s="38"/>
      <c r="GU468" s="38"/>
      <c r="GV468" s="38"/>
      <c r="GW468" s="38"/>
      <c r="GX468" s="38"/>
      <c r="GY468" s="38"/>
      <c r="GZ468" s="38"/>
      <c r="HA468" s="38"/>
      <c r="HB468" s="38"/>
      <c r="HC468" s="38"/>
      <c r="HD468" s="38"/>
      <c r="HE468" s="38"/>
      <c r="HF468" s="38"/>
      <c r="HG468" s="38"/>
      <c r="HH468" s="38"/>
      <c r="HI468" s="38"/>
      <c r="HJ468" s="38"/>
      <c r="HK468" s="38"/>
      <c r="HL468" s="38"/>
      <c r="HM468" s="38"/>
      <c r="HN468" s="38"/>
      <c r="HO468" s="38"/>
      <c r="HP468" s="38"/>
      <c r="HQ468" s="38"/>
      <c r="HR468" s="38"/>
      <c r="HS468" s="38"/>
      <c r="HT468" s="38"/>
      <c r="HU468" s="38"/>
      <c r="HV468" s="38"/>
      <c r="HW468" s="38"/>
      <c r="HX468" s="38"/>
      <c r="HY468" s="38"/>
      <c r="HZ468" s="38"/>
      <c r="IA468" s="38"/>
    </row>
    <row r="469" spans="1:16" ht="11.25">
      <c r="A469" s="5" t="s">
        <v>4</v>
      </c>
      <c r="B469" s="6"/>
      <c r="C469" s="6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35.25" customHeight="1">
      <c r="A470" s="8" t="s">
        <v>249</v>
      </c>
      <c r="B470" s="6"/>
      <c r="C470" s="6"/>
      <c r="D470" s="7">
        <f>8124700+500000</f>
        <v>8624700</v>
      </c>
      <c r="E470" s="7"/>
      <c r="F470" s="7">
        <f>D470</f>
        <v>8624700</v>
      </c>
      <c r="G470" s="7">
        <f>G473*G475</f>
        <v>5983100</v>
      </c>
      <c r="H470" s="7"/>
      <c r="I470" s="7"/>
      <c r="J470" s="7">
        <f>G470+H470</f>
        <v>5983100</v>
      </c>
      <c r="K470" s="7"/>
      <c r="L470" s="7"/>
      <c r="M470" s="7"/>
      <c r="N470" s="7">
        <f>N473*N475</f>
        <v>3945230</v>
      </c>
      <c r="O470" s="7"/>
      <c r="P470" s="7">
        <f>N470</f>
        <v>3945230</v>
      </c>
    </row>
    <row r="471" spans="1:16" ht="164.25" customHeight="1">
      <c r="A471" s="8" t="s">
        <v>327</v>
      </c>
      <c r="B471" s="6"/>
      <c r="C471" s="6"/>
      <c r="D471" s="7"/>
      <c r="E471" s="7">
        <v>13705000</v>
      </c>
      <c r="F471" s="7">
        <f>D471+E471</f>
        <v>13705000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11.25">
      <c r="A472" s="5" t="s">
        <v>5</v>
      </c>
      <c r="B472" s="6"/>
      <c r="C472" s="6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39.75" customHeight="1">
      <c r="A473" s="8" t="s">
        <v>250</v>
      </c>
      <c r="B473" s="6"/>
      <c r="C473" s="6"/>
      <c r="D473" s="7">
        <v>2</v>
      </c>
      <c r="E473" s="7"/>
      <c r="F473" s="7">
        <f>D473</f>
        <v>2</v>
      </c>
      <c r="G473" s="7">
        <v>2</v>
      </c>
      <c r="H473" s="7"/>
      <c r="I473" s="7"/>
      <c r="J473" s="7">
        <f>G473+H473</f>
        <v>2</v>
      </c>
      <c r="K473" s="7"/>
      <c r="L473" s="7"/>
      <c r="M473" s="7"/>
      <c r="N473" s="7">
        <v>2</v>
      </c>
      <c r="O473" s="7"/>
      <c r="P473" s="7">
        <f>N473</f>
        <v>2</v>
      </c>
    </row>
    <row r="474" spans="1:16" ht="11.25">
      <c r="A474" s="5" t="s">
        <v>7</v>
      </c>
      <c r="B474" s="6"/>
      <c r="C474" s="6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40.5" customHeight="1">
      <c r="A475" s="8" t="s">
        <v>251</v>
      </c>
      <c r="B475" s="6"/>
      <c r="C475" s="6"/>
      <c r="D475" s="7">
        <v>3812350</v>
      </c>
      <c r="E475" s="7"/>
      <c r="F475" s="7">
        <f>F470/F473</f>
        <v>4312350</v>
      </c>
      <c r="G475" s="7">
        <v>2991550</v>
      </c>
      <c r="H475" s="7"/>
      <c r="I475" s="7"/>
      <c r="J475" s="7">
        <f>G475+H475</f>
        <v>2991550</v>
      </c>
      <c r="K475" s="7"/>
      <c r="L475" s="7"/>
      <c r="M475" s="7"/>
      <c r="N475" s="7">
        <v>1972615</v>
      </c>
      <c r="O475" s="7"/>
      <c r="P475" s="7">
        <f>P470/P473</f>
        <v>1972615</v>
      </c>
    </row>
    <row r="476" spans="1:17" ht="15" customHeight="1">
      <c r="A476" s="37" t="s">
        <v>254</v>
      </c>
      <c r="B476" s="6"/>
      <c r="C476" s="6"/>
      <c r="D476" s="36">
        <f>D478+D495+D502+D511+D518+D529+D536+D543+D550</f>
        <v>22123399.999999568</v>
      </c>
      <c r="E476" s="36">
        <f>E478+E495+E502+E511+E518+E529+E536+E543+E550</f>
        <v>1370000</v>
      </c>
      <c r="F476" s="36">
        <f>F478+F495+F502+F511+F518+F529+F536+F543+F550</f>
        <v>23493399.999999568</v>
      </c>
      <c r="G476" s="36">
        <f>G478+G495+G502+G511+G518+G529+G557+G564+G578</f>
        <v>61665000.4</v>
      </c>
      <c r="H476" s="36">
        <f>H478+H495+H502+H511+H518+H529+H571</f>
        <v>2350000</v>
      </c>
      <c r="I476" s="36">
        <f>I478+I495+I502+I511+I518+I529</f>
        <v>0</v>
      </c>
      <c r="J476" s="36">
        <f>J478+J495+J502+J511+J518+J529+J557+J564+J571+J578</f>
        <v>64015000.4</v>
      </c>
      <c r="K476" s="36">
        <f>K478+K495+K502+K511+K518+K529</f>
        <v>0</v>
      </c>
      <c r="L476" s="36">
        <f>L478+L495+L502+L511+L518+L529</f>
        <v>0</v>
      </c>
      <c r="M476" s="36">
        <f>M478+M495+M502+M511+M518+M529</f>
        <v>0</v>
      </c>
      <c r="N476" s="36">
        <f>N478+N495+N502+N511+N518+N529</f>
        <v>35475000.00205</v>
      </c>
      <c r="O476" s="36">
        <f>O478+O495+O502+O511+O518+O529</f>
        <v>1600000</v>
      </c>
      <c r="P476" s="36">
        <f>P478+P495+P502+P511+P518+P529</f>
        <v>37075000.00205</v>
      </c>
      <c r="Q476" s="36">
        <f>Q478+Q495+Q502+Q511+Q518+Q529</f>
        <v>0</v>
      </c>
    </row>
    <row r="477" spans="1:16" ht="23.25" customHeight="1">
      <c r="A477" s="8" t="s">
        <v>133</v>
      </c>
      <c r="B477" s="6"/>
      <c r="C477" s="6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235" s="39" customFormat="1" ht="78" customHeight="1">
      <c r="A478" s="34" t="s">
        <v>467</v>
      </c>
      <c r="B478" s="35"/>
      <c r="C478" s="35"/>
      <c r="D478" s="36">
        <f>SUM(D479)+D486</f>
        <v>19868000</v>
      </c>
      <c r="E478" s="36"/>
      <c r="F478" s="36">
        <f>SUM(F479)+F486</f>
        <v>19868000</v>
      </c>
      <c r="G478" s="36">
        <f>SUM(G479)+G486+G492</f>
        <v>57733000</v>
      </c>
      <c r="H478" s="36"/>
      <c r="I478" s="36">
        <f>SUM(I479)+I486</f>
        <v>0</v>
      </c>
      <c r="J478" s="36">
        <f>SUM(J479)+J486+J492</f>
        <v>57733000</v>
      </c>
      <c r="K478" s="36">
        <f>SUM(K479)+K486</f>
        <v>0</v>
      </c>
      <c r="L478" s="36">
        <f>SUM(L479)+L486</f>
        <v>0</v>
      </c>
      <c r="M478" s="36">
        <f>SUM(M479)+M486</f>
        <v>0</v>
      </c>
      <c r="N478" s="36">
        <f>SUM(N479)+N486+N492+N489</f>
        <v>34225000</v>
      </c>
      <c r="O478" s="36"/>
      <c r="P478" s="36">
        <f>SUM(P479)+P486+P492+P489</f>
        <v>34225000</v>
      </c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  <c r="CV478" s="38"/>
      <c r="CW478" s="38"/>
      <c r="CX478" s="38"/>
      <c r="CY478" s="38"/>
      <c r="CZ478" s="38"/>
      <c r="DA478" s="38"/>
      <c r="DB478" s="38"/>
      <c r="DC478" s="38"/>
      <c r="DD478" s="38"/>
      <c r="DE478" s="38"/>
      <c r="DF478" s="38"/>
      <c r="DG478" s="38"/>
      <c r="DH478" s="38"/>
      <c r="DI478" s="38"/>
      <c r="DJ478" s="38"/>
      <c r="DK478" s="38"/>
      <c r="DL478" s="38"/>
      <c r="DM478" s="38"/>
      <c r="DN478" s="38"/>
      <c r="DO478" s="38"/>
      <c r="DP478" s="38"/>
      <c r="DQ478" s="38"/>
      <c r="DR478" s="38"/>
      <c r="DS478" s="38"/>
      <c r="DT478" s="38"/>
      <c r="DU478" s="38"/>
      <c r="DV478" s="38"/>
      <c r="DW478" s="38"/>
      <c r="DX478" s="38"/>
      <c r="DY478" s="38"/>
      <c r="DZ478" s="38"/>
      <c r="EA478" s="38"/>
      <c r="EB478" s="38"/>
      <c r="EC478" s="38"/>
      <c r="ED478" s="38"/>
      <c r="EE478" s="38"/>
      <c r="EF478" s="38"/>
      <c r="EG478" s="38"/>
      <c r="EH478" s="38"/>
      <c r="EI478" s="38"/>
      <c r="EJ478" s="38"/>
      <c r="EK478" s="38"/>
      <c r="EL478" s="38"/>
      <c r="EM478" s="38"/>
      <c r="EN478" s="38"/>
      <c r="EO478" s="38"/>
      <c r="EP478" s="38"/>
      <c r="EQ478" s="38"/>
      <c r="ER478" s="38"/>
      <c r="ES478" s="38"/>
      <c r="ET478" s="38"/>
      <c r="EU478" s="38"/>
      <c r="EV478" s="38"/>
      <c r="EW478" s="38"/>
      <c r="EX478" s="38"/>
      <c r="EY478" s="38"/>
      <c r="EZ478" s="38"/>
      <c r="FA478" s="38"/>
      <c r="FB478" s="38"/>
      <c r="FC478" s="38"/>
      <c r="FD478" s="38"/>
      <c r="FE478" s="38"/>
      <c r="FF478" s="38"/>
      <c r="FG478" s="38"/>
      <c r="FH478" s="38"/>
      <c r="FI478" s="38"/>
      <c r="FJ478" s="38"/>
      <c r="FK478" s="38"/>
      <c r="FL478" s="38"/>
      <c r="FM478" s="38"/>
      <c r="FN478" s="38"/>
      <c r="FO478" s="38"/>
      <c r="FP478" s="38"/>
      <c r="FQ478" s="38"/>
      <c r="FR478" s="38"/>
      <c r="FS478" s="38"/>
      <c r="FT478" s="38"/>
      <c r="FU478" s="38"/>
      <c r="FV478" s="38"/>
      <c r="FW478" s="38"/>
      <c r="FX478" s="38"/>
      <c r="FY478" s="38"/>
      <c r="FZ478" s="38"/>
      <c r="GA478" s="38"/>
      <c r="GB478" s="38"/>
      <c r="GC478" s="38"/>
      <c r="GD478" s="38"/>
      <c r="GE478" s="38"/>
      <c r="GF478" s="38"/>
      <c r="GG478" s="38"/>
      <c r="GH478" s="38"/>
      <c r="GI478" s="38"/>
      <c r="GJ478" s="38"/>
      <c r="GK478" s="38"/>
      <c r="GL478" s="38"/>
      <c r="GM478" s="38"/>
      <c r="GN478" s="38"/>
      <c r="GO478" s="38"/>
      <c r="GP478" s="38"/>
      <c r="GQ478" s="38"/>
      <c r="GR478" s="38"/>
      <c r="GS478" s="38"/>
      <c r="GT478" s="38"/>
      <c r="GU478" s="38"/>
      <c r="GV478" s="38"/>
      <c r="GW478" s="38"/>
      <c r="GX478" s="38"/>
      <c r="GY478" s="38"/>
      <c r="GZ478" s="38"/>
      <c r="HA478" s="38"/>
      <c r="HB478" s="38"/>
      <c r="HC478" s="38"/>
      <c r="HD478" s="38"/>
      <c r="HE478" s="38"/>
      <c r="HF478" s="38"/>
      <c r="HG478" s="38"/>
      <c r="HH478" s="38"/>
      <c r="HI478" s="38"/>
      <c r="HJ478" s="38"/>
      <c r="HK478" s="38"/>
      <c r="HL478" s="38"/>
      <c r="HM478" s="38"/>
      <c r="HN478" s="38"/>
      <c r="HO478" s="38"/>
      <c r="HP478" s="38"/>
      <c r="HQ478" s="38"/>
      <c r="HR478" s="38"/>
      <c r="HS478" s="38"/>
      <c r="HT478" s="38"/>
      <c r="HU478" s="38"/>
      <c r="HV478" s="38"/>
      <c r="HW478" s="38"/>
      <c r="HX478" s="38"/>
      <c r="HY478" s="38"/>
      <c r="HZ478" s="38"/>
      <c r="IA478" s="38"/>
    </row>
    <row r="479" spans="1:235" s="39" customFormat="1" ht="90.75" customHeight="1">
      <c r="A479" s="34" t="s">
        <v>426</v>
      </c>
      <c r="B479" s="35"/>
      <c r="C479" s="35"/>
      <c r="D479" s="36">
        <f>SUM(D481)</f>
        <v>5868000</v>
      </c>
      <c r="E479" s="36"/>
      <c r="F479" s="36">
        <f>SUM(D479)</f>
        <v>5868000</v>
      </c>
      <c r="G479" s="36">
        <f>SUM(G481)</f>
        <v>11028000</v>
      </c>
      <c r="H479" s="36"/>
      <c r="I479" s="36"/>
      <c r="J479" s="36">
        <f>SUM(J481)</f>
        <v>11028000</v>
      </c>
      <c r="K479" s="36"/>
      <c r="L479" s="36"/>
      <c r="M479" s="36"/>
      <c r="N479" s="36">
        <f>SUM(N481)</f>
        <v>7225000</v>
      </c>
      <c r="O479" s="36"/>
      <c r="P479" s="36">
        <f>P481</f>
        <v>7225000</v>
      </c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  <c r="CP479" s="38"/>
      <c r="CQ479" s="38"/>
      <c r="CR479" s="38"/>
      <c r="CS479" s="38"/>
      <c r="CT479" s="38"/>
      <c r="CU479" s="38"/>
      <c r="CV479" s="38"/>
      <c r="CW479" s="38"/>
      <c r="CX479" s="38"/>
      <c r="CY479" s="38"/>
      <c r="CZ479" s="38"/>
      <c r="DA479" s="38"/>
      <c r="DB479" s="38"/>
      <c r="DC479" s="38"/>
      <c r="DD479" s="38"/>
      <c r="DE479" s="38"/>
      <c r="DF479" s="38"/>
      <c r="DG479" s="38"/>
      <c r="DH479" s="38"/>
      <c r="DI479" s="38"/>
      <c r="DJ479" s="38"/>
      <c r="DK479" s="38"/>
      <c r="DL479" s="38"/>
      <c r="DM479" s="38"/>
      <c r="DN479" s="38"/>
      <c r="DO479" s="38"/>
      <c r="DP479" s="38"/>
      <c r="DQ479" s="38"/>
      <c r="DR479" s="38"/>
      <c r="DS479" s="38"/>
      <c r="DT479" s="38"/>
      <c r="DU479" s="38"/>
      <c r="DV479" s="38"/>
      <c r="DW479" s="38"/>
      <c r="DX479" s="38"/>
      <c r="DY479" s="38"/>
      <c r="DZ479" s="38"/>
      <c r="EA479" s="38"/>
      <c r="EB479" s="38"/>
      <c r="EC479" s="38"/>
      <c r="ED479" s="38"/>
      <c r="EE479" s="38"/>
      <c r="EF479" s="38"/>
      <c r="EG479" s="38"/>
      <c r="EH479" s="38"/>
      <c r="EI479" s="38"/>
      <c r="EJ479" s="38"/>
      <c r="EK479" s="38"/>
      <c r="EL479" s="38"/>
      <c r="EM479" s="38"/>
      <c r="EN479" s="38"/>
      <c r="EO479" s="38"/>
      <c r="EP479" s="38"/>
      <c r="EQ479" s="38"/>
      <c r="ER479" s="38"/>
      <c r="ES479" s="38"/>
      <c r="ET479" s="38"/>
      <c r="EU479" s="38"/>
      <c r="EV479" s="38"/>
      <c r="EW479" s="38"/>
      <c r="EX479" s="38"/>
      <c r="EY479" s="38"/>
      <c r="EZ479" s="38"/>
      <c r="FA479" s="38"/>
      <c r="FB479" s="38"/>
      <c r="FC479" s="38"/>
      <c r="FD479" s="38"/>
      <c r="FE479" s="38"/>
      <c r="FF479" s="38"/>
      <c r="FG479" s="38"/>
      <c r="FH479" s="38"/>
      <c r="FI479" s="38"/>
      <c r="FJ479" s="38"/>
      <c r="FK479" s="38"/>
      <c r="FL479" s="38"/>
      <c r="FM479" s="38"/>
      <c r="FN479" s="38"/>
      <c r="FO479" s="38"/>
      <c r="FP479" s="38"/>
      <c r="FQ479" s="38"/>
      <c r="FR479" s="38"/>
      <c r="FS479" s="38"/>
      <c r="FT479" s="38"/>
      <c r="FU479" s="38"/>
      <c r="FV479" s="38"/>
      <c r="FW479" s="38"/>
      <c r="FX479" s="38"/>
      <c r="FY479" s="38"/>
      <c r="FZ479" s="38"/>
      <c r="GA479" s="38"/>
      <c r="GB479" s="38"/>
      <c r="GC479" s="38"/>
      <c r="GD479" s="38"/>
      <c r="GE479" s="38"/>
      <c r="GF479" s="38"/>
      <c r="GG479" s="38"/>
      <c r="GH479" s="38"/>
      <c r="GI479" s="38"/>
      <c r="GJ479" s="38"/>
      <c r="GK479" s="38"/>
      <c r="GL479" s="38"/>
      <c r="GM479" s="38"/>
      <c r="GN479" s="38"/>
      <c r="GO479" s="38"/>
      <c r="GP479" s="38"/>
      <c r="GQ479" s="38"/>
      <c r="GR479" s="38"/>
      <c r="GS479" s="38"/>
      <c r="GT479" s="38"/>
      <c r="GU479" s="38"/>
      <c r="GV479" s="38"/>
      <c r="GW479" s="38"/>
      <c r="GX479" s="38"/>
      <c r="GY479" s="38"/>
      <c r="GZ479" s="38"/>
      <c r="HA479" s="38"/>
      <c r="HB479" s="38"/>
      <c r="HC479" s="38"/>
      <c r="HD479" s="38"/>
      <c r="HE479" s="38"/>
      <c r="HF479" s="38"/>
      <c r="HG479" s="38"/>
      <c r="HH479" s="38"/>
      <c r="HI479" s="38"/>
      <c r="HJ479" s="38"/>
      <c r="HK479" s="38"/>
      <c r="HL479" s="38"/>
      <c r="HM479" s="38"/>
      <c r="HN479" s="38"/>
      <c r="HO479" s="38"/>
      <c r="HP479" s="38"/>
      <c r="HQ479" s="38"/>
      <c r="HR479" s="38"/>
      <c r="HS479" s="38"/>
      <c r="HT479" s="38"/>
      <c r="HU479" s="38"/>
      <c r="HV479" s="38"/>
      <c r="HW479" s="38"/>
      <c r="HX479" s="38"/>
      <c r="HY479" s="38"/>
      <c r="HZ479" s="38"/>
      <c r="IA479" s="38"/>
    </row>
    <row r="480" spans="1:16" ht="12" customHeight="1">
      <c r="A480" s="5" t="s">
        <v>4</v>
      </c>
      <c r="B480" s="6"/>
      <c r="C480" s="6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13.5" customHeight="1">
      <c r="A481" s="8" t="s">
        <v>43</v>
      </c>
      <c r="B481" s="6"/>
      <c r="C481" s="6"/>
      <c r="D481" s="7">
        <f>6000000-180000-320000+180000+60000+90000+38000</f>
        <v>5868000</v>
      </c>
      <c r="E481" s="7"/>
      <c r="F481" s="7">
        <f>D481</f>
        <v>5868000</v>
      </c>
      <c r="G481" s="7">
        <f>6500000+4000000+190000+78000+140000+120000</f>
        <v>11028000</v>
      </c>
      <c r="H481" s="7"/>
      <c r="I481" s="7"/>
      <c r="J481" s="7">
        <f>SUM(G481)</f>
        <v>11028000</v>
      </c>
      <c r="K481" s="7"/>
      <c r="L481" s="7"/>
      <c r="M481" s="7"/>
      <c r="N481" s="7">
        <f>7000000+225000</f>
        <v>7225000</v>
      </c>
      <c r="O481" s="7"/>
      <c r="P481" s="7">
        <f>N481</f>
        <v>7225000</v>
      </c>
    </row>
    <row r="482" spans="1:16" ht="12" customHeight="1">
      <c r="A482" s="5" t="s">
        <v>5</v>
      </c>
      <c r="B482" s="6"/>
      <c r="C482" s="6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37.5" customHeight="1">
      <c r="A483" s="8" t="s">
        <v>252</v>
      </c>
      <c r="B483" s="6"/>
      <c r="C483" s="6"/>
      <c r="D483" s="7">
        <v>12</v>
      </c>
      <c r="E483" s="7"/>
      <c r="F483" s="7">
        <v>12</v>
      </c>
      <c r="G483" s="7">
        <v>12</v>
      </c>
      <c r="H483" s="7"/>
      <c r="I483" s="7"/>
      <c r="J483" s="7">
        <v>12</v>
      </c>
      <c r="K483" s="7"/>
      <c r="L483" s="7"/>
      <c r="M483" s="7"/>
      <c r="N483" s="7">
        <v>12</v>
      </c>
      <c r="O483" s="7"/>
      <c r="P483" s="7">
        <v>12</v>
      </c>
    </row>
    <row r="484" spans="1:16" ht="11.25">
      <c r="A484" s="5" t="s">
        <v>7</v>
      </c>
      <c r="B484" s="6"/>
      <c r="C484" s="6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36" customHeight="1">
      <c r="A485" s="8" t="s">
        <v>253</v>
      </c>
      <c r="B485" s="6"/>
      <c r="C485" s="6"/>
      <c r="D485" s="7">
        <f>SUM(D481)/D483</f>
        <v>489000</v>
      </c>
      <c r="E485" s="7"/>
      <c r="F485" s="7">
        <f>D485</f>
        <v>489000</v>
      </c>
      <c r="G485" s="7">
        <f>SUM(G481)/G483</f>
        <v>919000</v>
      </c>
      <c r="H485" s="7"/>
      <c r="I485" s="7"/>
      <c r="J485" s="7">
        <f>SUM(J481)/J483</f>
        <v>919000</v>
      </c>
      <c r="K485" s="7"/>
      <c r="L485" s="7"/>
      <c r="M485" s="7"/>
      <c r="N485" s="7">
        <f>SUM(N481)/N483</f>
        <v>602083.3333333334</v>
      </c>
      <c r="O485" s="7"/>
      <c r="P485" s="7">
        <f>SUM(P481)/P483</f>
        <v>602083.3333333334</v>
      </c>
    </row>
    <row r="486" spans="1:16" ht="24" customHeight="1">
      <c r="A486" s="34" t="s">
        <v>410</v>
      </c>
      <c r="B486" s="6"/>
      <c r="C486" s="6"/>
      <c r="D486" s="7">
        <f>D488</f>
        <v>14000000</v>
      </c>
      <c r="E486" s="7"/>
      <c r="F486" s="7">
        <f>F488</f>
        <v>14000000</v>
      </c>
      <c r="G486" s="7">
        <f>G488</f>
        <v>45705000</v>
      </c>
      <c r="H486" s="7"/>
      <c r="I486" s="7"/>
      <c r="J486" s="7">
        <f>G486</f>
        <v>45705000</v>
      </c>
      <c r="K486" s="7"/>
      <c r="L486" s="7"/>
      <c r="M486" s="7"/>
      <c r="N486" s="7"/>
      <c r="O486" s="7"/>
      <c r="P486" s="7"/>
    </row>
    <row r="487" spans="1:16" ht="16.5" customHeight="1">
      <c r="A487" s="5" t="s">
        <v>4</v>
      </c>
      <c r="B487" s="6"/>
      <c r="C487" s="6"/>
      <c r="D487" s="7"/>
      <c r="E487" s="7"/>
      <c r="F487" s="7"/>
      <c r="G487" s="164">
        <v>1</v>
      </c>
      <c r="H487" s="164"/>
      <c r="I487" s="164"/>
      <c r="J487" s="164"/>
      <c r="K487" s="164"/>
      <c r="L487" s="164"/>
      <c r="M487" s="164"/>
      <c r="N487" s="164"/>
      <c r="O487" s="7"/>
      <c r="P487" s="7"/>
    </row>
    <row r="488" spans="1:16" ht="12.75" customHeight="1">
      <c r="A488" s="5" t="s">
        <v>43</v>
      </c>
      <c r="B488" s="6"/>
      <c r="C488" s="6"/>
      <c r="D488" s="7">
        <f>3000000+2000000+3000000+1000000+3000000+2000000</f>
        <v>14000000</v>
      </c>
      <c r="E488" s="7"/>
      <c r="F488" s="7">
        <f>3000000+2000000+3000000+1000000+3000000+2000000</f>
        <v>14000000</v>
      </c>
      <c r="G488" s="7">
        <f>0+4000000+2725000+3000000+9000000+3000000+3000000+3000000+3200000+4000000+3500000+5000000+2280000</f>
        <v>45705000</v>
      </c>
      <c r="H488" s="7"/>
      <c r="I488" s="7"/>
      <c r="J488" s="7">
        <f>G488</f>
        <v>45705000</v>
      </c>
      <c r="K488" s="7"/>
      <c r="L488" s="7"/>
      <c r="M488" s="7"/>
      <c r="N488" s="7"/>
      <c r="O488" s="7"/>
      <c r="P488" s="7"/>
    </row>
    <row r="489" spans="1:16" ht="23.25" customHeight="1">
      <c r="A489" s="34" t="s">
        <v>465</v>
      </c>
      <c r="B489" s="6"/>
      <c r="C489" s="6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>
        <f>N490*N491</f>
        <v>26000000</v>
      </c>
      <c r="O489" s="7"/>
      <c r="P489" s="7">
        <f>N489</f>
        <v>26000000</v>
      </c>
    </row>
    <row r="490" spans="1:16" ht="15.75" customHeight="1">
      <c r="A490" s="5" t="s">
        <v>4</v>
      </c>
      <c r="B490" s="6"/>
      <c r="C490" s="6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>
        <v>1</v>
      </c>
      <c r="O490" s="7"/>
      <c r="P490" s="7">
        <f>N490</f>
        <v>1</v>
      </c>
    </row>
    <row r="491" spans="1:16" ht="15.75" customHeight="1">
      <c r="A491" s="5" t="s">
        <v>43</v>
      </c>
      <c r="B491" s="6"/>
      <c r="C491" s="6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>
        <v>26000000</v>
      </c>
      <c r="O491" s="7"/>
      <c r="P491" s="7">
        <f>N491</f>
        <v>26000000</v>
      </c>
    </row>
    <row r="492" spans="1:16" ht="35.25" customHeight="1">
      <c r="A492" s="34" t="s">
        <v>466</v>
      </c>
      <c r="B492" s="6"/>
      <c r="C492" s="6"/>
      <c r="D492" s="7"/>
      <c r="E492" s="7"/>
      <c r="F492" s="7"/>
      <c r="G492" s="7">
        <f>G494</f>
        <v>1000000</v>
      </c>
      <c r="H492" s="7">
        <f>H494</f>
        <v>0</v>
      </c>
      <c r="I492" s="7">
        <f>I494</f>
        <v>0</v>
      </c>
      <c r="J492" s="7">
        <f>J494</f>
        <v>1000000</v>
      </c>
      <c r="K492" s="7"/>
      <c r="L492" s="7"/>
      <c r="M492" s="7"/>
      <c r="N492" s="7">
        <f>N494</f>
        <v>1000000</v>
      </c>
      <c r="O492" s="7"/>
      <c r="P492" s="7">
        <f>N492</f>
        <v>1000000</v>
      </c>
    </row>
    <row r="493" spans="1:16" ht="12.75" customHeight="1">
      <c r="A493" s="5" t="s">
        <v>4</v>
      </c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12.75" customHeight="1">
      <c r="A494" s="5" t="s">
        <v>43</v>
      </c>
      <c r="B494" s="6"/>
      <c r="C494" s="6"/>
      <c r="D494" s="7"/>
      <c r="E494" s="7"/>
      <c r="F494" s="7"/>
      <c r="G494" s="7">
        <v>1000000</v>
      </c>
      <c r="H494" s="7"/>
      <c r="I494" s="7"/>
      <c r="J494" s="7">
        <f>G494+H494</f>
        <v>1000000</v>
      </c>
      <c r="K494" s="7"/>
      <c r="L494" s="7"/>
      <c r="M494" s="7"/>
      <c r="N494" s="7">
        <v>1000000</v>
      </c>
      <c r="O494" s="7"/>
      <c r="P494" s="7">
        <f>N494</f>
        <v>1000000</v>
      </c>
    </row>
    <row r="495" spans="1:235" s="39" customFormat="1" ht="25.5" customHeight="1">
      <c r="A495" s="34" t="s">
        <v>411</v>
      </c>
      <c r="B495" s="35"/>
      <c r="C495" s="35"/>
      <c r="D495" s="36">
        <f>D497</f>
        <v>70000</v>
      </c>
      <c r="E495" s="36"/>
      <c r="F495" s="36">
        <f>D495+E495</f>
        <v>70000</v>
      </c>
      <c r="G495" s="36">
        <f>G499*G501</f>
        <v>0</v>
      </c>
      <c r="H495" s="36"/>
      <c r="I495" s="36"/>
      <c r="J495" s="36">
        <f>G495</f>
        <v>0</v>
      </c>
      <c r="K495" s="36"/>
      <c r="L495" s="36"/>
      <c r="M495" s="36"/>
      <c r="N495" s="36">
        <f>N501*N499</f>
        <v>0</v>
      </c>
      <c r="O495" s="36"/>
      <c r="P495" s="36">
        <f>N495</f>
        <v>0</v>
      </c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  <c r="CL495" s="38"/>
      <c r="CM495" s="38"/>
      <c r="CN495" s="38"/>
      <c r="CO495" s="38"/>
      <c r="CP495" s="38"/>
      <c r="CQ495" s="38"/>
      <c r="CR495" s="38"/>
      <c r="CS495" s="38"/>
      <c r="CT495" s="38"/>
      <c r="CU495" s="38"/>
      <c r="CV495" s="38"/>
      <c r="CW495" s="38"/>
      <c r="CX495" s="38"/>
      <c r="CY495" s="38"/>
      <c r="CZ495" s="38"/>
      <c r="DA495" s="38"/>
      <c r="DB495" s="38"/>
      <c r="DC495" s="38"/>
      <c r="DD495" s="38"/>
      <c r="DE495" s="38"/>
      <c r="DF495" s="38"/>
      <c r="DG495" s="38"/>
      <c r="DH495" s="38"/>
      <c r="DI495" s="38"/>
      <c r="DJ495" s="38"/>
      <c r="DK495" s="38"/>
      <c r="DL495" s="38"/>
      <c r="DM495" s="38"/>
      <c r="DN495" s="38"/>
      <c r="DO495" s="38"/>
      <c r="DP495" s="38"/>
      <c r="DQ495" s="38"/>
      <c r="DR495" s="38"/>
      <c r="DS495" s="38"/>
      <c r="DT495" s="38"/>
      <c r="DU495" s="38"/>
      <c r="DV495" s="38"/>
      <c r="DW495" s="38"/>
      <c r="DX495" s="38"/>
      <c r="DY495" s="38"/>
      <c r="DZ495" s="38"/>
      <c r="EA495" s="38"/>
      <c r="EB495" s="38"/>
      <c r="EC495" s="38"/>
      <c r="ED495" s="38"/>
      <c r="EE495" s="38"/>
      <c r="EF495" s="38"/>
      <c r="EG495" s="38"/>
      <c r="EH495" s="38"/>
      <c r="EI495" s="38"/>
      <c r="EJ495" s="38"/>
      <c r="EK495" s="38"/>
      <c r="EL495" s="38"/>
      <c r="EM495" s="38"/>
      <c r="EN495" s="38"/>
      <c r="EO495" s="38"/>
      <c r="EP495" s="38"/>
      <c r="EQ495" s="38"/>
      <c r="ER495" s="38"/>
      <c r="ES495" s="38"/>
      <c r="ET495" s="38"/>
      <c r="EU495" s="38"/>
      <c r="EV495" s="38"/>
      <c r="EW495" s="38"/>
      <c r="EX495" s="38"/>
      <c r="EY495" s="38"/>
      <c r="EZ495" s="38"/>
      <c r="FA495" s="38"/>
      <c r="FB495" s="38"/>
      <c r="FC495" s="38"/>
      <c r="FD495" s="38"/>
      <c r="FE495" s="38"/>
      <c r="FF495" s="38"/>
      <c r="FG495" s="38"/>
      <c r="FH495" s="38"/>
      <c r="FI495" s="38"/>
      <c r="FJ495" s="38"/>
      <c r="FK495" s="38"/>
      <c r="FL495" s="38"/>
      <c r="FM495" s="38"/>
      <c r="FN495" s="38"/>
      <c r="FO495" s="38"/>
      <c r="FP495" s="38"/>
      <c r="FQ495" s="38"/>
      <c r="FR495" s="38"/>
      <c r="FS495" s="38"/>
      <c r="FT495" s="38"/>
      <c r="FU495" s="38"/>
      <c r="FV495" s="38"/>
      <c r="FW495" s="38"/>
      <c r="FX495" s="38"/>
      <c r="FY495" s="38"/>
      <c r="FZ495" s="38"/>
      <c r="GA495" s="38"/>
      <c r="GB495" s="38"/>
      <c r="GC495" s="38"/>
      <c r="GD495" s="38"/>
      <c r="GE495" s="38"/>
      <c r="GF495" s="38"/>
      <c r="GG495" s="38"/>
      <c r="GH495" s="38"/>
      <c r="GI495" s="38"/>
      <c r="GJ495" s="38"/>
      <c r="GK495" s="38"/>
      <c r="GL495" s="38"/>
      <c r="GM495" s="38"/>
      <c r="GN495" s="38"/>
      <c r="GO495" s="38"/>
      <c r="GP495" s="38"/>
      <c r="GQ495" s="38"/>
      <c r="GR495" s="38"/>
      <c r="GS495" s="38"/>
      <c r="GT495" s="38"/>
      <c r="GU495" s="38"/>
      <c r="GV495" s="38"/>
      <c r="GW495" s="38"/>
      <c r="GX495" s="38"/>
      <c r="GY495" s="38"/>
      <c r="GZ495" s="38"/>
      <c r="HA495" s="38"/>
      <c r="HB495" s="38"/>
      <c r="HC495" s="38"/>
      <c r="HD495" s="38"/>
      <c r="HE495" s="38"/>
      <c r="HF495" s="38"/>
      <c r="HG495" s="38"/>
      <c r="HH495" s="38"/>
      <c r="HI495" s="38"/>
      <c r="HJ495" s="38"/>
      <c r="HK495" s="38"/>
      <c r="HL495" s="38"/>
      <c r="HM495" s="38"/>
      <c r="HN495" s="38"/>
      <c r="HO495" s="38"/>
      <c r="HP495" s="38"/>
      <c r="HQ495" s="38"/>
      <c r="HR495" s="38"/>
      <c r="HS495" s="38"/>
      <c r="HT495" s="38"/>
      <c r="HU495" s="38"/>
      <c r="HV495" s="38"/>
      <c r="HW495" s="38"/>
      <c r="HX495" s="38"/>
      <c r="HY495" s="38"/>
      <c r="HZ495" s="38"/>
      <c r="IA495" s="38"/>
    </row>
    <row r="496" spans="1:16" ht="11.25">
      <c r="A496" s="5" t="s">
        <v>4</v>
      </c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4.25" customHeight="1">
      <c r="A497" s="8" t="s">
        <v>43</v>
      </c>
      <c r="B497" s="6"/>
      <c r="C497" s="6"/>
      <c r="D497" s="7">
        <f>D499*D501</f>
        <v>70000</v>
      </c>
      <c r="E497" s="7"/>
      <c r="F497" s="7">
        <f>D497+E497</f>
        <v>70000</v>
      </c>
      <c r="G497" s="7"/>
      <c r="H497" s="7"/>
      <c r="I497" s="7"/>
      <c r="J497" s="7">
        <f>G497</f>
        <v>0</v>
      </c>
      <c r="K497" s="7"/>
      <c r="L497" s="7"/>
      <c r="M497" s="7"/>
      <c r="N497" s="7"/>
      <c r="O497" s="7"/>
      <c r="P497" s="7">
        <f>N497</f>
        <v>0</v>
      </c>
    </row>
    <row r="498" spans="1:16" ht="11.25">
      <c r="A498" s="5" t="s">
        <v>5</v>
      </c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23.25" customHeight="1">
      <c r="A499" s="8" t="s">
        <v>134</v>
      </c>
      <c r="B499" s="6"/>
      <c r="C499" s="6"/>
      <c r="D499" s="7">
        <v>2</v>
      </c>
      <c r="E499" s="7"/>
      <c r="F499" s="7">
        <f>D499+E499</f>
        <v>2</v>
      </c>
      <c r="G499" s="7"/>
      <c r="H499" s="7"/>
      <c r="I499" s="7"/>
      <c r="J499" s="7">
        <v>0</v>
      </c>
      <c r="K499" s="7"/>
      <c r="L499" s="7"/>
      <c r="M499" s="7"/>
      <c r="N499" s="7"/>
      <c r="O499" s="7"/>
      <c r="P499" s="7">
        <v>0</v>
      </c>
    </row>
    <row r="500" spans="1:16" ht="11.25">
      <c r="A500" s="5" t="s">
        <v>7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24.75" customHeight="1">
      <c r="A501" s="8" t="s">
        <v>135</v>
      </c>
      <c r="B501" s="6"/>
      <c r="C501" s="6"/>
      <c r="D501" s="7">
        <v>35000</v>
      </c>
      <c r="E501" s="7"/>
      <c r="F501" s="7">
        <f>D501+E501</f>
        <v>35000</v>
      </c>
      <c r="G501" s="7"/>
      <c r="H501" s="7"/>
      <c r="I501" s="7"/>
      <c r="J501" s="7">
        <f>G501</f>
        <v>0</v>
      </c>
      <c r="K501" s="7"/>
      <c r="L501" s="7"/>
      <c r="M501" s="7"/>
      <c r="N501" s="7"/>
      <c r="O501" s="7"/>
      <c r="P501" s="7">
        <v>0</v>
      </c>
    </row>
    <row r="502" spans="1:235" s="39" customFormat="1" ht="15" customHeight="1">
      <c r="A502" s="34" t="s">
        <v>412</v>
      </c>
      <c r="B502" s="35"/>
      <c r="C502" s="35"/>
      <c r="D502" s="36">
        <f>D504</f>
        <v>150399.999999935</v>
      </c>
      <c r="E502" s="36"/>
      <c r="F502" s="36">
        <f>D502</f>
        <v>150399.999999935</v>
      </c>
      <c r="G502" s="36">
        <f>G504</f>
        <v>200000.4</v>
      </c>
      <c r="H502" s="36"/>
      <c r="I502" s="36"/>
      <c r="J502" s="30">
        <f aca="true" t="shared" si="58" ref="J502:J510">G502</f>
        <v>200000.4</v>
      </c>
      <c r="K502" s="36"/>
      <c r="L502" s="36"/>
      <c r="M502" s="36"/>
      <c r="N502" s="36"/>
      <c r="O502" s="36"/>
      <c r="P502" s="36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  <c r="CL502" s="38"/>
      <c r="CM502" s="38"/>
      <c r="CN502" s="38"/>
      <c r="CO502" s="38"/>
      <c r="CP502" s="38"/>
      <c r="CQ502" s="38"/>
      <c r="CR502" s="38"/>
      <c r="CS502" s="38"/>
      <c r="CT502" s="38"/>
      <c r="CU502" s="38"/>
      <c r="CV502" s="38"/>
      <c r="CW502" s="38"/>
      <c r="CX502" s="38"/>
      <c r="CY502" s="38"/>
      <c r="CZ502" s="38"/>
      <c r="DA502" s="38"/>
      <c r="DB502" s="38"/>
      <c r="DC502" s="38"/>
      <c r="DD502" s="38"/>
      <c r="DE502" s="38"/>
      <c r="DF502" s="38"/>
      <c r="DG502" s="38"/>
      <c r="DH502" s="38"/>
      <c r="DI502" s="38"/>
      <c r="DJ502" s="38"/>
      <c r="DK502" s="38"/>
      <c r="DL502" s="38"/>
      <c r="DM502" s="38"/>
      <c r="DN502" s="38"/>
      <c r="DO502" s="38"/>
      <c r="DP502" s="38"/>
      <c r="DQ502" s="38"/>
      <c r="DR502" s="38"/>
      <c r="DS502" s="38"/>
      <c r="DT502" s="38"/>
      <c r="DU502" s="38"/>
      <c r="DV502" s="38"/>
      <c r="DW502" s="38"/>
      <c r="DX502" s="38"/>
      <c r="DY502" s="38"/>
      <c r="DZ502" s="38"/>
      <c r="EA502" s="38"/>
      <c r="EB502" s="38"/>
      <c r="EC502" s="38"/>
      <c r="ED502" s="38"/>
      <c r="EE502" s="38"/>
      <c r="EF502" s="38"/>
      <c r="EG502" s="38"/>
      <c r="EH502" s="38"/>
      <c r="EI502" s="38"/>
      <c r="EJ502" s="38"/>
      <c r="EK502" s="38"/>
      <c r="EL502" s="38"/>
      <c r="EM502" s="38"/>
      <c r="EN502" s="38"/>
      <c r="EO502" s="38"/>
      <c r="EP502" s="38"/>
      <c r="EQ502" s="38"/>
      <c r="ER502" s="38"/>
      <c r="ES502" s="38"/>
      <c r="ET502" s="38"/>
      <c r="EU502" s="38"/>
      <c r="EV502" s="38"/>
      <c r="EW502" s="38"/>
      <c r="EX502" s="38"/>
      <c r="EY502" s="38"/>
      <c r="EZ502" s="38"/>
      <c r="FA502" s="38"/>
      <c r="FB502" s="38"/>
      <c r="FC502" s="38"/>
      <c r="FD502" s="38"/>
      <c r="FE502" s="38"/>
      <c r="FF502" s="38"/>
      <c r="FG502" s="38"/>
      <c r="FH502" s="38"/>
      <c r="FI502" s="38"/>
      <c r="FJ502" s="38"/>
      <c r="FK502" s="38"/>
      <c r="FL502" s="38"/>
      <c r="FM502" s="38"/>
      <c r="FN502" s="38"/>
      <c r="FO502" s="38"/>
      <c r="FP502" s="38"/>
      <c r="FQ502" s="38"/>
      <c r="FR502" s="38"/>
      <c r="FS502" s="38"/>
      <c r="FT502" s="38"/>
      <c r="FU502" s="38"/>
      <c r="FV502" s="38"/>
      <c r="FW502" s="38"/>
      <c r="FX502" s="38"/>
      <c r="FY502" s="38"/>
      <c r="FZ502" s="38"/>
      <c r="GA502" s="38"/>
      <c r="GB502" s="38"/>
      <c r="GC502" s="38"/>
      <c r="GD502" s="38"/>
      <c r="GE502" s="38"/>
      <c r="GF502" s="38"/>
      <c r="GG502" s="38"/>
      <c r="GH502" s="38"/>
      <c r="GI502" s="38"/>
      <c r="GJ502" s="38"/>
      <c r="GK502" s="38"/>
      <c r="GL502" s="38"/>
      <c r="GM502" s="38"/>
      <c r="GN502" s="38"/>
      <c r="GO502" s="38"/>
      <c r="GP502" s="38"/>
      <c r="GQ502" s="38"/>
      <c r="GR502" s="38"/>
      <c r="GS502" s="38"/>
      <c r="GT502" s="38"/>
      <c r="GU502" s="38"/>
      <c r="GV502" s="38"/>
      <c r="GW502" s="38"/>
      <c r="GX502" s="38"/>
      <c r="GY502" s="38"/>
      <c r="GZ502" s="38"/>
      <c r="HA502" s="38"/>
      <c r="HB502" s="38"/>
      <c r="HC502" s="38"/>
      <c r="HD502" s="38"/>
      <c r="HE502" s="38"/>
      <c r="HF502" s="38"/>
      <c r="HG502" s="38"/>
      <c r="HH502" s="38"/>
      <c r="HI502" s="38"/>
      <c r="HJ502" s="38"/>
      <c r="HK502" s="38"/>
      <c r="HL502" s="38"/>
      <c r="HM502" s="38"/>
      <c r="HN502" s="38"/>
      <c r="HO502" s="38"/>
      <c r="HP502" s="38"/>
      <c r="HQ502" s="38"/>
      <c r="HR502" s="38"/>
      <c r="HS502" s="38"/>
      <c r="HT502" s="38"/>
      <c r="HU502" s="38"/>
      <c r="HV502" s="38"/>
      <c r="HW502" s="38"/>
      <c r="HX502" s="38"/>
      <c r="HY502" s="38"/>
      <c r="HZ502" s="38"/>
      <c r="IA502" s="38"/>
    </row>
    <row r="503" spans="1:16" ht="12" customHeight="1">
      <c r="A503" s="5" t="s">
        <v>4</v>
      </c>
      <c r="B503" s="6"/>
      <c r="C503" s="6"/>
      <c r="D503" s="7"/>
      <c r="E503" s="7"/>
      <c r="F503" s="7"/>
      <c r="G503" s="7"/>
      <c r="H503" s="7"/>
      <c r="I503" s="7"/>
      <c r="J503" s="7">
        <f t="shared" si="58"/>
        <v>0</v>
      </c>
      <c r="K503" s="7"/>
      <c r="L503" s="7"/>
      <c r="M503" s="7"/>
      <c r="N503" s="7"/>
      <c r="O503" s="7"/>
      <c r="P503" s="7"/>
    </row>
    <row r="504" spans="1:16" ht="12" customHeight="1">
      <c r="A504" s="8" t="s">
        <v>43</v>
      </c>
      <c r="B504" s="6"/>
      <c r="C504" s="6"/>
      <c r="D504" s="7">
        <f>(D506*D509)+(D507*D510)</f>
        <v>150399.999999935</v>
      </c>
      <c r="E504" s="7"/>
      <c r="F504" s="7">
        <f>D504</f>
        <v>150399.999999935</v>
      </c>
      <c r="G504" s="7">
        <f>(G506*G509)+(G507*G510)</f>
        <v>200000.4</v>
      </c>
      <c r="H504" s="7"/>
      <c r="I504" s="7"/>
      <c r="J504" s="7">
        <f t="shared" si="58"/>
        <v>200000.4</v>
      </c>
      <c r="K504" s="7"/>
      <c r="L504" s="7"/>
      <c r="M504" s="7"/>
      <c r="N504" s="7"/>
      <c r="O504" s="7"/>
      <c r="P504" s="7"/>
    </row>
    <row r="505" spans="1:16" ht="12" customHeight="1">
      <c r="A505" s="5" t="s">
        <v>5</v>
      </c>
      <c r="B505" s="6"/>
      <c r="C505" s="6"/>
      <c r="D505" s="7"/>
      <c r="E505" s="7"/>
      <c r="F505" s="7"/>
      <c r="G505" s="7"/>
      <c r="H505" s="7"/>
      <c r="I505" s="7"/>
      <c r="J505" s="7">
        <f t="shared" si="58"/>
        <v>0</v>
      </c>
      <c r="K505" s="7"/>
      <c r="L505" s="7"/>
      <c r="M505" s="7"/>
      <c r="N505" s="7"/>
      <c r="O505" s="7"/>
      <c r="P505" s="7"/>
    </row>
    <row r="506" spans="1:16" ht="24.75" customHeight="1">
      <c r="A506" s="8" t="s">
        <v>156</v>
      </c>
      <c r="B506" s="6"/>
      <c r="C506" s="6"/>
      <c r="D506" s="7">
        <v>57</v>
      </c>
      <c r="E506" s="7"/>
      <c r="F506" s="7">
        <v>57</v>
      </c>
      <c r="G506" s="7">
        <v>57</v>
      </c>
      <c r="H506" s="7"/>
      <c r="I506" s="7"/>
      <c r="J506" s="7">
        <f t="shared" si="58"/>
        <v>57</v>
      </c>
      <c r="K506" s="7"/>
      <c r="L506" s="7"/>
      <c r="M506" s="7"/>
      <c r="N506" s="7"/>
      <c r="O506" s="7"/>
      <c r="P506" s="7"/>
    </row>
    <row r="507" spans="1:16" ht="15.75" customHeight="1">
      <c r="A507" s="8" t="s">
        <v>154</v>
      </c>
      <c r="B507" s="6"/>
      <c r="C507" s="6"/>
      <c r="D507" s="7">
        <v>145</v>
      </c>
      <c r="E507" s="7"/>
      <c r="F507" s="7">
        <f>D507</f>
        <v>145</v>
      </c>
      <c r="G507" s="7">
        <v>145</v>
      </c>
      <c r="H507" s="7"/>
      <c r="I507" s="7"/>
      <c r="J507" s="7">
        <f t="shared" si="58"/>
        <v>145</v>
      </c>
      <c r="K507" s="7"/>
      <c r="L507" s="7"/>
      <c r="M507" s="7"/>
      <c r="N507" s="7"/>
      <c r="O507" s="7"/>
      <c r="P507" s="7"/>
    </row>
    <row r="508" spans="1:16" ht="12.75" customHeight="1">
      <c r="A508" s="5" t="s">
        <v>7</v>
      </c>
      <c r="B508" s="6"/>
      <c r="C508" s="6"/>
      <c r="D508" s="7"/>
      <c r="E508" s="7"/>
      <c r="F508" s="7"/>
      <c r="G508" s="7"/>
      <c r="H508" s="7"/>
      <c r="I508" s="7"/>
      <c r="J508" s="7">
        <f t="shared" si="58"/>
        <v>0</v>
      </c>
      <c r="K508" s="7"/>
      <c r="L508" s="7"/>
      <c r="M508" s="7"/>
      <c r="N508" s="7"/>
      <c r="O508" s="7"/>
      <c r="P508" s="7"/>
    </row>
    <row r="509" spans="1:16" ht="24.75" customHeight="1">
      <c r="A509" s="8" t="s">
        <v>155</v>
      </c>
      <c r="B509" s="6"/>
      <c r="C509" s="6"/>
      <c r="D509" s="7">
        <v>1950.89</v>
      </c>
      <c r="E509" s="7"/>
      <c r="F509" s="7">
        <f>D509</f>
        <v>1950.89</v>
      </c>
      <c r="G509" s="7">
        <v>2596.5</v>
      </c>
      <c r="H509" s="7"/>
      <c r="I509" s="7"/>
      <c r="J509" s="7">
        <f t="shared" si="58"/>
        <v>2596.5</v>
      </c>
      <c r="K509" s="7"/>
      <c r="L509" s="7"/>
      <c r="M509" s="7"/>
      <c r="N509" s="7"/>
      <c r="O509" s="7"/>
      <c r="P509" s="7"/>
    </row>
    <row r="510" spans="1:16" ht="24.75" customHeight="1">
      <c r="A510" s="8" t="s">
        <v>157</v>
      </c>
      <c r="B510" s="6"/>
      <c r="C510" s="6"/>
      <c r="D510" s="7">
        <v>270.339793103</v>
      </c>
      <c r="E510" s="7"/>
      <c r="F510" s="7">
        <f>D510</f>
        <v>270.339793103</v>
      </c>
      <c r="G510" s="7">
        <v>358.62</v>
      </c>
      <c r="H510" s="7"/>
      <c r="I510" s="7"/>
      <c r="J510" s="7">
        <f t="shared" si="58"/>
        <v>358.62</v>
      </c>
      <c r="K510" s="7"/>
      <c r="L510" s="7"/>
      <c r="M510" s="7"/>
      <c r="N510" s="7"/>
      <c r="O510" s="7"/>
      <c r="P510" s="7"/>
    </row>
    <row r="511" spans="1:235" s="39" customFormat="1" ht="25.5" customHeight="1">
      <c r="A511" s="34" t="s">
        <v>413</v>
      </c>
      <c r="B511" s="35"/>
      <c r="C511" s="35"/>
      <c r="D511" s="36">
        <f>D513</f>
        <v>399999.99999963003</v>
      </c>
      <c r="E511" s="36"/>
      <c r="F511" s="36">
        <f>D511</f>
        <v>399999.99999963003</v>
      </c>
      <c r="G511" s="36">
        <f>G513</f>
        <v>450000</v>
      </c>
      <c r="H511" s="36"/>
      <c r="I511" s="36"/>
      <c r="J511" s="36">
        <f>G511+H511</f>
        <v>450000</v>
      </c>
      <c r="K511" s="36"/>
      <c r="L511" s="36"/>
      <c r="M511" s="36"/>
      <c r="N511" s="36">
        <f>N513</f>
        <v>500000.00204999995</v>
      </c>
      <c r="O511" s="36"/>
      <c r="P511" s="36">
        <f>N511</f>
        <v>500000.00204999995</v>
      </c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8"/>
      <c r="BU511" s="38"/>
      <c r="BV511" s="38"/>
      <c r="BW511" s="38"/>
      <c r="BX511" s="38"/>
      <c r="BY511" s="38"/>
      <c r="BZ511" s="38"/>
      <c r="CA511" s="38"/>
      <c r="CB511" s="38"/>
      <c r="CC511" s="38"/>
      <c r="CD511" s="38"/>
      <c r="CE511" s="38"/>
      <c r="CF511" s="38"/>
      <c r="CG511" s="38"/>
      <c r="CH511" s="38"/>
      <c r="CI511" s="38"/>
      <c r="CJ511" s="38"/>
      <c r="CK511" s="38"/>
      <c r="CL511" s="38"/>
      <c r="CM511" s="38"/>
      <c r="CN511" s="38"/>
      <c r="CO511" s="38"/>
      <c r="CP511" s="38"/>
      <c r="CQ511" s="38"/>
      <c r="CR511" s="38"/>
      <c r="CS511" s="38"/>
      <c r="CT511" s="38"/>
      <c r="CU511" s="38"/>
      <c r="CV511" s="38"/>
      <c r="CW511" s="38"/>
      <c r="CX511" s="38"/>
      <c r="CY511" s="38"/>
      <c r="CZ511" s="38"/>
      <c r="DA511" s="38"/>
      <c r="DB511" s="38"/>
      <c r="DC511" s="38"/>
      <c r="DD511" s="38"/>
      <c r="DE511" s="38"/>
      <c r="DF511" s="38"/>
      <c r="DG511" s="38"/>
      <c r="DH511" s="38"/>
      <c r="DI511" s="38"/>
      <c r="DJ511" s="38"/>
      <c r="DK511" s="38"/>
      <c r="DL511" s="38"/>
      <c r="DM511" s="38"/>
      <c r="DN511" s="38"/>
      <c r="DO511" s="38"/>
      <c r="DP511" s="38"/>
      <c r="DQ511" s="38"/>
      <c r="DR511" s="38"/>
      <c r="DS511" s="38"/>
      <c r="DT511" s="38"/>
      <c r="DU511" s="38"/>
      <c r="DV511" s="38"/>
      <c r="DW511" s="38"/>
      <c r="DX511" s="38"/>
      <c r="DY511" s="38"/>
      <c r="DZ511" s="38"/>
      <c r="EA511" s="38"/>
      <c r="EB511" s="38"/>
      <c r="EC511" s="38"/>
      <c r="ED511" s="38"/>
      <c r="EE511" s="38"/>
      <c r="EF511" s="38"/>
      <c r="EG511" s="38"/>
      <c r="EH511" s="38"/>
      <c r="EI511" s="38"/>
      <c r="EJ511" s="38"/>
      <c r="EK511" s="38"/>
      <c r="EL511" s="38"/>
      <c r="EM511" s="38"/>
      <c r="EN511" s="38"/>
      <c r="EO511" s="38"/>
      <c r="EP511" s="38"/>
      <c r="EQ511" s="38"/>
      <c r="ER511" s="38"/>
      <c r="ES511" s="38"/>
      <c r="ET511" s="38"/>
      <c r="EU511" s="38"/>
      <c r="EV511" s="38"/>
      <c r="EW511" s="38"/>
      <c r="EX511" s="38"/>
      <c r="EY511" s="38"/>
      <c r="EZ511" s="38"/>
      <c r="FA511" s="38"/>
      <c r="FB511" s="38"/>
      <c r="FC511" s="38"/>
      <c r="FD511" s="38"/>
      <c r="FE511" s="38"/>
      <c r="FF511" s="38"/>
      <c r="FG511" s="38"/>
      <c r="FH511" s="38"/>
      <c r="FI511" s="38"/>
      <c r="FJ511" s="38"/>
      <c r="FK511" s="38"/>
      <c r="FL511" s="38"/>
      <c r="FM511" s="38"/>
      <c r="FN511" s="38"/>
      <c r="FO511" s="38"/>
      <c r="FP511" s="38"/>
      <c r="FQ511" s="38"/>
      <c r="FR511" s="38"/>
      <c r="FS511" s="38"/>
      <c r="FT511" s="38"/>
      <c r="FU511" s="38"/>
      <c r="FV511" s="38"/>
      <c r="FW511" s="38"/>
      <c r="FX511" s="38"/>
      <c r="FY511" s="38"/>
      <c r="FZ511" s="38"/>
      <c r="GA511" s="38"/>
      <c r="GB511" s="38"/>
      <c r="GC511" s="38"/>
      <c r="GD511" s="38"/>
      <c r="GE511" s="38"/>
      <c r="GF511" s="38"/>
      <c r="GG511" s="38"/>
      <c r="GH511" s="38"/>
      <c r="GI511" s="38"/>
      <c r="GJ511" s="38"/>
      <c r="GK511" s="38"/>
      <c r="GL511" s="38"/>
      <c r="GM511" s="38"/>
      <c r="GN511" s="38"/>
      <c r="GO511" s="38"/>
      <c r="GP511" s="38"/>
      <c r="GQ511" s="38"/>
      <c r="GR511" s="38"/>
      <c r="GS511" s="38"/>
      <c r="GT511" s="38"/>
      <c r="GU511" s="38"/>
      <c r="GV511" s="38"/>
      <c r="GW511" s="38"/>
      <c r="GX511" s="38"/>
      <c r="GY511" s="38"/>
      <c r="GZ511" s="38"/>
      <c r="HA511" s="38"/>
      <c r="HB511" s="38"/>
      <c r="HC511" s="38"/>
      <c r="HD511" s="38"/>
      <c r="HE511" s="38"/>
      <c r="HF511" s="38"/>
      <c r="HG511" s="38"/>
      <c r="HH511" s="38"/>
      <c r="HI511" s="38"/>
      <c r="HJ511" s="38"/>
      <c r="HK511" s="38"/>
      <c r="HL511" s="38"/>
      <c r="HM511" s="38"/>
      <c r="HN511" s="38"/>
      <c r="HO511" s="38"/>
      <c r="HP511" s="38"/>
      <c r="HQ511" s="38"/>
      <c r="HR511" s="38"/>
      <c r="HS511" s="38"/>
      <c r="HT511" s="38"/>
      <c r="HU511" s="38"/>
      <c r="HV511" s="38"/>
      <c r="HW511" s="38"/>
      <c r="HX511" s="38"/>
      <c r="HY511" s="38"/>
      <c r="HZ511" s="38"/>
      <c r="IA511" s="38"/>
    </row>
    <row r="512" spans="1:16" ht="11.25" customHeight="1">
      <c r="A512" s="5" t="s">
        <v>4</v>
      </c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36"/>
    </row>
    <row r="513" spans="1:16" ht="14.25" customHeight="1">
      <c r="A513" s="8" t="s">
        <v>43</v>
      </c>
      <c r="B513" s="6"/>
      <c r="C513" s="6"/>
      <c r="D513" s="7">
        <f>D515*D517</f>
        <v>399999.99999963003</v>
      </c>
      <c r="E513" s="7"/>
      <c r="F513" s="7">
        <f>D513+E513</f>
        <v>399999.99999963003</v>
      </c>
      <c r="G513" s="7">
        <f>G515*G517</f>
        <v>450000</v>
      </c>
      <c r="H513" s="7"/>
      <c r="I513" s="7"/>
      <c r="J513" s="7">
        <f>G513+H513</f>
        <v>450000</v>
      </c>
      <c r="K513" s="7"/>
      <c r="L513" s="7"/>
      <c r="M513" s="7"/>
      <c r="N513" s="7">
        <f>N515*N517</f>
        <v>500000.00204999995</v>
      </c>
      <c r="O513" s="7"/>
      <c r="P513" s="36">
        <f>N513</f>
        <v>500000.00204999995</v>
      </c>
    </row>
    <row r="514" spans="1:16" ht="10.5" customHeight="1">
      <c r="A514" s="5" t="s">
        <v>5</v>
      </c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36"/>
    </row>
    <row r="515" spans="1:16" ht="24.75" customHeight="1">
      <c r="A515" s="8" t="s">
        <v>162</v>
      </c>
      <c r="B515" s="6"/>
      <c r="C515" s="6"/>
      <c r="D515" s="7">
        <v>307</v>
      </c>
      <c r="E515" s="7"/>
      <c r="F515" s="7">
        <f>D515</f>
        <v>307</v>
      </c>
      <c r="G515" s="7">
        <v>300</v>
      </c>
      <c r="H515" s="7"/>
      <c r="I515" s="7"/>
      <c r="J515" s="7">
        <f>G515+H515</f>
        <v>300</v>
      </c>
      <c r="K515" s="7"/>
      <c r="L515" s="7"/>
      <c r="M515" s="7"/>
      <c r="N515" s="7">
        <v>213</v>
      </c>
      <c r="O515" s="7"/>
      <c r="P515" s="36">
        <f>N515</f>
        <v>213</v>
      </c>
    </row>
    <row r="516" spans="1:16" ht="11.25">
      <c r="A516" s="5" t="s">
        <v>7</v>
      </c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36"/>
    </row>
    <row r="517" spans="1:16" ht="24.75" customHeight="1">
      <c r="A517" s="8" t="s">
        <v>163</v>
      </c>
      <c r="B517" s="6"/>
      <c r="C517" s="6"/>
      <c r="D517" s="7">
        <v>1302.93159609</v>
      </c>
      <c r="E517" s="7"/>
      <c r="F517" s="7">
        <f>D517</f>
        <v>1302.93159609</v>
      </c>
      <c r="G517" s="7">
        <f>450000/300</f>
        <v>1500</v>
      </c>
      <c r="H517" s="7"/>
      <c r="I517" s="7"/>
      <c r="J517" s="7">
        <f>G517+H517</f>
        <v>1500</v>
      </c>
      <c r="K517" s="7"/>
      <c r="L517" s="7"/>
      <c r="M517" s="7"/>
      <c r="N517" s="7">
        <v>2347.41785</v>
      </c>
      <c r="O517" s="7"/>
      <c r="P517" s="36">
        <f>N517</f>
        <v>2347.41785</v>
      </c>
    </row>
    <row r="518" spans="1:235" s="39" customFormat="1" ht="36.75" customHeight="1">
      <c r="A518" s="34" t="s">
        <v>414</v>
      </c>
      <c r="B518" s="35"/>
      <c r="C518" s="35"/>
      <c r="D518" s="36">
        <f>700000+35000+10000</f>
        <v>745000</v>
      </c>
      <c r="E518" s="36">
        <f>E520</f>
        <v>1000000</v>
      </c>
      <c r="F518" s="36">
        <f>D518+E518</f>
        <v>1745000</v>
      </c>
      <c r="G518" s="36">
        <v>200000</v>
      </c>
      <c r="H518" s="36">
        <f>1300000+50000</f>
        <v>1350000</v>
      </c>
      <c r="I518" s="36"/>
      <c r="J518" s="36">
        <f>G518+H518</f>
        <v>1550000</v>
      </c>
      <c r="K518" s="36"/>
      <c r="L518" s="36"/>
      <c r="M518" s="36"/>
      <c r="N518" s="36">
        <f>N523*N526</f>
        <v>400000</v>
      </c>
      <c r="O518" s="36">
        <f>O523*O526</f>
        <v>1600000</v>
      </c>
      <c r="P518" s="36">
        <f>O518+N518</f>
        <v>2000000</v>
      </c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  <c r="CL518" s="38"/>
      <c r="CM518" s="38"/>
      <c r="CN518" s="38"/>
      <c r="CO518" s="38"/>
      <c r="CP518" s="38"/>
      <c r="CQ518" s="38"/>
      <c r="CR518" s="38"/>
      <c r="CS518" s="38"/>
      <c r="CT518" s="38"/>
      <c r="CU518" s="38"/>
      <c r="CV518" s="38"/>
      <c r="CW518" s="38"/>
      <c r="CX518" s="38"/>
      <c r="CY518" s="38"/>
      <c r="CZ518" s="38"/>
      <c r="DA518" s="38"/>
      <c r="DB518" s="38"/>
      <c r="DC518" s="38"/>
      <c r="DD518" s="38"/>
      <c r="DE518" s="38"/>
      <c r="DF518" s="38"/>
      <c r="DG518" s="38"/>
      <c r="DH518" s="38"/>
      <c r="DI518" s="38"/>
      <c r="DJ518" s="38"/>
      <c r="DK518" s="38"/>
      <c r="DL518" s="38"/>
      <c r="DM518" s="38"/>
      <c r="DN518" s="38"/>
      <c r="DO518" s="38"/>
      <c r="DP518" s="38"/>
      <c r="DQ518" s="38"/>
      <c r="DR518" s="38"/>
      <c r="DS518" s="38"/>
      <c r="DT518" s="38"/>
      <c r="DU518" s="38"/>
      <c r="DV518" s="38"/>
      <c r="DW518" s="38"/>
      <c r="DX518" s="38"/>
      <c r="DY518" s="38"/>
      <c r="DZ518" s="38"/>
      <c r="EA518" s="38"/>
      <c r="EB518" s="38"/>
      <c r="EC518" s="38"/>
      <c r="ED518" s="38"/>
      <c r="EE518" s="38"/>
      <c r="EF518" s="38"/>
      <c r="EG518" s="38"/>
      <c r="EH518" s="38"/>
      <c r="EI518" s="38"/>
      <c r="EJ518" s="38"/>
      <c r="EK518" s="38"/>
      <c r="EL518" s="38"/>
      <c r="EM518" s="38"/>
      <c r="EN518" s="38"/>
      <c r="EO518" s="38"/>
      <c r="EP518" s="38"/>
      <c r="EQ518" s="38"/>
      <c r="ER518" s="38"/>
      <c r="ES518" s="38"/>
      <c r="ET518" s="38"/>
      <c r="EU518" s="38"/>
      <c r="EV518" s="38"/>
      <c r="EW518" s="38"/>
      <c r="EX518" s="38"/>
      <c r="EY518" s="38"/>
      <c r="EZ518" s="38"/>
      <c r="FA518" s="38"/>
      <c r="FB518" s="38"/>
      <c r="FC518" s="38"/>
      <c r="FD518" s="38"/>
      <c r="FE518" s="38"/>
      <c r="FF518" s="38"/>
      <c r="FG518" s="38"/>
      <c r="FH518" s="38"/>
      <c r="FI518" s="38"/>
      <c r="FJ518" s="38"/>
      <c r="FK518" s="38"/>
      <c r="FL518" s="38"/>
      <c r="FM518" s="38"/>
      <c r="FN518" s="38"/>
      <c r="FO518" s="38"/>
      <c r="FP518" s="38"/>
      <c r="FQ518" s="38"/>
      <c r="FR518" s="38"/>
      <c r="FS518" s="38"/>
      <c r="FT518" s="38"/>
      <c r="FU518" s="38"/>
      <c r="FV518" s="38"/>
      <c r="FW518" s="38"/>
      <c r="FX518" s="38"/>
      <c r="FY518" s="38"/>
      <c r="FZ518" s="38"/>
      <c r="GA518" s="38"/>
      <c r="GB518" s="38"/>
      <c r="GC518" s="38"/>
      <c r="GD518" s="38"/>
      <c r="GE518" s="38"/>
      <c r="GF518" s="38"/>
      <c r="GG518" s="38"/>
      <c r="GH518" s="38"/>
      <c r="GI518" s="38"/>
      <c r="GJ518" s="38"/>
      <c r="GK518" s="38"/>
      <c r="GL518" s="38"/>
      <c r="GM518" s="38"/>
      <c r="GN518" s="38"/>
      <c r="GO518" s="38"/>
      <c r="GP518" s="38"/>
      <c r="GQ518" s="38"/>
      <c r="GR518" s="38"/>
      <c r="GS518" s="38"/>
      <c r="GT518" s="38"/>
      <c r="GU518" s="38"/>
      <c r="GV518" s="38"/>
      <c r="GW518" s="38"/>
      <c r="GX518" s="38"/>
      <c r="GY518" s="38"/>
      <c r="GZ518" s="38"/>
      <c r="HA518" s="38"/>
      <c r="HB518" s="38"/>
      <c r="HC518" s="38"/>
      <c r="HD518" s="38"/>
      <c r="HE518" s="38"/>
      <c r="HF518" s="38"/>
      <c r="HG518" s="38"/>
      <c r="HH518" s="38"/>
      <c r="HI518" s="38"/>
      <c r="HJ518" s="38"/>
      <c r="HK518" s="38"/>
      <c r="HL518" s="38"/>
      <c r="HM518" s="38"/>
      <c r="HN518" s="38"/>
      <c r="HO518" s="38"/>
      <c r="HP518" s="38"/>
      <c r="HQ518" s="38"/>
      <c r="HR518" s="38"/>
      <c r="HS518" s="38"/>
      <c r="HT518" s="38"/>
      <c r="HU518" s="38"/>
      <c r="HV518" s="38"/>
      <c r="HW518" s="38"/>
      <c r="HX518" s="38"/>
      <c r="HY518" s="38"/>
      <c r="HZ518" s="38"/>
      <c r="IA518" s="38"/>
    </row>
    <row r="519" spans="1:16" ht="11.25">
      <c r="A519" s="5" t="s">
        <v>4</v>
      </c>
      <c r="B519" s="6"/>
      <c r="C519" s="6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36"/>
    </row>
    <row r="520" spans="1:16" ht="22.5">
      <c r="A520" s="8" t="s">
        <v>349</v>
      </c>
      <c r="B520" s="6"/>
      <c r="C520" s="6"/>
      <c r="D520" s="7">
        <v>700000</v>
      </c>
      <c r="E520" s="7">
        <f>E523*E526</f>
        <v>1000000</v>
      </c>
      <c r="F520" s="7">
        <f>D520+E520</f>
        <v>1700000</v>
      </c>
      <c r="G520" s="7">
        <v>200000</v>
      </c>
      <c r="H520" s="7">
        <f>1300000+50000</f>
        <v>1350000</v>
      </c>
      <c r="I520" s="7"/>
      <c r="J520" s="7">
        <f>G520+H520</f>
        <v>1550000</v>
      </c>
      <c r="K520" s="7"/>
      <c r="L520" s="7"/>
      <c r="M520" s="7"/>
      <c r="N520" s="7">
        <f>N523*N526</f>
        <v>400000</v>
      </c>
      <c r="O520" s="7">
        <f>O523*O526</f>
        <v>1600000</v>
      </c>
      <c r="P520" s="7">
        <f>O520+N520</f>
        <v>2000000</v>
      </c>
    </row>
    <row r="521" spans="1:16" ht="22.5">
      <c r="A521" s="8" t="s">
        <v>352</v>
      </c>
      <c r="B521" s="6"/>
      <c r="C521" s="6"/>
      <c r="D521" s="7">
        <f>35000+10000</f>
        <v>45000</v>
      </c>
      <c r="E521" s="7"/>
      <c r="F521" s="7">
        <f>D521+E521</f>
        <v>45000</v>
      </c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11.25">
      <c r="A522" s="5" t="s">
        <v>5</v>
      </c>
      <c r="B522" s="6"/>
      <c r="C522" s="6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1:16" ht="22.5">
      <c r="A523" s="72" t="s">
        <v>183</v>
      </c>
      <c r="B523" s="6"/>
      <c r="C523" s="6"/>
      <c r="D523" s="7">
        <v>6</v>
      </c>
      <c r="E523" s="7">
        <v>2</v>
      </c>
      <c r="F523" s="7">
        <f>D523+E523</f>
        <v>8</v>
      </c>
      <c r="G523" s="7">
        <v>1</v>
      </c>
      <c r="H523" s="7">
        <v>3</v>
      </c>
      <c r="I523" s="7"/>
      <c r="J523" s="7">
        <f>G523+H523</f>
        <v>4</v>
      </c>
      <c r="K523" s="7"/>
      <c r="L523" s="7"/>
      <c r="M523" s="7"/>
      <c r="N523" s="7">
        <v>5</v>
      </c>
      <c r="O523" s="7">
        <v>4</v>
      </c>
      <c r="P523" s="7">
        <f>O523+N523</f>
        <v>9</v>
      </c>
    </row>
    <row r="524" spans="1:16" ht="22.5">
      <c r="A524" s="72" t="s">
        <v>350</v>
      </c>
      <c r="B524" s="6"/>
      <c r="C524" s="6"/>
      <c r="D524" s="7">
        <v>1</v>
      </c>
      <c r="E524" s="7"/>
      <c r="F524" s="7">
        <f>D524+E524</f>
        <v>1</v>
      </c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11.25">
      <c r="A525" s="5" t="s">
        <v>7</v>
      </c>
      <c r="B525" s="6"/>
      <c r="C525" s="6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33.75">
      <c r="A526" s="8" t="s">
        <v>203</v>
      </c>
      <c r="B526" s="6"/>
      <c r="C526" s="6"/>
      <c r="D526" s="7">
        <v>116666.66</v>
      </c>
      <c r="E526" s="7">
        <v>500000</v>
      </c>
      <c r="F526" s="7">
        <f>D526+E526</f>
        <v>616666.66</v>
      </c>
      <c r="G526" s="7">
        <v>200000</v>
      </c>
      <c r="H526" s="7">
        <v>433333.33</v>
      </c>
      <c r="I526" s="7"/>
      <c r="J526" s="7">
        <f>G526+H526</f>
        <v>633333.3300000001</v>
      </c>
      <c r="K526" s="7"/>
      <c r="L526" s="7"/>
      <c r="M526" s="7"/>
      <c r="N526" s="7">
        <v>80000</v>
      </c>
      <c r="O526" s="7">
        <v>400000</v>
      </c>
      <c r="P526" s="7">
        <f>O526+N526</f>
        <v>480000</v>
      </c>
    </row>
    <row r="527" spans="1:16" ht="22.5">
      <c r="A527" s="8" t="s">
        <v>351</v>
      </c>
      <c r="B527" s="6"/>
      <c r="C527" s="6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11.25">
      <c r="A528" s="8"/>
      <c r="B528" s="6"/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1:235" s="39" customFormat="1" ht="24.75" customHeight="1">
      <c r="A529" s="34" t="s">
        <v>415</v>
      </c>
      <c r="B529" s="35"/>
      <c r="C529" s="35"/>
      <c r="D529" s="36">
        <f>D531</f>
        <v>100000</v>
      </c>
      <c r="E529" s="36"/>
      <c r="F529" s="36">
        <f>D529+E529</f>
        <v>100000</v>
      </c>
      <c r="G529" s="36">
        <f>G533*G535</f>
        <v>130000</v>
      </c>
      <c r="H529" s="36"/>
      <c r="I529" s="36"/>
      <c r="J529" s="36">
        <f>G529+H529</f>
        <v>130000</v>
      </c>
      <c r="K529" s="36"/>
      <c r="L529" s="36"/>
      <c r="M529" s="36"/>
      <c r="N529" s="36">
        <f>N535*N533</f>
        <v>350000</v>
      </c>
      <c r="O529" s="36">
        <f>O535*O533</f>
        <v>0</v>
      </c>
      <c r="P529" s="36">
        <f>P535*P533</f>
        <v>350000</v>
      </c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38"/>
      <c r="CC529" s="38"/>
      <c r="CD529" s="38"/>
      <c r="CE529" s="38"/>
      <c r="CF529" s="38"/>
      <c r="CG529" s="38"/>
      <c r="CH529" s="38"/>
      <c r="CI529" s="38"/>
      <c r="CJ529" s="38"/>
      <c r="CK529" s="38"/>
      <c r="CL529" s="38"/>
      <c r="CM529" s="38"/>
      <c r="CN529" s="38"/>
      <c r="CO529" s="38"/>
      <c r="CP529" s="38"/>
      <c r="CQ529" s="38"/>
      <c r="CR529" s="38"/>
      <c r="CS529" s="38"/>
      <c r="CT529" s="38"/>
      <c r="CU529" s="38"/>
      <c r="CV529" s="38"/>
      <c r="CW529" s="38"/>
      <c r="CX529" s="38"/>
      <c r="CY529" s="38"/>
      <c r="CZ529" s="38"/>
      <c r="DA529" s="38"/>
      <c r="DB529" s="38"/>
      <c r="DC529" s="38"/>
      <c r="DD529" s="38"/>
      <c r="DE529" s="38"/>
      <c r="DF529" s="38"/>
      <c r="DG529" s="38"/>
      <c r="DH529" s="38"/>
      <c r="DI529" s="38"/>
      <c r="DJ529" s="38"/>
      <c r="DK529" s="38"/>
      <c r="DL529" s="38"/>
      <c r="DM529" s="38"/>
      <c r="DN529" s="38"/>
      <c r="DO529" s="38"/>
      <c r="DP529" s="38"/>
      <c r="DQ529" s="38"/>
      <c r="DR529" s="38"/>
      <c r="DS529" s="38"/>
      <c r="DT529" s="38"/>
      <c r="DU529" s="38"/>
      <c r="DV529" s="38"/>
      <c r="DW529" s="38"/>
      <c r="DX529" s="38"/>
      <c r="DY529" s="38"/>
      <c r="DZ529" s="38"/>
      <c r="EA529" s="38"/>
      <c r="EB529" s="38"/>
      <c r="EC529" s="38"/>
      <c r="ED529" s="38"/>
      <c r="EE529" s="38"/>
      <c r="EF529" s="38"/>
      <c r="EG529" s="38"/>
      <c r="EH529" s="38"/>
      <c r="EI529" s="38"/>
      <c r="EJ529" s="38"/>
      <c r="EK529" s="38"/>
      <c r="EL529" s="38"/>
      <c r="EM529" s="38"/>
      <c r="EN529" s="38"/>
      <c r="EO529" s="38"/>
      <c r="EP529" s="38"/>
      <c r="EQ529" s="38"/>
      <c r="ER529" s="38"/>
      <c r="ES529" s="38"/>
      <c r="ET529" s="38"/>
      <c r="EU529" s="38"/>
      <c r="EV529" s="38"/>
      <c r="EW529" s="38"/>
      <c r="EX529" s="38"/>
      <c r="EY529" s="38"/>
      <c r="EZ529" s="38"/>
      <c r="FA529" s="38"/>
      <c r="FB529" s="38"/>
      <c r="FC529" s="38"/>
      <c r="FD529" s="38"/>
      <c r="FE529" s="38"/>
      <c r="FF529" s="38"/>
      <c r="FG529" s="38"/>
      <c r="FH529" s="38"/>
      <c r="FI529" s="38"/>
      <c r="FJ529" s="38"/>
      <c r="FK529" s="38"/>
      <c r="FL529" s="38"/>
      <c r="FM529" s="38"/>
      <c r="FN529" s="38"/>
      <c r="FO529" s="38"/>
      <c r="FP529" s="38"/>
      <c r="FQ529" s="38"/>
      <c r="FR529" s="38"/>
      <c r="FS529" s="38"/>
      <c r="FT529" s="38"/>
      <c r="FU529" s="38"/>
      <c r="FV529" s="38"/>
      <c r="FW529" s="38"/>
      <c r="FX529" s="38"/>
      <c r="FY529" s="38"/>
      <c r="FZ529" s="38"/>
      <c r="GA529" s="38"/>
      <c r="GB529" s="38"/>
      <c r="GC529" s="38"/>
      <c r="GD529" s="38"/>
      <c r="GE529" s="38"/>
      <c r="GF529" s="38"/>
      <c r="GG529" s="38"/>
      <c r="GH529" s="38"/>
      <c r="GI529" s="38"/>
      <c r="GJ529" s="38"/>
      <c r="GK529" s="38"/>
      <c r="GL529" s="38"/>
      <c r="GM529" s="38"/>
      <c r="GN529" s="38"/>
      <c r="GO529" s="38"/>
      <c r="GP529" s="38"/>
      <c r="GQ529" s="38"/>
      <c r="GR529" s="38"/>
      <c r="GS529" s="38"/>
      <c r="GT529" s="38"/>
      <c r="GU529" s="38"/>
      <c r="GV529" s="38"/>
      <c r="GW529" s="38"/>
      <c r="GX529" s="38"/>
      <c r="GY529" s="38"/>
      <c r="GZ529" s="38"/>
      <c r="HA529" s="38"/>
      <c r="HB529" s="38"/>
      <c r="HC529" s="38"/>
      <c r="HD529" s="38"/>
      <c r="HE529" s="38"/>
      <c r="HF529" s="38"/>
      <c r="HG529" s="38"/>
      <c r="HH529" s="38"/>
      <c r="HI529" s="38"/>
      <c r="HJ529" s="38"/>
      <c r="HK529" s="38"/>
      <c r="HL529" s="38"/>
      <c r="HM529" s="38"/>
      <c r="HN529" s="38"/>
      <c r="HO529" s="38"/>
      <c r="HP529" s="38"/>
      <c r="HQ529" s="38"/>
      <c r="HR529" s="38"/>
      <c r="HS529" s="38"/>
      <c r="HT529" s="38"/>
      <c r="HU529" s="38"/>
      <c r="HV529" s="38"/>
      <c r="HW529" s="38"/>
      <c r="HX529" s="38"/>
      <c r="HY529" s="38"/>
      <c r="HZ529" s="38"/>
      <c r="IA529" s="38"/>
    </row>
    <row r="530" spans="1:16" ht="11.25">
      <c r="A530" s="5" t="s">
        <v>4</v>
      </c>
      <c r="B530" s="6"/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16" ht="11.25">
      <c r="A531" s="8" t="s">
        <v>43</v>
      </c>
      <c r="B531" s="6"/>
      <c r="C531" s="6"/>
      <c r="D531" s="7">
        <f>D533*D535</f>
        <v>100000</v>
      </c>
      <c r="E531" s="7"/>
      <c r="F531" s="7">
        <f>D531+E531</f>
        <v>100000</v>
      </c>
      <c r="G531" s="7">
        <f>G533*G535</f>
        <v>130000</v>
      </c>
      <c r="H531" s="7"/>
      <c r="I531" s="7"/>
      <c r="J531" s="7">
        <f>G531+H531</f>
        <v>130000</v>
      </c>
      <c r="K531" s="7"/>
      <c r="L531" s="7"/>
      <c r="M531" s="7"/>
      <c r="N531" s="7">
        <f>N533*N535</f>
        <v>350000</v>
      </c>
      <c r="O531" s="7"/>
      <c r="P531" s="7">
        <f>N531+O531</f>
        <v>350000</v>
      </c>
    </row>
    <row r="532" spans="1:16" ht="11.25">
      <c r="A532" s="5" t="s">
        <v>5</v>
      </c>
      <c r="B532" s="6"/>
      <c r="C532" s="6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14.25" customHeight="1">
      <c r="A533" s="8" t="s">
        <v>196</v>
      </c>
      <c r="B533" s="6"/>
      <c r="C533" s="6"/>
      <c r="D533" s="7">
        <v>8</v>
      </c>
      <c r="E533" s="7"/>
      <c r="F533" s="7">
        <f>D533+E533</f>
        <v>8</v>
      </c>
      <c r="G533" s="7">
        <v>2</v>
      </c>
      <c r="H533" s="7"/>
      <c r="I533" s="7"/>
      <c r="J533" s="7">
        <f>G533+H533</f>
        <v>2</v>
      </c>
      <c r="K533" s="7"/>
      <c r="L533" s="7"/>
      <c r="M533" s="7"/>
      <c r="N533" s="7">
        <v>5</v>
      </c>
      <c r="O533" s="7"/>
      <c r="P533" s="7">
        <f>N533+O533</f>
        <v>5</v>
      </c>
    </row>
    <row r="534" spans="1:16" ht="12" customHeight="1">
      <c r="A534" s="5" t="s">
        <v>7</v>
      </c>
      <c r="B534" s="6"/>
      <c r="C534" s="6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24.75" customHeight="1">
      <c r="A535" s="8" t="s">
        <v>178</v>
      </c>
      <c r="B535" s="6"/>
      <c r="C535" s="6"/>
      <c r="D535" s="7">
        <f>100000/8</f>
        <v>12500</v>
      </c>
      <c r="E535" s="7"/>
      <c r="F535" s="7">
        <f>D535+E535</f>
        <v>12500</v>
      </c>
      <c r="G535" s="7">
        <v>65000</v>
      </c>
      <c r="H535" s="7"/>
      <c r="I535" s="7"/>
      <c r="J535" s="7">
        <f>G535+H535</f>
        <v>65000</v>
      </c>
      <c r="K535" s="7"/>
      <c r="L535" s="7"/>
      <c r="M535" s="7"/>
      <c r="N535" s="7">
        <v>70000</v>
      </c>
      <c r="O535" s="7"/>
      <c r="P535" s="7">
        <f>N535+O535</f>
        <v>70000</v>
      </c>
    </row>
    <row r="536" spans="1:17" ht="33.75">
      <c r="A536" s="34" t="s">
        <v>416</v>
      </c>
      <c r="B536" s="35"/>
      <c r="C536" s="35"/>
      <c r="D536" s="22"/>
      <c r="E536" s="36">
        <f>E538</f>
        <v>50000</v>
      </c>
      <c r="F536" s="36">
        <f>F538</f>
        <v>50000</v>
      </c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73"/>
    </row>
    <row r="537" spans="1:17" ht="11.25">
      <c r="A537" s="5" t="s">
        <v>4</v>
      </c>
      <c r="B537" s="6"/>
      <c r="C537" s="6"/>
      <c r="D537" s="22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3"/>
    </row>
    <row r="538" spans="1:17" ht="11.25">
      <c r="A538" s="8" t="s">
        <v>43</v>
      </c>
      <c r="B538" s="6"/>
      <c r="C538" s="6"/>
      <c r="D538" s="22"/>
      <c r="E538" s="7">
        <f>E540*E542</f>
        <v>50000</v>
      </c>
      <c r="F538" s="7">
        <f>F540*F542</f>
        <v>50000</v>
      </c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4"/>
    </row>
    <row r="539" spans="1:17" ht="11.25">
      <c r="A539" s="5" t="s">
        <v>5</v>
      </c>
      <c r="B539" s="6"/>
      <c r="C539" s="6"/>
      <c r="D539" s="22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4"/>
    </row>
    <row r="540" spans="1:17" ht="22.5">
      <c r="A540" s="8" t="s">
        <v>196</v>
      </c>
      <c r="B540" s="6"/>
      <c r="C540" s="6"/>
      <c r="D540" s="22"/>
      <c r="E540" s="7">
        <v>1</v>
      </c>
      <c r="F540" s="7">
        <v>1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4">
        <v>5500</v>
      </c>
    </row>
    <row r="541" spans="1:17" ht="11.25">
      <c r="A541" s="5" t="s">
        <v>7</v>
      </c>
      <c r="B541" s="6"/>
      <c r="C541" s="6"/>
      <c r="D541" s="22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24"/>
    </row>
    <row r="542" spans="1:17" ht="22.5">
      <c r="A542" s="8" t="s">
        <v>178</v>
      </c>
      <c r="B542" s="6"/>
      <c r="C542" s="6"/>
      <c r="D542" s="22"/>
      <c r="E542" s="7">
        <v>50000</v>
      </c>
      <c r="F542" s="7">
        <v>50000</v>
      </c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24"/>
    </row>
    <row r="543" spans="1:17" ht="33.75">
      <c r="A543" s="34" t="s">
        <v>417</v>
      </c>
      <c r="B543" s="35"/>
      <c r="C543" s="35"/>
      <c r="D543" s="36">
        <f>D545</f>
        <v>790000</v>
      </c>
      <c r="E543" s="36"/>
      <c r="F543" s="36">
        <f>F545</f>
        <v>790000</v>
      </c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24"/>
    </row>
    <row r="544" spans="1:17" ht="11.25">
      <c r="A544" s="5" t="s">
        <v>4</v>
      </c>
      <c r="B544" s="6"/>
      <c r="C544" s="6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24"/>
    </row>
    <row r="545" spans="1:17" ht="11.25">
      <c r="A545" s="8" t="s">
        <v>43</v>
      </c>
      <c r="B545" s="6"/>
      <c r="C545" s="6"/>
      <c r="D545" s="7">
        <f>D547*D549</f>
        <v>790000</v>
      </c>
      <c r="E545" s="7"/>
      <c r="F545" s="7">
        <f>F547*F549</f>
        <v>790000</v>
      </c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24"/>
    </row>
    <row r="546" spans="1:17" ht="11.25">
      <c r="A546" s="5" t="s">
        <v>5</v>
      </c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24"/>
    </row>
    <row r="547" spans="1:17" ht="22.5">
      <c r="A547" s="8" t="s">
        <v>196</v>
      </c>
      <c r="B547" s="6"/>
      <c r="C547" s="6"/>
      <c r="D547" s="7">
        <v>1</v>
      </c>
      <c r="E547" s="7"/>
      <c r="F547" s="7">
        <v>1</v>
      </c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24"/>
    </row>
    <row r="548" spans="1:17" ht="11.25">
      <c r="A548" s="5" t="s">
        <v>7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24"/>
    </row>
    <row r="549" spans="1:17" ht="22.5">
      <c r="A549" s="8" t="s">
        <v>178</v>
      </c>
      <c r="B549" s="6"/>
      <c r="C549" s="6"/>
      <c r="D549" s="7">
        <v>790000</v>
      </c>
      <c r="E549" s="7"/>
      <c r="F549" s="7">
        <v>790000</v>
      </c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24"/>
    </row>
    <row r="550" spans="1:17" ht="36" customHeight="1">
      <c r="A550" s="34" t="s">
        <v>418</v>
      </c>
      <c r="B550" s="35"/>
      <c r="C550" s="35"/>
      <c r="D550" s="36"/>
      <c r="E550" s="36">
        <f>E552</f>
        <v>320000</v>
      </c>
      <c r="F550" s="36">
        <f>F552</f>
        <v>320000</v>
      </c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24"/>
    </row>
    <row r="551" spans="1:17" ht="11.25">
      <c r="A551" s="5" t="s">
        <v>4</v>
      </c>
      <c r="B551" s="6"/>
      <c r="C551" s="6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24"/>
    </row>
    <row r="552" spans="1:17" ht="11.25">
      <c r="A552" s="8" t="s">
        <v>43</v>
      </c>
      <c r="B552" s="6"/>
      <c r="C552" s="6"/>
      <c r="D552" s="7"/>
      <c r="E552" s="7">
        <f>E554*E556</f>
        <v>320000</v>
      </c>
      <c r="F552" s="7">
        <f>F554*F556</f>
        <v>320000</v>
      </c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24"/>
    </row>
    <row r="553" spans="1:17" ht="11.25">
      <c r="A553" s="5" t="s">
        <v>5</v>
      </c>
      <c r="B553" s="6"/>
      <c r="C553" s="6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24"/>
    </row>
    <row r="554" spans="1:17" ht="22.5">
      <c r="A554" s="8" t="s">
        <v>196</v>
      </c>
      <c r="B554" s="6"/>
      <c r="C554" s="6"/>
      <c r="D554" s="7"/>
      <c r="E554" s="7">
        <v>1</v>
      </c>
      <c r="F554" s="7">
        <v>1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24"/>
    </row>
    <row r="555" spans="1:17" ht="11.25">
      <c r="A555" s="5" t="s">
        <v>7</v>
      </c>
      <c r="B555" s="6"/>
      <c r="C555" s="6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</row>
    <row r="556" spans="1:235" ht="11.25">
      <c r="A556" s="8" t="s">
        <v>328</v>
      </c>
      <c r="B556" s="6"/>
      <c r="C556" s="6"/>
      <c r="D556" s="7"/>
      <c r="E556" s="7">
        <v>320000</v>
      </c>
      <c r="F556" s="7">
        <v>320000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17" ht="24" customHeight="1">
      <c r="A557" s="34" t="s">
        <v>419</v>
      </c>
      <c r="B557" s="35"/>
      <c r="C557" s="35"/>
      <c r="D557" s="36"/>
      <c r="E557" s="36">
        <f>E559</f>
        <v>0</v>
      </c>
      <c r="F557" s="36">
        <f>F559</f>
        <v>0</v>
      </c>
      <c r="G557" s="36">
        <f>G559</f>
        <v>1952000</v>
      </c>
      <c r="H557" s="36"/>
      <c r="I557" s="36"/>
      <c r="J557" s="36">
        <f>J559</f>
        <v>1952000</v>
      </c>
      <c r="K557" s="36"/>
      <c r="L557" s="36"/>
      <c r="M557" s="36"/>
      <c r="N557" s="36"/>
      <c r="O557" s="36"/>
      <c r="P557" s="36"/>
      <c r="Q557" s="24"/>
    </row>
    <row r="558" spans="1:17" ht="11.25">
      <c r="A558" s="5" t="s">
        <v>4</v>
      </c>
      <c r="B558" s="6"/>
      <c r="C558" s="6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</row>
    <row r="559" spans="1:17" ht="11.25">
      <c r="A559" s="8" t="s">
        <v>43</v>
      </c>
      <c r="B559" s="6"/>
      <c r="C559" s="6"/>
      <c r="D559" s="7"/>
      <c r="E559" s="7">
        <f>E561*E563</f>
        <v>0</v>
      </c>
      <c r="F559" s="7">
        <f>F561*F563</f>
        <v>0</v>
      </c>
      <c r="G559" s="7">
        <f>G561*G563</f>
        <v>1952000</v>
      </c>
      <c r="H559" s="7"/>
      <c r="I559" s="7"/>
      <c r="J559" s="7">
        <f>G559</f>
        <v>1952000</v>
      </c>
      <c r="K559" s="7"/>
      <c r="L559" s="7"/>
      <c r="M559" s="7"/>
      <c r="N559" s="7"/>
      <c r="O559" s="7"/>
      <c r="P559" s="7"/>
      <c r="Q559" s="24"/>
    </row>
    <row r="560" spans="1:17" ht="11.25">
      <c r="A560" s="5" t="s">
        <v>5</v>
      </c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</row>
    <row r="561" spans="1:17" ht="22.5">
      <c r="A561" s="8" t="s">
        <v>196</v>
      </c>
      <c r="B561" s="6"/>
      <c r="C561" s="6"/>
      <c r="D561" s="7"/>
      <c r="E561" s="7">
        <v>0</v>
      </c>
      <c r="F561" s="7">
        <v>0</v>
      </c>
      <c r="G561" s="7">
        <v>1</v>
      </c>
      <c r="H561" s="7"/>
      <c r="I561" s="7"/>
      <c r="J561" s="7">
        <f>G561</f>
        <v>1</v>
      </c>
      <c r="K561" s="7"/>
      <c r="L561" s="7"/>
      <c r="M561" s="7"/>
      <c r="N561" s="7"/>
      <c r="O561" s="7"/>
      <c r="P561" s="7"/>
      <c r="Q561" s="24"/>
    </row>
    <row r="562" spans="1:17" ht="11.25">
      <c r="A562" s="5" t="s">
        <v>7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</row>
    <row r="563" spans="1:235" ht="11.25">
      <c r="A563" s="8" t="s">
        <v>328</v>
      </c>
      <c r="B563" s="6"/>
      <c r="C563" s="6"/>
      <c r="D563" s="7"/>
      <c r="E563" s="7"/>
      <c r="F563" s="7">
        <v>0</v>
      </c>
      <c r="G563" s="7">
        <f>2300000-348000</f>
        <v>1952000</v>
      </c>
      <c r="H563" s="7"/>
      <c r="I563" s="7"/>
      <c r="J563" s="7">
        <f>G563</f>
        <v>1952000</v>
      </c>
      <c r="K563" s="7"/>
      <c r="L563" s="7"/>
      <c r="M563" s="7"/>
      <c r="N563" s="7"/>
      <c r="O563" s="7"/>
      <c r="P563" s="7"/>
      <c r="Q563" s="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  <c r="HZ563" s="53"/>
      <c r="IA563" s="53"/>
    </row>
    <row r="564" spans="1:235" ht="33.75">
      <c r="A564" s="34" t="s">
        <v>420</v>
      </c>
      <c r="B564" s="6"/>
      <c r="C564" s="6"/>
      <c r="D564" s="7"/>
      <c r="E564" s="7"/>
      <c r="F564" s="7"/>
      <c r="G564" s="36">
        <f>G566</f>
        <v>920000</v>
      </c>
      <c r="H564" s="7"/>
      <c r="I564" s="7"/>
      <c r="J564" s="36">
        <f>G564</f>
        <v>920000</v>
      </c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11.25">
      <c r="A565" s="5" t="s">
        <v>4</v>
      </c>
      <c r="B565" s="6"/>
      <c r="C565" s="6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11.25">
      <c r="A566" s="8" t="s">
        <v>43</v>
      </c>
      <c r="B566" s="6"/>
      <c r="C566" s="6"/>
      <c r="D566" s="7"/>
      <c r="E566" s="7"/>
      <c r="F566" s="7"/>
      <c r="G566" s="7">
        <f>3200000-2280000</f>
        <v>920000</v>
      </c>
      <c r="H566" s="7"/>
      <c r="I566" s="7"/>
      <c r="J566" s="7">
        <f>G566</f>
        <v>920000</v>
      </c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11.25">
      <c r="A567" s="5" t="s">
        <v>5</v>
      </c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22.5">
      <c r="A568" s="8" t="s">
        <v>196</v>
      </c>
      <c r="B568" s="6"/>
      <c r="C568" s="6"/>
      <c r="D568" s="7"/>
      <c r="E568" s="7"/>
      <c r="F568" s="7"/>
      <c r="G568" s="7">
        <v>17</v>
      </c>
      <c r="H568" s="7"/>
      <c r="I568" s="7"/>
      <c r="J568" s="7">
        <f>G568</f>
        <v>17</v>
      </c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235" ht="11.25">
      <c r="A569" s="5" t="s">
        <v>7</v>
      </c>
      <c r="B569" s="6"/>
      <c r="C569" s="6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24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  <c r="BZ569" s="53"/>
      <c r="CA569" s="53"/>
      <c r="CB569" s="53"/>
      <c r="CC569" s="53"/>
      <c r="CD569" s="53"/>
      <c r="CE569" s="53"/>
      <c r="CF569" s="53"/>
      <c r="CG569" s="53"/>
      <c r="CH569" s="53"/>
      <c r="CI569" s="53"/>
      <c r="CJ569" s="53"/>
      <c r="CK569" s="53"/>
      <c r="CL569" s="53"/>
      <c r="CM569" s="53"/>
      <c r="CN569" s="53"/>
      <c r="CO569" s="53"/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  <c r="CZ569" s="53"/>
      <c r="DA569" s="53"/>
      <c r="DB569" s="53"/>
      <c r="DC569" s="53"/>
      <c r="DD569" s="53"/>
      <c r="DE569" s="53"/>
      <c r="DF569" s="53"/>
      <c r="DG569" s="53"/>
      <c r="DH569" s="53"/>
      <c r="DI569" s="53"/>
      <c r="DJ569" s="53"/>
      <c r="DK569" s="53"/>
      <c r="DL569" s="53"/>
      <c r="DM569" s="53"/>
      <c r="DN569" s="53"/>
      <c r="DO569" s="53"/>
      <c r="DP569" s="53"/>
      <c r="DQ569" s="53"/>
      <c r="DR569" s="53"/>
      <c r="DS569" s="53"/>
      <c r="DT569" s="53"/>
      <c r="DU569" s="53"/>
      <c r="DV569" s="53"/>
      <c r="DW569" s="53"/>
      <c r="DX569" s="53"/>
      <c r="DY569" s="53"/>
      <c r="DZ569" s="53"/>
      <c r="EA569" s="53"/>
      <c r="EB569" s="53"/>
      <c r="EC569" s="53"/>
      <c r="ED569" s="53"/>
      <c r="EE569" s="53"/>
      <c r="EF569" s="53"/>
      <c r="EG569" s="53"/>
      <c r="EH569" s="53"/>
      <c r="EI569" s="53"/>
      <c r="EJ569" s="53"/>
      <c r="EK569" s="53"/>
      <c r="EL569" s="53"/>
      <c r="EM569" s="53"/>
      <c r="EN569" s="53"/>
      <c r="EO569" s="53"/>
      <c r="EP569" s="53"/>
      <c r="EQ569" s="53"/>
      <c r="ER569" s="53"/>
      <c r="ES569" s="53"/>
      <c r="ET569" s="53"/>
      <c r="EU569" s="53"/>
      <c r="EV569" s="53"/>
      <c r="EW569" s="53"/>
      <c r="EX569" s="53"/>
      <c r="EY569" s="53"/>
      <c r="EZ569" s="53"/>
      <c r="FA569" s="53"/>
      <c r="FB569" s="53"/>
      <c r="FC569" s="53"/>
      <c r="FD569" s="53"/>
      <c r="FE569" s="53"/>
      <c r="FF569" s="53"/>
      <c r="FG569" s="53"/>
      <c r="FH569" s="53"/>
      <c r="FI569" s="53"/>
      <c r="FJ569" s="53"/>
      <c r="FK569" s="53"/>
      <c r="FL569" s="53"/>
      <c r="FM569" s="53"/>
      <c r="FN569" s="53"/>
      <c r="FO569" s="53"/>
      <c r="FP569" s="53"/>
      <c r="FQ569" s="53"/>
      <c r="FR569" s="53"/>
      <c r="FS569" s="53"/>
      <c r="FT569" s="53"/>
      <c r="FU569" s="53"/>
      <c r="FV569" s="53"/>
      <c r="FW569" s="53"/>
      <c r="FX569" s="53"/>
      <c r="FY569" s="53"/>
      <c r="FZ569" s="53"/>
      <c r="GA569" s="53"/>
      <c r="GB569" s="53"/>
      <c r="GC569" s="53"/>
      <c r="GD569" s="53"/>
      <c r="GE569" s="53"/>
      <c r="GF569" s="53"/>
      <c r="GG569" s="53"/>
      <c r="GH569" s="53"/>
      <c r="GI569" s="53"/>
      <c r="GJ569" s="53"/>
      <c r="GK569" s="53"/>
      <c r="GL569" s="53"/>
      <c r="GM569" s="53"/>
      <c r="GN569" s="53"/>
      <c r="GO569" s="53"/>
      <c r="GP569" s="53"/>
      <c r="GQ569" s="53"/>
      <c r="GR569" s="53"/>
      <c r="GS569" s="53"/>
      <c r="GT569" s="53"/>
      <c r="GU569" s="53"/>
      <c r="GV569" s="53"/>
      <c r="GW569" s="53"/>
      <c r="GX569" s="53"/>
      <c r="GY569" s="53"/>
      <c r="GZ569" s="53"/>
      <c r="HA569" s="53"/>
      <c r="HB569" s="53"/>
      <c r="HC569" s="53"/>
      <c r="HD569" s="53"/>
      <c r="HE569" s="53"/>
      <c r="HF569" s="53"/>
      <c r="HG569" s="53"/>
      <c r="HH569" s="53"/>
      <c r="HI569" s="53"/>
      <c r="HJ569" s="53"/>
      <c r="HK569" s="53"/>
      <c r="HL569" s="53"/>
      <c r="HM569" s="53"/>
      <c r="HN569" s="53"/>
      <c r="HO569" s="53"/>
      <c r="HP569" s="53"/>
      <c r="HQ569" s="53"/>
      <c r="HR569" s="53"/>
      <c r="HS569" s="53"/>
      <c r="HT569" s="53"/>
      <c r="HU569" s="53"/>
      <c r="HV569" s="53"/>
      <c r="HW569" s="53"/>
      <c r="HX569" s="53"/>
      <c r="HY569" s="53"/>
      <c r="HZ569" s="53"/>
      <c r="IA569" s="53"/>
    </row>
    <row r="570" spans="1:235" ht="11.25">
      <c r="A570" s="8" t="s">
        <v>328</v>
      </c>
      <c r="B570" s="6"/>
      <c r="C570" s="6"/>
      <c r="D570" s="7"/>
      <c r="E570" s="7"/>
      <c r="F570" s="7"/>
      <c r="G570" s="7">
        <v>54117.65</v>
      </c>
      <c r="H570" s="7"/>
      <c r="I570" s="7"/>
      <c r="J570" s="7">
        <f>G570</f>
        <v>54117.65</v>
      </c>
      <c r="K570" s="7"/>
      <c r="L570" s="7"/>
      <c r="M570" s="7"/>
      <c r="N570" s="7"/>
      <c r="O570" s="7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235" ht="33.75">
      <c r="A571" s="155" t="s">
        <v>424</v>
      </c>
      <c r="B571" s="6"/>
      <c r="C571" s="6"/>
      <c r="D571" s="7"/>
      <c r="E571" s="7"/>
      <c r="F571" s="7"/>
      <c r="G571" s="36"/>
      <c r="H571" s="36">
        <f>H573</f>
        <v>1000000</v>
      </c>
      <c r="I571" s="7"/>
      <c r="J571" s="36">
        <f>H571</f>
        <v>1000000</v>
      </c>
      <c r="K571" s="7"/>
      <c r="L571" s="7"/>
      <c r="M571" s="7"/>
      <c r="N571" s="7"/>
      <c r="O571" s="7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235" ht="11.25">
      <c r="A572" s="5" t="s">
        <v>4</v>
      </c>
      <c r="B572" s="6"/>
      <c r="C572" s="6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24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  <c r="BZ572" s="53"/>
      <c r="CA572" s="53"/>
      <c r="CB572" s="53"/>
      <c r="CC572" s="53"/>
      <c r="CD572" s="53"/>
      <c r="CE572" s="53"/>
      <c r="CF572" s="53"/>
      <c r="CG572" s="53"/>
      <c r="CH572" s="53"/>
      <c r="CI572" s="53"/>
      <c r="CJ572" s="53"/>
      <c r="CK572" s="53"/>
      <c r="CL572" s="53"/>
      <c r="CM572" s="53"/>
      <c r="CN572" s="53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  <c r="CZ572" s="53"/>
      <c r="DA572" s="53"/>
      <c r="DB572" s="53"/>
      <c r="DC572" s="53"/>
      <c r="DD572" s="53"/>
      <c r="DE572" s="53"/>
      <c r="DF572" s="53"/>
      <c r="DG572" s="53"/>
      <c r="DH572" s="53"/>
      <c r="DI572" s="53"/>
      <c r="DJ572" s="53"/>
      <c r="DK572" s="53"/>
      <c r="DL572" s="53"/>
      <c r="DM572" s="53"/>
      <c r="DN572" s="53"/>
      <c r="DO572" s="53"/>
      <c r="DP572" s="53"/>
      <c r="DQ572" s="53"/>
      <c r="DR572" s="53"/>
      <c r="DS572" s="53"/>
      <c r="DT572" s="53"/>
      <c r="DU572" s="53"/>
      <c r="DV572" s="53"/>
      <c r="DW572" s="53"/>
      <c r="DX572" s="53"/>
      <c r="DY572" s="53"/>
      <c r="DZ572" s="53"/>
      <c r="EA572" s="53"/>
      <c r="EB572" s="53"/>
      <c r="EC572" s="53"/>
      <c r="ED572" s="53"/>
      <c r="EE572" s="53"/>
      <c r="EF572" s="53"/>
      <c r="EG572" s="53"/>
      <c r="EH572" s="53"/>
      <c r="EI572" s="53"/>
      <c r="EJ572" s="53"/>
      <c r="EK572" s="53"/>
      <c r="EL572" s="53"/>
      <c r="EM572" s="53"/>
      <c r="EN572" s="53"/>
      <c r="EO572" s="53"/>
      <c r="EP572" s="53"/>
      <c r="EQ572" s="53"/>
      <c r="ER572" s="53"/>
      <c r="ES572" s="53"/>
      <c r="ET572" s="53"/>
      <c r="EU572" s="53"/>
      <c r="EV572" s="53"/>
      <c r="EW572" s="53"/>
      <c r="EX572" s="53"/>
      <c r="EY572" s="53"/>
      <c r="EZ572" s="53"/>
      <c r="FA572" s="53"/>
      <c r="FB572" s="53"/>
      <c r="FC572" s="53"/>
      <c r="FD572" s="53"/>
      <c r="FE572" s="53"/>
      <c r="FF572" s="53"/>
      <c r="FG572" s="53"/>
      <c r="FH572" s="53"/>
      <c r="FI572" s="53"/>
      <c r="FJ572" s="53"/>
      <c r="FK572" s="53"/>
      <c r="FL572" s="53"/>
      <c r="FM572" s="53"/>
      <c r="FN572" s="53"/>
      <c r="FO572" s="53"/>
      <c r="FP572" s="53"/>
      <c r="FQ572" s="53"/>
      <c r="FR572" s="53"/>
      <c r="FS572" s="53"/>
      <c r="FT572" s="53"/>
      <c r="FU572" s="53"/>
      <c r="FV572" s="53"/>
      <c r="FW572" s="53"/>
      <c r="FX572" s="53"/>
      <c r="FY572" s="53"/>
      <c r="FZ572" s="53"/>
      <c r="GA572" s="53"/>
      <c r="GB572" s="53"/>
      <c r="GC572" s="53"/>
      <c r="GD572" s="53"/>
      <c r="GE572" s="53"/>
      <c r="GF572" s="53"/>
      <c r="GG572" s="53"/>
      <c r="GH572" s="53"/>
      <c r="GI572" s="53"/>
      <c r="GJ572" s="53"/>
      <c r="GK572" s="53"/>
      <c r="GL572" s="53"/>
      <c r="GM572" s="53"/>
      <c r="GN572" s="53"/>
      <c r="GO572" s="53"/>
      <c r="GP572" s="53"/>
      <c r="GQ572" s="53"/>
      <c r="GR572" s="53"/>
      <c r="GS572" s="53"/>
      <c r="GT572" s="53"/>
      <c r="GU572" s="53"/>
      <c r="GV572" s="53"/>
      <c r="GW572" s="53"/>
      <c r="GX572" s="53"/>
      <c r="GY572" s="53"/>
      <c r="GZ572" s="53"/>
      <c r="HA572" s="53"/>
      <c r="HB572" s="53"/>
      <c r="HC572" s="53"/>
      <c r="HD572" s="53"/>
      <c r="HE572" s="53"/>
      <c r="HF572" s="53"/>
      <c r="HG572" s="53"/>
      <c r="HH572" s="53"/>
      <c r="HI572" s="53"/>
      <c r="HJ572" s="53"/>
      <c r="HK572" s="53"/>
      <c r="HL572" s="53"/>
      <c r="HM572" s="53"/>
      <c r="HN572" s="53"/>
      <c r="HO572" s="53"/>
      <c r="HP572" s="53"/>
      <c r="HQ572" s="53"/>
      <c r="HR572" s="53"/>
      <c r="HS572" s="53"/>
      <c r="HT572" s="53"/>
      <c r="HU572" s="53"/>
      <c r="HV572" s="53"/>
      <c r="HW572" s="53"/>
      <c r="HX572" s="53"/>
      <c r="HY572" s="53"/>
      <c r="HZ572" s="53"/>
      <c r="IA572" s="53"/>
    </row>
    <row r="573" spans="1:235" ht="11.25">
      <c r="A573" s="8" t="s">
        <v>43</v>
      </c>
      <c r="B573" s="6"/>
      <c r="C573" s="6"/>
      <c r="D573" s="7"/>
      <c r="E573" s="7"/>
      <c r="F573" s="7"/>
      <c r="G573" s="7"/>
      <c r="H573" s="7">
        <v>1000000</v>
      </c>
      <c r="I573" s="7"/>
      <c r="J573" s="7">
        <f>H573</f>
        <v>1000000</v>
      </c>
      <c r="K573" s="7"/>
      <c r="L573" s="7"/>
      <c r="M573" s="7"/>
      <c r="N573" s="7"/>
      <c r="O573" s="7"/>
      <c r="P573" s="7"/>
      <c r="Q573" s="24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53"/>
      <c r="DC573" s="53"/>
      <c r="DD573" s="53"/>
      <c r="DE573" s="53"/>
      <c r="DF573" s="53"/>
      <c r="DG573" s="53"/>
      <c r="DH573" s="53"/>
      <c r="DI573" s="53"/>
      <c r="DJ573" s="53"/>
      <c r="DK573" s="53"/>
      <c r="DL573" s="53"/>
      <c r="DM573" s="53"/>
      <c r="DN573" s="53"/>
      <c r="DO573" s="53"/>
      <c r="DP573" s="53"/>
      <c r="DQ573" s="53"/>
      <c r="DR573" s="53"/>
      <c r="DS573" s="53"/>
      <c r="DT573" s="53"/>
      <c r="DU573" s="53"/>
      <c r="DV573" s="53"/>
      <c r="DW573" s="53"/>
      <c r="DX573" s="53"/>
      <c r="DY573" s="53"/>
      <c r="DZ573" s="53"/>
      <c r="EA573" s="53"/>
      <c r="EB573" s="53"/>
      <c r="EC573" s="53"/>
      <c r="ED573" s="53"/>
      <c r="EE573" s="53"/>
      <c r="EF573" s="53"/>
      <c r="EG573" s="53"/>
      <c r="EH573" s="53"/>
      <c r="EI573" s="53"/>
      <c r="EJ573" s="53"/>
      <c r="EK573" s="53"/>
      <c r="EL573" s="53"/>
      <c r="EM573" s="53"/>
      <c r="EN573" s="53"/>
      <c r="EO573" s="53"/>
      <c r="EP573" s="53"/>
      <c r="EQ573" s="53"/>
      <c r="ER573" s="53"/>
      <c r="ES573" s="53"/>
      <c r="ET573" s="53"/>
      <c r="EU573" s="53"/>
      <c r="EV573" s="53"/>
      <c r="EW573" s="53"/>
      <c r="EX573" s="53"/>
      <c r="EY573" s="53"/>
      <c r="EZ573" s="53"/>
      <c r="FA573" s="53"/>
      <c r="FB573" s="53"/>
      <c r="FC573" s="53"/>
      <c r="FD573" s="53"/>
      <c r="FE573" s="53"/>
      <c r="FF573" s="53"/>
      <c r="FG573" s="53"/>
      <c r="FH573" s="53"/>
      <c r="FI573" s="53"/>
      <c r="FJ573" s="53"/>
      <c r="FK573" s="53"/>
      <c r="FL573" s="53"/>
      <c r="FM573" s="53"/>
      <c r="FN573" s="53"/>
      <c r="FO573" s="53"/>
      <c r="FP573" s="53"/>
      <c r="FQ573" s="53"/>
      <c r="FR573" s="53"/>
      <c r="FS573" s="53"/>
      <c r="FT573" s="53"/>
      <c r="FU573" s="53"/>
      <c r="FV573" s="53"/>
      <c r="FW573" s="53"/>
      <c r="FX573" s="53"/>
      <c r="FY573" s="53"/>
      <c r="FZ573" s="53"/>
      <c r="GA573" s="53"/>
      <c r="GB573" s="53"/>
      <c r="GC573" s="53"/>
      <c r="GD573" s="53"/>
      <c r="GE573" s="53"/>
      <c r="GF573" s="53"/>
      <c r="GG573" s="53"/>
      <c r="GH573" s="53"/>
      <c r="GI573" s="53"/>
      <c r="GJ573" s="53"/>
      <c r="GK573" s="53"/>
      <c r="GL573" s="53"/>
      <c r="GM573" s="53"/>
      <c r="GN573" s="53"/>
      <c r="GO573" s="53"/>
      <c r="GP573" s="53"/>
      <c r="GQ573" s="53"/>
      <c r="GR573" s="53"/>
      <c r="GS573" s="53"/>
      <c r="GT573" s="53"/>
      <c r="GU573" s="53"/>
      <c r="GV573" s="53"/>
      <c r="GW573" s="53"/>
      <c r="GX573" s="53"/>
      <c r="GY573" s="53"/>
      <c r="GZ573" s="53"/>
      <c r="HA573" s="53"/>
      <c r="HB573" s="53"/>
      <c r="HC573" s="53"/>
      <c r="HD573" s="53"/>
      <c r="HE573" s="53"/>
      <c r="HF573" s="53"/>
      <c r="HG573" s="53"/>
      <c r="HH573" s="53"/>
      <c r="HI573" s="53"/>
      <c r="HJ573" s="53"/>
      <c r="HK573" s="53"/>
      <c r="HL573" s="53"/>
      <c r="HM573" s="53"/>
      <c r="HN573" s="53"/>
      <c r="HO573" s="53"/>
      <c r="HP573" s="53"/>
      <c r="HQ573" s="53"/>
      <c r="HR573" s="53"/>
      <c r="HS573" s="53"/>
      <c r="HT573" s="53"/>
      <c r="HU573" s="53"/>
      <c r="HV573" s="53"/>
      <c r="HW573" s="53"/>
      <c r="HX573" s="53"/>
      <c r="HY573" s="53"/>
      <c r="HZ573" s="53"/>
      <c r="IA573" s="53"/>
    </row>
    <row r="574" spans="1:235" ht="11.25">
      <c r="A574" s="5" t="s">
        <v>5</v>
      </c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24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53"/>
      <c r="DC574" s="53"/>
      <c r="DD574" s="53"/>
      <c r="DE574" s="53"/>
      <c r="DF574" s="53"/>
      <c r="DG574" s="53"/>
      <c r="DH574" s="53"/>
      <c r="DI574" s="53"/>
      <c r="DJ574" s="53"/>
      <c r="DK574" s="53"/>
      <c r="DL574" s="53"/>
      <c r="DM574" s="53"/>
      <c r="DN574" s="53"/>
      <c r="DO574" s="53"/>
      <c r="DP574" s="53"/>
      <c r="DQ574" s="53"/>
      <c r="DR574" s="53"/>
      <c r="DS574" s="53"/>
      <c r="DT574" s="53"/>
      <c r="DU574" s="53"/>
      <c r="DV574" s="53"/>
      <c r="DW574" s="53"/>
      <c r="DX574" s="53"/>
      <c r="DY574" s="53"/>
      <c r="DZ574" s="53"/>
      <c r="EA574" s="53"/>
      <c r="EB574" s="53"/>
      <c r="EC574" s="53"/>
      <c r="ED574" s="53"/>
      <c r="EE574" s="53"/>
      <c r="EF574" s="53"/>
      <c r="EG574" s="53"/>
      <c r="EH574" s="53"/>
      <c r="EI574" s="53"/>
      <c r="EJ574" s="53"/>
      <c r="EK574" s="53"/>
      <c r="EL574" s="53"/>
      <c r="EM574" s="53"/>
      <c r="EN574" s="53"/>
      <c r="EO574" s="53"/>
      <c r="EP574" s="53"/>
      <c r="EQ574" s="53"/>
      <c r="ER574" s="53"/>
      <c r="ES574" s="53"/>
      <c r="ET574" s="53"/>
      <c r="EU574" s="53"/>
      <c r="EV574" s="53"/>
      <c r="EW574" s="53"/>
      <c r="EX574" s="53"/>
      <c r="EY574" s="53"/>
      <c r="EZ574" s="53"/>
      <c r="FA574" s="53"/>
      <c r="FB574" s="53"/>
      <c r="FC574" s="53"/>
      <c r="FD574" s="53"/>
      <c r="FE574" s="53"/>
      <c r="FF574" s="53"/>
      <c r="FG574" s="53"/>
      <c r="FH574" s="53"/>
      <c r="FI574" s="53"/>
      <c r="FJ574" s="53"/>
      <c r="FK574" s="53"/>
      <c r="FL574" s="53"/>
      <c r="FM574" s="53"/>
      <c r="FN574" s="53"/>
      <c r="FO574" s="53"/>
      <c r="FP574" s="53"/>
      <c r="FQ574" s="53"/>
      <c r="FR574" s="53"/>
      <c r="FS574" s="53"/>
      <c r="FT574" s="53"/>
      <c r="FU574" s="53"/>
      <c r="FV574" s="53"/>
      <c r="FW574" s="53"/>
      <c r="FX574" s="53"/>
      <c r="FY574" s="53"/>
      <c r="FZ574" s="53"/>
      <c r="GA574" s="53"/>
      <c r="GB574" s="53"/>
      <c r="GC574" s="53"/>
      <c r="GD574" s="53"/>
      <c r="GE574" s="53"/>
      <c r="GF574" s="53"/>
      <c r="GG574" s="53"/>
      <c r="GH574" s="53"/>
      <c r="GI574" s="53"/>
      <c r="GJ574" s="53"/>
      <c r="GK574" s="53"/>
      <c r="GL574" s="53"/>
      <c r="GM574" s="53"/>
      <c r="GN574" s="53"/>
      <c r="GO574" s="53"/>
      <c r="GP574" s="53"/>
      <c r="GQ574" s="53"/>
      <c r="GR574" s="53"/>
      <c r="GS574" s="53"/>
      <c r="GT574" s="53"/>
      <c r="GU574" s="53"/>
      <c r="GV574" s="53"/>
      <c r="GW574" s="53"/>
      <c r="GX574" s="53"/>
      <c r="GY574" s="53"/>
      <c r="GZ574" s="53"/>
      <c r="HA574" s="53"/>
      <c r="HB574" s="53"/>
      <c r="HC574" s="53"/>
      <c r="HD574" s="53"/>
      <c r="HE574" s="53"/>
      <c r="HF574" s="53"/>
      <c r="HG574" s="53"/>
      <c r="HH574" s="53"/>
      <c r="HI574" s="53"/>
      <c r="HJ574" s="53"/>
      <c r="HK574" s="53"/>
      <c r="HL574" s="53"/>
      <c r="HM574" s="53"/>
      <c r="HN574" s="53"/>
      <c r="HO574" s="53"/>
      <c r="HP574" s="53"/>
      <c r="HQ574" s="53"/>
      <c r="HR574" s="53"/>
      <c r="HS574" s="53"/>
      <c r="HT574" s="53"/>
      <c r="HU574" s="53"/>
      <c r="HV574" s="53"/>
      <c r="HW574" s="53"/>
      <c r="HX574" s="53"/>
      <c r="HY574" s="53"/>
      <c r="HZ574" s="53"/>
      <c r="IA574" s="53"/>
    </row>
    <row r="575" spans="1:235" ht="11.25">
      <c r="A575" s="8" t="s">
        <v>400</v>
      </c>
      <c r="B575" s="6"/>
      <c r="C575" s="6"/>
      <c r="D575" s="7"/>
      <c r="E575" s="7"/>
      <c r="F575" s="7"/>
      <c r="G575" s="7"/>
      <c r="H575" s="7">
        <v>1</v>
      </c>
      <c r="I575" s="7"/>
      <c r="J575" s="7">
        <f>H575</f>
        <v>1</v>
      </c>
      <c r="K575" s="7"/>
      <c r="L575" s="7"/>
      <c r="M575" s="7"/>
      <c r="N575" s="7"/>
      <c r="O575" s="7"/>
      <c r="P575" s="7"/>
      <c r="Q575" s="24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  <c r="CZ575" s="53"/>
      <c r="DA575" s="53"/>
      <c r="DB575" s="53"/>
      <c r="DC575" s="53"/>
      <c r="DD575" s="53"/>
      <c r="DE575" s="53"/>
      <c r="DF575" s="53"/>
      <c r="DG575" s="53"/>
      <c r="DH575" s="53"/>
      <c r="DI575" s="53"/>
      <c r="DJ575" s="53"/>
      <c r="DK575" s="53"/>
      <c r="DL575" s="53"/>
      <c r="DM575" s="53"/>
      <c r="DN575" s="53"/>
      <c r="DO575" s="53"/>
      <c r="DP575" s="53"/>
      <c r="DQ575" s="53"/>
      <c r="DR575" s="53"/>
      <c r="DS575" s="53"/>
      <c r="DT575" s="53"/>
      <c r="DU575" s="53"/>
      <c r="DV575" s="53"/>
      <c r="DW575" s="53"/>
      <c r="DX575" s="53"/>
      <c r="DY575" s="53"/>
      <c r="DZ575" s="53"/>
      <c r="EA575" s="53"/>
      <c r="EB575" s="53"/>
      <c r="EC575" s="53"/>
      <c r="ED575" s="53"/>
      <c r="EE575" s="53"/>
      <c r="EF575" s="53"/>
      <c r="EG575" s="53"/>
      <c r="EH575" s="53"/>
      <c r="EI575" s="53"/>
      <c r="EJ575" s="53"/>
      <c r="EK575" s="53"/>
      <c r="EL575" s="53"/>
      <c r="EM575" s="53"/>
      <c r="EN575" s="53"/>
      <c r="EO575" s="53"/>
      <c r="EP575" s="53"/>
      <c r="EQ575" s="53"/>
      <c r="ER575" s="53"/>
      <c r="ES575" s="53"/>
      <c r="ET575" s="53"/>
      <c r="EU575" s="53"/>
      <c r="EV575" s="53"/>
      <c r="EW575" s="53"/>
      <c r="EX575" s="53"/>
      <c r="EY575" s="53"/>
      <c r="EZ575" s="53"/>
      <c r="FA575" s="53"/>
      <c r="FB575" s="53"/>
      <c r="FC575" s="53"/>
      <c r="FD575" s="53"/>
      <c r="FE575" s="53"/>
      <c r="FF575" s="53"/>
      <c r="FG575" s="53"/>
      <c r="FH575" s="53"/>
      <c r="FI575" s="53"/>
      <c r="FJ575" s="53"/>
      <c r="FK575" s="53"/>
      <c r="FL575" s="53"/>
      <c r="FM575" s="53"/>
      <c r="FN575" s="53"/>
      <c r="FO575" s="53"/>
      <c r="FP575" s="53"/>
      <c r="FQ575" s="53"/>
      <c r="FR575" s="53"/>
      <c r="FS575" s="53"/>
      <c r="FT575" s="53"/>
      <c r="FU575" s="53"/>
      <c r="FV575" s="53"/>
      <c r="FW575" s="53"/>
      <c r="FX575" s="53"/>
      <c r="FY575" s="53"/>
      <c r="FZ575" s="53"/>
      <c r="GA575" s="53"/>
      <c r="GB575" s="53"/>
      <c r="GC575" s="53"/>
      <c r="GD575" s="53"/>
      <c r="GE575" s="53"/>
      <c r="GF575" s="53"/>
      <c r="GG575" s="53"/>
      <c r="GH575" s="53"/>
      <c r="GI575" s="53"/>
      <c r="GJ575" s="53"/>
      <c r="GK575" s="53"/>
      <c r="GL575" s="53"/>
      <c r="GM575" s="53"/>
      <c r="GN575" s="53"/>
      <c r="GO575" s="53"/>
      <c r="GP575" s="53"/>
      <c r="GQ575" s="53"/>
      <c r="GR575" s="53"/>
      <c r="GS575" s="53"/>
      <c r="GT575" s="53"/>
      <c r="GU575" s="53"/>
      <c r="GV575" s="53"/>
      <c r="GW575" s="53"/>
      <c r="GX575" s="53"/>
      <c r="GY575" s="53"/>
      <c r="GZ575" s="53"/>
      <c r="HA575" s="53"/>
      <c r="HB575" s="53"/>
      <c r="HC575" s="53"/>
      <c r="HD575" s="53"/>
      <c r="HE575" s="53"/>
      <c r="HF575" s="53"/>
      <c r="HG575" s="53"/>
      <c r="HH575" s="53"/>
      <c r="HI575" s="53"/>
      <c r="HJ575" s="53"/>
      <c r="HK575" s="53"/>
      <c r="HL575" s="53"/>
      <c r="HM575" s="53"/>
      <c r="HN575" s="53"/>
      <c r="HO575" s="53"/>
      <c r="HP575" s="53"/>
      <c r="HQ575" s="53"/>
      <c r="HR575" s="53"/>
      <c r="HS575" s="53"/>
      <c r="HT575" s="53"/>
      <c r="HU575" s="53"/>
      <c r="HV575" s="53"/>
      <c r="HW575" s="53"/>
      <c r="HX575" s="53"/>
      <c r="HY575" s="53"/>
      <c r="HZ575" s="53"/>
      <c r="IA575" s="53"/>
    </row>
    <row r="576" spans="1:235" ht="11.25">
      <c r="A576" s="5" t="s">
        <v>7</v>
      </c>
      <c r="B576" s="6"/>
      <c r="C576" s="6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24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  <c r="BZ576" s="53"/>
      <c r="CA576" s="53"/>
      <c r="CB576" s="53"/>
      <c r="CC576" s="53"/>
      <c r="CD576" s="53"/>
      <c r="CE576" s="53"/>
      <c r="CF576" s="53"/>
      <c r="CG576" s="53"/>
      <c r="CH576" s="53"/>
      <c r="CI576" s="53"/>
      <c r="CJ576" s="53"/>
      <c r="CK576" s="53"/>
      <c r="CL576" s="53"/>
      <c r="CM576" s="53"/>
      <c r="CN576" s="53"/>
      <c r="CO576" s="53"/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  <c r="CZ576" s="53"/>
      <c r="DA576" s="53"/>
      <c r="DB576" s="53"/>
      <c r="DC576" s="53"/>
      <c r="DD576" s="53"/>
      <c r="DE576" s="53"/>
      <c r="DF576" s="53"/>
      <c r="DG576" s="53"/>
      <c r="DH576" s="53"/>
      <c r="DI576" s="53"/>
      <c r="DJ576" s="53"/>
      <c r="DK576" s="53"/>
      <c r="DL576" s="53"/>
      <c r="DM576" s="53"/>
      <c r="DN576" s="53"/>
      <c r="DO576" s="53"/>
      <c r="DP576" s="53"/>
      <c r="DQ576" s="53"/>
      <c r="DR576" s="53"/>
      <c r="DS576" s="53"/>
      <c r="DT576" s="53"/>
      <c r="DU576" s="53"/>
      <c r="DV576" s="53"/>
      <c r="DW576" s="53"/>
      <c r="DX576" s="53"/>
      <c r="DY576" s="53"/>
      <c r="DZ576" s="53"/>
      <c r="EA576" s="53"/>
      <c r="EB576" s="53"/>
      <c r="EC576" s="53"/>
      <c r="ED576" s="53"/>
      <c r="EE576" s="53"/>
      <c r="EF576" s="53"/>
      <c r="EG576" s="53"/>
      <c r="EH576" s="53"/>
      <c r="EI576" s="53"/>
      <c r="EJ576" s="53"/>
      <c r="EK576" s="53"/>
      <c r="EL576" s="53"/>
      <c r="EM576" s="53"/>
      <c r="EN576" s="53"/>
      <c r="EO576" s="53"/>
      <c r="EP576" s="53"/>
      <c r="EQ576" s="53"/>
      <c r="ER576" s="53"/>
      <c r="ES576" s="53"/>
      <c r="ET576" s="53"/>
      <c r="EU576" s="53"/>
      <c r="EV576" s="53"/>
      <c r="EW576" s="53"/>
      <c r="EX576" s="53"/>
      <c r="EY576" s="53"/>
      <c r="EZ576" s="53"/>
      <c r="FA576" s="53"/>
      <c r="FB576" s="53"/>
      <c r="FC576" s="53"/>
      <c r="FD576" s="53"/>
      <c r="FE576" s="53"/>
      <c r="FF576" s="53"/>
      <c r="FG576" s="53"/>
      <c r="FH576" s="53"/>
      <c r="FI576" s="53"/>
      <c r="FJ576" s="53"/>
      <c r="FK576" s="53"/>
      <c r="FL576" s="53"/>
      <c r="FM576" s="53"/>
      <c r="FN576" s="53"/>
      <c r="FO576" s="53"/>
      <c r="FP576" s="53"/>
      <c r="FQ576" s="53"/>
      <c r="FR576" s="53"/>
      <c r="FS576" s="53"/>
      <c r="FT576" s="53"/>
      <c r="FU576" s="53"/>
      <c r="FV576" s="53"/>
      <c r="FW576" s="53"/>
      <c r="FX576" s="53"/>
      <c r="FY576" s="53"/>
      <c r="FZ576" s="53"/>
      <c r="GA576" s="53"/>
      <c r="GB576" s="53"/>
      <c r="GC576" s="53"/>
      <c r="GD576" s="53"/>
      <c r="GE576" s="53"/>
      <c r="GF576" s="53"/>
      <c r="GG576" s="53"/>
      <c r="GH576" s="53"/>
      <c r="GI576" s="53"/>
      <c r="GJ576" s="53"/>
      <c r="GK576" s="53"/>
      <c r="GL576" s="53"/>
      <c r="GM576" s="53"/>
      <c r="GN576" s="53"/>
      <c r="GO576" s="53"/>
      <c r="GP576" s="53"/>
      <c r="GQ576" s="53"/>
      <c r="GR576" s="53"/>
      <c r="GS576" s="53"/>
      <c r="GT576" s="53"/>
      <c r="GU576" s="53"/>
      <c r="GV576" s="53"/>
      <c r="GW576" s="53"/>
      <c r="GX576" s="53"/>
      <c r="GY576" s="53"/>
      <c r="GZ576" s="53"/>
      <c r="HA576" s="53"/>
      <c r="HB576" s="53"/>
      <c r="HC576" s="53"/>
      <c r="HD576" s="53"/>
      <c r="HE576" s="53"/>
      <c r="HF576" s="53"/>
      <c r="HG576" s="53"/>
      <c r="HH576" s="53"/>
      <c r="HI576" s="53"/>
      <c r="HJ576" s="53"/>
      <c r="HK576" s="53"/>
      <c r="HL576" s="53"/>
      <c r="HM576" s="53"/>
      <c r="HN576" s="53"/>
      <c r="HO576" s="53"/>
      <c r="HP576" s="53"/>
      <c r="HQ576" s="53"/>
      <c r="HR576" s="53"/>
      <c r="HS576" s="53"/>
      <c r="HT576" s="53"/>
      <c r="HU576" s="53"/>
      <c r="HV576" s="53"/>
      <c r="HW576" s="53"/>
      <c r="HX576" s="53"/>
      <c r="HY576" s="53"/>
      <c r="HZ576" s="53"/>
      <c r="IA576" s="53"/>
    </row>
    <row r="577" spans="1:235" ht="11.25">
      <c r="A577" s="8" t="s">
        <v>328</v>
      </c>
      <c r="B577" s="6"/>
      <c r="C577" s="6"/>
      <c r="D577" s="7"/>
      <c r="E577" s="7"/>
      <c r="F577" s="7"/>
      <c r="G577" s="7"/>
      <c r="H577" s="7">
        <v>1000000</v>
      </c>
      <c r="I577" s="7"/>
      <c r="J577" s="7">
        <f>H577</f>
        <v>1000000</v>
      </c>
      <c r="K577" s="7"/>
      <c r="L577" s="7"/>
      <c r="M577" s="7"/>
      <c r="N577" s="7"/>
      <c r="O577" s="7"/>
      <c r="P577" s="7"/>
      <c r="Q577" s="24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3"/>
      <c r="BS577" s="53"/>
      <c r="BT577" s="53"/>
      <c r="BU577" s="53"/>
      <c r="BV577" s="53"/>
      <c r="BW577" s="53"/>
      <c r="BX577" s="53"/>
      <c r="BY577" s="53"/>
      <c r="BZ577" s="53"/>
      <c r="CA577" s="53"/>
      <c r="CB577" s="53"/>
      <c r="CC577" s="53"/>
      <c r="CD577" s="53"/>
      <c r="CE577" s="53"/>
      <c r="CF577" s="53"/>
      <c r="CG577" s="53"/>
      <c r="CH577" s="53"/>
      <c r="CI577" s="53"/>
      <c r="CJ577" s="53"/>
      <c r="CK577" s="53"/>
      <c r="CL577" s="53"/>
      <c r="CM577" s="53"/>
      <c r="CN577" s="53"/>
      <c r="CO577" s="53"/>
      <c r="CP577" s="53"/>
      <c r="CQ577" s="53"/>
      <c r="CR577" s="53"/>
      <c r="CS577" s="53"/>
      <c r="CT577" s="53"/>
      <c r="CU577" s="53"/>
      <c r="CV577" s="53"/>
      <c r="CW577" s="53"/>
      <c r="CX577" s="53"/>
      <c r="CY577" s="53"/>
      <c r="CZ577" s="53"/>
      <c r="DA577" s="53"/>
      <c r="DB577" s="53"/>
      <c r="DC577" s="53"/>
      <c r="DD577" s="53"/>
      <c r="DE577" s="53"/>
      <c r="DF577" s="53"/>
      <c r="DG577" s="53"/>
      <c r="DH577" s="53"/>
      <c r="DI577" s="53"/>
      <c r="DJ577" s="53"/>
      <c r="DK577" s="53"/>
      <c r="DL577" s="53"/>
      <c r="DM577" s="53"/>
      <c r="DN577" s="53"/>
      <c r="DO577" s="53"/>
      <c r="DP577" s="53"/>
      <c r="DQ577" s="53"/>
      <c r="DR577" s="53"/>
      <c r="DS577" s="53"/>
      <c r="DT577" s="53"/>
      <c r="DU577" s="53"/>
      <c r="DV577" s="53"/>
      <c r="DW577" s="53"/>
      <c r="DX577" s="53"/>
      <c r="DY577" s="53"/>
      <c r="DZ577" s="53"/>
      <c r="EA577" s="53"/>
      <c r="EB577" s="53"/>
      <c r="EC577" s="53"/>
      <c r="ED577" s="53"/>
      <c r="EE577" s="53"/>
      <c r="EF577" s="53"/>
      <c r="EG577" s="53"/>
      <c r="EH577" s="53"/>
      <c r="EI577" s="53"/>
      <c r="EJ577" s="53"/>
      <c r="EK577" s="53"/>
      <c r="EL577" s="53"/>
      <c r="EM577" s="53"/>
      <c r="EN577" s="53"/>
      <c r="EO577" s="53"/>
      <c r="EP577" s="53"/>
      <c r="EQ577" s="53"/>
      <c r="ER577" s="53"/>
      <c r="ES577" s="53"/>
      <c r="ET577" s="53"/>
      <c r="EU577" s="53"/>
      <c r="EV577" s="53"/>
      <c r="EW577" s="53"/>
      <c r="EX577" s="53"/>
      <c r="EY577" s="53"/>
      <c r="EZ577" s="53"/>
      <c r="FA577" s="53"/>
      <c r="FB577" s="53"/>
      <c r="FC577" s="53"/>
      <c r="FD577" s="53"/>
      <c r="FE577" s="53"/>
      <c r="FF577" s="53"/>
      <c r="FG577" s="53"/>
      <c r="FH577" s="53"/>
      <c r="FI577" s="53"/>
      <c r="FJ577" s="53"/>
      <c r="FK577" s="53"/>
      <c r="FL577" s="53"/>
      <c r="FM577" s="53"/>
      <c r="FN577" s="53"/>
      <c r="FO577" s="53"/>
      <c r="FP577" s="53"/>
      <c r="FQ577" s="53"/>
      <c r="FR577" s="53"/>
      <c r="FS577" s="53"/>
      <c r="FT577" s="53"/>
      <c r="FU577" s="53"/>
      <c r="FV577" s="53"/>
      <c r="FW577" s="53"/>
      <c r="FX577" s="53"/>
      <c r="FY577" s="53"/>
      <c r="FZ577" s="53"/>
      <c r="GA577" s="53"/>
      <c r="GB577" s="53"/>
      <c r="GC577" s="53"/>
      <c r="GD577" s="53"/>
      <c r="GE577" s="53"/>
      <c r="GF577" s="53"/>
      <c r="GG577" s="53"/>
      <c r="GH577" s="53"/>
      <c r="GI577" s="53"/>
      <c r="GJ577" s="53"/>
      <c r="GK577" s="53"/>
      <c r="GL577" s="53"/>
      <c r="GM577" s="53"/>
      <c r="GN577" s="53"/>
      <c r="GO577" s="53"/>
      <c r="GP577" s="53"/>
      <c r="GQ577" s="53"/>
      <c r="GR577" s="53"/>
      <c r="GS577" s="53"/>
      <c r="GT577" s="53"/>
      <c r="GU577" s="53"/>
      <c r="GV577" s="53"/>
      <c r="GW577" s="53"/>
      <c r="GX577" s="53"/>
      <c r="GY577" s="53"/>
      <c r="GZ577" s="53"/>
      <c r="HA577" s="53"/>
      <c r="HB577" s="53"/>
      <c r="HC577" s="53"/>
      <c r="HD577" s="53"/>
      <c r="HE577" s="53"/>
      <c r="HF577" s="53"/>
      <c r="HG577" s="53"/>
      <c r="HH577" s="53"/>
      <c r="HI577" s="53"/>
      <c r="HJ577" s="53"/>
      <c r="HK577" s="53"/>
      <c r="HL577" s="53"/>
      <c r="HM577" s="53"/>
      <c r="HN577" s="53"/>
      <c r="HO577" s="53"/>
      <c r="HP577" s="53"/>
      <c r="HQ577" s="53"/>
      <c r="HR577" s="53"/>
      <c r="HS577" s="53"/>
      <c r="HT577" s="53"/>
      <c r="HU577" s="53"/>
      <c r="HV577" s="53"/>
      <c r="HW577" s="53"/>
      <c r="HX577" s="53"/>
      <c r="HY577" s="53"/>
      <c r="HZ577" s="53"/>
      <c r="IA577" s="53"/>
    </row>
    <row r="578" spans="1:235" ht="22.5">
      <c r="A578" s="155" t="s">
        <v>425</v>
      </c>
      <c r="B578" s="6"/>
      <c r="C578" s="6"/>
      <c r="D578" s="7"/>
      <c r="E578" s="7"/>
      <c r="F578" s="7"/>
      <c r="G578" s="36">
        <f>G580</f>
        <v>80000</v>
      </c>
      <c r="H578" s="36">
        <f>H580</f>
        <v>0</v>
      </c>
      <c r="I578" s="7"/>
      <c r="J578" s="36">
        <f>H578+G578</f>
        <v>80000</v>
      </c>
      <c r="K578" s="7"/>
      <c r="L578" s="7"/>
      <c r="M578" s="7"/>
      <c r="N578" s="7"/>
      <c r="O578" s="7"/>
      <c r="P578" s="7"/>
      <c r="Q578" s="24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  <c r="CF578" s="53"/>
      <c r="CG578" s="53"/>
      <c r="CH578" s="53"/>
      <c r="CI578" s="53"/>
      <c r="CJ578" s="53"/>
      <c r="CK578" s="53"/>
      <c r="CL578" s="53"/>
      <c r="CM578" s="53"/>
      <c r="CN578" s="53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  <c r="CZ578" s="53"/>
      <c r="DA578" s="53"/>
      <c r="DB578" s="53"/>
      <c r="DC578" s="53"/>
      <c r="DD578" s="53"/>
      <c r="DE578" s="53"/>
      <c r="DF578" s="53"/>
      <c r="DG578" s="53"/>
      <c r="DH578" s="53"/>
      <c r="DI578" s="53"/>
      <c r="DJ578" s="53"/>
      <c r="DK578" s="53"/>
      <c r="DL578" s="53"/>
      <c r="DM578" s="53"/>
      <c r="DN578" s="53"/>
      <c r="DO578" s="53"/>
      <c r="DP578" s="53"/>
      <c r="DQ578" s="53"/>
      <c r="DR578" s="53"/>
      <c r="DS578" s="53"/>
      <c r="DT578" s="53"/>
      <c r="DU578" s="53"/>
      <c r="DV578" s="53"/>
      <c r="DW578" s="53"/>
      <c r="DX578" s="53"/>
      <c r="DY578" s="53"/>
      <c r="DZ578" s="53"/>
      <c r="EA578" s="53"/>
      <c r="EB578" s="53"/>
      <c r="EC578" s="53"/>
      <c r="ED578" s="53"/>
      <c r="EE578" s="53"/>
      <c r="EF578" s="53"/>
      <c r="EG578" s="53"/>
      <c r="EH578" s="53"/>
      <c r="EI578" s="53"/>
      <c r="EJ578" s="53"/>
      <c r="EK578" s="53"/>
      <c r="EL578" s="53"/>
      <c r="EM578" s="53"/>
      <c r="EN578" s="53"/>
      <c r="EO578" s="53"/>
      <c r="EP578" s="53"/>
      <c r="EQ578" s="53"/>
      <c r="ER578" s="53"/>
      <c r="ES578" s="53"/>
      <c r="ET578" s="53"/>
      <c r="EU578" s="53"/>
      <c r="EV578" s="53"/>
      <c r="EW578" s="53"/>
      <c r="EX578" s="53"/>
      <c r="EY578" s="53"/>
      <c r="EZ578" s="53"/>
      <c r="FA578" s="53"/>
      <c r="FB578" s="53"/>
      <c r="FC578" s="53"/>
      <c r="FD578" s="53"/>
      <c r="FE578" s="53"/>
      <c r="FF578" s="53"/>
      <c r="FG578" s="53"/>
      <c r="FH578" s="53"/>
      <c r="FI578" s="53"/>
      <c r="FJ578" s="53"/>
      <c r="FK578" s="53"/>
      <c r="FL578" s="53"/>
      <c r="FM578" s="53"/>
      <c r="FN578" s="53"/>
      <c r="FO578" s="53"/>
      <c r="FP578" s="53"/>
      <c r="FQ578" s="53"/>
      <c r="FR578" s="53"/>
      <c r="FS578" s="53"/>
      <c r="FT578" s="53"/>
      <c r="FU578" s="53"/>
      <c r="FV578" s="53"/>
      <c r="FW578" s="53"/>
      <c r="FX578" s="53"/>
      <c r="FY578" s="53"/>
      <c r="FZ578" s="53"/>
      <c r="GA578" s="53"/>
      <c r="GB578" s="53"/>
      <c r="GC578" s="53"/>
      <c r="GD578" s="53"/>
      <c r="GE578" s="53"/>
      <c r="GF578" s="53"/>
      <c r="GG578" s="53"/>
      <c r="GH578" s="53"/>
      <c r="GI578" s="53"/>
      <c r="GJ578" s="53"/>
      <c r="GK578" s="53"/>
      <c r="GL578" s="53"/>
      <c r="GM578" s="53"/>
      <c r="GN578" s="53"/>
      <c r="GO578" s="53"/>
      <c r="GP578" s="53"/>
      <c r="GQ578" s="53"/>
      <c r="GR578" s="53"/>
      <c r="GS578" s="53"/>
      <c r="GT578" s="53"/>
      <c r="GU578" s="53"/>
      <c r="GV578" s="53"/>
      <c r="GW578" s="53"/>
      <c r="GX578" s="53"/>
      <c r="GY578" s="53"/>
      <c r="GZ578" s="53"/>
      <c r="HA578" s="53"/>
      <c r="HB578" s="53"/>
      <c r="HC578" s="53"/>
      <c r="HD578" s="53"/>
      <c r="HE578" s="53"/>
      <c r="HF578" s="53"/>
      <c r="HG578" s="53"/>
      <c r="HH578" s="53"/>
      <c r="HI578" s="53"/>
      <c r="HJ578" s="53"/>
      <c r="HK578" s="53"/>
      <c r="HL578" s="53"/>
      <c r="HM578" s="53"/>
      <c r="HN578" s="53"/>
      <c r="HO578" s="53"/>
      <c r="HP578" s="53"/>
      <c r="HQ578" s="53"/>
      <c r="HR578" s="53"/>
      <c r="HS578" s="53"/>
      <c r="HT578" s="53"/>
      <c r="HU578" s="53"/>
      <c r="HV578" s="53"/>
      <c r="HW578" s="53"/>
      <c r="HX578" s="53"/>
      <c r="HY578" s="53"/>
      <c r="HZ578" s="53"/>
      <c r="IA578" s="53"/>
    </row>
    <row r="579" spans="1:235" ht="11.25">
      <c r="A579" s="5" t="s">
        <v>4</v>
      </c>
      <c r="B579" s="6"/>
      <c r="C579" s="6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24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3"/>
      <c r="BS579" s="53"/>
      <c r="BT579" s="53"/>
      <c r="BU579" s="53"/>
      <c r="BV579" s="53"/>
      <c r="BW579" s="53"/>
      <c r="BX579" s="53"/>
      <c r="BY579" s="53"/>
      <c r="BZ579" s="53"/>
      <c r="CA579" s="53"/>
      <c r="CB579" s="53"/>
      <c r="CC579" s="53"/>
      <c r="CD579" s="53"/>
      <c r="CE579" s="53"/>
      <c r="CF579" s="53"/>
      <c r="CG579" s="53"/>
      <c r="CH579" s="53"/>
      <c r="CI579" s="53"/>
      <c r="CJ579" s="53"/>
      <c r="CK579" s="53"/>
      <c r="CL579" s="53"/>
      <c r="CM579" s="53"/>
      <c r="CN579" s="53"/>
      <c r="CO579" s="53"/>
      <c r="CP579" s="53"/>
      <c r="CQ579" s="53"/>
      <c r="CR579" s="53"/>
      <c r="CS579" s="53"/>
      <c r="CT579" s="53"/>
      <c r="CU579" s="53"/>
      <c r="CV579" s="53"/>
      <c r="CW579" s="53"/>
      <c r="CX579" s="53"/>
      <c r="CY579" s="53"/>
      <c r="CZ579" s="53"/>
      <c r="DA579" s="53"/>
      <c r="DB579" s="53"/>
      <c r="DC579" s="53"/>
      <c r="DD579" s="53"/>
      <c r="DE579" s="53"/>
      <c r="DF579" s="53"/>
      <c r="DG579" s="53"/>
      <c r="DH579" s="53"/>
      <c r="DI579" s="53"/>
      <c r="DJ579" s="53"/>
      <c r="DK579" s="53"/>
      <c r="DL579" s="53"/>
      <c r="DM579" s="53"/>
      <c r="DN579" s="53"/>
      <c r="DO579" s="53"/>
      <c r="DP579" s="53"/>
      <c r="DQ579" s="53"/>
      <c r="DR579" s="53"/>
      <c r="DS579" s="53"/>
      <c r="DT579" s="53"/>
      <c r="DU579" s="53"/>
      <c r="DV579" s="53"/>
      <c r="DW579" s="53"/>
      <c r="DX579" s="53"/>
      <c r="DY579" s="53"/>
      <c r="DZ579" s="53"/>
      <c r="EA579" s="53"/>
      <c r="EB579" s="53"/>
      <c r="EC579" s="53"/>
      <c r="ED579" s="53"/>
      <c r="EE579" s="53"/>
      <c r="EF579" s="53"/>
      <c r="EG579" s="53"/>
      <c r="EH579" s="53"/>
      <c r="EI579" s="53"/>
      <c r="EJ579" s="53"/>
      <c r="EK579" s="53"/>
      <c r="EL579" s="53"/>
      <c r="EM579" s="53"/>
      <c r="EN579" s="53"/>
      <c r="EO579" s="53"/>
      <c r="EP579" s="53"/>
      <c r="EQ579" s="53"/>
      <c r="ER579" s="53"/>
      <c r="ES579" s="53"/>
      <c r="ET579" s="53"/>
      <c r="EU579" s="53"/>
      <c r="EV579" s="53"/>
      <c r="EW579" s="53"/>
      <c r="EX579" s="53"/>
      <c r="EY579" s="53"/>
      <c r="EZ579" s="53"/>
      <c r="FA579" s="53"/>
      <c r="FB579" s="53"/>
      <c r="FC579" s="53"/>
      <c r="FD579" s="53"/>
      <c r="FE579" s="53"/>
      <c r="FF579" s="53"/>
      <c r="FG579" s="53"/>
      <c r="FH579" s="53"/>
      <c r="FI579" s="53"/>
      <c r="FJ579" s="53"/>
      <c r="FK579" s="53"/>
      <c r="FL579" s="53"/>
      <c r="FM579" s="53"/>
      <c r="FN579" s="53"/>
      <c r="FO579" s="53"/>
      <c r="FP579" s="53"/>
      <c r="FQ579" s="53"/>
      <c r="FR579" s="53"/>
      <c r="FS579" s="53"/>
      <c r="FT579" s="53"/>
      <c r="FU579" s="53"/>
      <c r="FV579" s="53"/>
      <c r="FW579" s="53"/>
      <c r="FX579" s="53"/>
      <c r="FY579" s="53"/>
      <c r="FZ579" s="53"/>
      <c r="GA579" s="53"/>
      <c r="GB579" s="53"/>
      <c r="GC579" s="53"/>
      <c r="GD579" s="53"/>
      <c r="GE579" s="53"/>
      <c r="GF579" s="53"/>
      <c r="GG579" s="53"/>
      <c r="GH579" s="53"/>
      <c r="GI579" s="53"/>
      <c r="GJ579" s="53"/>
      <c r="GK579" s="53"/>
      <c r="GL579" s="53"/>
      <c r="GM579" s="53"/>
      <c r="GN579" s="53"/>
      <c r="GO579" s="53"/>
      <c r="GP579" s="53"/>
      <c r="GQ579" s="53"/>
      <c r="GR579" s="53"/>
      <c r="GS579" s="53"/>
      <c r="GT579" s="53"/>
      <c r="GU579" s="53"/>
      <c r="GV579" s="53"/>
      <c r="GW579" s="53"/>
      <c r="GX579" s="53"/>
      <c r="GY579" s="53"/>
      <c r="GZ579" s="53"/>
      <c r="HA579" s="53"/>
      <c r="HB579" s="53"/>
      <c r="HC579" s="53"/>
      <c r="HD579" s="53"/>
      <c r="HE579" s="53"/>
      <c r="HF579" s="53"/>
      <c r="HG579" s="53"/>
      <c r="HH579" s="53"/>
      <c r="HI579" s="53"/>
      <c r="HJ579" s="53"/>
      <c r="HK579" s="53"/>
      <c r="HL579" s="53"/>
      <c r="HM579" s="53"/>
      <c r="HN579" s="53"/>
      <c r="HO579" s="53"/>
      <c r="HP579" s="53"/>
      <c r="HQ579" s="53"/>
      <c r="HR579" s="53"/>
      <c r="HS579" s="53"/>
      <c r="HT579" s="53"/>
      <c r="HU579" s="53"/>
      <c r="HV579" s="53"/>
      <c r="HW579" s="53"/>
      <c r="HX579" s="53"/>
      <c r="HY579" s="53"/>
      <c r="HZ579" s="53"/>
      <c r="IA579" s="53"/>
    </row>
    <row r="580" spans="1:235" ht="11.25">
      <c r="A580" s="8" t="s">
        <v>43</v>
      </c>
      <c r="B580" s="6"/>
      <c r="C580" s="6"/>
      <c r="D580" s="7"/>
      <c r="E580" s="7"/>
      <c r="F580" s="7"/>
      <c r="G580" s="7">
        <f>G582*G584</f>
        <v>80000</v>
      </c>
      <c r="H580" s="7"/>
      <c r="I580" s="7"/>
      <c r="J580" s="7">
        <f>H580+G580</f>
        <v>80000</v>
      </c>
      <c r="K580" s="7"/>
      <c r="L580" s="7"/>
      <c r="M580" s="7"/>
      <c r="N580" s="7"/>
      <c r="O580" s="7"/>
      <c r="P580" s="7"/>
      <c r="Q580" s="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235" ht="11.25">
      <c r="A581" s="5" t="s">
        <v>5</v>
      </c>
      <c r="B581" s="6"/>
      <c r="C581" s="6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11.25">
      <c r="A582" s="8" t="s">
        <v>400</v>
      </c>
      <c r="B582" s="6"/>
      <c r="C582" s="6"/>
      <c r="D582" s="7"/>
      <c r="E582" s="7"/>
      <c r="F582" s="7"/>
      <c r="G582" s="7">
        <v>1</v>
      </c>
      <c r="H582" s="7"/>
      <c r="I582" s="7"/>
      <c r="J582" s="7">
        <f>H582+G582</f>
        <v>1</v>
      </c>
      <c r="K582" s="7"/>
      <c r="L582" s="7"/>
      <c r="M582" s="7"/>
      <c r="N582" s="7"/>
      <c r="O582" s="7"/>
      <c r="P582" s="7"/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11.25">
      <c r="A583" s="5" t="s">
        <v>7</v>
      </c>
      <c r="B583" s="6"/>
      <c r="C583" s="6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11.25">
      <c r="A584" s="8" t="s">
        <v>328</v>
      </c>
      <c r="B584" s="6"/>
      <c r="C584" s="6"/>
      <c r="D584" s="7"/>
      <c r="E584" s="7"/>
      <c r="F584" s="7"/>
      <c r="G584" s="7">
        <v>80000</v>
      </c>
      <c r="H584" s="7"/>
      <c r="I584" s="7"/>
      <c r="J584" s="7">
        <f>H584+G584</f>
        <v>80000</v>
      </c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1.25">
      <c r="A585" s="8"/>
      <c r="B585" s="6"/>
      <c r="C585" s="6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17" s="139" customFormat="1" ht="11.25">
      <c r="A586" s="152" t="s">
        <v>255</v>
      </c>
      <c r="B586" s="136"/>
      <c r="C586" s="136"/>
      <c r="D586" s="145">
        <f>D588</f>
        <v>1690000</v>
      </c>
      <c r="E586" s="145">
        <v>0</v>
      </c>
      <c r="F586" s="145">
        <f>D586</f>
        <v>1690000</v>
      </c>
      <c r="G586" s="145">
        <f>G588</f>
        <v>2330000.0025</v>
      </c>
      <c r="H586" s="145"/>
      <c r="I586" s="145">
        <f>I588</f>
        <v>0</v>
      </c>
      <c r="J586" s="145">
        <f>J588</f>
        <v>2330000.0025</v>
      </c>
      <c r="K586" s="145"/>
      <c r="L586" s="145"/>
      <c r="M586" s="145"/>
      <c r="N586" s="145">
        <f>N588</f>
        <v>2050000</v>
      </c>
      <c r="O586" s="145"/>
      <c r="P586" s="145">
        <f>P588</f>
        <v>2050000</v>
      </c>
      <c r="Q586" s="154"/>
    </row>
    <row r="587" spans="1:235" ht="65.25" customHeight="1">
      <c r="A587" s="8" t="s">
        <v>165</v>
      </c>
      <c r="B587" s="6"/>
      <c r="C587" s="6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17" s="76" customFormat="1" ht="22.5">
      <c r="A588" s="34" t="s">
        <v>427</v>
      </c>
      <c r="B588" s="37"/>
      <c r="C588" s="37"/>
      <c r="D588" s="57">
        <f>D589+D596</f>
        <v>1690000</v>
      </c>
      <c r="E588" s="57"/>
      <c r="F588" s="57">
        <f>D588</f>
        <v>1690000</v>
      </c>
      <c r="G588" s="30">
        <f>G589+G596</f>
        <v>2330000.0025</v>
      </c>
      <c r="H588" s="30"/>
      <c r="I588" s="30"/>
      <c r="J588" s="30">
        <f>G588</f>
        <v>2330000.0025</v>
      </c>
      <c r="K588" s="30"/>
      <c r="L588" s="30"/>
      <c r="M588" s="30"/>
      <c r="N588" s="30">
        <f>N589+N596</f>
        <v>2050000</v>
      </c>
      <c r="O588" s="30"/>
      <c r="P588" s="30">
        <f>N588</f>
        <v>2050000</v>
      </c>
      <c r="Q588" s="75"/>
    </row>
    <row r="589" spans="1:17" s="79" customFormat="1" ht="45">
      <c r="A589" s="77" t="s">
        <v>428</v>
      </c>
      <c r="B589" s="35"/>
      <c r="C589" s="35"/>
      <c r="D589" s="45">
        <f>D593*D595+100000</f>
        <v>1400000</v>
      </c>
      <c r="E589" s="45"/>
      <c r="F589" s="45">
        <f>D589+E589</f>
        <v>1400000</v>
      </c>
      <c r="G589" s="36">
        <f>G593*G595</f>
        <v>1500000</v>
      </c>
      <c r="H589" s="36">
        <f aca="true" t="shared" si="59" ref="H589:O589">H593*H595</f>
        <v>0</v>
      </c>
      <c r="I589" s="36">
        <f t="shared" si="59"/>
        <v>0</v>
      </c>
      <c r="J589" s="36">
        <f>G589</f>
        <v>1500000</v>
      </c>
      <c r="K589" s="36">
        <f t="shared" si="59"/>
        <v>0</v>
      </c>
      <c r="L589" s="36">
        <f t="shared" si="59"/>
        <v>0</v>
      </c>
      <c r="M589" s="36">
        <f t="shared" si="59"/>
        <v>0</v>
      </c>
      <c r="N589" s="36">
        <f>N593*N595</f>
        <v>1300000</v>
      </c>
      <c r="O589" s="36">
        <f t="shared" si="59"/>
        <v>0</v>
      </c>
      <c r="P589" s="36">
        <f>N589</f>
        <v>1300000</v>
      </c>
      <c r="Q589" s="78"/>
    </row>
    <row r="590" spans="1:17" s="52" customFormat="1" ht="11.25">
      <c r="A590" s="5" t="s">
        <v>4</v>
      </c>
      <c r="B590" s="37"/>
      <c r="C590" s="37"/>
      <c r="D590" s="80"/>
      <c r="E590" s="80"/>
      <c r="F590" s="81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75"/>
    </row>
    <row r="591" spans="1:17" s="52" customFormat="1" ht="27.75" customHeight="1">
      <c r="A591" s="8" t="s">
        <v>166</v>
      </c>
      <c r="B591" s="37"/>
      <c r="C591" s="37"/>
      <c r="D591" s="49">
        <v>520</v>
      </c>
      <c r="E591" s="80"/>
      <c r="F591" s="81"/>
      <c r="G591" s="7">
        <v>500</v>
      </c>
      <c r="H591" s="30"/>
      <c r="I591" s="30"/>
      <c r="J591" s="7">
        <f>G591+H591</f>
        <v>500</v>
      </c>
      <c r="K591" s="30"/>
      <c r="L591" s="30"/>
      <c r="M591" s="30"/>
      <c r="N591" s="7">
        <v>520</v>
      </c>
      <c r="O591" s="7"/>
      <c r="P591" s="7">
        <f>N591+O591</f>
        <v>520</v>
      </c>
      <c r="Q591" s="75"/>
    </row>
    <row r="592" spans="1:17" s="52" customFormat="1" ht="11.25">
      <c r="A592" s="5" t="s">
        <v>5</v>
      </c>
      <c r="B592" s="37"/>
      <c r="C592" s="37"/>
      <c r="D592" s="80"/>
      <c r="E592" s="80"/>
      <c r="F592" s="81"/>
      <c r="G592" s="30"/>
      <c r="H592" s="30"/>
      <c r="I592" s="30"/>
      <c r="J592" s="7"/>
      <c r="K592" s="30"/>
      <c r="L592" s="30"/>
      <c r="M592" s="30"/>
      <c r="N592" s="30"/>
      <c r="O592" s="30"/>
      <c r="P592" s="7"/>
      <c r="Q592" s="75"/>
    </row>
    <row r="593" spans="1:17" s="52" customFormat="1" ht="22.5">
      <c r="A593" s="8" t="s">
        <v>167</v>
      </c>
      <c r="B593" s="37"/>
      <c r="C593" s="37"/>
      <c r="D593" s="49">
        <v>520</v>
      </c>
      <c r="E593" s="80"/>
      <c r="F593" s="81"/>
      <c r="G593" s="7">
        <f>G591</f>
        <v>500</v>
      </c>
      <c r="H593" s="7"/>
      <c r="I593" s="7"/>
      <c r="J593" s="7">
        <f>G593+H593</f>
        <v>500</v>
      </c>
      <c r="K593" s="7">
        <f>K591</f>
        <v>0</v>
      </c>
      <c r="L593" s="7">
        <f>L591</f>
        <v>0</v>
      </c>
      <c r="M593" s="7">
        <f>M591</f>
        <v>0</v>
      </c>
      <c r="N593" s="7">
        <v>520</v>
      </c>
      <c r="O593" s="7"/>
      <c r="P593" s="7">
        <f>N593+O593</f>
        <v>520</v>
      </c>
      <c r="Q593" s="75"/>
    </row>
    <row r="594" spans="1:17" s="52" customFormat="1" ht="11.25">
      <c r="A594" s="5" t="s">
        <v>7</v>
      </c>
      <c r="B594" s="37"/>
      <c r="C594" s="37"/>
      <c r="D594" s="80"/>
      <c r="E594" s="80"/>
      <c r="F594" s="81"/>
      <c r="G594" s="30"/>
      <c r="H594" s="30"/>
      <c r="I594" s="30"/>
      <c r="J594" s="7"/>
      <c r="K594" s="30"/>
      <c r="L594" s="30"/>
      <c r="M594" s="30"/>
      <c r="N594" s="30"/>
      <c r="O594" s="30"/>
      <c r="P594" s="7"/>
      <c r="Q594" s="75"/>
    </row>
    <row r="595" spans="1:17" s="52" customFormat="1" ht="17.25" customHeight="1">
      <c r="A595" s="8" t="s">
        <v>168</v>
      </c>
      <c r="B595" s="37"/>
      <c r="C595" s="37"/>
      <c r="D595" s="80">
        <v>2500</v>
      </c>
      <c r="E595" s="80"/>
      <c r="F595" s="81"/>
      <c r="G595" s="7">
        <v>3000</v>
      </c>
      <c r="H595" s="30"/>
      <c r="I595" s="30"/>
      <c r="J595" s="7">
        <f>G595+H595</f>
        <v>3000</v>
      </c>
      <c r="K595" s="30"/>
      <c r="L595" s="30"/>
      <c r="M595" s="30"/>
      <c r="N595" s="7">
        <v>2500</v>
      </c>
      <c r="O595" s="7"/>
      <c r="P595" s="7">
        <f>N595+O595</f>
        <v>2500</v>
      </c>
      <c r="Q595" s="75"/>
    </row>
    <row r="596" spans="1:17" s="83" customFormat="1" ht="65.25" customHeight="1">
      <c r="A596" s="77" t="s">
        <v>429</v>
      </c>
      <c r="B596" s="34"/>
      <c r="C596" s="34"/>
      <c r="D596" s="45">
        <f>D600*D603+90000</f>
        <v>290000</v>
      </c>
      <c r="E596" s="45"/>
      <c r="F596" s="45">
        <f>D596+E596</f>
        <v>290000</v>
      </c>
      <c r="G596" s="36">
        <f>G600*G603</f>
        <v>830000.0025000001</v>
      </c>
      <c r="H596" s="36">
        <f aca="true" t="shared" si="60" ref="H596:P596">H600*H603</f>
        <v>0</v>
      </c>
      <c r="I596" s="36">
        <f t="shared" si="60"/>
        <v>0</v>
      </c>
      <c r="J596" s="36">
        <f t="shared" si="60"/>
        <v>830000.0025000001</v>
      </c>
      <c r="K596" s="36">
        <f t="shared" si="60"/>
        <v>0</v>
      </c>
      <c r="L596" s="36">
        <f t="shared" si="60"/>
        <v>0</v>
      </c>
      <c r="M596" s="36">
        <f t="shared" si="60"/>
        <v>0</v>
      </c>
      <c r="N596" s="36">
        <f>N600*N603</f>
        <v>750000</v>
      </c>
      <c r="O596" s="36">
        <f t="shared" si="60"/>
        <v>0</v>
      </c>
      <c r="P596" s="36">
        <f t="shared" si="60"/>
        <v>750000</v>
      </c>
      <c r="Q596" s="82"/>
    </row>
    <row r="597" spans="1:235" ht="11.25">
      <c r="A597" s="5" t="s">
        <v>4</v>
      </c>
      <c r="B597" s="6"/>
      <c r="C597" s="6"/>
      <c r="D597" s="84"/>
      <c r="E597" s="84"/>
      <c r="F597" s="84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24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</row>
    <row r="598" spans="1:235" ht="33.75">
      <c r="A598" s="8" t="s">
        <v>166</v>
      </c>
      <c r="B598" s="6"/>
      <c r="C598" s="6"/>
      <c r="D598" s="44">
        <v>6</v>
      </c>
      <c r="E598" s="44"/>
      <c r="F598" s="44">
        <f>D598</f>
        <v>6</v>
      </c>
      <c r="G598" s="44">
        <v>9</v>
      </c>
      <c r="H598" s="44"/>
      <c r="I598" s="44"/>
      <c r="J598" s="7">
        <f>G598+H598</f>
        <v>9</v>
      </c>
      <c r="K598" s="44">
        <f>H598</f>
        <v>0</v>
      </c>
      <c r="L598" s="44">
        <f>J598</f>
        <v>9</v>
      </c>
      <c r="M598" s="44">
        <f>K598</f>
        <v>0</v>
      </c>
      <c r="N598" s="44">
        <v>8</v>
      </c>
      <c r="O598" s="44"/>
      <c r="P598" s="44">
        <f>N598</f>
        <v>8</v>
      </c>
      <c r="Q598" s="24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  <c r="GB598" s="53"/>
      <c r="GC598" s="53"/>
      <c r="GD598" s="53"/>
      <c r="GE598" s="53"/>
      <c r="GF598" s="53"/>
      <c r="GG598" s="53"/>
      <c r="GH598" s="53"/>
      <c r="GI598" s="53"/>
      <c r="GJ598" s="53"/>
      <c r="GK598" s="53"/>
      <c r="GL598" s="53"/>
      <c r="GM598" s="53"/>
      <c r="GN598" s="53"/>
      <c r="GO598" s="53"/>
      <c r="GP598" s="53"/>
      <c r="GQ598" s="53"/>
      <c r="GR598" s="53"/>
      <c r="GS598" s="53"/>
      <c r="GT598" s="53"/>
      <c r="GU598" s="53"/>
      <c r="GV598" s="53"/>
      <c r="GW598" s="53"/>
      <c r="GX598" s="53"/>
      <c r="GY598" s="53"/>
      <c r="GZ598" s="53"/>
      <c r="HA598" s="53"/>
      <c r="HB598" s="53"/>
      <c r="HC598" s="53"/>
      <c r="HD598" s="53"/>
      <c r="HE598" s="53"/>
      <c r="HF598" s="53"/>
      <c r="HG598" s="53"/>
      <c r="HH598" s="53"/>
      <c r="HI598" s="53"/>
      <c r="HJ598" s="53"/>
      <c r="HK598" s="53"/>
      <c r="HL598" s="53"/>
      <c r="HM598" s="53"/>
      <c r="HN598" s="53"/>
      <c r="HO598" s="53"/>
      <c r="HP598" s="53"/>
      <c r="HQ598" s="53"/>
      <c r="HR598" s="53"/>
      <c r="HS598" s="53"/>
      <c r="HT598" s="53"/>
      <c r="HU598" s="53"/>
      <c r="HV598" s="53"/>
      <c r="HW598" s="53"/>
      <c r="HX598" s="53"/>
      <c r="HY598" s="53"/>
      <c r="HZ598" s="53"/>
      <c r="IA598" s="53"/>
    </row>
    <row r="599" spans="1:235" ht="11.25">
      <c r="A599" s="5" t="s">
        <v>5</v>
      </c>
      <c r="B599" s="6"/>
      <c r="C599" s="6"/>
      <c r="D599" s="44"/>
      <c r="E599" s="44"/>
      <c r="F599" s="44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32.25" customHeight="1">
      <c r="A600" s="8" t="s">
        <v>167</v>
      </c>
      <c r="B600" s="6"/>
      <c r="C600" s="6"/>
      <c r="D600" s="44">
        <v>6</v>
      </c>
      <c r="E600" s="44"/>
      <c r="F600" s="44">
        <f>D600</f>
        <v>6</v>
      </c>
      <c r="G600" s="7">
        <v>9</v>
      </c>
      <c r="H600" s="7"/>
      <c r="I600" s="7"/>
      <c r="J600" s="7">
        <f>G600+H600</f>
        <v>9</v>
      </c>
      <c r="K600" s="7"/>
      <c r="L600" s="7"/>
      <c r="M600" s="7"/>
      <c r="N600" s="7">
        <v>8</v>
      </c>
      <c r="O600" s="7"/>
      <c r="P600" s="7">
        <f>N600</f>
        <v>8</v>
      </c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22.5">
      <c r="A601" s="8" t="s">
        <v>164</v>
      </c>
      <c r="B601" s="6"/>
      <c r="C601" s="6"/>
      <c r="D601" s="44"/>
      <c r="E601" s="44"/>
      <c r="F601" s="44">
        <f>D601</f>
        <v>0</v>
      </c>
      <c r="G601" s="7"/>
      <c r="H601" s="7"/>
      <c r="I601" s="7"/>
      <c r="J601" s="7">
        <f>G601+H601</f>
        <v>0</v>
      </c>
      <c r="K601" s="7"/>
      <c r="L601" s="7"/>
      <c r="M601" s="7"/>
      <c r="N601" s="7"/>
      <c r="O601" s="7"/>
      <c r="P601" s="7"/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11.25">
      <c r="A602" s="5" t="s">
        <v>7</v>
      </c>
      <c r="B602" s="6"/>
      <c r="C602" s="6"/>
      <c r="D602" s="44"/>
      <c r="E602" s="44"/>
      <c r="F602" s="44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22.5">
      <c r="A603" s="8" t="s">
        <v>168</v>
      </c>
      <c r="B603" s="6"/>
      <c r="C603" s="6"/>
      <c r="D603" s="44">
        <f>200000/6</f>
        <v>33333.333333333336</v>
      </c>
      <c r="E603" s="44"/>
      <c r="F603" s="44">
        <f>D603</f>
        <v>33333.333333333336</v>
      </c>
      <c r="G603" s="7">
        <v>92222.2225</v>
      </c>
      <c r="H603" s="7"/>
      <c r="I603" s="7"/>
      <c r="J603" s="7">
        <f>G603+H603</f>
        <v>92222.2225</v>
      </c>
      <c r="K603" s="7"/>
      <c r="L603" s="7"/>
      <c r="M603" s="7"/>
      <c r="N603" s="7">
        <v>93750</v>
      </c>
      <c r="O603" s="7"/>
      <c r="P603" s="7">
        <f>N603</f>
        <v>93750</v>
      </c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11.25">
      <c r="A604" s="37" t="s">
        <v>256</v>
      </c>
      <c r="B604" s="6"/>
      <c r="C604" s="6"/>
      <c r="D604" s="36">
        <f>D606</f>
        <v>0</v>
      </c>
      <c r="E604" s="36">
        <f>E606</f>
        <v>127913400</v>
      </c>
      <c r="F604" s="36">
        <f aca="true" t="shared" si="61" ref="F604:P604">F606</f>
        <v>127913400</v>
      </c>
      <c r="G604" s="36">
        <f t="shared" si="61"/>
        <v>0</v>
      </c>
      <c r="H604" s="36">
        <f t="shared" si="61"/>
        <v>88123272</v>
      </c>
      <c r="I604" s="36">
        <f t="shared" si="61"/>
        <v>0</v>
      </c>
      <c r="J604" s="36">
        <f t="shared" si="61"/>
        <v>88123272</v>
      </c>
      <c r="K604" s="36">
        <f t="shared" si="61"/>
        <v>0</v>
      </c>
      <c r="L604" s="36">
        <f t="shared" si="61"/>
        <v>0</v>
      </c>
      <c r="M604" s="36">
        <f t="shared" si="61"/>
        <v>0</v>
      </c>
      <c r="N604" s="36">
        <f t="shared" si="61"/>
        <v>0</v>
      </c>
      <c r="O604" s="36">
        <f t="shared" si="61"/>
        <v>7297400</v>
      </c>
      <c r="P604" s="36">
        <f t="shared" si="61"/>
        <v>7297400</v>
      </c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235" ht="22.5">
      <c r="A605" s="8" t="s">
        <v>170</v>
      </c>
      <c r="B605" s="6"/>
      <c r="C605" s="6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24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17" s="157" customFormat="1" ht="33.75">
      <c r="A606" s="155" t="s">
        <v>430</v>
      </c>
      <c r="B606" s="141"/>
      <c r="C606" s="141"/>
      <c r="D606" s="145"/>
      <c r="E606" s="145">
        <f>E608</f>
        <v>127913400</v>
      </c>
      <c r="F606" s="145">
        <f>D606+E606</f>
        <v>127913400</v>
      </c>
      <c r="G606" s="145"/>
      <c r="H606" s="145">
        <f>H610*H612</f>
        <v>88123272</v>
      </c>
      <c r="I606" s="145">
        <f>I608</f>
        <v>0</v>
      </c>
      <c r="J606" s="145">
        <f>H606+I606</f>
        <v>88123272</v>
      </c>
      <c r="K606" s="145"/>
      <c r="L606" s="145"/>
      <c r="M606" s="145"/>
      <c r="N606" s="145"/>
      <c r="O606" s="145">
        <f>O610*O612</f>
        <v>7297400</v>
      </c>
      <c r="P606" s="145">
        <f>O606</f>
        <v>7297400</v>
      </c>
      <c r="Q606" s="156"/>
    </row>
    <row r="607" spans="1:235" ht="11.25">
      <c r="A607" s="5" t="s">
        <v>4</v>
      </c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24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</row>
    <row r="608" spans="1:235" ht="11.25">
      <c r="A608" s="8" t="s">
        <v>43</v>
      </c>
      <c r="B608" s="6"/>
      <c r="C608" s="6"/>
      <c r="D608" s="7"/>
      <c r="E608" s="7">
        <f>127784300+129100</f>
        <v>127913400</v>
      </c>
      <c r="F608" s="7">
        <f>D608+E608</f>
        <v>127913400</v>
      </c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24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</row>
    <row r="609" spans="1:235" ht="11.25">
      <c r="A609" s="5" t="s">
        <v>5</v>
      </c>
      <c r="B609" s="6"/>
      <c r="C609" s="6"/>
      <c r="D609" s="7"/>
      <c r="E609" s="7"/>
      <c r="F609" s="7">
        <f>D609+E609</f>
        <v>0</v>
      </c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33.75">
      <c r="A610" s="8" t="s">
        <v>171</v>
      </c>
      <c r="B610" s="6"/>
      <c r="C610" s="6"/>
      <c r="D610" s="7"/>
      <c r="E610" s="7">
        <v>10</v>
      </c>
      <c r="F610" s="7">
        <f>D610+E610</f>
        <v>10</v>
      </c>
      <c r="G610" s="7"/>
      <c r="H610" s="7">
        <v>5</v>
      </c>
      <c r="I610" s="7"/>
      <c r="J610" s="7">
        <v>5</v>
      </c>
      <c r="K610" s="7"/>
      <c r="L610" s="7"/>
      <c r="M610" s="7"/>
      <c r="N610" s="7"/>
      <c r="O610" s="7">
        <v>2</v>
      </c>
      <c r="P610" s="7"/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11.25">
      <c r="A611" s="5" t="s">
        <v>7</v>
      </c>
      <c r="B611" s="6"/>
      <c r="C611" s="6"/>
      <c r="D611" s="7"/>
      <c r="E611" s="7"/>
      <c r="F611" s="7">
        <f>D611+E611</f>
        <v>0</v>
      </c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24.75" customHeight="1">
      <c r="A612" s="8" t="s">
        <v>172</v>
      </c>
      <c r="B612" s="6"/>
      <c r="C612" s="6"/>
      <c r="D612" s="7"/>
      <c r="E612" s="7">
        <f>399355600/9</f>
        <v>44372844.44444445</v>
      </c>
      <c r="F612" s="7">
        <f>D612+E612</f>
        <v>44372844.44444445</v>
      </c>
      <c r="G612" s="7"/>
      <c r="H612" s="7">
        <v>17624654.4</v>
      </c>
      <c r="I612" s="7"/>
      <c r="J612" s="7">
        <v>17604654.4</v>
      </c>
      <c r="K612" s="7"/>
      <c r="L612" s="7"/>
      <c r="M612" s="7"/>
      <c r="N612" s="7"/>
      <c r="O612" s="7">
        <v>3648700</v>
      </c>
      <c r="P612" s="85">
        <f>O612</f>
        <v>3648700</v>
      </c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11.25">
      <c r="A613" s="37" t="s">
        <v>257</v>
      </c>
      <c r="B613" s="6"/>
      <c r="C613" s="6"/>
      <c r="D613" s="36">
        <f>D615</f>
        <v>760000</v>
      </c>
      <c r="E613" s="36">
        <f aca="true" t="shared" si="62" ref="E613:P613">E615</f>
        <v>1220000</v>
      </c>
      <c r="F613" s="36">
        <f t="shared" si="62"/>
        <v>1980000</v>
      </c>
      <c r="G613" s="36">
        <f t="shared" si="62"/>
        <v>1960000</v>
      </c>
      <c r="H613" s="36">
        <f t="shared" si="62"/>
        <v>6032500</v>
      </c>
      <c r="I613" s="36">
        <f t="shared" si="62"/>
        <v>7992500</v>
      </c>
      <c r="J613" s="36">
        <f t="shared" si="62"/>
        <v>7992500</v>
      </c>
      <c r="K613" s="36">
        <f t="shared" si="62"/>
        <v>0</v>
      </c>
      <c r="L613" s="36">
        <f t="shared" si="62"/>
        <v>0</v>
      </c>
      <c r="M613" s="36">
        <f t="shared" si="62"/>
        <v>0</v>
      </c>
      <c r="N613" s="36">
        <f t="shared" si="62"/>
        <v>368000</v>
      </c>
      <c r="O613" s="36">
        <f t="shared" si="62"/>
        <v>7632000</v>
      </c>
      <c r="P613" s="36">
        <f t="shared" si="62"/>
        <v>8000000</v>
      </c>
      <c r="Q613" s="24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67.5">
      <c r="A614" s="8" t="s">
        <v>393</v>
      </c>
      <c r="B614" s="6"/>
      <c r="C614" s="6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17" s="39" customFormat="1" ht="36" customHeight="1">
      <c r="A615" s="34" t="s">
        <v>431</v>
      </c>
      <c r="B615" s="35"/>
      <c r="C615" s="35"/>
      <c r="D615" s="36">
        <f>D617</f>
        <v>760000</v>
      </c>
      <c r="E615" s="36">
        <f>E617</f>
        <v>1220000</v>
      </c>
      <c r="F615" s="36">
        <f>D615+E615</f>
        <v>1980000</v>
      </c>
      <c r="G615" s="36">
        <f>G617</f>
        <v>1960000</v>
      </c>
      <c r="H615" s="36">
        <f>H617</f>
        <v>6032500</v>
      </c>
      <c r="I615" s="36">
        <f>G615+H615</f>
        <v>7992500</v>
      </c>
      <c r="J615" s="36">
        <f>G615+H615</f>
        <v>7992500</v>
      </c>
      <c r="K615" s="36"/>
      <c r="L615" s="36"/>
      <c r="M615" s="36"/>
      <c r="N615" s="36">
        <f>N619*N621</f>
        <v>368000</v>
      </c>
      <c r="O615" s="36">
        <f>O619*O621</f>
        <v>7632000</v>
      </c>
      <c r="P615" s="36">
        <f>N615+O615</f>
        <v>8000000</v>
      </c>
      <c r="Q615" s="78"/>
    </row>
    <row r="616" spans="1:235" ht="11.25">
      <c r="A616" s="5" t="s">
        <v>4</v>
      </c>
      <c r="B616" s="6"/>
      <c r="C616" s="6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235" ht="11.25">
      <c r="A617" s="8" t="s">
        <v>43</v>
      </c>
      <c r="B617" s="6"/>
      <c r="C617" s="6"/>
      <c r="D617" s="7">
        <f>D619*D621</f>
        <v>760000</v>
      </c>
      <c r="E617" s="7">
        <f>E619*E621</f>
        <v>1220000</v>
      </c>
      <c r="F617" s="7">
        <f>D617+E617</f>
        <v>1980000</v>
      </c>
      <c r="G617" s="7">
        <f>G619*G621</f>
        <v>1960000</v>
      </c>
      <c r="H617" s="7">
        <f>H619*H621</f>
        <v>6032500</v>
      </c>
      <c r="I617" s="7"/>
      <c r="J617" s="7">
        <f>G617+H617</f>
        <v>7992500</v>
      </c>
      <c r="K617" s="7"/>
      <c r="L617" s="7"/>
      <c r="M617" s="7"/>
      <c r="N617" s="7">
        <f>N619*N621</f>
        <v>368000</v>
      </c>
      <c r="O617" s="7">
        <f>O619*O621</f>
        <v>7632000</v>
      </c>
      <c r="P617" s="7">
        <f>N617+O617</f>
        <v>8000000</v>
      </c>
      <c r="Q617" s="24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3"/>
      <c r="BS617" s="53"/>
      <c r="BT617" s="53"/>
      <c r="BU617" s="53"/>
      <c r="BV617" s="53"/>
      <c r="BW617" s="53"/>
      <c r="BX617" s="53"/>
      <c r="BY617" s="53"/>
      <c r="BZ617" s="53"/>
      <c r="CA617" s="53"/>
      <c r="CB617" s="53"/>
      <c r="CC617" s="53"/>
      <c r="CD617" s="53"/>
      <c r="CE617" s="53"/>
      <c r="CF617" s="53"/>
      <c r="CG617" s="53"/>
      <c r="CH617" s="53"/>
      <c r="CI617" s="53"/>
      <c r="CJ617" s="53"/>
      <c r="CK617" s="53"/>
      <c r="CL617" s="53"/>
      <c r="CM617" s="53"/>
      <c r="CN617" s="53"/>
      <c r="CO617" s="53"/>
      <c r="CP617" s="53"/>
      <c r="CQ617" s="53"/>
      <c r="CR617" s="53"/>
      <c r="CS617" s="53"/>
      <c r="CT617" s="53"/>
      <c r="CU617" s="53"/>
      <c r="CV617" s="53"/>
      <c r="CW617" s="53"/>
      <c r="CX617" s="53"/>
      <c r="CY617" s="53"/>
      <c r="CZ617" s="53"/>
      <c r="DA617" s="53"/>
      <c r="DB617" s="53"/>
      <c r="DC617" s="53"/>
      <c r="DD617" s="53"/>
      <c r="DE617" s="53"/>
      <c r="DF617" s="53"/>
      <c r="DG617" s="53"/>
      <c r="DH617" s="53"/>
      <c r="DI617" s="53"/>
      <c r="DJ617" s="53"/>
      <c r="DK617" s="53"/>
      <c r="DL617" s="53"/>
      <c r="DM617" s="53"/>
      <c r="DN617" s="53"/>
      <c r="DO617" s="53"/>
      <c r="DP617" s="53"/>
      <c r="DQ617" s="53"/>
      <c r="DR617" s="53"/>
      <c r="DS617" s="53"/>
      <c r="DT617" s="53"/>
      <c r="DU617" s="53"/>
      <c r="DV617" s="53"/>
      <c r="DW617" s="53"/>
      <c r="DX617" s="53"/>
      <c r="DY617" s="53"/>
      <c r="DZ617" s="53"/>
      <c r="EA617" s="53"/>
      <c r="EB617" s="53"/>
      <c r="EC617" s="53"/>
      <c r="ED617" s="53"/>
      <c r="EE617" s="53"/>
      <c r="EF617" s="53"/>
      <c r="EG617" s="53"/>
      <c r="EH617" s="53"/>
      <c r="EI617" s="53"/>
      <c r="EJ617" s="53"/>
      <c r="EK617" s="53"/>
      <c r="EL617" s="53"/>
      <c r="EM617" s="53"/>
      <c r="EN617" s="53"/>
      <c r="EO617" s="53"/>
      <c r="EP617" s="53"/>
      <c r="EQ617" s="53"/>
      <c r="ER617" s="53"/>
      <c r="ES617" s="53"/>
      <c r="ET617" s="53"/>
      <c r="EU617" s="53"/>
      <c r="EV617" s="53"/>
      <c r="EW617" s="53"/>
      <c r="EX617" s="53"/>
      <c r="EY617" s="53"/>
      <c r="EZ617" s="53"/>
      <c r="FA617" s="53"/>
      <c r="FB617" s="53"/>
      <c r="FC617" s="53"/>
      <c r="FD617" s="53"/>
      <c r="FE617" s="53"/>
      <c r="FF617" s="53"/>
      <c r="FG617" s="53"/>
      <c r="FH617" s="53"/>
      <c r="FI617" s="53"/>
      <c r="FJ617" s="53"/>
      <c r="FK617" s="53"/>
      <c r="FL617" s="53"/>
      <c r="FM617" s="53"/>
      <c r="FN617" s="53"/>
      <c r="FO617" s="53"/>
      <c r="FP617" s="53"/>
      <c r="FQ617" s="53"/>
      <c r="FR617" s="53"/>
      <c r="FS617" s="53"/>
      <c r="FT617" s="53"/>
      <c r="FU617" s="53"/>
      <c r="FV617" s="53"/>
      <c r="FW617" s="53"/>
      <c r="FX617" s="53"/>
      <c r="FY617" s="53"/>
      <c r="FZ617" s="53"/>
      <c r="GA617" s="53"/>
      <c r="GB617" s="53"/>
      <c r="GC617" s="53"/>
      <c r="GD617" s="53"/>
      <c r="GE617" s="53"/>
      <c r="GF617" s="53"/>
      <c r="GG617" s="53"/>
      <c r="GH617" s="53"/>
      <c r="GI617" s="53"/>
      <c r="GJ617" s="53"/>
      <c r="GK617" s="53"/>
      <c r="GL617" s="53"/>
      <c r="GM617" s="53"/>
      <c r="GN617" s="53"/>
      <c r="GO617" s="53"/>
      <c r="GP617" s="53"/>
      <c r="GQ617" s="53"/>
      <c r="GR617" s="53"/>
      <c r="GS617" s="53"/>
      <c r="GT617" s="53"/>
      <c r="GU617" s="53"/>
      <c r="GV617" s="53"/>
      <c r="GW617" s="53"/>
      <c r="GX617" s="53"/>
      <c r="GY617" s="53"/>
      <c r="GZ617" s="53"/>
      <c r="HA617" s="53"/>
      <c r="HB617" s="53"/>
      <c r="HC617" s="53"/>
      <c r="HD617" s="53"/>
      <c r="HE617" s="53"/>
      <c r="HF617" s="53"/>
      <c r="HG617" s="53"/>
      <c r="HH617" s="53"/>
      <c r="HI617" s="53"/>
      <c r="HJ617" s="53"/>
      <c r="HK617" s="53"/>
      <c r="HL617" s="53"/>
      <c r="HM617" s="53"/>
      <c r="HN617" s="53"/>
      <c r="HO617" s="53"/>
      <c r="HP617" s="53"/>
      <c r="HQ617" s="53"/>
      <c r="HR617" s="53"/>
      <c r="HS617" s="53"/>
      <c r="HT617" s="53"/>
      <c r="HU617" s="53"/>
      <c r="HV617" s="53"/>
      <c r="HW617" s="53"/>
      <c r="HX617" s="53"/>
      <c r="HY617" s="53"/>
      <c r="HZ617" s="53"/>
      <c r="IA617" s="53"/>
    </row>
    <row r="618" spans="1:235" ht="11.25">
      <c r="A618" s="5" t="s">
        <v>5</v>
      </c>
      <c r="B618" s="6"/>
      <c r="C618" s="6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235" ht="22.5">
      <c r="A619" s="8" t="s">
        <v>181</v>
      </c>
      <c r="B619" s="6"/>
      <c r="C619" s="6"/>
      <c r="D619" s="7">
        <v>1</v>
      </c>
      <c r="E619" s="7">
        <v>1</v>
      </c>
      <c r="F619" s="7">
        <f>D619+E619</f>
        <v>2</v>
      </c>
      <c r="G619" s="7">
        <v>1</v>
      </c>
      <c r="H619" s="7">
        <v>1</v>
      </c>
      <c r="I619" s="7"/>
      <c r="J619" s="7">
        <v>1</v>
      </c>
      <c r="K619" s="7"/>
      <c r="L619" s="7"/>
      <c r="M619" s="7"/>
      <c r="N619" s="7">
        <v>1</v>
      </c>
      <c r="O619" s="7">
        <v>1</v>
      </c>
      <c r="P619" s="7">
        <v>1</v>
      </c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5" t="s">
        <v>7</v>
      </c>
      <c r="B620" s="6"/>
      <c r="C620" s="6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22.5">
      <c r="A621" s="8" t="s">
        <v>182</v>
      </c>
      <c r="B621" s="6"/>
      <c r="C621" s="6"/>
      <c r="D621" s="7">
        <v>760000</v>
      </c>
      <c r="E621" s="7">
        <v>1220000</v>
      </c>
      <c r="F621" s="7">
        <f>D621+E621</f>
        <v>1980000</v>
      </c>
      <c r="G621" s="7">
        <v>1960000</v>
      </c>
      <c r="H621" s="7">
        <v>6032500</v>
      </c>
      <c r="I621" s="7"/>
      <c r="J621" s="23">
        <f>J617/J619</f>
        <v>7992500</v>
      </c>
      <c r="K621" s="23"/>
      <c r="L621" s="23"/>
      <c r="M621" s="23"/>
      <c r="N621" s="23">
        <v>368000</v>
      </c>
      <c r="O621" s="23">
        <v>7632000</v>
      </c>
      <c r="P621" s="7">
        <f>N621+O621</f>
        <v>8000000</v>
      </c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17" s="52" customFormat="1" ht="11.25">
      <c r="A622" s="37" t="s">
        <v>344</v>
      </c>
      <c r="B622" s="37"/>
      <c r="C622" s="37"/>
      <c r="D622" s="30">
        <f>D626</f>
        <v>0</v>
      </c>
      <c r="E622" s="30">
        <f>E626</f>
        <v>2275980</v>
      </c>
      <c r="F622" s="30">
        <f>D622+E622</f>
        <v>2275980</v>
      </c>
      <c r="G622" s="30">
        <v>0</v>
      </c>
      <c r="H622" s="30">
        <f>H624</f>
        <v>1108600</v>
      </c>
      <c r="I622" s="30" t="e">
        <f>#REF!</f>
        <v>#REF!</v>
      </c>
      <c r="J622" s="129">
        <f>J624</f>
        <v>1108600</v>
      </c>
      <c r="K622" s="129" t="e">
        <f>#REF!</f>
        <v>#REF!</v>
      </c>
      <c r="L622" s="129" t="e">
        <f>#REF!</f>
        <v>#REF!</v>
      </c>
      <c r="M622" s="129" t="e">
        <f>#REF!</f>
        <v>#REF!</v>
      </c>
      <c r="N622" s="129">
        <v>0</v>
      </c>
      <c r="O622" s="129">
        <v>0</v>
      </c>
      <c r="P622" s="30">
        <v>0</v>
      </c>
      <c r="Q622" s="75" t="e">
        <f>#REF!</f>
        <v>#REF!</v>
      </c>
    </row>
    <row r="623" spans="1:235" ht="33.75">
      <c r="A623" s="8" t="s">
        <v>345</v>
      </c>
      <c r="B623" s="6"/>
      <c r="C623" s="6"/>
      <c r="D623" s="7"/>
      <c r="E623" s="7"/>
      <c r="F623" s="7"/>
      <c r="G623" s="7"/>
      <c r="H623" s="7"/>
      <c r="I623" s="7"/>
      <c r="J623" s="23"/>
      <c r="K623" s="23"/>
      <c r="L623" s="23"/>
      <c r="M623" s="23"/>
      <c r="N623" s="23"/>
      <c r="O623" s="23"/>
      <c r="P623" s="7"/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17" s="52" customFormat="1" ht="22.5">
      <c r="A624" s="34" t="s">
        <v>432</v>
      </c>
      <c r="B624" s="37"/>
      <c r="C624" s="37"/>
      <c r="D624" s="30"/>
      <c r="E624" s="30">
        <v>2275980</v>
      </c>
      <c r="F624" s="30">
        <v>2275980</v>
      </c>
      <c r="G624" s="30"/>
      <c r="H624" s="30">
        <f>H626</f>
        <v>1108600</v>
      </c>
      <c r="I624" s="30"/>
      <c r="J624" s="129">
        <f>H624</f>
        <v>1108600</v>
      </c>
      <c r="K624" s="129"/>
      <c r="L624" s="129"/>
      <c r="M624" s="129"/>
      <c r="N624" s="129"/>
      <c r="O624" s="129"/>
      <c r="P624" s="30"/>
      <c r="Q624" s="75"/>
    </row>
    <row r="625" spans="1:235" ht="11.25">
      <c r="A625" s="5" t="s">
        <v>4</v>
      </c>
      <c r="B625" s="6"/>
      <c r="C625" s="6"/>
      <c r="D625" s="7"/>
      <c r="E625" s="7"/>
      <c r="F625" s="7"/>
      <c r="G625" s="7"/>
      <c r="H625" s="7"/>
      <c r="I625" s="7"/>
      <c r="J625" s="23"/>
      <c r="K625" s="23"/>
      <c r="L625" s="23"/>
      <c r="M625" s="23"/>
      <c r="N625" s="23"/>
      <c r="O625" s="23"/>
      <c r="P625" s="7"/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235" ht="11.25">
      <c r="A626" s="8" t="s">
        <v>43</v>
      </c>
      <c r="B626" s="6"/>
      <c r="C626" s="6"/>
      <c r="D626" s="7"/>
      <c r="E626" s="7">
        <f>2178000+97980</f>
        <v>2275980</v>
      </c>
      <c r="F626" s="7">
        <f>D626+E626</f>
        <v>2275980</v>
      </c>
      <c r="G626" s="7"/>
      <c r="H626" s="7">
        <v>1108600</v>
      </c>
      <c r="I626" s="7"/>
      <c r="J626" s="23">
        <f>H626</f>
        <v>1108600</v>
      </c>
      <c r="K626" s="23"/>
      <c r="L626" s="23"/>
      <c r="M626" s="23"/>
      <c r="N626" s="23"/>
      <c r="O626" s="23"/>
      <c r="P626" s="7"/>
      <c r="Q626" s="24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53"/>
      <c r="DC626" s="53"/>
      <c r="DD626" s="53"/>
      <c r="DE626" s="53"/>
      <c r="DF626" s="53"/>
      <c r="DG626" s="53"/>
      <c r="DH626" s="53"/>
      <c r="DI626" s="53"/>
      <c r="DJ626" s="53"/>
      <c r="DK626" s="53"/>
      <c r="DL626" s="53"/>
      <c r="DM626" s="53"/>
      <c r="DN626" s="53"/>
      <c r="DO626" s="53"/>
      <c r="DP626" s="53"/>
      <c r="DQ626" s="53"/>
      <c r="DR626" s="53"/>
      <c r="DS626" s="53"/>
      <c r="DT626" s="53"/>
      <c r="DU626" s="53"/>
      <c r="DV626" s="53"/>
      <c r="DW626" s="53"/>
      <c r="DX626" s="53"/>
      <c r="DY626" s="53"/>
      <c r="DZ626" s="53"/>
      <c r="EA626" s="53"/>
      <c r="EB626" s="53"/>
      <c r="EC626" s="53"/>
      <c r="ED626" s="53"/>
      <c r="EE626" s="53"/>
      <c r="EF626" s="53"/>
      <c r="EG626" s="53"/>
      <c r="EH626" s="53"/>
      <c r="EI626" s="53"/>
      <c r="EJ626" s="53"/>
      <c r="EK626" s="53"/>
      <c r="EL626" s="53"/>
      <c r="EM626" s="53"/>
      <c r="EN626" s="53"/>
      <c r="EO626" s="53"/>
      <c r="EP626" s="53"/>
      <c r="EQ626" s="53"/>
      <c r="ER626" s="53"/>
      <c r="ES626" s="53"/>
      <c r="ET626" s="53"/>
      <c r="EU626" s="53"/>
      <c r="EV626" s="53"/>
      <c r="EW626" s="53"/>
      <c r="EX626" s="53"/>
      <c r="EY626" s="53"/>
      <c r="EZ626" s="53"/>
      <c r="FA626" s="53"/>
      <c r="FB626" s="53"/>
      <c r="FC626" s="53"/>
      <c r="FD626" s="53"/>
      <c r="FE626" s="53"/>
      <c r="FF626" s="53"/>
      <c r="FG626" s="53"/>
      <c r="FH626" s="53"/>
      <c r="FI626" s="53"/>
      <c r="FJ626" s="53"/>
      <c r="FK626" s="53"/>
      <c r="FL626" s="53"/>
      <c r="FM626" s="53"/>
      <c r="FN626" s="53"/>
      <c r="FO626" s="53"/>
      <c r="FP626" s="53"/>
      <c r="FQ626" s="53"/>
      <c r="FR626" s="53"/>
      <c r="FS626" s="53"/>
      <c r="FT626" s="53"/>
      <c r="FU626" s="53"/>
      <c r="FV626" s="53"/>
      <c r="FW626" s="53"/>
      <c r="FX626" s="53"/>
      <c r="FY626" s="53"/>
      <c r="FZ626" s="53"/>
      <c r="GA626" s="53"/>
      <c r="GB626" s="53"/>
      <c r="GC626" s="53"/>
      <c r="GD626" s="53"/>
      <c r="GE626" s="53"/>
      <c r="GF626" s="53"/>
      <c r="GG626" s="53"/>
      <c r="GH626" s="53"/>
      <c r="GI626" s="53"/>
      <c r="GJ626" s="53"/>
      <c r="GK626" s="53"/>
      <c r="GL626" s="53"/>
      <c r="GM626" s="53"/>
      <c r="GN626" s="53"/>
      <c r="GO626" s="53"/>
      <c r="GP626" s="53"/>
      <c r="GQ626" s="53"/>
      <c r="GR626" s="53"/>
      <c r="GS626" s="53"/>
      <c r="GT626" s="53"/>
      <c r="GU626" s="53"/>
      <c r="GV626" s="53"/>
      <c r="GW626" s="53"/>
      <c r="GX626" s="53"/>
      <c r="GY626" s="53"/>
      <c r="GZ626" s="53"/>
      <c r="HA626" s="53"/>
      <c r="HB626" s="53"/>
      <c r="HC626" s="53"/>
      <c r="HD626" s="53"/>
      <c r="HE626" s="53"/>
      <c r="HF626" s="53"/>
      <c r="HG626" s="53"/>
      <c r="HH626" s="53"/>
      <c r="HI626" s="53"/>
      <c r="HJ626" s="53"/>
      <c r="HK626" s="53"/>
      <c r="HL626" s="53"/>
      <c r="HM626" s="53"/>
      <c r="HN626" s="53"/>
      <c r="HO626" s="53"/>
      <c r="HP626" s="53"/>
      <c r="HQ626" s="53"/>
      <c r="HR626" s="53"/>
      <c r="HS626" s="53"/>
      <c r="HT626" s="53"/>
      <c r="HU626" s="53"/>
      <c r="HV626" s="53"/>
      <c r="HW626" s="53"/>
      <c r="HX626" s="53"/>
      <c r="HY626" s="53"/>
      <c r="HZ626" s="53"/>
      <c r="IA626" s="53"/>
    </row>
    <row r="627" spans="1:235" ht="11.25">
      <c r="A627" s="5" t="s">
        <v>5</v>
      </c>
      <c r="B627" s="6"/>
      <c r="C627" s="6"/>
      <c r="D627" s="7"/>
      <c r="E627" s="7"/>
      <c r="F627" s="7"/>
      <c r="G627" s="7"/>
      <c r="H627" s="7"/>
      <c r="I627" s="7"/>
      <c r="J627" s="23"/>
      <c r="K627" s="23"/>
      <c r="L627" s="23"/>
      <c r="M627" s="23"/>
      <c r="N627" s="23"/>
      <c r="O627" s="23"/>
      <c r="P627" s="7"/>
      <c r="Q627" s="24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22.5">
      <c r="A628" s="8" t="s">
        <v>346</v>
      </c>
      <c r="B628" s="6"/>
      <c r="C628" s="6"/>
      <c r="D628" s="7"/>
      <c r="E628" s="7">
        <v>63</v>
      </c>
      <c r="F628" s="7">
        <v>63</v>
      </c>
      <c r="G628" s="7"/>
      <c r="H628" s="7">
        <v>22</v>
      </c>
      <c r="I628" s="7"/>
      <c r="J628" s="23">
        <f>H628</f>
        <v>22</v>
      </c>
      <c r="K628" s="23"/>
      <c r="L628" s="23"/>
      <c r="M628" s="23"/>
      <c r="N628" s="23"/>
      <c r="O628" s="23"/>
      <c r="P628" s="7"/>
      <c r="Q628" s="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11.25">
      <c r="A629" s="5" t="s">
        <v>7</v>
      </c>
      <c r="B629" s="6"/>
      <c r="C629" s="6"/>
      <c r="D629" s="7"/>
      <c r="E629" s="7"/>
      <c r="F629" s="7"/>
      <c r="G629" s="7"/>
      <c r="H629" s="7"/>
      <c r="I629" s="7"/>
      <c r="J629" s="23"/>
      <c r="K629" s="23"/>
      <c r="L629" s="23"/>
      <c r="M629" s="23"/>
      <c r="N629" s="23"/>
      <c r="O629" s="23"/>
      <c r="P629" s="7"/>
      <c r="Q629" s="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22.5">
      <c r="A630" s="8" t="s">
        <v>347</v>
      </c>
      <c r="B630" s="6"/>
      <c r="C630" s="6"/>
      <c r="D630" s="7"/>
      <c r="E630" s="7">
        <v>36300</v>
      </c>
      <c r="F630" s="7">
        <v>36300</v>
      </c>
      <c r="G630" s="7"/>
      <c r="H630" s="7">
        <v>50390.91</v>
      </c>
      <c r="I630" s="7"/>
      <c r="J630" s="23">
        <f>H630</f>
        <v>50390.91</v>
      </c>
      <c r="K630" s="23"/>
      <c r="L630" s="23"/>
      <c r="M630" s="23"/>
      <c r="N630" s="23"/>
      <c r="O630" s="23"/>
      <c r="P630" s="7"/>
      <c r="Q630" s="24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11.25">
      <c r="A631" s="8"/>
      <c r="B631" s="6"/>
      <c r="C631" s="6"/>
      <c r="D631" s="7"/>
      <c r="E631" s="7"/>
      <c r="F631" s="7"/>
      <c r="G631" s="7"/>
      <c r="H631" s="7"/>
      <c r="I631" s="7"/>
      <c r="J631" s="23"/>
      <c r="K631" s="23"/>
      <c r="L631" s="23"/>
      <c r="M631" s="23"/>
      <c r="N631" s="23"/>
      <c r="O631" s="23"/>
      <c r="P631" s="7"/>
      <c r="Q631" s="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11.25">
      <c r="A632" s="37" t="s">
        <v>329</v>
      </c>
      <c r="B632" s="6"/>
      <c r="C632" s="6"/>
      <c r="D632" s="36">
        <f>D634</f>
        <v>3000000</v>
      </c>
      <c r="E632" s="36">
        <f aca="true" t="shared" si="63" ref="E632:Q632">E634</f>
        <v>0</v>
      </c>
      <c r="F632" s="36">
        <f t="shared" si="63"/>
        <v>3000000</v>
      </c>
      <c r="G632" s="36">
        <f t="shared" si="63"/>
        <v>1714999.99773</v>
      </c>
      <c r="H632" s="36">
        <f t="shared" si="63"/>
        <v>0</v>
      </c>
      <c r="I632" s="36">
        <f t="shared" si="63"/>
        <v>0</v>
      </c>
      <c r="J632" s="36">
        <f t="shared" si="63"/>
        <v>1714999.99773</v>
      </c>
      <c r="K632" s="36">
        <f t="shared" si="63"/>
        <v>0</v>
      </c>
      <c r="L632" s="36">
        <f t="shared" si="63"/>
        <v>0</v>
      </c>
      <c r="M632" s="36">
        <f t="shared" si="63"/>
        <v>0</v>
      </c>
      <c r="N632" s="36">
        <f t="shared" si="63"/>
        <v>100000</v>
      </c>
      <c r="O632" s="36">
        <f t="shared" si="63"/>
        <v>0</v>
      </c>
      <c r="P632" s="36">
        <f t="shared" si="63"/>
        <v>100000</v>
      </c>
      <c r="Q632" s="36">
        <f t="shared" si="63"/>
        <v>0</v>
      </c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22.5">
      <c r="A633" s="8" t="s">
        <v>260</v>
      </c>
      <c r="B633" s="6"/>
      <c r="C633" s="6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17" s="39" customFormat="1" ht="37.5" customHeight="1">
      <c r="A634" s="34" t="s">
        <v>433</v>
      </c>
      <c r="B634" s="35"/>
      <c r="C634" s="35"/>
      <c r="D634" s="45">
        <f>D636</f>
        <v>3000000</v>
      </c>
      <c r="E634" s="45"/>
      <c r="F634" s="45">
        <f>D634+E634</f>
        <v>3000000</v>
      </c>
      <c r="G634" s="36">
        <f>G639*G641</f>
        <v>1714999.99773</v>
      </c>
      <c r="H634" s="36"/>
      <c r="I634" s="36"/>
      <c r="J634" s="36">
        <f>J636</f>
        <v>1714999.99773</v>
      </c>
      <c r="K634" s="36"/>
      <c r="L634" s="36"/>
      <c r="M634" s="36"/>
      <c r="N634" s="36">
        <f>N636</f>
        <v>100000</v>
      </c>
      <c r="O634" s="36"/>
      <c r="P634" s="36">
        <f>N634</f>
        <v>100000</v>
      </c>
      <c r="Q634" s="78"/>
    </row>
    <row r="635" spans="1:235" ht="11.25">
      <c r="A635" s="5" t="s">
        <v>4</v>
      </c>
      <c r="B635" s="6"/>
      <c r="C635" s="6"/>
      <c r="D635" s="84"/>
      <c r="E635" s="84"/>
      <c r="F635" s="84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24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235" ht="10.5" customHeight="1">
      <c r="A636" s="8" t="s">
        <v>43</v>
      </c>
      <c r="B636" s="6"/>
      <c r="C636" s="6"/>
      <c r="D636" s="84">
        <f>D639*D641</f>
        <v>3000000</v>
      </c>
      <c r="E636" s="84"/>
      <c r="F636" s="84">
        <f>D636+E636</f>
        <v>3000000</v>
      </c>
      <c r="G636" s="7">
        <f>G639*G641</f>
        <v>1714999.99773</v>
      </c>
      <c r="H636" s="7"/>
      <c r="I636" s="7"/>
      <c r="J636" s="7">
        <f>G636+H636</f>
        <v>1714999.99773</v>
      </c>
      <c r="K636" s="7"/>
      <c r="L636" s="7"/>
      <c r="M636" s="7"/>
      <c r="N636" s="7">
        <v>100000</v>
      </c>
      <c r="O636" s="7"/>
      <c r="P636" s="7">
        <f>P639*P641</f>
        <v>100003.5</v>
      </c>
      <c r="Q636" s="24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  <c r="BZ636" s="53"/>
      <c r="CA636" s="53"/>
      <c r="CB636" s="53"/>
      <c r="CC636" s="53"/>
      <c r="CD636" s="53"/>
      <c r="CE636" s="53"/>
      <c r="CF636" s="53"/>
      <c r="CG636" s="53"/>
      <c r="CH636" s="53"/>
      <c r="CI636" s="53"/>
      <c r="CJ636" s="53"/>
      <c r="CK636" s="53"/>
      <c r="CL636" s="53"/>
      <c r="CM636" s="53"/>
      <c r="CN636" s="53"/>
      <c r="CO636" s="53"/>
      <c r="CP636" s="53"/>
      <c r="CQ636" s="53"/>
      <c r="CR636" s="53"/>
      <c r="CS636" s="53"/>
      <c r="CT636" s="53"/>
      <c r="CU636" s="53"/>
      <c r="CV636" s="53"/>
      <c r="CW636" s="53"/>
      <c r="CX636" s="53"/>
      <c r="CY636" s="53"/>
      <c r="CZ636" s="53"/>
      <c r="DA636" s="53"/>
      <c r="DB636" s="53"/>
      <c r="DC636" s="53"/>
      <c r="DD636" s="53"/>
      <c r="DE636" s="53"/>
      <c r="DF636" s="53"/>
      <c r="DG636" s="53"/>
      <c r="DH636" s="53"/>
      <c r="DI636" s="53"/>
      <c r="DJ636" s="53"/>
      <c r="DK636" s="53"/>
      <c r="DL636" s="53"/>
      <c r="DM636" s="53"/>
      <c r="DN636" s="53"/>
      <c r="DO636" s="53"/>
      <c r="DP636" s="53"/>
      <c r="DQ636" s="53"/>
      <c r="DR636" s="53"/>
      <c r="DS636" s="53"/>
      <c r="DT636" s="53"/>
      <c r="DU636" s="53"/>
      <c r="DV636" s="53"/>
      <c r="DW636" s="53"/>
      <c r="DX636" s="53"/>
      <c r="DY636" s="53"/>
      <c r="DZ636" s="53"/>
      <c r="EA636" s="53"/>
      <c r="EB636" s="53"/>
      <c r="EC636" s="53"/>
      <c r="ED636" s="53"/>
      <c r="EE636" s="53"/>
      <c r="EF636" s="53"/>
      <c r="EG636" s="53"/>
      <c r="EH636" s="53"/>
      <c r="EI636" s="53"/>
      <c r="EJ636" s="53"/>
      <c r="EK636" s="53"/>
      <c r="EL636" s="53"/>
      <c r="EM636" s="53"/>
      <c r="EN636" s="53"/>
      <c r="EO636" s="53"/>
      <c r="EP636" s="53"/>
      <c r="EQ636" s="53"/>
      <c r="ER636" s="53"/>
      <c r="ES636" s="53"/>
      <c r="ET636" s="53"/>
      <c r="EU636" s="53"/>
      <c r="EV636" s="53"/>
      <c r="EW636" s="53"/>
      <c r="EX636" s="53"/>
      <c r="EY636" s="53"/>
      <c r="EZ636" s="53"/>
      <c r="FA636" s="53"/>
      <c r="FB636" s="53"/>
      <c r="FC636" s="53"/>
      <c r="FD636" s="53"/>
      <c r="FE636" s="53"/>
      <c r="FF636" s="53"/>
      <c r="FG636" s="53"/>
      <c r="FH636" s="53"/>
      <c r="FI636" s="53"/>
      <c r="FJ636" s="53"/>
      <c r="FK636" s="53"/>
      <c r="FL636" s="53"/>
      <c r="FM636" s="53"/>
      <c r="FN636" s="53"/>
      <c r="FO636" s="53"/>
      <c r="FP636" s="53"/>
      <c r="FQ636" s="53"/>
      <c r="FR636" s="53"/>
      <c r="FS636" s="53"/>
      <c r="FT636" s="53"/>
      <c r="FU636" s="53"/>
      <c r="FV636" s="53"/>
      <c r="FW636" s="53"/>
      <c r="FX636" s="53"/>
      <c r="FY636" s="53"/>
      <c r="FZ636" s="53"/>
      <c r="GA636" s="53"/>
      <c r="GB636" s="53"/>
      <c r="GC636" s="53"/>
      <c r="GD636" s="53"/>
      <c r="GE636" s="53"/>
      <c r="GF636" s="53"/>
      <c r="GG636" s="53"/>
      <c r="GH636" s="53"/>
      <c r="GI636" s="53"/>
      <c r="GJ636" s="53"/>
      <c r="GK636" s="53"/>
      <c r="GL636" s="53"/>
      <c r="GM636" s="53"/>
      <c r="GN636" s="53"/>
      <c r="GO636" s="53"/>
      <c r="GP636" s="53"/>
      <c r="GQ636" s="53"/>
      <c r="GR636" s="53"/>
      <c r="GS636" s="53"/>
      <c r="GT636" s="53"/>
      <c r="GU636" s="53"/>
      <c r="GV636" s="53"/>
      <c r="GW636" s="53"/>
      <c r="GX636" s="53"/>
      <c r="GY636" s="53"/>
      <c r="GZ636" s="53"/>
      <c r="HA636" s="53"/>
      <c r="HB636" s="53"/>
      <c r="HC636" s="53"/>
      <c r="HD636" s="53"/>
      <c r="HE636" s="53"/>
      <c r="HF636" s="53"/>
      <c r="HG636" s="53"/>
      <c r="HH636" s="53"/>
      <c r="HI636" s="53"/>
      <c r="HJ636" s="53"/>
      <c r="HK636" s="53"/>
      <c r="HL636" s="53"/>
      <c r="HM636" s="53"/>
      <c r="HN636" s="53"/>
      <c r="HO636" s="53"/>
      <c r="HP636" s="53"/>
      <c r="HQ636" s="53"/>
      <c r="HR636" s="53"/>
      <c r="HS636" s="53"/>
      <c r="HT636" s="53"/>
      <c r="HU636" s="53"/>
      <c r="HV636" s="53"/>
      <c r="HW636" s="53"/>
      <c r="HX636" s="53"/>
      <c r="HY636" s="53"/>
      <c r="HZ636" s="53"/>
      <c r="IA636" s="53"/>
    </row>
    <row r="637" spans="1:235" ht="11.25">
      <c r="A637" s="5" t="s">
        <v>5</v>
      </c>
      <c r="B637" s="6"/>
      <c r="C637" s="6"/>
      <c r="D637" s="84"/>
      <c r="E637" s="84"/>
      <c r="F637" s="84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24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  <c r="BZ637" s="53"/>
      <c r="CA637" s="53"/>
      <c r="CB637" s="53"/>
      <c r="CC637" s="53"/>
      <c r="CD637" s="53"/>
      <c r="CE637" s="53"/>
      <c r="CF637" s="53"/>
      <c r="CG637" s="53"/>
      <c r="CH637" s="53"/>
      <c r="CI637" s="53"/>
      <c r="CJ637" s="53"/>
      <c r="CK637" s="53"/>
      <c r="CL637" s="53"/>
      <c r="CM637" s="53"/>
      <c r="CN637" s="53"/>
      <c r="CO637" s="53"/>
      <c r="CP637" s="53"/>
      <c r="CQ637" s="53"/>
      <c r="CR637" s="53"/>
      <c r="CS637" s="53"/>
      <c r="CT637" s="53"/>
      <c r="CU637" s="53"/>
      <c r="CV637" s="53"/>
      <c r="CW637" s="53"/>
      <c r="CX637" s="53"/>
      <c r="CY637" s="53"/>
      <c r="CZ637" s="53"/>
      <c r="DA637" s="53"/>
      <c r="DB637" s="53"/>
      <c r="DC637" s="53"/>
      <c r="DD637" s="53"/>
      <c r="DE637" s="53"/>
      <c r="DF637" s="53"/>
      <c r="DG637" s="53"/>
      <c r="DH637" s="53"/>
      <c r="DI637" s="53"/>
      <c r="DJ637" s="53"/>
      <c r="DK637" s="53"/>
      <c r="DL637" s="53"/>
      <c r="DM637" s="53"/>
      <c r="DN637" s="53"/>
      <c r="DO637" s="53"/>
      <c r="DP637" s="53"/>
      <c r="DQ637" s="53"/>
      <c r="DR637" s="53"/>
      <c r="DS637" s="53"/>
      <c r="DT637" s="53"/>
      <c r="DU637" s="53"/>
      <c r="DV637" s="53"/>
      <c r="DW637" s="53"/>
      <c r="DX637" s="53"/>
      <c r="DY637" s="53"/>
      <c r="DZ637" s="53"/>
      <c r="EA637" s="53"/>
      <c r="EB637" s="53"/>
      <c r="EC637" s="53"/>
      <c r="ED637" s="53"/>
      <c r="EE637" s="53"/>
      <c r="EF637" s="53"/>
      <c r="EG637" s="53"/>
      <c r="EH637" s="53"/>
      <c r="EI637" s="53"/>
      <c r="EJ637" s="53"/>
      <c r="EK637" s="53"/>
      <c r="EL637" s="53"/>
      <c r="EM637" s="53"/>
      <c r="EN637" s="53"/>
      <c r="EO637" s="53"/>
      <c r="EP637" s="53"/>
      <c r="EQ637" s="53"/>
      <c r="ER637" s="53"/>
      <c r="ES637" s="53"/>
      <c r="ET637" s="53"/>
      <c r="EU637" s="53"/>
      <c r="EV637" s="53"/>
      <c r="EW637" s="53"/>
      <c r="EX637" s="53"/>
      <c r="EY637" s="53"/>
      <c r="EZ637" s="53"/>
      <c r="FA637" s="53"/>
      <c r="FB637" s="53"/>
      <c r="FC637" s="53"/>
      <c r="FD637" s="53"/>
      <c r="FE637" s="53"/>
      <c r="FF637" s="53"/>
      <c r="FG637" s="53"/>
      <c r="FH637" s="53"/>
      <c r="FI637" s="53"/>
      <c r="FJ637" s="53"/>
      <c r="FK637" s="53"/>
      <c r="FL637" s="53"/>
      <c r="FM637" s="53"/>
      <c r="FN637" s="53"/>
      <c r="FO637" s="53"/>
      <c r="FP637" s="53"/>
      <c r="FQ637" s="53"/>
      <c r="FR637" s="53"/>
      <c r="FS637" s="53"/>
      <c r="FT637" s="53"/>
      <c r="FU637" s="53"/>
      <c r="FV637" s="53"/>
      <c r="FW637" s="53"/>
      <c r="FX637" s="53"/>
      <c r="FY637" s="53"/>
      <c r="FZ637" s="53"/>
      <c r="GA637" s="53"/>
      <c r="GB637" s="53"/>
      <c r="GC637" s="53"/>
      <c r="GD637" s="53"/>
      <c r="GE637" s="53"/>
      <c r="GF637" s="53"/>
      <c r="GG637" s="53"/>
      <c r="GH637" s="53"/>
      <c r="GI637" s="53"/>
      <c r="GJ637" s="53"/>
      <c r="GK637" s="53"/>
      <c r="GL637" s="53"/>
      <c r="GM637" s="53"/>
      <c r="GN637" s="53"/>
      <c r="GO637" s="53"/>
      <c r="GP637" s="53"/>
      <c r="GQ637" s="53"/>
      <c r="GR637" s="53"/>
      <c r="GS637" s="53"/>
      <c r="GT637" s="53"/>
      <c r="GU637" s="53"/>
      <c r="GV637" s="53"/>
      <c r="GW637" s="53"/>
      <c r="GX637" s="53"/>
      <c r="GY637" s="53"/>
      <c r="GZ637" s="53"/>
      <c r="HA637" s="53"/>
      <c r="HB637" s="53"/>
      <c r="HC637" s="53"/>
      <c r="HD637" s="53"/>
      <c r="HE637" s="53"/>
      <c r="HF637" s="53"/>
      <c r="HG637" s="53"/>
      <c r="HH637" s="53"/>
      <c r="HI637" s="53"/>
      <c r="HJ637" s="53"/>
      <c r="HK637" s="53"/>
      <c r="HL637" s="53"/>
      <c r="HM637" s="53"/>
      <c r="HN637" s="53"/>
      <c r="HO637" s="53"/>
      <c r="HP637" s="53"/>
      <c r="HQ637" s="53"/>
      <c r="HR637" s="53"/>
      <c r="HS637" s="53"/>
      <c r="HT637" s="53"/>
      <c r="HU637" s="53"/>
      <c r="HV637" s="53"/>
      <c r="HW637" s="53"/>
      <c r="HX637" s="53"/>
      <c r="HY637" s="53"/>
      <c r="HZ637" s="53"/>
      <c r="IA637" s="53"/>
    </row>
    <row r="638" spans="1:235" ht="0.75" customHeight="1">
      <c r="A638" s="8" t="s">
        <v>169</v>
      </c>
      <c r="B638" s="6"/>
      <c r="C638" s="6"/>
      <c r="D638" s="84"/>
      <c r="E638" s="84"/>
      <c r="F638" s="84">
        <f>D638+E638</f>
        <v>0</v>
      </c>
      <c r="G638" s="84"/>
      <c r="H638" s="84"/>
      <c r="I638" s="84"/>
      <c r="J638" s="84"/>
      <c r="K638" s="7"/>
      <c r="L638" s="7"/>
      <c r="M638" s="7"/>
      <c r="N638" s="7"/>
      <c r="O638" s="7"/>
      <c r="P638" s="7"/>
      <c r="Q638" s="24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  <c r="DG638" s="53"/>
      <c r="DH638" s="53"/>
      <c r="DI638" s="53"/>
      <c r="DJ638" s="53"/>
      <c r="DK638" s="53"/>
      <c r="DL638" s="53"/>
      <c r="DM638" s="53"/>
      <c r="DN638" s="53"/>
      <c r="DO638" s="53"/>
      <c r="DP638" s="53"/>
      <c r="DQ638" s="53"/>
      <c r="DR638" s="53"/>
      <c r="DS638" s="53"/>
      <c r="DT638" s="53"/>
      <c r="DU638" s="53"/>
      <c r="DV638" s="53"/>
      <c r="DW638" s="53"/>
      <c r="DX638" s="53"/>
      <c r="DY638" s="53"/>
      <c r="DZ638" s="53"/>
      <c r="EA638" s="53"/>
      <c r="EB638" s="53"/>
      <c r="EC638" s="53"/>
      <c r="ED638" s="53"/>
      <c r="EE638" s="53"/>
      <c r="EF638" s="53"/>
      <c r="EG638" s="53"/>
      <c r="EH638" s="53"/>
      <c r="EI638" s="53"/>
      <c r="EJ638" s="53"/>
      <c r="EK638" s="53"/>
      <c r="EL638" s="53"/>
      <c r="EM638" s="53"/>
      <c r="EN638" s="53"/>
      <c r="EO638" s="53"/>
      <c r="EP638" s="53"/>
      <c r="EQ638" s="53"/>
      <c r="ER638" s="53"/>
      <c r="ES638" s="53"/>
      <c r="ET638" s="53"/>
      <c r="EU638" s="53"/>
      <c r="EV638" s="53"/>
      <c r="EW638" s="53"/>
      <c r="EX638" s="53"/>
      <c r="EY638" s="53"/>
      <c r="EZ638" s="53"/>
      <c r="FA638" s="53"/>
      <c r="FB638" s="53"/>
      <c r="FC638" s="53"/>
      <c r="FD638" s="53"/>
      <c r="FE638" s="53"/>
      <c r="FF638" s="53"/>
      <c r="FG638" s="53"/>
      <c r="FH638" s="53"/>
      <c r="FI638" s="53"/>
      <c r="FJ638" s="53"/>
      <c r="FK638" s="53"/>
      <c r="FL638" s="53"/>
      <c r="FM638" s="53"/>
      <c r="FN638" s="53"/>
      <c r="FO638" s="53"/>
      <c r="FP638" s="53"/>
      <c r="FQ638" s="53"/>
      <c r="FR638" s="53"/>
      <c r="FS638" s="53"/>
      <c r="FT638" s="53"/>
      <c r="FU638" s="53"/>
      <c r="FV638" s="53"/>
      <c r="FW638" s="53"/>
      <c r="FX638" s="53"/>
      <c r="FY638" s="53"/>
      <c r="FZ638" s="53"/>
      <c r="GA638" s="53"/>
      <c r="GB638" s="53"/>
      <c r="GC638" s="53"/>
      <c r="GD638" s="53"/>
      <c r="GE638" s="53"/>
      <c r="GF638" s="53"/>
      <c r="GG638" s="53"/>
      <c r="GH638" s="53"/>
      <c r="GI638" s="53"/>
      <c r="GJ638" s="53"/>
      <c r="GK638" s="53"/>
      <c r="GL638" s="53"/>
      <c r="GM638" s="53"/>
      <c r="GN638" s="53"/>
      <c r="GO638" s="53"/>
      <c r="GP638" s="53"/>
      <c r="GQ638" s="53"/>
      <c r="GR638" s="53"/>
      <c r="GS638" s="53"/>
      <c r="GT638" s="53"/>
      <c r="GU638" s="53"/>
      <c r="GV638" s="53"/>
      <c r="GW638" s="53"/>
      <c r="GX638" s="53"/>
      <c r="GY638" s="53"/>
      <c r="GZ638" s="53"/>
      <c r="HA638" s="53"/>
      <c r="HB638" s="53"/>
      <c r="HC638" s="53"/>
      <c r="HD638" s="53"/>
      <c r="HE638" s="53"/>
      <c r="HF638" s="53"/>
      <c r="HG638" s="53"/>
      <c r="HH638" s="53"/>
      <c r="HI638" s="53"/>
      <c r="HJ638" s="53"/>
      <c r="HK638" s="53"/>
      <c r="HL638" s="53"/>
      <c r="HM638" s="53"/>
      <c r="HN638" s="53"/>
      <c r="HO638" s="53"/>
      <c r="HP638" s="53"/>
      <c r="HQ638" s="53"/>
      <c r="HR638" s="53"/>
      <c r="HS638" s="53"/>
      <c r="HT638" s="53"/>
      <c r="HU638" s="53"/>
      <c r="HV638" s="53"/>
      <c r="HW638" s="53"/>
      <c r="HX638" s="53"/>
      <c r="HY638" s="53"/>
      <c r="HZ638" s="53"/>
      <c r="IA638" s="53"/>
    </row>
    <row r="639" spans="1:235" ht="11.25">
      <c r="A639" s="8" t="s">
        <v>176</v>
      </c>
      <c r="B639" s="6"/>
      <c r="C639" s="6"/>
      <c r="D639" s="84">
        <v>667</v>
      </c>
      <c r="E639" s="84"/>
      <c r="F639" s="84">
        <f>D639+E639</f>
        <v>667</v>
      </c>
      <c r="G639" s="84">
        <v>381</v>
      </c>
      <c r="H639" s="84"/>
      <c r="I639" s="84"/>
      <c r="J639" s="84">
        <f>G639+H639</f>
        <v>381</v>
      </c>
      <c r="K639" s="7"/>
      <c r="L639" s="7"/>
      <c r="M639" s="7"/>
      <c r="N639" s="159">
        <v>14.085</v>
      </c>
      <c r="O639" s="7"/>
      <c r="P639" s="159">
        <f>N639</f>
        <v>14.085</v>
      </c>
      <c r="Q639" s="24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  <c r="BZ639" s="53"/>
      <c r="CA639" s="53"/>
      <c r="CB639" s="53"/>
      <c r="CC639" s="53"/>
      <c r="CD639" s="53"/>
      <c r="CE639" s="53"/>
      <c r="CF639" s="53"/>
      <c r="CG639" s="53"/>
      <c r="CH639" s="53"/>
      <c r="CI639" s="53"/>
      <c r="CJ639" s="53"/>
      <c r="CK639" s="53"/>
      <c r="CL639" s="53"/>
      <c r="CM639" s="53"/>
      <c r="CN639" s="53"/>
      <c r="CO639" s="53"/>
      <c r="CP639" s="53"/>
      <c r="CQ639" s="53"/>
      <c r="CR639" s="53"/>
      <c r="CS639" s="53"/>
      <c r="CT639" s="53"/>
      <c r="CU639" s="53"/>
      <c r="CV639" s="53"/>
      <c r="CW639" s="53"/>
      <c r="CX639" s="53"/>
      <c r="CY639" s="53"/>
      <c r="CZ639" s="53"/>
      <c r="DA639" s="53"/>
      <c r="DB639" s="53"/>
      <c r="DC639" s="53"/>
      <c r="DD639" s="53"/>
      <c r="DE639" s="53"/>
      <c r="DF639" s="53"/>
      <c r="DG639" s="53"/>
      <c r="DH639" s="53"/>
      <c r="DI639" s="53"/>
      <c r="DJ639" s="53"/>
      <c r="DK639" s="53"/>
      <c r="DL639" s="53"/>
      <c r="DM639" s="53"/>
      <c r="DN639" s="53"/>
      <c r="DO639" s="53"/>
      <c r="DP639" s="53"/>
      <c r="DQ639" s="53"/>
      <c r="DR639" s="53"/>
      <c r="DS639" s="53"/>
      <c r="DT639" s="53"/>
      <c r="DU639" s="53"/>
      <c r="DV639" s="53"/>
      <c r="DW639" s="53"/>
      <c r="DX639" s="53"/>
      <c r="DY639" s="53"/>
      <c r="DZ639" s="53"/>
      <c r="EA639" s="53"/>
      <c r="EB639" s="53"/>
      <c r="EC639" s="53"/>
      <c r="ED639" s="53"/>
      <c r="EE639" s="53"/>
      <c r="EF639" s="53"/>
      <c r="EG639" s="53"/>
      <c r="EH639" s="53"/>
      <c r="EI639" s="53"/>
      <c r="EJ639" s="53"/>
      <c r="EK639" s="53"/>
      <c r="EL639" s="53"/>
      <c r="EM639" s="53"/>
      <c r="EN639" s="53"/>
      <c r="EO639" s="53"/>
      <c r="EP639" s="53"/>
      <c r="EQ639" s="53"/>
      <c r="ER639" s="53"/>
      <c r="ES639" s="53"/>
      <c r="ET639" s="53"/>
      <c r="EU639" s="53"/>
      <c r="EV639" s="53"/>
      <c r="EW639" s="53"/>
      <c r="EX639" s="53"/>
      <c r="EY639" s="53"/>
      <c r="EZ639" s="53"/>
      <c r="FA639" s="53"/>
      <c r="FB639" s="53"/>
      <c r="FC639" s="53"/>
      <c r="FD639" s="53"/>
      <c r="FE639" s="53"/>
      <c r="FF639" s="53"/>
      <c r="FG639" s="53"/>
      <c r="FH639" s="53"/>
      <c r="FI639" s="53"/>
      <c r="FJ639" s="53"/>
      <c r="FK639" s="53"/>
      <c r="FL639" s="53"/>
      <c r="FM639" s="53"/>
      <c r="FN639" s="53"/>
      <c r="FO639" s="53"/>
      <c r="FP639" s="53"/>
      <c r="FQ639" s="53"/>
      <c r="FR639" s="53"/>
      <c r="FS639" s="53"/>
      <c r="FT639" s="53"/>
      <c r="FU639" s="53"/>
      <c r="FV639" s="53"/>
      <c r="FW639" s="53"/>
      <c r="FX639" s="53"/>
      <c r="FY639" s="53"/>
      <c r="FZ639" s="53"/>
      <c r="GA639" s="53"/>
      <c r="GB639" s="53"/>
      <c r="GC639" s="53"/>
      <c r="GD639" s="53"/>
      <c r="GE639" s="53"/>
      <c r="GF639" s="53"/>
      <c r="GG639" s="53"/>
      <c r="GH639" s="53"/>
      <c r="GI639" s="53"/>
      <c r="GJ639" s="53"/>
      <c r="GK639" s="53"/>
      <c r="GL639" s="53"/>
      <c r="GM639" s="53"/>
      <c r="GN639" s="53"/>
      <c r="GO639" s="53"/>
      <c r="GP639" s="53"/>
      <c r="GQ639" s="53"/>
      <c r="GR639" s="53"/>
      <c r="GS639" s="53"/>
      <c r="GT639" s="53"/>
      <c r="GU639" s="53"/>
      <c r="GV639" s="53"/>
      <c r="GW639" s="53"/>
      <c r="GX639" s="53"/>
      <c r="GY639" s="53"/>
      <c r="GZ639" s="53"/>
      <c r="HA639" s="53"/>
      <c r="HB639" s="53"/>
      <c r="HC639" s="53"/>
      <c r="HD639" s="53"/>
      <c r="HE639" s="53"/>
      <c r="HF639" s="53"/>
      <c r="HG639" s="53"/>
      <c r="HH639" s="53"/>
      <c r="HI639" s="53"/>
      <c r="HJ639" s="53"/>
      <c r="HK639" s="53"/>
      <c r="HL639" s="53"/>
      <c r="HM639" s="53"/>
      <c r="HN639" s="53"/>
      <c r="HO639" s="53"/>
      <c r="HP639" s="53"/>
      <c r="HQ639" s="53"/>
      <c r="HR639" s="53"/>
      <c r="HS639" s="53"/>
      <c r="HT639" s="53"/>
      <c r="HU639" s="53"/>
      <c r="HV639" s="53"/>
      <c r="HW639" s="53"/>
      <c r="HX639" s="53"/>
      <c r="HY639" s="53"/>
      <c r="HZ639" s="53"/>
      <c r="IA639" s="53"/>
    </row>
    <row r="640" spans="1:235" ht="10.5" customHeight="1">
      <c r="A640" s="5" t="s">
        <v>7</v>
      </c>
      <c r="B640" s="6"/>
      <c r="C640" s="6"/>
      <c r="D640" s="84"/>
      <c r="E640" s="84"/>
      <c r="F640" s="84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24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  <c r="DG640" s="53"/>
      <c r="DH640" s="53"/>
      <c r="DI640" s="53"/>
      <c r="DJ640" s="53"/>
      <c r="DK640" s="53"/>
      <c r="DL640" s="53"/>
      <c r="DM640" s="53"/>
      <c r="DN640" s="53"/>
      <c r="DO640" s="53"/>
      <c r="DP640" s="53"/>
      <c r="DQ640" s="53"/>
      <c r="DR640" s="53"/>
      <c r="DS640" s="53"/>
      <c r="DT640" s="53"/>
      <c r="DU640" s="53"/>
      <c r="DV640" s="53"/>
      <c r="DW640" s="53"/>
      <c r="DX640" s="53"/>
      <c r="DY640" s="53"/>
      <c r="DZ640" s="53"/>
      <c r="EA640" s="53"/>
      <c r="EB640" s="53"/>
      <c r="EC640" s="53"/>
      <c r="ED640" s="53"/>
      <c r="EE640" s="53"/>
      <c r="EF640" s="53"/>
      <c r="EG640" s="53"/>
      <c r="EH640" s="53"/>
      <c r="EI640" s="53"/>
      <c r="EJ640" s="53"/>
      <c r="EK640" s="53"/>
      <c r="EL640" s="53"/>
      <c r="EM640" s="53"/>
      <c r="EN640" s="53"/>
      <c r="EO640" s="53"/>
      <c r="EP640" s="53"/>
      <c r="EQ640" s="53"/>
      <c r="ER640" s="53"/>
      <c r="ES640" s="53"/>
      <c r="ET640" s="53"/>
      <c r="EU640" s="53"/>
      <c r="EV640" s="53"/>
      <c r="EW640" s="53"/>
      <c r="EX640" s="53"/>
      <c r="EY640" s="53"/>
      <c r="EZ640" s="53"/>
      <c r="FA640" s="53"/>
      <c r="FB640" s="53"/>
      <c r="FC640" s="53"/>
      <c r="FD640" s="53"/>
      <c r="FE640" s="53"/>
      <c r="FF640" s="53"/>
      <c r="FG640" s="53"/>
      <c r="FH640" s="53"/>
      <c r="FI640" s="53"/>
      <c r="FJ640" s="53"/>
      <c r="FK640" s="53"/>
      <c r="FL640" s="53"/>
      <c r="FM640" s="53"/>
      <c r="FN640" s="53"/>
      <c r="FO640" s="53"/>
      <c r="FP640" s="53"/>
      <c r="FQ640" s="53"/>
      <c r="FR640" s="53"/>
      <c r="FS640" s="53"/>
      <c r="FT640" s="53"/>
      <c r="FU640" s="53"/>
      <c r="FV640" s="53"/>
      <c r="FW640" s="53"/>
      <c r="FX640" s="53"/>
      <c r="FY640" s="53"/>
      <c r="FZ640" s="53"/>
      <c r="GA640" s="53"/>
      <c r="GB640" s="53"/>
      <c r="GC640" s="53"/>
      <c r="GD640" s="53"/>
      <c r="GE640" s="53"/>
      <c r="GF640" s="53"/>
      <c r="GG640" s="53"/>
      <c r="GH640" s="53"/>
      <c r="GI640" s="53"/>
      <c r="GJ640" s="53"/>
      <c r="GK640" s="53"/>
      <c r="GL640" s="53"/>
      <c r="GM640" s="53"/>
      <c r="GN640" s="53"/>
      <c r="GO640" s="53"/>
      <c r="GP640" s="53"/>
      <c r="GQ640" s="53"/>
      <c r="GR640" s="53"/>
      <c r="GS640" s="53"/>
      <c r="GT640" s="53"/>
      <c r="GU640" s="53"/>
      <c r="GV640" s="53"/>
      <c r="GW640" s="53"/>
      <c r="GX640" s="53"/>
      <c r="GY640" s="53"/>
      <c r="GZ640" s="53"/>
      <c r="HA640" s="53"/>
      <c r="HB640" s="53"/>
      <c r="HC640" s="53"/>
      <c r="HD640" s="53"/>
      <c r="HE640" s="53"/>
      <c r="HF640" s="53"/>
      <c r="HG640" s="53"/>
      <c r="HH640" s="53"/>
      <c r="HI640" s="53"/>
      <c r="HJ640" s="53"/>
      <c r="HK640" s="53"/>
      <c r="HL640" s="53"/>
      <c r="HM640" s="53"/>
      <c r="HN640" s="53"/>
      <c r="HO640" s="53"/>
      <c r="HP640" s="53"/>
      <c r="HQ640" s="53"/>
      <c r="HR640" s="53"/>
      <c r="HS640" s="53"/>
      <c r="HT640" s="53"/>
      <c r="HU640" s="53"/>
      <c r="HV640" s="53"/>
      <c r="HW640" s="53"/>
      <c r="HX640" s="53"/>
      <c r="HY640" s="53"/>
      <c r="HZ640" s="53"/>
      <c r="IA640" s="53"/>
    </row>
    <row r="641" spans="1:235" ht="22.5" customHeight="1">
      <c r="A641" s="8" t="s">
        <v>177</v>
      </c>
      <c r="B641" s="6"/>
      <c r="C641" s="6"/>
      <c r="D641" s="7">
        <f>3000000/667</f>
        <v>4497.751124437781</v>
      </c>
      <c r="E641" s="7"/>
      <c r="F641" s="84">
        <f>D641+E641</f>
        <v>4497.751124437781</v>
      </c>
      <c r="G641" s="7">
        <v>4501.31233</v>
      </c>
      <c r="H641" s="7"/>
      <c r="I641" s="7"/>
      <c r="J641" s="7">
        <f>G641+H641</f>
        <v>4501.31233</v>
      </c>
      <c r="K641" s="7"/>
      <c r="L641" s="7"/>
      <c r="M641" s="7"/>
      <c r="N641" s="7">
        <v>7100</v>
      </c>
      <c r="O641" s="7"/>
      <c r="P641" s="7">
        <f>N641</f>
        <v>7100</v>
      </c>
      <c r="Q641" s="24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  <c r="DG641" s="53"/>
      <c r="DH641" s="53"/>
      <c r="DI641" s="53"/>
      <c r="DJ641" s="53"/>
      <c r="DK641" s="53"/>
      <c r="DL641" s="53"/>
      <c r="DM641" s="53"/>
      <c r="DN641" s="53"/>
      <c r="DO641" s="53"/>
      <c r="DP641" s="53"/>
      <c r="DQ641" s="53"/>
      <c r="DR641" s="53"/>
      <c r="DS641" s="53"/>
      <c r="DT641" s="53"/>
      <c r="DU641" s="53"/>
      <c r="DV641" s="53"/>
      <c r="DW641" s="53"/>
      <c r="DX641" s="53"/>
      <c r="DY641" s="53"/>
      <c r="DZ641" s="53"/>
      <c r="EA641" s="53"/>
      <c r="EB641" s="53"/>
      <c r="EC641" s="53"/>
      <c r="ED641" s="53"/>
      <c r="EE641" s="53"/>
      <c r="EF641" s="53"/>
      <c r="EG641" s="53"/>
      <c r="EH641" s="53"/>
      <c r="EI641" s="53"/>
      <c r="EJ641" s="53"/>
      <c r="EK641" s="53"/>
      <c r="EL641" s="53"/>
      <c r="EM641" s="53"/>
      <c r="EN641" s="53"/>
      <c r="EO641" s="53"/>
      <c r="EP641" s="53"/>
      <c r="EQ641" s="53"/>
      <c r="ER641" s="53"/>
      <c r="ES641" s="53"/>
      <c r="ET641" s="53"/>
      <c r="EU641" s="53"/>
      <c r="EV641" s="53"/>
      <c r="EW641" s="53"/>
      <c r="EX641" s="53"/>
      <c r="EY641" s="53"/>
      <c r="EZ641" s="53"/>
      <c r="FA641" s="53"/>
      <c r="FB641" s="53"/>
      <c r="FC641" s="53"/>
      <c r="FD641" s="53"/>
      <c r="FE641" s="53"/>
      <c r="FF641" s="53"/>
      <c r="FG641" s="53"/>
      <c r="FH641" s="53"/>
      <c r="FI641" s="53"/>
      <c r="FJ641" s="53"/>
      <c r="FK641" s="53"/>
      <c r="FL641" s="53"/>
      <c r="FM641" s="53"/>
      <c r="FN641" s="53"/>
      <c r="FO641" s="53"/>
      <c r="FP641" s="53"/>
      <c r="FQ641" s="53"/>
      <c r="FR641" s="53"/>
      <c r="FS641" s="53"/>
      <c r="FT641" s="53"/>
      <c r="FU641" s="53"/>
      <c r="FV641" s="53"/>
      <c r="FW641" s="53"/>
      <c r="FX641" s="53"/>
      <c r="FY641" s="53"/>
      <c r="FZ641" s="53"/>
      <c r="GA641" s="53"/>
      <c r="GB641" s="53"/>
      <c r="GC641" s="53"/>
      <c r="GD641" s="53"/>
      <c r="GE641" s="53"/>
      <c r="GF641" s="53"/>
      <c r="GG641" s="53"/>
      <c r="GH641" s="53"/>
      <c r="GI641" s="53"/>
      <c r="GJ641" s="53"/>
      <c r="GK641" s="53"/>
      <c r="GL641" s="53"/>
      <c r="GM641" s="53"/>
      <c r="GN641" s="53"/>
      <c r="GO641" s="53"/>
      <c r="GP641" s="53"/>
      <c r="GQ641" s="53"/>
      <c r="GR641" s="53"/>
      <c r="GS641" s="53"/>
      <c r="GT641" s="53"/>
      <c r="GU641" s="53"/>
      <c r="GV641" s="53"/>
      <c r="GW641" s="53"/>
      <c r="GX641" s="53"/>
      <c r="GY641" s="53"/>
      <c r="GZ641" s="53"/>
      <c r="HA641" s="53"/>
      <c r="HB641" s="53"/>
      <c r="HC641" s="53"/>
      <c r="HD641" s="53"/>
      <c r="HE641" s="53"/>
      <c r="HF641" s="53"/>
      <c r="HG641" s="53"/>
      <c r="HH641" s="53"/>
      <c r="HI641" s="53"/>
      <c r="HJ641" s="53"/>
      <c r="HK641" s="53"/>
      <c r="HL641" s="53"/>
      <c r="HM641" s="53"/>
      <c r="HN641" s="53"/>
      <c r="HO641" s="53"/>
      <c r="HP641" s="53"/>
      <c r="HQ641" s="53"/>
      <c r="HR641" s="53"/>
      <c r="HS641" s="53"/>
      <c r="HT641" s="53"/>
      <c r="HU641" s="53"/>
      <c r="HV641" s="53"/>
      <c r="HW641" s="53"/>
      <c r="HX641" s="53"/>
      <c r="HY641" s="53"/>
      <c r="HZ641" s="53"/>
      <c r="IA641" s="53"/>
    </row>
    <row r="642" spans="1:235" ht="11.25">
      <c r="A642" s="126" t="s">
        <v>330</v>
      </c>
      <c r="B642" s="6"/>
      <c r="C642" s="6"/>
      <c r="D642" s="30">
        <f>D643</f>
        <v>656000</v>
      </c>
      <c r="E642" s="30">
        <f>E643</f>
        <v>0</v>
      </c>
      <c r="F642" s="30">
        <f>F643</f>
        <v>656000</v>
      </c>
      <c r="G642" s="30">
        <f>G643</f>
        <v>819000</v>
      </c>
      <c r="H642" s="30"/>
      <c r="I642" s="30">
        <f>I643</f>
        <v>0</v>
      </c>
      <c r="J642" s="30">
        <f>G642</f>
        <v>819000</v>
      </c>
      <c r="K642" s="7"/>
      <c r="L642" s="7"/>
      <c r="M642" s="7"/>
      <c r="N642" s="30">
        <f>N643</f>
        <v>725000</v>
      </c>
      <c r="O642" s="30"/>
      <c r="P642" s="30">
        <f>N642</f>
        <v>725000</v>
      </c>
      <c r="Q642" s="24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  <c r="BZ642" s="53"/>
      <c r="CA642" s="53"/>
      <c r="CB642" s="53"/>
      <c r="CC642" s="53"/>
      <c r="CD642" s="53"/>
      <c r="CE642" s="53"/>
      <c r="CF642" s="53"/>
      <c r="CG642" s="53"/>
      <c r="CH642" s="53"/>
      <c r="CI642" s="53"/>
      <c r="CJ642" s="53"/>
      <c r="CK642" s="53"/>
      <c r="CL642" s="53"/>
      <c r="CM642" s="53"/>
      <c r="CN642" s="53"/>
      <c r="CO642" s="53"/>
      <c r="CP642" s="53"/>
      <c r="CQ642" s="53"/>
      <c r="CR642" s="53"/>
      <c r="CS642" s="53"/>
      <c r="CT642" s="53"/>
      <c r="CU642" s="53"/>
      <c r="CV642" s="53"/>
      <c r="CW642" s="53"/>
      <c r="CX642" s="53"/>
      <c r="CY642" s="53"/>
      <c r="CZ642" s="53"/>
      <c r="DA642" s="53"/>
      <c r="DB642" s="53"/>
      <c r="DC642" s="53"/>
      <c r="DD642" s="53"/>
      <c r="DE642" s="53"/>
      <c r="DF642" s="53"/>
      <c r="DG642" s="53"/>
      <c r="DH642" s="53"/>
      <c r="DI642" s="53"/>
      <c r="DJ642" s="53"/>
      <c r="DK642" s="53"/>
      <c r="DL642" s="53"/>
      <c r="DM642" s="53"/>
      <c r="DN642" s="53"/>
      <c r="DO642" s="53"/>
      <c r="DP642" s="53"/>
      <c r="DQ642" s="53"/>
      <c r="DR642" s="53"/>
      <c r="DS642" s="53"/>
      <c r="DT642" s="53"/>
      <c r="DU642" s="53"/>
      <c r="DV642" s="53"/>
      <c r="DW642" s="53"/>
      <c r="DX642" s="53"/>
      <c r="DY642" s="53"/>
      <c r="DZ642" s="53"/>
      <c r="EA642" s="53"/>
      <c r="EB642" s="53"/>
      <c r="EC642" s="53"/>
      <c r="ED642" s="53"/>
      <c r="EE642" s="53"/>
      <c r="EF642" s="53"/>
      <c r="EG642" s="53"/>
      <c r="EH642" s="53"/>
      <c r="EI642" s="53"/>
      <c r="EJ642" s="53"/>
      <c r="EK642" s="53"/>
      <c r="EL642" s="53"/>
      <c r="EM642" s="53"/>
      <c r="EN642" s="53"/>
      <c r="EO642" s="53"/>
      <c r="EP642" s="53"/>
      <c r="EQ642" s="53"/>
      <c r="ER642" s="53"/>
      <c r="ES642" s="53"/>
      <c r="ET642" s="53"/>
      <c r="EU642" s="53"/>
      <c r="EV642" s="53"/>
      <c r="EW642" s="53"/>
      <c r="EX642" s="53"/>
      <c r="EY642" s="53"/>
      <c r="EZ642" s="53"/>
      <c r="FA642" s="53"/>
      <c r="FB642" s="53"/>
      <c r="FC642" s="53"/>
      <c r="FD642" s="53"/>
      <c r="FE642" s="53"/>
      <c r="FF642" s="53"/>
      <c r="FG642" s="53"/>
      <c r="FH642" s="53"/>
      <c r="FI642" s="53"/>
      <c r="FJ642" s="53"/>
      <c r="FK642" s="53"/>
      <c r="FL642" s="53"/>
      <c r="FM642" s="53"/>
      <c r="FN642" s="53"/>
      <c r="FO642" s="53"/>
      <c r="FP642" s="53"/>
      <c r="FQ642" s="53"/>
      <c r="FR642" s="53"/>
      <c r="FS642" s="53"/>
      <c r="FT642" s="53"/>
      <c r="FU642" s="53"/>
      <c r="FV642" s="53"/>
      <c r="FW642" s="53"/>
      <c r="FX642" s="53"/>
      <c r="FY642" s="53"/>
      <c r="FZ642" s="53"/>
      <c r="GA642" s="53"/>
      <c r="GB642" s="53"/>
      <c r="GC642" s="53"/>
      <c r="GD642" s="53"/>
      <c r="GE642" s="53"/>
      <c r="GF642" s="53"/>
      <c r="GG642" s="53"/>
      <c r="GH642" s="53"/>
      <c r="GI642" s="53"/>
      <c r="GJ642" s="53"/>
      <c r="GK642" s="53"/>
      <c r="GL642" s="53"/>
      <c r="GM642" s="53"/>
      <c r="GN642" s="53"/>
      <c r="GO642" s="53"/>
      <c r="GP642" s="53"/>
      <c r="GQ642" s="53"/>
      <c r="GR642" s="53"/>
      <c r="GS642" s="53"/>
      <c r="GT642" s="53"/>
      <c r="GU642" s="53"/>
      <c r="GV642" s="53"/>
      <c r="GW642" s="53"/>
      <c r="GX642" s="53"/>
      <c r="GY642" s="53"/>
      <c r="GZ642" s="53"/>
      <c r="HA642" s="53"/>
      <c r="HB642" s="53"/>
      <c r="HC642" s="53"/>
      <c r="HD642" s="53"/>
      <c r="HE642" s="53"/>
      <c r="HF642" s="53"/>
      <c r="HG642" s="53"/>
      <c r="HH642" s="53"/>
      <c r="HI642" s="53"/>
      <c r="HJ642" s="53"/>
      <c r="HK642" s="53"/>
      <c r="HL642" s="53"/>
      <c r="HM642" s="53"/>
      <c r="HN642" s="53"/>
      <c r="HO642" s="53"/>
      <c r="HP642" s="53"/>
      <c r="HQ642" s="53"/>
      <c r="HR642" s="53"/>
      <c r="HS642" s="53"/>
      <c r="HT642" s="53"/>
      <c r="HU642" s="53"/>
      <c r="HV642" s="53"/>
      <c r="HW642" s="53"/>
      <c r="HX642" s="53"/>
      <c r="HY642" s="53"/>
      <c r="HZ642" s="53"/>
      <c r="IA642" s="53"/>
    </row>
    <row r="643" spans="1:17" s="39" customFormat="1" ht="22.5">
      <c r="A643" s="34" t="s">
        <v>434</v>
      </c>
      <c r="B643" s="35"/>
      <c r="C643" s="35"/>
      <c r="D643" s="36">
        <f>D645</f>
        <v>656000</v>
      </c>
      <c r="E643" s="36"/>
      <c r="F643" s="7">
        <f>D643</f>
        <v>656000</v>
      </c>
      <c r="G643" s="36">
        <f>G647*G649</f>
        <v>819000</v>
      </c>
      <c r="H643" s="36"/>
      <c r="I643" s="36"/>
      <c r="J643" s="36">
        <f>G643</f>
        <v>819000</v>
      </c>
      <c r="K643" s="36"/>
      <c r="L643" s="36"/>
      <c r="M643" s="36"/>
      <c r="N643" s="36">
        <f>N647*N649</f>
        <v>725000</v>
      </c>
      <c r="O643" s="36"/>
      <c r="P643" s="30">
        <f>N643</f>
        <v>725000</v>
      </c>
      <c r="Q643" s="78"/>
    </row>
    <row r="644" spans="1:235" ht="11.25">
      <c r="A644" s="5" t="s">
        <v>4</v>
      </c>
      <c r="B644" s="6"/>
      <c r="C644" s="6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24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235" ht="22.5">
      <c r="A645" s="8" t="s">
        <v>49</v>
      </c>
      <c r="B645" s="6"/>
      <c r="C645" s="6"/>
      <c r="D645" s="7">
        <f>D647*D649</f>
        <v>656000</v>
      </c>
      <c r="E645" s="7"/>
      <c r="F645" s="7">
        <f>D645</f>
        <v>656000</v>
      </c>
      <c r="G645" s="7">
        <v>819000</v>
      </c>
      <c r="H645" s="7"/>
      <c r="I645" s="7"/>
      <c r="J645" s="7">
        <f>G645</f>
        <v>819000</v>
      </c>
      <c r="K645" s="7"/>
      <c r="L645" s="7"/>
      <c r="M645" s="7"/>
      <c r="N645" s="7">
        <f>N647*N649</f>
        <v>725000</v>
      </c>
      <c r="O645" s="7"/>
      <c r="P645" s="7">
        <f>N645</f>
        <v>725000</v>
      </c>
      <c r="Q645" s="24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235" ht="11.25">
      <c r="A646" s="5" t="s">
        <v>5</v>
      </c>
      <c r="B646" s="6"/>
      <c r="C646" s="6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24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  <c r="CZ646" s="53"/>
      <c r="DA646" s="53"/>
      <c r="DB646" s="53"/>
      <c r="DC646" s="53"/>
      <c r="DD646" s="53"/>
      <c r="DE646" s="53"/>
      <c r="DF646" s="53"/>
      <c r="DG646" s="53"/>
      <c r="DH646" s="53"/>
      <c r="DI646" s="53"/>
      <c r="DJ646" s="53"/>
      <c r="DK646" s="53"/>
      <c r="DL646" s="53"/>
      <c r="DM646" s="53"/>
      <c r="DN646" s="53"/>
      <c r="DO646" s="53"/>
      <c r="DP646" s="53"/>
      <c r="DQ646" s="53"/>
      <c r="DR646" s="53"/>
      <c r="DS646" s="53"/>
      <c r="DT646" s="53"/>
      <c r="DU646" s="53"/>
      <c r="DV646" s="53"/>
      <c r="DW646" s="53"/>
      <c r="DX646" s="53"/>
      <c r="DY646" s="53"/>
      <c r="DZ646" s="53"/>
      <c r="EA646" s="53"/>
      <c r="EB646" s="53"/>
      <c r="EC646" s="53"/>
      <c r="ED646" s="53"/>
      <c r="EE646" s="53"/>
      <c r="EF646" s="53"/>
      <c r="EG646" s="53"/>
      <c r="EH646" s="53"/>
      <c r="EI646" s="53"/>
      <c r="EJ646" s="53"/>
      <c r="EK646" s="53"/>
      <c r="EL646" s="53"/>
      <c r="EM646" s="53"/>
      <c r="EN646" s="53"/>
      <c r="EO646" s="53"/>
      <c r="EP646" s="53"/>
      <c r="EQ646" s="53"/>
      <c r="ER646" s="53"/>
      <c r="ES646" s="53"/>
      <c r="ET646" s="53"/>
      <c r="EU646" s="53"/>
      <c r="EV646" s="53"/>
      <c r="EW646" s="53"/>
      <c r="EX646" s="53"/>
      <c r="EY646" s="53"/>
      <c r="EZ646" s="53"/>
      <c r="FA646" s="53"/>
      <c r="FB646" s="53"/>
      <c r="FC646" s="53"/>
      <c r="FD646" s="53"/>
      <c r="FE646" s="53"/>
      <c r="FF646" s="53"/>
      <c r="FG646" s="53"/>
      <c r="FH646" s="53"/>
      <c r="FI646" s="53"/>
      <c r="FJ646" s="53"/>
      <c r="FK646" s="53"/>
      <c r="FL646" s="53"/>
      <c r="FM646" s="53"/>
      <c r="FN646" s="53"/>
      <c r="FO646" s="53"/>
      <c r="FP646" s="53"/>
      <c r="FQ646" s="53"/>
      <c r="FR646" s="53"/>
      <c r="FS646" s="53"/>
      <c r="FT646" s="53"/>
      <c r="FU646" s="53"/>
      <c r="FV646" s="53"/>
      <c r="FW646" s="53"/>
      <c r="FX646" s="53"/>
      <c r="FY646" s="53"/>
      <c r="FZ646" s="53"/>
      <c r="GA646" s="53"/>
      <c r="GB646" s="53"/>
      <c r="GC646" s="53"/>
      <c r="GD646" s="53"/>
      <c r="GE646" s="53"/>
      <c r="GF646" s="53"/>
      <c r="GG646" s="53"/>
      <c r="GH646" s="53"/>
      <c r="GI646" s="53"/>
      <c r="GJ646" s="53"/>
      <c r="GK646" s="53"/>
      <c r="GL646" s="53"/>
      <c r="GM646" s="53"/>
      <c r="GN646" s="53"/>
      <c r="GO646" s="53"/>
      <c r="GP646" s="53"/>
      <c r="GQ646" s="53"/>
      <c r="GR646" s="53"/>
      <c r="GS646" s="53"/>
      <c r="GT646" s="53"/>
      <c r="GU646" s="53"/>
      <c r="GV646" s="53"/>
      <c r="GW646" s="53"/>
      <c r="GX646" s="53"/>
      <c r="GY646" s="53"/>
      <c r="GZ646" s="53"/>
      <c r="HA646" s="53"/>
      <c r="HB646" s="53"/>
      <c r="HC646" s="53"/>
      <c r="HD646" s="53"/>
      <c r="HE646" s="53"/>
      <c r="HF646" s="53"/>
      <c r="HG646" s="53"/>
      <c r="HH646" s="53"/>
      <c r="HI646" s="53"/>
      <c r="HJ646" s="53"/>
      <c r="HK646" s="53"/>
      <c r="HL646" s="53"/>
      <c r="HM646" s="53"/>
      <c r="HN646" s="53"/>
      <c r="HO646" s="53"/>
      <c r="HP646" s="53"/>
      <c r="HQ646" s="53"/>
      <c r="HR646" s="53"/>
      <c r="HS646" s="53"/>
      <c r="HT646" s="53"/>
      <c r="HU646" s="53"/>
      <c r="HV646" s="53"/>
      <c r="HW646" s="53"/>
      <c r="HX646" s="53"/>
      <c r="HY646" s="53"/>
      <c r="HZ646" s="53"/>
      <c r="IA646" s="53"/>
    </row>
    <row r="647" spans="1:235" ht="27.75" customHeight="1">
      <c r="A647" s="8" t="s">
        <v>48</v>
      </c>
      <c r="B647" s="6"/>
      <c r="C647" s="6"/>
      <c r="D647" s="7">
        <v>16</v>
      </c>
      <c r="E647" s="7"/>
      <c r="F647" s="7">
        <f>D647</f>
        <v>16</v>
      </c>
      <c r="G647" s="7">
        <v>16</v>
      </c>
      <c r="H647" s="7"/>
      <c r="I647" s="7"/>
      <c r="J647" s="7">
        <f>G647</f>
        <v>16</v>
      </c>
      <c r="K647" s="7"/>
      <c r="L647" s="7"/>
      <c r="M647" s="7"/>
      <c r="N647" s="7">
        <v>16</v>
      </c>
      <c r="O647" s="7"/>
      <c r="P647" s="7">
        <f>N647</f>
        <v>16</v>
      </c>
      <c r="Q647" s="24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  <c r="CZ647" s="53"/>
      <c r="DA647" s="53"/>
      <c r="DB647" s="53"/>
      <c r="DC647" s="53"/>
      <c r="DD647" s="53"/>
      <c r="DE647" s="53"/>
      <c r="DF647" s="53"/>
      <c r="DG647" s="53"/>
      <c r="DH647" s="53"/>
      <c r="DI647" s="53"/>
      <c r="DJ647" s="53"/>
      <c r="DK647" s="53"/>
      <c r="DL647" s="53"/>
      <c r="DM647" s="53"/>
      <c r="DN647" s="53"/>
      <c r="DO647" s="53"/>
      <c r="DP647" s="53"/>
      <c r="DQ647" s="53"/>
      <c r="DR647" s="53"/>
      <c r="DS647" s="53"/>
      <c r="DT647" s="53"/>
      <c r="DU647" s="53"/>
      <c r="DV647" s="53"/>
      <c r="DW647" s="53"/>
      <c r="DX647" s="53"/>
      <c r="DY647" s="53"/>
      <c r="DZ647" s="53"/>
      <c r="EA647" s="53"/>
      <c r="EB647" s="53"/>
      <c r="EC647" s="53"/>
      <c r="ED647" s="53"/>
      <c r="EE647" s="53"/>
      <c r="EF647" s="53"/>
      <c r="EG647" s="53"/>
      <c r="EH647" s="53"/>
      <c r="EI647" s="53"/>
      <c r="EJ647" s="53"/>
      <c r="EK647" s="53"/>
      <c r="EL647" s="53"/>
      <c r="EM647" s="53"/>
      <c r="EN647" s="53"/>
      <c r="EO647" s="53"/>
      <c r="EP647" s="53"/>
      <c r="EQ647" s="53"/>
      <c r="ER647" s="53"/>
      <c r="ES647" s="53"/>
      <c r="ET647" s="53"/>
      <c r="EU647" s="53"/>
      <c r="EV647" s="53"/>
      <c r="EW647" s="53"/>
      <c r="EX647" s="53"/>
      <c r="EY647" s="53"/>
      <c r="EZ647" s="53"/>
      <c r="FA647" s="53"/>
      <c r="FB647" s="53"/>
      <c r="FC647" s="53"/>
      <c r="FD647" s="53"/>
      <c r="FE647" s="53"/>
      <c r="FF647" s="53"/>
      <c r="FG647" s="53"/>
      <c r="FH647" s="53"/>
      <c r="FI647" s="53"/>
      <c r="FJ647" s="53"/>
      <c r="FK647" s="53"/>
      <c r="FL647" s="53"/>
      <c r="FM647" s="53"/>
      <c r="FN647" s="53"/>
      <c r="FO647" s="53"/>
      <c r="FP647" s="53"/>
      <c r="FQ647" s="53"/>
      <c r="FR647" s="53"/>
      <c r="FS647" s="53"/>
      <c r="FT647" s="53"/>
      <c r="FU647" s="53"/>
      <c r="FV647" s="53"/>
      <c r="FW647" s="53"/>
      <c r="FX647" s="53"/>
      <c r="FY647" s="53"/>
      <c r="FZ647" s="53"/>
      <c r="GA647" s="53"/>
      <c r="GB647" s="53"/>
      <c r="GC647" s="53"/>
      <c r="GD647" s="53"/>
      <c r="GE647" s="53"/>
      <c r="GF647" s="53"/>
      <c r="GG647" s="53"/>
      <c r="GH647" s="53"/>
      <c r="GI647" s="53"/>
      <c r="GJ647" s="53"/>
      <c r="GK647" s="53"/>
      <c r="GL647" s="53"/>
      <c r="GM647" s="53"/>
      <c r="GN647" s="53"/>
      <c r="GO647" s="53"/>
      <c r="GP647" s="53"/>
      <c r="GQ647" s="53"/>
      <c r="GR647" s="53"/>
      <c r="GS647" s="53"/>
      <c r="GT647" s="53"/>
      <c r="GU647" s="53"/>
      <c r="GV647" s="53"/>
      <c r="GW647" s="53"/>
      <c r="GX647" s="53"/>
      <c r="GY647" s="53"/>
      <c r="GZ647" s="53"/>
      <c r="HA647" s="53"/>
      <c r="HB647" s="53"/>
      <c r="HC647" s="53"/>
      <c r="HD647" s="53"/>
      <c r="HE647" s="53"/>
      <c r="HF647" s="53"/>
      <c r="HG647" s="53"/>
      <c r="HH647" s="53"/>
      <c r="HI647" s="53"/>
      <c r="HJ647" s="53"/>
      <c r="HK647" s="53"/>
      <c r="HL647" s="53"/>
      <c r="HM647" s="53"/>
      <c r="HN647" s="53"/>
      <c r="HO647" s="53"/>
      <c r="HP647" s="53"/>
      <c r="HQ647" s="53"/>
      <c r="HR647" s="53"/>
      <c r="HS647" s="53"/>
      <c r="HT647" s="53"/>
      <c r="HU647" s="53"/>
      <c r="HV647" s="53"/>
      <c r="HW647" s="53"/>
      <c r="HX647" s="53"/>
      <c r="HY647" s="53"/>
      <c r="HZ647" s="53"/>
      <c r="IA647" s="53"/>
    </row>
    <row r="648" spans="1:235" ht="11.25">
      <c r="A648" s="5" t="s">
        <v>7</v>
      </c>
      <c r="B648" s="6"/>
      <c r="C648" s="6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24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3"/>
      <c r="BS648" s="53"/>
      <c r="BT648" s="53"/>
      <c r="BU648" s="53"/>
      <c r="BV648" s="53"/>
      <c r="BW648" s="53"/>
      <c r="BX648" s="53"/>
      <c r="BY648" s="53"/>
      <c r="BZ648" s="53"/>
      <c r="CA648" s="53"/>
      <c r="CB648" s="53"/>
      <c r="CC648" s="53"/>
      <c r="CD648" s="53"/>
      <c r="CE648" s="53"/>
      <c r="CF648" s="53"/>
      <c r="CG648" s="53"/>
      <c r="CH648" s="53"/>
      <c r="CI648" s="53"/>
      <c r="CJ648" s="53"/>
      <c r="CK648" s="53"/>
      <c r="CL648" s="53"/>
      <c r="CM648" s="53"/>
      <c r="CN648" s="53"/>
      <c r="CO648" s="53"/>
      <c r="CP648" s="53"/>
      <c r="CQ648" s="53"/>
      <c r="CR648" s="53"/>
      <c r="CS648" s="53"/>
      <c r="CT648" s="53"/>
      <c r="CU648" s="53"/>
      <c r="CV648" s="53"/>
      <c r="CW648" s="53"/>
      <c r="CX648" s="53"/>
      <c r="CY648" s="53"/>
      <c r="CZ648" s="53"/>
      <c r="DA648" s="53"/>
      <c r="DB648" s="53"/>
      <c r="DC648" s="53"/>
      <c r="DD648" s="53"/>
      <c r="DE648" s="53"/>
      <c r="DF648" s="53"/>
      <c r="DG648" s="53"/>
      <c r="DH648" s="53"/>
      <c r="DI648" s="53"/>
      <c r="DJ648" s="53"/>
      <c r="DK648" s="53"/>
      <c r="DL648" s="53"/>
      <c r="DM648" s="53"/>
      <c r="DN648" s="53"/>
      <c r="DO648" s="53"/>
      <c r="DP648" s="53"/>
      <c r="DQ648" s="53"/>
      <c r="DR648" s="53"/>
      <c r="DS648" s="53"/>
      <c r="DT648" s="53"/>
      <c r="DU648" s="53"/>
      <c r="DV648" s="53"/>
      <c r="DW648" s="53"/>
      <c r="DX648" s="53"/>
      <c r="DY648" s="53"/>
      <c r="DZ648" s="53"/>
      <c r="EA648" s="53"/>
      <c r="EB648" s="53"/>
      <c r="EC648" s="53"/>
      <c r="ED648" s="53"/>
      <c r="EE648" s="53"/>
      <c r="EF648" s="53"/>
      <c r="EG648" s="53"/>
      <c r="EH648" s="53"/>
      <c r="EI648" s="53"/>
      <c r="EJ648" s="53"/>
      <c r="EK648" s="53"/>
      <c r="EL648" s="53"/>
      <c r="EM648" s="53"/>
      <c r="EN648" s="53"/>
      <c r="EO648" s="53"/>
      <c r="EP648" s="53"/>
      <c r="EQ648" s="53"/>
      <c r="ER648" s="53"/>
      <c r="ES648" s="53"/>
      <c r="ET648" s="53"/>
      <c r="EU648" s="53"/>
      <c r="EV648" s="53"/>
      <c r="EW648" s="53"/>
      <c r="EX648" s="53"/>
      <c r="EY648" s="53"/>
      <c r="EZ648" s="53"/>
      <c r="FA648" s="53"/>
      <c r="FB648" s="53"/>
      <c r="FC648" s="53"/>
      <c r="FD648" s="53"/>
      <c r="FE648" s="53"/>
      <c r="FF648" s="53"/>
      <c r="FG648" s="53"/>
      <c r="FH648" s="53"/>
      <c r="FI648" s="53"/>
      <c r="FJ648" s="53"/>
      <c r="FK648" s="53"/>
      <c r="FL648" s="53"/>
      <c r="FM648" s="53"/>
      <c r="FN648" s="53"/>
      <c r="FO648" s="53"/>
      <c r="FP648" s="53"/>
      <c r="FQ648" s="53"/>
      <c r="FR648" s="53"/>
      <c r="FS648" s="53"/>
      <c r="FT648" s="53"/>
      <c r="FU648" s="53"/>
      <c r="FV648" s="53"/>
      <c r="FW648" s="53"/>
      <c r="FX648" s="53"/>
      <c r="FY648" s="53"/>
      <c r="FZ648" s="53"/>
      <c r="GA648" s="53"/>
      <c r="GB648" s="53"/>
      <c r="GC648" s="53"/>
      <c r="GD648" s="53"/>
      <c r="GE648" s="53"/>
      <c r="GF648" s="53"/>
      <c r="GG648" s="53"/>
      <c r="GH648" s="53"/>
      <c r="GI648" s="53"/>
      <c r="GJ648" s="53"/>
      <c r="GK648" s="53"/>
      <c r="GL648" s="53"/>
      <c r="GM648" s="53"/>
      <c r="GN648" s="53"/>
      <c r="GO648" s="53"/>
      <c r="GP648" s="53"/>
      <c r="GQ648" s="53"/>
      <c r="GR648" s="53"/>
      <c r="GS648" s="53"/>
      <c r="GT648" s="53"/>
      <c r="GU648" s="53"/>
      <c r="GV648" s="53"/>
      <c r="GW648" s="53"/>
      <c r="GX648" s="53"/>
      <c r="GY648" s="53"/>
      <c r="GZ648" s="53"/>
      <c r="HA648" s="53"/>
      <c r="HB648" s="53"/>
      <c r="HC648" s="53"/>
      <c r="HD648" s="53"/>
      <c r="HE648" s="53"/>
      <c r="HF648" s="53"/>
      <c r="HG648" s="53"/>
      <c r="HH648" s="53"/>
      <c r="HI648" s="53"/>
      <c r="HJ648" s="53"/>
      <c r="HK648" s="53"/>
      <c r="HL648" s="53"/>
      <c r="HM648" s="53"/>
      <c r="HN648" s="53"/>
      <c r="HO648" s="53"/>
      <c r="HP648" s="53"/>
      <c r="HQ648" s="53"/>
      <c r="HR648" s="53"/>
      <c r="HS648" s="53"/>
      <c r="HT648" s="53"/>
      <c r="HU648" s="53"/>
      <c r="HV648" s="53"/>
      <c r="HW648" s="53"/>
      <c r="HX648" s="53"/>
      <c r="HY648" s="53"/>
      <c r="HZ648" s="53"/>
      <c r="IA648" s="53"/>
    </row>
    <row r="649" spans="1:235" ht="33.75">
      <c r="A649" s="8" t="s">
        <v>50</v>
      </c>
      <c r="B649" s="6"/>
      <c r="C649" s="6"/>
      <c r="D649" s="7">
        <v>41000</v>
      </c>
      <c r="E649" s="7"/>
      <c r="F649" s="7">
        <v>41000</v>
      </c>
      <c r="G649" s="7">
        <v>51187.5</v>
      </c>
      <c r="H649" s="7"/>
      <c r="I649" s="7"/>
      <c r="J649" s="7">
        <f>G649</f>
        <v>51187.5</v>
      </c>
      <c r="K649" s="7"/>
      <c r="L649" s="7"/>
      <c r="M649" s="7"/>
      <c r="N649" s="7">
        <v>45312.5</v>
      </c>
      <c r="O649" s="7"/>
      <c r="P649" s="7">
        <f>N649</f>
        <v>45312.5</v>
      </c>
      <c r="Q649" s="24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11.25">
      <c r="A650" s="37" t="s">
        <v>357</v>
      </c>
      <c r="B650" s="6"/>
      <c r="C650" s="6"/>
      <c r="D650" s="36"/>
      <c r="E650" s="36">
        <f>E652+E665</f>
        <v>94580322</v>
      </c>
      <c r="F650" s="36">
        <f>D650+E650</f>
        <v>94580322</v>
      </c>
      <c r="G650" s="36">
        <f aca="true" t="shared" si="64" ref="G650:P650">G652+G665</f>
        <v>0</v>
      </c>
      <c r="H650" s="36">
        <f t="shared" si="64"/>
        <v>92000000</v>
      </c>
      <c r="I650" s="36">
        <f t="shared" si="64"/>
        <v>0</v>
      </c>
      <c r="J650" s="36">
        <f t="shared" si="64"/>
        <v>92000000</v>
      </c>
      <c r="K650" s="36">
        <f t="shared" si="64"/>
        <v>0</v>
      </c>
      <c r="L650" s="36">
        <f t="shared" si="64"/>
        <v>0</v>
      </c>
      <c r="M650" s="36">
        <f t="shared" si="64"/>
        <v>0</v>
      </c>
      <c r="N650" s="36">
        <f t="shared" si="64"/>
        <v>0</v>
      </c>
      <c r="O650" s="36">
        <f t="shared" si="64"/>
        <v>95000000</v>
      </c>
      <c r="P650" s="36">
        <f t="shared" si="64"/>
        <v>95000000</v>
      </c>
      <c r="Q650" s="24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235" ht="22.5">
      <c r="A651" s="8" t="s">
        <v>201</v>
      </c>
      <c r="B651" s="6"/>
      <c r="C651" s="6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24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17" s="39" customFormat="1" ht="22.5">
      <c r="A652" s="34" t="s">
        <v>435</v>
      </c>
      <c r="B652" s="35"/>
      <c r="C652" s="35"/>
      <c r="D652" s="86"/>
      <c r="E652" s="86">
        <f>E654+E660+E661+E662</f>
        <v>94580322</v>
      </c>
      <c r="F652" s="86">
        <f>D652+E652</f>
        <v>94580322</v>
      </c>
      <c r="G652" s="36">
        <f>G654</f>
        <v>0</v>
      </c>
      <c r="H652" s="36">
        <f>SUM(H654)</f>
        <v>92000000</v>
      </c>
      <c r="I652" s="36"/>
      <c r="J652" s="36">
        <f>G652+H652+I652</f>
        <v>92000000</v>
      </c>
      <c r="K652" s="36"/>
      <c r="L652" s="36"/>
      <c r="M652" s="36"/>
      <c r="N652" s="36"/>
      <c r="O652" s="36">
        <f>O654</f>
        <v>95000000</v>
      </c>
      <c r="P652" s="36">
        <f>N652+O652</f>
        <v>95000000</v>
      </c>
      <c r="Q652" s="78"/>
    </row>
    <row r="653" spans="1:17" s="39" customFormat="1" ht="11.25">
      <c r="A653" s="34" t="s">
        <v>4</v>
      </c>
      <c r="B653" s="35"/>
      <c r="C653" s="35"/>
      <c r="D653" s="86"/>
      <c r="E653" s="86"/>
      <c r="F653" s="8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78"/>
    </row>
    <row r="654" spans="1:17" s="39" customFormat="1" ht="11.25">
      <c r="A654" s="40" t="s">
        <v>43</v>
      </c>
      <c r="B654" s="41"/>
      <c r="C654" s="41"/>
      <c r="D654" s="80"/>
      <c r="E654" s="80">
        <f>E656*E658+1224322-0.03+30000+1000000+37400</f>
        <v>90291722</v>
      </c>
      <c r="F654" s="80">
        <f>F656*F658+1224322-0.03+30000+1000000</f>
        <v>90254322</v>
      </c>
      <c r="G654" s="87"/>
      <c r="H654" s="87">
        <v>92000000</v>
      </c>
      <c r="I654" s="87"/>
      <c r="J654" s="87">
        <f>H654</f>
        <v>92000000</v>
      </c>
      <c r="K654" s="87"/>
      <c r="L654" s="87"/>
      <c r="M654" s="87"/>
      <c r="N654" s="87"/>
      <c r="O654" s="87">
        <v>95000000</v>
      </c>
      <c r="P654" s="87">
        <f>O654</f>
        <v>95000000</v>
      </c>
      <c r="Q654" s="78"/>
    </row>
    <row r="655" spans="1:17" s="39" customFormat="1" ht="11.25">
      <c r="A655" s="34" t="s">
        <v>5</v>
      </c>
      <c r="B655" s="35"/>
      <c r="C655" s="35"/>
      <c r="D655" s="86"/>
      <c r="E655" s="86"/>
      <c r="F655" s="8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78"/>
    </row>
    <row r="656" spans="1:17" s="39" customFormat="1" ht="11.25">
      <c r="A656" s="40" t="s">
        <v>187</v>
      </c>
      <c r="B656" s="41"/>
      <c r="C656" s="41"/>
      <c r="D656" s="80"/>
      <c r="E656" s="80">
        <v>17</v>
      </c>
      <c r="F656" s="80">
        <v>17</v>
      </c>
      <c r="G656" s="87"/>
      <c r="H656" s="87">
        <v>11</v>
      </c>
      <c r="I656" s="87"/>
      <c r="J656" s="87">
        <f>H656</f>
        <v>11</v>
      </c>
      <c r="K656" s="87">
        <f>H656</f>
        <v>11</v>
      </c>
      <c r="L656" s="87">
        <f>J656</f>
        <v>11</v>
      </c>
      <c r="M656" s="87">
        <f>K656</f>
        <v>11</v>
      </c>
      <c r="N656" s="87"/>
      <c r="O656" s="87">
        <v>16</v>
      </c>
      <c r="P656" s="87">
        <f>O656</f>
        <v>16</v>
      </c>
      <c r="Q656" s="78"/>
    </row>
    <row r="657" spans="1:17" s="39" customFormat="1" ht="11.25">
      <c r="A657" s="40" t="s">
        <v>7</v>
      </c>
      <c r="B657" s="41"/>
      <c r="C657" s="41"/>
      <c r="D657" s="80"/>
      <c r="E657" s="80"/>
      <c r="F657" s="80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78"/>
    </row>
    <row r="658" spans="1:17" s="39" customFormat="1" ht="22.5">
      <c r="A658" s="40" t="s">
        <v>259</v>
      </c>
      <c r="B658" s="41"/>
      <c r="C658" s="41"/>
      <c r="D658" s="80"/>
      <c r="E658" s="87">
        <v>5176470.59</v>
      </c>
      <c r="F658" s="87">
        <v>5176470.59</v>
      </c>
      <c r="G658" s="87"/>
      <c r="H658" s="87">
        <f>SUM(H654)/H656</f>
        <v>8363636.363636363</v>
      </c>
      <c r="I658" s="87"/>
      <c r="J658" s="87">
        <f>SUM(J654)/J656</f>
        <v>8363636.363636363</v>
      </c>
      <c r="K658" s="87"/>
      <c r="L658" s="87"/>
      <c r="M658" s="87"/>
      <c r="N658" s="87"/>
      <c r="O658" s="87">
        <f>SUM(O654)/O656</f>
        <v>5937500</v>
      </c>
      <c r="P658" s="87">
        <f>SUM(P654)/P656</f>
        <v>5937500</v>
      </c>
      <c r="Q658" s="78"/>
    </row>
    <row r="659" spans="1:17" s="52" customFormat="1" ht="11.25">
      <c r="A659" s="34" t="s">
        <v>5</v>
      </c>
      <c r="B659" s="35"/>
      <c r="C659" s="35"/>
      <c r="D659" s="86"/>
      <c r="E659" s="86"/>
      <c r="F659" s="8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75"/>
    </row>
    <row r="660" spans="1:235" ht="33.75">
      <c r="A660" s="88" t="s">
        <v>278</v>
      </c>
      <c r="B660" s="29"/>
      <c r="C660" s="29"/>
      <c r="D660" s="89"/>
      <c r="E660" s="48">
        <v>621600</v>
      </c>
      <c r="F660" s="48">
        <v>621600</v>
      </c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4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11.25">
      <c r="A661" s="88" t="s">
        <v>358</v>
      </c>
      <c r="B661" s="29"/>
      <c r="C661" s="29"/>
      <c r="D661" s="89"/>
      <c r="E661" s="48">
        <v>1247000</v>
      </c>
      <c r="F661" s="48">
        <f>E661</f>
        <v>1247000</v>
      </c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4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33.75">
      <c r="A662" s="88" t="s">
        <v>366</v>
      </c>
      <c r="B662" s="29"/>
      <c r="C662" s="29"/>
      <c r="D662" s="89"/>
      <c r="E662" s="48">
        <v>2420000</v>
      </c>
      <c r="F662" s="48">
        <f>E662</f>
        <v>2420000</v>
      </c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17" s="91" customFormat="1" ht="13.5" customHeight="1">
      <c r="A663" s="37" t="s">
        <v>331</v>
      </c>
      <c r="B663" s="37"/>
      <c r="C663" s="37"/>
      <c r="D663" s="81">
        <f>SUM(D665)</f>
        <v>0</v>
      </c>
      <c r="E663" s="81"/>
      <c r="F663" s="81">
        <f>SUM(F665)</f>
        <v>0</v>
      </c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90"/>
    </row>
    <row r="664" spans="1:17" s="22" customFormat="1" ht="20.25" customHeight="1">
      <c r="A664" s="8" t="s">
        <v>333</v>
      </c>
      <c r="B664" s="6"/>
      <c r="C664" s="6"/>
      <c r="D664" s="84"/>
      <c r="E664" s="84"/>
      <c r="F664" s="84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4"/>
    </row>
    <row r="665" spans="1:17" s="95" customFormat="1" ht="16.5" customHeight="1">
      <c r="A665" s="92" t="s">
        <v>436</v>
      </c>
      <c r="B665" s="93"/>
      <c r="C665" s="93"/>
      <c r="D665" s="94">
        <f>SUM(D667)</f>
        <v>0</v>
      </c>
      <c r="E665" s="94">
        <f>SUM(E667)</f>
        <v>0</v>
      </c>
      <c r="F665" s="94">
        <f>SUM(F667)</f>
        <v>0</v>
      </c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78"/>
    </row>
    <row r="666" spans="1:235" ht="11.25">
      <c r="A666" s="34" t="s">
        <v>4</v>
      </c>
      <c r="B666" s="6"/>
      <c r="C666" s="6"/>
      <c r="D666" s="84"/>
      <c r="E666" s="84"/>
      <c r="F666" s="84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24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15" customHeight="1">
      <c r="A667" s="40" t="s">
        <v>43</v>
      </c>
      <c r="B667" s="6"/>
      <c r="C667" s="6"/>
      <c r="D667" s="84">
        <v>0</v>
      </c>
      <c r="E667" s="84"/>
      <c r="F667" s="84">
        <f>SUM(D667:E667)</f>
        <v>0</v>
      </c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24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17" s="52" customFormat="1" ht="11.25">
      <c r="A668" s="34" t="s">
        <v>5</v>
      </c>
      <c r="B668" s="37"/>
      <c r="C668" s="37"/>
      <c r="D668" s="81"/>
      <c r="E668" s="81"/>
      <c r="F668" s="81">
        <f>SUM(D668:E668)</f>
        <v>0</v>
      </c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75"/>
    </row>
    <row r="669" spans="1:235" ht="13.5" customHeight="1">
      <c r="A669" s="34" t="s">
        <v>334</v>
      </c>
      <c r="B669" s="6"/>
      <c r="C669" s="6"/>
      <c r="D669" s="84">
        <v>0</v>
      </c>
      <c r="E669" s="84"/>
      <c r="F669" s="84">
        <f>SUM(D669:E669)</f>
        <v>0</v>
      </c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24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17" s="52" customFormat="1" ht="16.5" customHeight="1">
      <c r="A670" s="34" t="s">
        <v>7</v>
      </c>
      <c r="B670" s="37"/>
      <c r="C670" s="37"/>
      <c r="D670" s="81"/>
      <c r="E670" s="81"/>
      <c r="F670" s="81"/>
      <c r="G670" s="81"/>
      <c r="H670" s="81"/>
      <c r="I670" s="81"/>
      <c r="J670" s="30"/>
      <c r="K670" s="81"/>
      <c r="L670" s="81"/>
      <c r="M670" s="81"/>
      <c r="N670" s="81"/>
      <c r="O670" s="81"/>
      <c r="P670" s="81"/>
      <c r="Q670" s="75"/>
    </row>
    <row r="671" spans="1:235" ht="11.25">
      <c r="A671" s="34" t="s">
        <v>332</v>
      </c>
      <c r="B671" s="6"/>
      <c r="C671" s="6"/>
      <c r="D671" s="84">
        <v>0</v>
      </c>
      <c r="E671" s="84"/>
      <c r="F671" s="84">
        <f>SUM(D671:E671)</f>
        <v>0</v>
      </c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24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11.25">
      <c r="A672" s="37" t="s">
        <v>258</v>
      </c>
      <c r="B672" s="6"/>
      <c r="C672" s="6"/>
      <c r="D672" s="81">
        <f>D674</f>
        <v>0</v>
      </c>
      <c r="E672" s="81">
        <f>E674</f>
        <v>-20000</v>
      </c>
      <c r="F672" s="81">
        <f>F674</f>
        <v>-20000</v>
      </c>
      <c r="G672" s="81">
        <f aca="true" t="shared" si="65" ref="G672:Q672">G674</f>
        <v>0</v>
      </c>
      <c r="H672" s="81">
        <f t="shared" si="65"/>
        <v>0</v>
      </c>
      <c r="I672" s="81">
        <f t="shared" si="65"/>
        <v>0</v>
      </c>
      <c r="J672" s="81">
        <f t="shared" si="65"/>
        <v>0</v>
      </c>
      <c r="K672" s="81">
        <f t="shared" si="65"/>
        <v>0</v>
      </c>
      <c r="L672" s="81">
        <f t="shared" si="65"/>
        <v>0</v>
      </c>
      <c r="M672" s="81">
        <f t="shared" si="65"/>
        <v>0</v>
      </c>
      <c r="N672" s="81">
        <f t="shared" si="65"/>
        <v>0</v>
      </c>
      <c r="O672" s="81">
        <f t="shared" si="65"/>
        <v>-2054092</v>
      </c>
      <c r="P672" s="81">
        <f t="shared" si="65"/>
        <v>-2054092</v>
      </c>
      <c r="Q672" s="81">
        <f t="shared" si="65"/>
        <v>0</v>
      </c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7.25" customHeight="1">
      <c r="A673" s="8" t="s">
        <v>198</v>
      </c>
      <c r="B673" s="6"/>
      <c r="C673" s="6"/>
      <c r="D673" s="84"/>
      <c r="E673" s="84"/>
      <c r="F673" s="84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24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17" s="52" customFormat="1" ht="22.5">
      <c r="A674" s="34" t="s">
        <v>438</v>
      </c>
      <c r="B674" s="37"/>
      <c r="C674" s="37"/>
      <c r="D674" s="81"/>
      <c r="E674" s="81">
        <f>E676</f>
        <v>-20000</v>
      </c>
      <c r="F674" s="81">
        <f>D674+E674</f>
        <v>-20000</v>
      </c>
      <c r="G674" s="30"/>
      <c r="H674" s="36">
        <f>H676</f>
        <v>0</v>
      </c>
      <c r="I674" s="36"/>
      <c r="J674" s="36">
        <f>H674</f>
        <v>0</v>
      </c>
      <c r="K674" s="36"/>
      <c r="L674" s="36"/>
      <c r="M674" s="36"/>
      <c r="N674" s="36"/>
      <c r="O674" s="36">
        <f>O676</f>
        <v>-2054092</v>
      </c>
      <c r="P674" s="36">
        <f>O674</f>
        <v>-2054092</v>
      </c>
      <c r="Q674" s="75"/>
    </row>
    <row r="675" spans="1:235" ht="11.25">
      <c r="A675" s="5" t="s">
        <v>4</v>
      </c>
      <c r="B675" s="6"/>
      <c r="C675" s="6"/>
      <c r="D675" s="84"/>
      <c r="E675" s="84"/>
      <c r="F675" s="84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24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22.5">
      <c r="A676" s="8" t="s">
        <v>200</v>
      </c>
      <c r="B676" s="6"/>
      <c r="C676" s="6"/>
      <c r="D676" s="49"/>
      <c r="E676" s="49">
        <f>E678*E680</f>
        <v>-20000</v>
      </c>
      <c r="F676" s="49">
        <f>F678*F680</f>
        <v>-20000</v>
      </c>
      <c r="G676" s="87"/>
      <c r="H676" s="87">
        <f>H678*H680</f>
        <v>0</v>
      </c>
      <c r="I676" s="87"/>
      <c r="J676" s="87">
        <f>H676</f>
        <v>0</v>
      </c>
      <c r="K676" s="87"/>
      <c r="L676" s="87"/>
      <c r="M676" s="87"/>
      <c r="N676" s="87"/>
      <c r="O676" s="87">
        <f>O678*O680</f>
        <v>-2054092</v>
      </c>
      <c r="P676" s="87">
        <f>P678*P680</f>
        <v>-2054092</v>
      </c>
      <c r="Q676" s="24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11.25">
      <c r="A677" s="5" t="s">
        <v>5</v>
      </c>
      <c r="B677" s="6"/>
      <c r="C677" s="6"/>
      <c r="D677" s="49"/>
      <c r="E677" s="49"/>
      <c r="F677" s="49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24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22.5">
      <c r="A678" s="8" t="s">
        <v>199</v>
      </c>
      <c r="B678" s="6"/>
      <c r="C678" s="6"/>
      <c r="D678" s="49"/>
      <c r="E678" s="49">
        <v>1</v>
      </c>
      <c r="F678" s="49">
        <f>D678+E678</f>
        <v>1</v>
      </c>
      <c r="G678" s="87"/>
      <c r="H678" s="96">
        <f>1-1</f>
        <v>0</v>
      </c>
      <c r="I678" s="87"/>
      <c r="J678" s="96">
        <f>H678</f>
        <v>0</v>
      </c>
      <c r="K678" s="87"/>
      <c r="L678" s="87"/>
      <c r="M678" s="87"/>
      <c r="N678" s="87"/>
      <c r="O678" s="96">
        <v>1</v>
      </c>
      <c r="P678" s="96">
        <v>1</v>
      </c>
      <c r="Q678" s="24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11.25">
      <c r="A679" s="34" t="s">
        <v>7</v>
      </c>
      <c r="B679" s="6"/>
      <c r="C679" s="6"/>
      <c r="D679" s="49"/>
      <c r="E679" s="49"/>
      <c r="F679" s="49"/>
      <c r="G679" s="87"/>
      <c r="H679" s="96"/>
      <c r="I679" s="87"/>
      <c r="J679" s="96"/>
      <c r="K679" s="87"/>
      <c r="L679" s="87"/>
      <c r="M679" s="87"/>
      <c r="N679" s="87"/>
      <c r="O679" s="96"/>
      <c r="P679" s="96"/>
      <c r="Q679" s="24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22.5">
      <c r="A680" s="40" t="s">
        <v>340</v>
      </c>
      <c r="B680" s="6"/>
      <c r="C680" s="6"/>
      <c r="D680" s="49"/>
      <c r="E680" s="49">
        <v>-20000</v>
      </c>
      <c r="F680" s="49">
        <f>E680</f>
        <v>-20000</v>
      </c>
      <c r="G680" s="87"/>
      <c r="H680" s="87">
        <f>-2054092+2054092</f>
        <v>0</v>
      </c>
      <c r="I680" s="87"/>
      <c r="J680" s="87">
        <f>H680</f>
        <v>0</v>
      </c>
      <c r="K680" s="87"/>
      <c r="L680" s="87"/>
      <c r="M680" s="87"/>
      <c r="N680" s="87"/>
      <c r="O680" s="96">
        <v>-2054092</v>
      </c>
      <c r="P680" s="96">
        <v>-2054092</v>
      </c>
      <c r="Q680" s="24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11.25">
      <c r="A681" s="37" t="s">
        <v>303</v>
      </c>
      <c r="B681" s="6"/>
      <c r="C681" s="6"/>
      <c r="D681" s="49"/>
      <c r="E681" s="49"/>
      <c r="F681" s="49"/>
      <c r="G681" s="81">
        <f>G683</f>
        <v>0</v>
      </c>
      <c r="H681" s="81">
        <f>H683</f>
        <v>0</v>
      </c>
      <c r="I681" s="81">
        <f>I683</f>
        <v>0</v>
      </c>
      <c r="J681" s="81">
        <f>J683</f>
        <v>0</v>
      </c>
      <c r="K681" s="87"/>
      <c r="L681" s="87"/>
      <c r="M681" s="87"/>
      <c r="N681" s="87"/>
      <c r="O681" s="162">
        <f>O683</f>
        <v>-740000</v>
      </c>
      <c r="P681" s="162">
        <f>P683</f>
        <v>-740000</v>
      </c>
      <c r="Q681" s="24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11.25">
      <c r="A682" s="8" t="s">
        <v>198</v>
      </c>
      <c r="B682" s="6"/>
      <c r="C682" s="6"/>
      <c r="D682" s="49"/>
      <c r="E682" s="49"/>
      <c r="F682" s="49"/>
      <c r="G682" s="7"/>
      <c r="H682" s="7"/>
      <c r="I682" s="7"/>
      <c r="J682" s="7"/>
      <c r="K682" s="87"/>
      <c r="L682" s="87"/>
      <c r="M682" s="87"/>
      <c r="N682" s="87"/>
      <c r="O682" s="96"/>
      <c r="P682" s="96"/>
      <c r="Q682" s="24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22.5">
      <c r="A683" s="34" t="s">
        <v>437</v>
      </c>
      <c r="B683" s="6"/>
      <c r="C683" s="6"/>
      <c r="D683" s="49"/>
      <c r="E683" s="49"/>
      <c r="F683" s="49"/>
      <c r="G683" s="30"/>
      <c r="H683" s="36">
        <f>H685</f>
        <v>0</v>
      </c>
      <c r="I683" s="36"/>
      <c r="J683" s="36">
        <f>H683</f>
        <v>0</v>
      </c>
      <c r="K683" s="87"/>
      <c r="L683" s="87"/>
      <c r="M683" s="87"/>
      <c r="N683" s="87"/>
      <c r="O683" s="161">
        <f>O685</f>
        <v>-740000</v>
      </c>
      <c r="P683" s="161">
        <f>P685</f>
        <v>-740000</v>
      </c>
      <c r="Q683" s="24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11.25">
      <c r="A684" s="5" t="s">
        <v>4</v>
      </c>
      <c r="B684" s="6"/>
      <c r="C684" s="6"/>
      <c r="D684" s="49"/>
      <c r="E684" s="49"/>
      <c r="F684" s="49"/>
      <c r="G684" s="7"/>
      <c r="H684" s="7"/>
      <c r="I684" s="7"/>
      <c r="J684" s="7"/>
      <c r="K684" s="87"/>
      <c r="L684" s="87"/>
      <c r="M684" s="87"/>
      <c r="N684" s="87"/>
      <c r="O684" s="96"/>
      <c r="P684" s="96"/>
      <c r="Q684" s="24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22.5">
      <c r="A685" s="8" t="s">
        <v>200</v>
      </c>
      <c r="B685" s="6"/>
      <c r="C685" s="6"/>
      <c r="D685" s="49"/>
      <c r="E685" s="49"/>
      <c r="F685" s="49"/>
      <c r="G685" s="87"/>
      <c r="H685" s="87">
        <f>H687*H689</f>
        <v>0</v>
      </c>
      <c r="I685" s="87"/>
      <c r="J685" s="87">
        <f>H685</f>
        <v>0</v>
      </c>
      <c r="K685" s="87"/>
      <c r="L685" s="87"/>
      <c r="M685" s="87"/>
      <c r="N685" s="87"/>
      <c r="O685" s="96">
        <f>O687*O689</f>
        <v>-740000</v>
      </c>
      <c r="P685" s="96">
        <f>P687*P689</f>
        <v>-740000</v>
      </c>
      <c r="Q685" s="24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11.25">
      <c r="A686" s="5" t="s">
        <v>5</v>
      </c>
      <c r="B686" s="6"/>
      <c r="C686" s="6"/>
      <c r="D686" s="49"/>
      <c r="E686" s="49"/>
      <c r="F686" s="49"/>
      <c r="G686" s="87"/>
      <c r="H686" s="87"/>
      <c r="I686" s="87"/>
      <c r="J686" s="87"/>
      <c r="K686" s="87"/>
      <c r="L686" s="87"/>
      <c r="M686" s="87"/>
      <c r="N686" s="87"/>
      <c r="O686" s="96"/>
      <c r="P686" s="96"/>
      <c r="Q686" s="24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22.5">
      <c r="A687" s="8" t="s">
        <v>199</v>
      </c>
      <c r="B687" s="6"/>
      <c r="C687" s="6"/>
      <c r="D687" s="49"/>
      <c r="E687" s="49"/>
      <c r="F687" s="49"/>
      <c r="G687" s="87"/>
      <c r="H687" s="96">
        <f>1-1</f>
        <v>0</v>
      </c>
      <c r="I687" s="87"/>
      <c r="J687" s="96">
        <f>H687</f>
        <v>0</v>
      </c>
      <c r="K687" s="87"/>
      <c r="L687" s="87"/>
      <c r="M687" s="87"/>
      <c r="N687" s="87"/>
      <c r="O687" s="96">
        <v>1</v>
      </c>
      <c r="P687" s="96">
        <v>1</v>
      </c>
      <c r="Q687" s="24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11.25">
      <c r="A688" s="34" t="s">
        <v>7</v>
      </c>
      <c r="B688" s="6"/>
      <c r="C688" s="6"/>
      <c r="D688" s="49"/>
      <c r="E688" s="49"/>
      <c r="F688" s="49"/>
      <c r="G688" s="87"/>
      <c r="H688" s="96"/>
      <c r="I688" s="87"/>
      <c r="J688" s="96"/>
      <c r="K688" s="87"/>
      <c r="L688" s="87"/>
      <c r="M688" s="87"/>
      <c r="N688" s="87"/>
      <c r="O688" s="96"/>
      <c r="P688" s="96"/>
      <c r="Q688" s="24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22.5">
      <c r="A689" s="40" t="s">
        <v>340</v>
      </c>
      <c r="B689" s="6"/>
      <c r="C689" s="6"/>
      <c r="D689" s="49"/>
      <c r="E689" s="49"/>
      <c r="F689" s="49"/>
      <c r="G689" s="87"/>
      <c r="H689" s="87">
        <f>-740000+740000</f>
        <v>0</v>
      </c>
      <c r="I689" s="87"/>
      <c r="J689" s="87">
        <f>H689</f>
        <v>0</v>
      </c>
      <c r="K689" s="87"/>
      <c r="L689" s="87"/>
      <c r="M689" s="87"/>
      <c r="N689" s="87"/>
      <c r="O689" s="96">
        <v>-740000</v>
      </c>
      <c r="P689" s="96">
        <v>-740000</v>
      </c>
      <c r="Q689" s="24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3.5" customHeight="1">
      <c r="A690" s="37" t="s">
        <v>265</v>
      </c>
      <c r="B690" s="6"/>
      <c r="C690" s="6"/>
      <c r="D690" s="81">
        <f>D692</f>
        <v>0</v>
      </c>
      <c r="E690" s="81">
        <f aca="true" t="shared" si="66" ref="E690:P690">E692</f>
        <v>74070200</v>
      </c>
      <c r="F690" s="81">
        <f t="shared" si="66"/>
        <v>74070200</v>
      </c>
      <c r="G690" s="81">
        <f t="shared" si="66"/>
        <v>0</v>
      </c>
      <c r="H690" s="81">
        <f t="shared" si="66"/>
        <v>0</v>
      </c>
      <c r="I690" s="81">
        <f t="shared" si="66"/>
        <v>0</v>
      </c>
      <c r="J690" s="81">
        <f t="shared" si="66"/>
        <v>0</v>
      </c>
      <c r="K690" s="81">
        <f t="shared" si="66"/>
        <v>0</v>
      </c>
      <c r="L690" s="81">
        <f t="shared" si="66"/>
        <v>0</v>
      </c>
      <c r="M690" s="81">
        <f t="shared" si="66"/>
        <v>0</v>
      </c>
      <c r="N690" s="81">
        <f t="shared" si="66"/>
        <v>0</v>
      </c>
      <c r="O690" s="81">
        <f t="shared" si="66"/>
        <v>0</v>
      </c>
      <c r="P690" s="81">
        <f t="shared" si="66"/>
        <v>0</v>
      </c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21.75" customHeight="1">
      <c r="A691" s="8" t="s">
        <v>261</v>
      </c>
      <c r="B691" s="6"/>
      <c r="C691" s="6"/>
      <c r="D691" s="84"/>
      <c r="E691" s="84"/>
      <c r="F691" s="84"/>
      <c r="G691" s="7"/>
      <c r="H691" s="7"/>
      <c r="I691" s="7"/>
      <c r="J691" s="7"/>
      <c r="K691" s="7"/>
      <c r="L691" s="7"/>
      <c r="M691" s="7"/>
      <c r="N691" s="7"/>
      <c r="O691" s="7"/>
      <c r="P691" s="7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21.75" customHeight="1">
      <c r="A692" s="34" t="s">
        <v>439</v>
      </c>
      <c r="B692" s="37"/>
      <c r="C692" s="37"/>
      <c r="D692" s="81"/>
      <c r="E692" s="81">
        <f>E694</f>
        <v>74070200</v>
      </c>
      <c r="F692" s="81">
        <f>D692+E692</f>
        <v>74070200</v>
      </c>
      <c r="G692" s="30"/>
      <c r="H692" s="36">
        <f>H694</f>
        <v>0</v>
      </c>
      <c r="I692" s="36"/>
      <c r="J692" s="36">
        <f>H692</f>
        <v>0</v>
      </c>
      <c r="K692" s="36"/>
      <c r="L692" s="36"/>
      <c r="M692" s="36"/>
      <c r="N692" s="36"/>
      <c r="O692" s="36">
        <f>O694</f>
        <v>0</v>
      </c>
      <c r="P692" s="36">
        <f>O692</f>
        <v>0</v>
      </c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21.75" customHeight="1">
      <c r="A693" s="5" t="s">
        <v>4</v>
      </c>
      <c r="B693" s="6"/>
      <c r="C693" s="6"/>
      <c r="D693" s="84"/>
      <c r="E693" s="84"/>
      <c r="F693" s="84"/>
      <c r="G693" s="7"/>
      <c r="H693" s="7"/>
      <c r="I693" s="7"/>
      <c r="J693" s="7"/>
      <c r="K693" s="7"/>
      <c r="L693" s="7"/>
      <c r="M693" s="7"/>
      <c r="N693" s="7"/>
      <c r="O693" s="7"/>
      <c r="P693" s="7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21.75" customHeight="1">
      <c r="A694" s="8" t="s">
        <v>264</v>
      </c>
      <c r="B694" s="6"/>
      <c r="C694" s="6"/>
      <c r="D694" s="49"/>
      <c r="E694" s="49">
        <v>74070200</v>
      </c>
      <c r="F694" s="49">
        <f>D694+E694</f>
        <v>74070200</v>
      </c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21.75" customHeight="1">
      <c r="A695" s="5" t="s">
        <v>5</v>
      </c>
      <c r="B695" s="6"/>
      <c r="C695" s="6"/>
      <c r="D695" s="49"/>
      <c r="E695" s="49"/>
      <c r="F695" s="49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21.75" customHeight="1">
      <c r="A696" s="8" t="s">
        <v>262</v>
      </c>
      <c r="B696" s="6"/>
      <c r="C696" s="6"/>
      <c r="D696" s="49"/>
      <c r="E696" s="49">
        <v>1</v>
      </c>
      <c r="F696" s="49">
        <f>D696+E696</f>
        <v>1</v>
      </c>
      <c r="G696" s="87"/>
      <c r="H696" s="96"/>
      <c r="I696" s="87"/>
      <c r="J696" s="96"/>
      <c r="K696" s="87"/>
      <c r="L696" s="87"/>
      <c r="M696" s="87"/>
      <c r="N696" s="87"/>
      <c r="O696" s="96"/>
      <c r="P696" s="96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21.75" customHeight="1">
      <c r="A697" s="5" t="s">
        <v>7</v>
      </c>
      <c r="B697" s="6"/>
      <c r="C697" s="6"/>
      <c r="D697" s="49"/>
      <c r="E697" s="49"/>
      <c r="F697" s="49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21.75" customHeight="1">
      <c r="A698" s="8" t="s">
        <v>263</v>
      </c>
      <c r="B698" s="127"/>
      <c r="C698" s="127"/>
      <c r="D698" s="36"/>
      <c r="E698" s="87">
        <f>E694/E696</f>
        <v>74070200</v>
      </c>
      <c r="F698" s="49">
        <f>D698+E698</f>
        <v>74070200</v>
      </c>
      <c r="G698" s="128"/>
      <c r="H698" s="128"/>
      <c r="I698" s="128"/>
      <c r="J698" s="30"/>
      <c r="K698" s="30"/>
      <c r="L698" s="30"/>
      <c r="M698" s="30"/>
      <c r="N698" s="30"/>
      <c r="O698" s="30"/>
      <c r="P698" s="30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 customHeight="1">
      <c r="A699" s="97"/>
      <c r="B699" s="98"/>
      <c r="C699" s="98"/>
      <c r="D699" s="99"/>
      <c r="E699" s="4"/>
      <c r="F699" s="4"/>
      <c r="G699" s="4"/>
      <c r="H699" s="4"/>
      <c r="I699" s="4"/>
      <c r="J699" s="100"/>
      <c r="K699" s="100"/>
      <c r="L699" s="100"/>
      <c r="M699" s="100"/>
      <c r="N699" s="100"/>
      <c r="O699" s="100"/>
      <c r="P699" s="100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0.5" customHeight="1">
      <c r="A700" s="97"/>
      <c r="B700" s="98"/>
      <c r="C700" s="98"/>
      <c r="D700" s="99"/>
      <c r="E700" s="4"/>
      <c r="F700" s="4"/>
      <c r="G700" s="4"/>
      <c r="H700" s="4"/>
      <c r="I700" s="4"/>
      <c r="J700" s="100"/>
      <c r="K700" s="100"/>
      <c r="L700" s="100"/>
      <c r="M700" s="100"/>
      <c r="N700" s="100"/>
      <c r="O700" s="100"/>
      <c r="P700" s="100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9.75" customHeight="1">
      <c r="A701" s="98"/>
      <c r="B701" s="98"/>
      <c r="C701" s="98"/>
      <c r="D701" s="99"/>
      <c r="E701" s="2"/>
      <c r="F701" s="2"/>
      <c r="G701" s="2"/>
      <c r="H701" s="2"/>
      <c r="I701" s="2"/>
      <c r="J701" s="100"/>
      <c r="K701" s="100"/>
      <c r="L701" s="100"/>
      <c r="M701" s="100"/>
      <c r="N701" s="100"/>
      <c r="O701" s="100"/>
      <c r="P701" s="100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6.75" customHeight="1">
      <c r="A702" s="98"/>
      <c r="B702" s="98"/>
      <c r="C702" s="98"/>
      <c r="D702" s="99"/>
      <c r="E702" s="2"/>
      <c r="F702" s="2"/>
      <c r="G702" s="2"/>
      <c r="H702" s="2"/>
      <c r="I702" s="2"/>
      <c r="J702" s="100"/>
      <c r="K702" s="100"/>
      <c r="L702" s="100"/>
      <c r="M702" s="100"/>
      <c r="N702" s="100"/>
      <c r="O702" s="100"/>
      <c r="P702" s="100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20.25" customHeight="1">
      <c r="A703" s="165" t="s">
        <v>450</v>
      </c>
      <c r="B703" s="165"/>
      <c r="C703" s="165"/>
      <c r="D703" s="165"/>
      <c r="E703" s="102"/>
      <c r="F703" s="103"/>
      <c r="G703" s="104"/>
      <c r="H703" s="104"/>
      <c r="I703" s="104"/>
      <c r="J703" s="105"/>
      <c r="K703" s="105"/>
      <c r="L703" s="105"/>
      <c r="M703" s="105"/>
      <c r="N703" s="104"/>
      <c r="O703" s="169" t="s">
        <v>451</v>
      </c>
      <c r="P703" s="169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8.25" customHeight="1">
      <c r="A704" s="101"/>
      <c r="B704" s="101"/>
      <c r="C704" s="101"/>
      <c r="D704" s="102"/>
      <c r="E704" s="102"/>
      <c r="F704" s="103"/>
      <c r="G704" s="104"/>
      <c r="H704" s="104"/>
      <c r="I704" s="104"/>
      <c r="J704" s="105"/>
      <c r="K704" s="105"/>
      <c r="L704" s="105"/>
      <c r="M704" s="105"/>
      <c r="N704" s="104"/>
      <c r="O704" s="106"/>
      <c r="P704" s="106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6.75" customHeight="1">
      <c r="A705" s="101"/>
      <c r="B705" s="101"/>
      <c r="C705" s="101"/>
      <c r="D705" s="102"/>
      <c r="E705" s="102"/>
      <c r="F705" s="103"/>
      <c r="G705" s="104"/>
      <c r="H705" s="104"/>
      <c r="I705" s="104"/>
      <c r="J705" s="105"/>
      <c r="K705" s="105"/>
      <c r="L705" s="105"/>
      <c r="M705" s="105"/>
      <c r="N705" s="104"/>
      <c r="O705" s="106"/>
      <c r="P705" s="106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8.75" customHeight="1">
      <c r="A706" s="178" t="s">
        <v>452</v>
      </c>
      <c r="B706" s="178"/>
      <c r="C706" s="107"/>
      <c r="D706" s="108"/>
      <c r="E706" s="102"/>
      <c r="F706" s="104"/>
      <c r="G706" s="102"/>
      <c r="H706" s="102"/>
      <c r="I706" s="102"/>
      <c r="J706" s="109"/>
      <c r="K706" s="109"/>
      <c r="L706" s="109"/>
      <c r="M706" s="109"/>
      <c r="N706" s="109"/>
      <c r="O706" s="109"/>
      <c r="P706" s="109"/>
      <c r="Q706" s="110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0.75" customHeight="1">
      <c r="A707" s="28" t="s">
        <v>150</v>
      </c>
      <c r="B707" s="28"/>
      <c r="C707" s="111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28.5" customHeight="1">
      <c r="A708" s="112"/>
      <c r="B708" s="113"/>
      <c r="C708" s="114"/>
      <c r="D708" s="115"/>
      <c r="E708" s="115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  <row r="779" spans="1:235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4"/>
      <c r="O779" s="104"/>
      <c r="P779" s="104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  <c r="GB779" s="53"/>
      <c r="GC779" s="53"/>
      <c r="GD779" s="53"/>
      <c r="GE779" s="53"/>
      <c r="GF779" s="53"/>
      <c r="GG779" s="53"/>
      <c r="GH779" s="53"/>
      <c r="GI779" s="53"/>
      <c r="GJ779" s="53"/>
      <c r="GK779" s="53"/>
      <c r="GL779" s="53"/>
      <c r="GM779" s="53"/>
      <c r="GN779" s="53"/>
      <c r="GO779" s="53"/>
      <c r="GP779" s="53"/>
      <c r="GQ779" s="53"/>
      <c r="GR779" s="53"/>
      <c r="GS779" s="53"/>
      <c r="GT779" s="53"/>
      <c r="GU779" s="53"/>
      <c r="GV779" s="53"/>
      <c r="GW779" s="53"/>
      <c r="GX779" s="53"/>
      <c r="GY779" s="53"/>
      <c r="GZ779" s="53"/>
      <c r="HA779" s="53"/>
      <c r="HB779" s="53"/>
      <c r="HC779" s="53"/>
      <c r="HD779" s="53"/>
      <c r="HE779" s="53"/>
      <c r="HF779" s="53"/>
      <c r="HG779" s="53"/>
      <c r="HH779" s="53"/>
      <c r="HI779" s="53"/>
      <c r="HJ779" s="53"/>
      <c r="HK779" s="53"/>
      <c r="HL779" s="53"/>
      <c r="HM779" s="53"/>
      <c r="HN779" s="53"/>
      <c r="HO779" s="53"/>
      <c r="HP779" s="53"/>
      <c r="HQ779" s="53"/>
      <c r="HR779" s="53"/>
      <c r="HS779" s="53"/>
      <c r="HT779" s="53"/>
      <c r="HU779" s="53"/>
      <c r="HV779" s="53"/>
      <c r="HW779" s="53"/>
      <c r="HX779" s="53"/>
      <c r="HY779" s="53"/>
      <c r="HZ779" s="53"/>
      <c r="IA779" s="53"/>
    </row>
    <row r="780" spans="1:235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4"/>
      <c r="O780" s="104"/>
      <c r="P780" s="104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  <c r="HZ780" s="53"/>
      <c r="IA780" s="53"/>
    </row>
    <row r="781" spans="1:235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4"/>
      <c r="O781" s="104"/>
      <c r="P781" s="104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  <c r="GB781" s="53"/>
      <c r="GC781" s="53"/>
      <c r="GD781" s="53"/>
      <c r="GE781" s="53"/>
      <c r="GF781" s="53"/>
      <c r="GG781" s="53"/>
      <c r="GH781" s="53"/>
      <c r="GI781" s="53"/>
      <c r="GJ781" s="53"/>
      <c r="GK781" s="53"/>
      <c r="GL781" s="53"/>
      <c r="GM781" s="53"/>
      <c r="GN781" s="53"/>
      <c r="GO781" s="53"/>
      <c r="GP781" s="53"/>
      <c r="GQ781" s="53"/>
      <c r="GR781" s="53"/>
      <c r="GS781" s="53"/>
      <c r="GT781" s="53"/>
      <c r="GU781" s="53"/>
      <c r="GV781" s="53"/>
      <c r="GW781" s="53"/>
      <c r="GX781" s="53"/>
      <c r="GY781" s="53"/>
      <c r="GZ781" s="53"/>
      <c r="HA781" s="53"/>
      <c r="HB781" s="53"/>
      <c r="HC781" s="53"/>
      <c r="HD781" s="53"/>
      <c r="HE781" s="53"/>
      <c r="HF781" s="53"/>
      <c r="HG781" s="53"/>
      <c r="HH781" s="53"/>
      <c r="HI781" s="53"/>
      <c r="HJ781" s="53"/>
      <c r="HK781" s="53"/>
      <c r="HL781" s="53"/>
      <c r="HM781" s="53"/>
      <c r="HN781" s="53"/>
      <c r="HO781" s="53"/>
      <c r="HP781" s="53"/>
      <c r="HQ781" s="53"/>
      <c r="HR781" s="53"/>
      <c r="HS781" s="53"/>
      <c r="HT781" s="53"/>
      <c r="HU781" s="53"/>
      <c r="HV781" s="53"/>
      <c r="HW781" s="53"/>
      <c r="HX781" s="53"/>
      <c r="HY781" s="53"/>
      <c r="HZ781" s="53"/>
      <c r="IA781" s="53"/>
    </row>
    <row r="782" spans="1:235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4"/>
      <c r="O782" s="104"/>
      <c r="P782" s="104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  <c r="GB782" s="53"/>
      <c r="GC782" s="53"/>
      <c r="GD782" s="53"/>
      <c r="GE782" s="53"/>
      <c r="GF782" s="53"/>
      <c r="GG782" s="53"/>
      <c r="GH782" s="53"/>
      <c r="GI782" s="53"/>
      <c r="GJ782" s="53"/>
      <c r="GK782" s="53"/>
      <c r="GL782" s="53"/>
      <c r="GM782" s="53"/>
      <c r="GN782" s="53"/>
      <c r="GO782" s="53"/>
      <c r="GP782" s="53"/>
      <c r="GQ782" s="53"/>
      <c r="GR782" s="53"/>
      <c r="GS782" s="53"/>
      <c r="GT782" s="53"/>
      <c r="GU782" s="53"/>
      <c r="GV782" s="53"/>
      <c r="GW782" s="53"/>
      <c r="GX782" s="53"/>
      <c r="GY782" s="53"/>
      <c r="GZ782" s="53"/>
      <c r="HA782" s="53"/>
      <c r="HB782" s="53"/>
      <c r="HC782" s="53"/>
      <c r="HD782" s="53"/>
      <c r="HE782" s="53"/>
      <c r="HF782" s="53"/>
      <c r="HG782" s="53"/>
      <c r="HH782" s="53"/>
      <c r="HI782" s="53"/>
      <c r="HJ782" s="53"/>
      <c r="HK782" s="53"/>
      <c r="HL782" s="53"/>
      <c r="HM782" s="53"/>
      <c r="HN782" s="53"/>
      <c r="HO782" s="53"/>
      <c r="HP782" s="53"/>
      <c r="HQ782" s="53"/>
      <c r="HR782" s="53"/>
      <c r="HS782" s="53"/>
      <c r="HT782" s="53"/>
      <c r="HU782" s="53"/>
      <c r="HV782" s="53"/>
      <c r="HW782" s="53"/>
      <c r="HX782" s="53"/>
      <c r="HY782" s="53"/>
      <c r="HZ782" s="53"/>
      <c r="IA782" s="53"/>
    </row>
    <row r="783" spans="1:235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4"/>
      <c r="O783" s="104"/>
      <c r="P783" s="104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  <c r="CZ783" s="53"/>
      <c r="DA783" s="53"/>
      <c r="DB783" s="53"/>
      <c r="DC783" s="53"/>
      <c r="DD783" s="53"/>
      <c r="DE783" s="53"/>
      <c r="DF783" s="53"/>
      <c r="DG783" s="53"/>
      <c r="DH783" s="53"/>
      <c r="DI783" s="53"/>
      <c r="DJ783" s="53"/>
      <c r="DK783" s="53"/>
      <c r="DL783" s="53"/>
      <c r="DM783" s="53"/>
      <c r="DN783" s="53"/>
      <c r="DO783" s="53"/>
      <c r="DP783" s="53"/>
      <c r="DQ783" s="53"/>
      <c r="DR783" s="53"/>
      <c r="DS783" s="53"/>
      <c r="DT783" s="53"/>
      <c r="DU783" s="53"/>
      <c r="DV783" s="53"/>
      <c r="DW783" s="53"/>
      <c r="DX783" s="53"/>
      <c r="DY783" s="53"/>
      <c r="DZ783" s="53"/>
      <c r="EA783" s="53"/>
      <c r="EB783" s="53"/>
      <c r="EC783" s="53"/>
      <c r="ED783" s="53"/>
      <c r="EE783" s="53"/>
      <c r="EF783" s="53"/>
      <c r="EG783" s="53"/>
      <c r="EH783" s="53"/>
      <c r="EI783" s="53"/>
      <c r="EJ783" s="53"/>
      <c r="EK783" s="53"/>
      <c r="EL783" s="53"/>
      <c r="EM783" s="53"/>
      <c r="EN783" s="53"/>
      <c r="EO783" s="53"/>
      <c r="EP783" s="53"/>
      <c r="EQ783" s="53"/>
      <c r="ER783" s="53"/>
      <c r="ES783" s="53"/>
      <c r="ET783" s="53"/>
      <c r="EU783" s="53"/>
      <c r="EV783" s="53"/>
      <c r="EW783" s="53"/>
      <c r="EX783" s="53"/>
      <c r="EY783" s="53"/>
      <c r="EZ783" s="53"/>
      <c r="FA783" s="53"/>
      <c r="FB783" s="53"/>
      <c r="FC783" s="53"/>
      <c r="FD783" s="53"/>
      <c r="FE783" s="53"/>
      <c r="FF783" s="53"/>
      <c r="FG783" s="53"/>
      <c r="FH783" s="53"/>
      <c r="FI783" s="53"/>
      <c r="FJ783" s="53"/>
      <c r="FK783" s="53"/>
      <c r="FL783" s="53"/>
      <c r="FM783" s="53"/>
      <c r="FN783" s="53"/>
      <c r="FO783" s="53"/>
      <c r="FP783" s="53"/>
      <c r="FQ783" s="53"/>
      <c r="FR783" s="53"/>
      <c r="FS783" s="53"/>
      <c r="FT783" s="53"/>
      <c r="FU783" s="53"/>
      <c r="FV783" s="53"/>
      <c r="FW783" s="53"/>
      <c r="FX783" s="53"/>
      <c r="FY783" s="53"/>
      <c r="FZ783" s="53"/>
      <c r="GA783" s="53"/>
      <c r="GB783" s="53"/>
      <c r="GC783" s="53"/>
      <c r="GD783" s="53"/>
      <c r="GE783" s="53"/>
      <c r="GF783" s="53"/>
      <c r="GG783" s="53"/>
      <c r="GH783" s="53"/>
      <c r="GI783" s="53"/>
      <c r="GJ783" s="53"/>
      <c r="GK783" s="53"/>
      <c r="GL783" s="53"/>
      <c r="GM783" s="53"/>
      <c r="GN783" s="53"/>
      <c r="GO783" s="53"/>
      <c r="GP783" s="53"/>
      <c r="GQ783" s="53"/>
      <c r="GR783" s="53"/>
      <c r="GS783" s="53"/>
      <c r="GT783" s="53"/>
      <c r="GU783" s="53"/>
      <c r="GV783" s="53"/>
      <c r="GW783" s="53"/>
      <c r="GX783" s="53"/>
      <c r="GY783" s="53"/>
      <c r="GZ783" s="53"/>
      <c r="HA783" s="53"/>
      <c r="HB783" s="53"/>
      <c r="HC783" s="53"/>
      <c r="HD783" s="53"/>
      <c r="HE783" s="53"/>
      <c r="HF783" s="53"/>
      <c r="HG783" s="53"/>
      <c r="HH783" s="53"/>
      <c r="HI783" s="53"/>
      <c r="HJ783" s="53"/>
      <c r="HK783" s="53"/>
      <c r="HL783" s="53"/>
      <c r="HM783" s="53"/>
      <c r="HN783" s="53"/>
      <c r="HO783" s="53"/>
      <c r="HP783" s="53"/>
      <c r="HQ783" s="53"/>
      <c r="HR783" s="53"/>
      <c r="HS783" s="53"/>
      <c r="HT783" s="53"/>
      <c r="HU783" s="53"/>
      <c r="HV783" s="53"/>
      <c r="HW783" s="53"/>
      <c r="HX783" s="53"/>
      <c r="HY783" s="53"/>
      <c r="HZ783" s="53"/>
      <c r="IA783" s="53"/>
    </row>
    <row r="784" spans="1:235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4"/>
      <c r="O784" s="104"/>
      <c r="P784" s="104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  <c r="GB784" s="53"/>
      <c r="GC784" s="53"/>
      <c r="GD784" s="53"/>
      <c r="GE784" s="53"/>
      <c r="GF784" s="53"/>
      <c r="GG784" s="53"/>
      <c r="GH784" s="53"/>
      <c r="GI784" s="53"/>
      <c r="GJ784" s="53"/>
      <c r="GK784" s="53"/>
      <c r="GL784" s="53"/>
      <c r="GM784" s="53"/>
      <c r="GN784" s="53"/>
      <c r="GO784" s="53"/>
      <c r="GP784" s="53"/>
      <c r="GQ784" s="53"/>
      <c r="GR784" s="53"/>
      <c r="GS784" s="53"/>
      <c r="GT784" s="53"/>
      <c r="GU784" s="53"/>
      <c r="GV784" s="53"/>
      <c r="GW784" s="53"/>
      <c r="GX784" s="53"/>
      <c r="GY784" s="53"/>
      <c r="GZ784" s="53"/>
      <c r="HA784" s="53"/>
      <c r="HB784" s="53"/>
      <c r="HC784" s="53"/>
      <c r="HD784" s="53"/>
      <c r="HE784" s="53"/>
      <c r="HF784" s="53"/>
      <c r="HG784" s="53"/>
      <c r="HH784" s="53"/>
      <c r="HI784" s="53"/>
      <c r="HJ784" s="53"/>
      <c r="HK784" s="53"/>
      <c r="HL784" s="53"/>
      <c r="HM784" s="53"/>
      <c r="HN784" s="53"/>
      <c r="HO784" s="53"/>
      <c r="HP784" s="53"/>
      <c r="HQ784" s="53"/>
      <c r="HR784" s="53"/>
      <c r="HS784" s="53"/>
      <c r="HT784" s="53"/>
      <c r="HU784" s="53"/>
      <c r="HV784" s="53"/>
      <c r="HW784" s="53"/>
      <c r="HX784" s="53"/>
      <c r="HY784" s="53"/>
      <c r="HZ784" s="53"/>
      <c r="IA784" s="53"/>
    </row>
    <row r="785" spans="1:235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4"/>
      <c r="O785" s="104"/>
      <c r="P785" s="104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  <c r="GB785" s="53"/>
      <c r="GC785" s="53"/>
      <c r="GD785" s="53"/>
      <c r="GE785" s="53"/>
      <c r="GF785" s="53"/>
      <c r="GG785" s="53"/>
      <c r="GH785" s="53"/>
      <c r="GI785" s="53"/>
      <c r="GJ785" s="53"/>
      <c r="GK785" s="53"/>
      <c r="GL785" s="53"/>
      <c r="GM785" s="53"/>
      <c r="GN785" s="53"/>
      <c r="GO785" s="53"/>
      <c r="GP785" s="53"/>
      <c r="GQ785" s="53"/>
      <c r="GR785" s="53"/>
      <c r="GS785" s="53"/>
      <c r="GT785" s="53"/>
      <c r="GU785" s="53"/>
      <c r="GV785" s="53"/>
      <c r="GW785" s="53"/>
      <c r="GX785" s="53"/>
      <c r="GY785" s="53"/>
      <c r="GZ785" s="53"/>
      <c r="HA785" s="53"/>
      <c r="HB785" s="53"/>
      <c r="HC785" s="53"/>
      <c r="HD785" s="53"/>
      <c r="HE785" s="53"/>
      <c r="HF785" s="53"/>
      <c r="HG785" s="53"/>
      <c r="HH785" s="53"/>
      <c r="HI785" s="53"/>
      <c r="HJ785" s="53"/>
      <c r="HK785" s="53"/>
      <c r="HL785" s="53"/>
      <c r="HM785" s="53"/>
      <c r="HN785" s="53"/>
      <c r="HO785" s="53"/>
      <c r="HP785" s="53"/>
      <c r="HQ785" s="53"/>
      <c r="HR785" s="53"/>
      <c r="HS785" s="53"/>
      <c r="HT785" s="53"/>
      <c r="HU785" s="53"/>
      <c r="HV785" s="53"/>
      <c r="HW785" s="53"/>
      <c r="HX785" s="53"/>
      <c r="HY785" s="53"/>
      <c r="HZ785" s="53"/>
      <c r="IA785" s="53"/>
    </row>
    <row r="786" spans="1:235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4"/>
      <c r="O786" s="104"/>
      <c r="P786" s="104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  <c r="GB786" s="53"/>
      <c r="GC786" s="53"/>
      <c r="GD786" s="53"/>
      <c r="GE786" s="53"/>
      <c r="GF786" s="53"/>
      <c r="GG786" s="53"/>
      <c r="GH786" s="53"/>
      <c r="GI786" s="53"/>
      <c r="GJ786" s="53"/>
      <c r="GK786" s="53"/>
      <c r="GL786" s="53"/>
      <c r="GM786" s="53"/>
      <c r="GN786" s="53"/>
      <c r="GO786" s="53"/>
      <c r="GP786" s="53"/>
      <c r="GQ786" s="53"/>
      <c r="GR786" s="53"/>
      <c r="GS786" s="53"/>
      <c r="GT786" s="53"/>
      <c r="GU786" s="53"/>
      <c r="GV786" s="53"/>
      <c r="GW786" s="53"/>
      <c r="GX786" s="53"/>
      <c r="GY786" s="53"/>
      <c r="GZ786" s="53"/>
      <c r="HA786" s="53"/>
      <c r="HB786" s="53"/>
      <c r="HC786" s="53"/>
      <c r="HD786" s="53"/>
      <c r="HE786" s="53"/>
      <c r="HF786" s="53"/>
      <c r="HG786" s="53"/>
      <c r="HH786" s="53"/>
      <c r="HI786" s="53"/>
      <c r="HJ786" s="53"/>
      <c r="HK786" s="53"/>
      <c r="HL786" s="53"/>
      <c r="HM786" s="53"/>
      <c r="HN786" s="53"/>
      <c r="HO786" s="53"/>
      <c r="HP786" s="53"/>
      <c r="HQ786" s="53"/>
      <c r="HR786" s="53"/>
      <c r="HS786" s="53"/>
      <c r="HT786" s="53"/>
      <c r="HU786" s="53"/>
      <c r="HV786" s="53"/>
      <c r="HW786" s="53"/>
      <c r="HX786" s="53"/>
      <c r="HY786" s="53"/>
      <c r="HZ786" s="53"/>
      <c r="IA786" s="53"/>
    </row>
    <row r="787" spans="1:235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4"/>
      <c r="O787" s="104"/>
      <c r="P787" s="104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  <c r="GB787" s="53"/>
      <c r="GC787" s="53"/>
      <c r="GD787" s="53"/>
      <c r="GE787" s="53"/>
      <c r="GF787" s="53"/>
      <c r="GG787" s="53"/>
      <c r="GH787" s="53"/>
      <c r="GI787" s="53"/>
      <c r="GJ787" s="53"/>
      <c r="GK787" s="53"/>
      <c r="GL787" s="53"/>
      <c r="GM787" s="53"/>
      <c r="GN787" s="53"/>
      <c r="GO787" s="53"/>
      <c r="GP787" s="53"/>
      <c r="GQ787" s="53"/>
      <c r="GR787" s="53"/>
      <c r="GS787" s="53"/>
      <c r="GT787" s="53"/>
      <c r="GU787" s="53"/>
      <c r="GV787" s="53"/>
      <c r="GW787" s="53"/>
      <c r="GX787" s="53"/>
      <c r="GY787" s="53"/>
      <c r="GZ787" s="53"/>
      <c r="HA787" s="53"/>
      <c r="HB787" s="53"/>
      <c r="HC787" s="53"/>
      <c r="HD787" s="53"/>
      <c r="HE787" s="53"/>
      <c r="HF787" s="53"/>
      <c r="HG787" s="53"/>
      <c r="HH787" s="53"/>
      <c r="HI787" s="53"/>
      <c r="HJ787" s="53"/>
      <c r="HK787" s="53"/>
      <c r="HL787" s="53"/>
      <c r="HM787" s="53"/>
      <c r="HN787" s="53"/>
      <c r="HO787" s="53"/>
      <c r="HP787" s="53"/>
      <c r="HQ787" s="53"/>
      <c r="HR787" s="53"/>
      <c r="HS787" s="53"/>
      <c r="HT787" s="53"/>
      <c r="HU787" s="53"/>
      <c r="HV787" s="53"/>
      <c r="HW787" s="53"/>
      <c r="HX787" s="53"/>
      <c r="HY787" s="53"/>
      <c r="HZ787" s="53"/>
      <c r="IA787" s="53"/>
    </row>
    <row r="788" spans="1:235" ht="11.25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04"/>
      <c r="O788" s="104"/>
      <c r="P788" s="104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3"/>
      <c r="BS788" s="53"/>
      <c r="BT788" s="53"/>
      <c r="BU788" s="53"/>
      <c r="BV788" s="53"/>
      <c r="BW788" s="53"/>
      <c r="BX788" s="53"/>
      <c r="BY788" s="53"/>
      <c r="BZ788" s="53"/>
      <c r="CA788" s="53"/>
      <c r="CB788" s="53"/>
      <c r="CC788" s="53"/>
      <c r="CD788" s="53"/>
      <c r="CE788" s="53"/>
      <c r="CF788" s="53"/>
      <c r="CG788" s="53"/>
      <c r="CH788" s="53"/>
      <c r="CI788" s="53"/>
      <c r="CJ788" s="53"/>
      <c r="CK788" s="53"/>
      <c r="CL788" s="53"/>
      <c r="CM788" s="53"/>
      <c r="CN788" s="53"/>
      <c r="CO788" s="53"/>
      <c r="CP788" s="53"/>
      <c r="CQ788" s="53"/>
      <c r="CR788" s="53"/>
      <c r="CS788" s="53"/>
      <c r="CT788" s="53"/>
      <c r="CU788" s="53"/>
      <c r="CV788" s="53"/>
      <c r="CW788" s="53"/>
      <c r="CX788" s="53"/>
      <c r="CY788" s="53"/>
      <c r="CZ788" s="53"/>
      <c r="DA788" s="53"/>
      <c r="DB788" s="53"/>
      <c r="DC788" s="53"/>
      <c r="DD788" s="53"/>
      <c r="DE788" s="53"/>
      <c r="DF788" s="53"/>
      <c r="DG788" s="53"/>
      <c r="DH788" s="53"/>
      <c r="DI788" s="53"/>
      <c r="DJ788" s="53"/>
      <c r="DK788" s="53"/>
      <c r="DL788" s="53"/>
      <c r="DM788" s="53"/>
      <c r="DN788" s="53"/>
      <c r="DO788" s="53"/>
      <c r="DP788" s="53"/>
      <c r="DQ788" s="53"/>
      <c r="DR788" s="53"/>
      <c r="DS788" s="53"/>
      <c r="DT788" s="53"/>
      <c r="DU788" s="53"/>
      <c r="DV788" s="53"/>
      <c r="DW788" s="53"/>
      <c r="DX788" s="53"/>
      <c r="DY788" s="53"/>
      <c r="DZ788" s="53"/>
      <c r="EA788" s="53"/>
      <c r="EB788" s="53"/>
      <c r="EC788" s="53"/>
      <c r="ED788" s="53"/>
      <c r="EE788" s="53"/>
      <c r="EF788" s="53"/>
      <c r="EG788" s="53"/>
      <c r="EH788" s="53"/>
      <c r="EI788" s="53"/>
      <c r="EJ788" s="53"/>
      <c r="EK788" s="53"/>
      <c r="EL788" s="53"/>
      <c r="EM788" s="53"/>
      <c r="EN788" s="53"/>
      <c r="EO788" s="53"/>
      <c r="EP788" s="53"/>
      <c r="EQ788" s="53"/>
      <c r="ER788" s="53"/>
      <c r="ES788" s="53"/>
      <c r="ET788" s="53"/>
      <c r="EU788" s="53"/>
      <c r="EV788" s="53"/>
      <c r="EW788" s="53"/>
      <c r="EX788" s="53"/>
      <c r="EY788" s="53"/>
      <c r="EZ788" s="53"/>
      <c r="FA788" s="53"/>
      <c r="FB788" s="53"/>
      <c r="FC788" s="53"/>
      <c r="FD788" s="53"/>
      <c r="FE788" s="53"/>
      <c r="FF788" s="53"/>
      <c r="FG788" s="53"/>
      <c r="FH788" s="53"/>
      <c r="FI788" s="53"/>
      <c r="FJ788" s="53"/>
      <c r="FK788" s="53"/>
      <c r="FL788" s="53"/>
      <c r="FM788" s="53"/>
      <c r="FN788" s="53"/>
      <c r="FO788" s="53"/>
      <c r="FP788" s="53"/>
      <c r="FQ788" s="53"/>
      <c r="FR788" s="53"/>
      <c r="FS788" s="53"/>
      <c r="FT788" s="53"/>
      <c r="FU788" s="53"/>
      <c r="FV788" s="53"/>
      <c r="FW788" s="53"/>
      <c r="FX788" s="53"/>
      <c r="FY788" s="53"/>
      <c r="FZ788" s="53"/>
      <c r="GA788" s="53"/>
      <c r="GB788" s="53"/>
      <c r="GC788" s="53"/>
      <c r="GD788" s="53"/>
      <c r="GE788" s="53"/>
      <c r="GF788" s="53"/>
      <c r="GG788" s="53"/>
      <c r="GH788" s="53"/>
      <c r="GI788" s="53"/>
      <c r="GJ788" s="53"/>
      <c r="GK788" s="53"/>
      <c r="GL788" s="53"/>
      <c r="GM788" s="53"/>
      <c r="GN788" s="53"/>
      <c r="GO788" s="53"/>
      <c r="GP788" s="53"/>
      <c r="GQ788" s="53"/>
      <c r="GR788" s="53"/>
      <c r="GS788" s="53"/>
      <c r="GT788" s="53"/>
      <c r="GU788" s="53"/>
      <c r="GV788" s="53"/>
      <c r="GW788" s="53"/>
      <c r="GX788" s="53"/>
      <c r="GY788" s="53"/>
      <c r="GZ788" s="53"/>
      <c r="HA788" s="53"/>
      <c r="HB788" s="53"/>
      <c r="HC788" s="53"/>
      <c r="HD788" s="53"/>
      <c r="HE788" s="53"/>
      <c r="HF788" s="53"/>
      <c r="HG788" s="53"/>
      <c r="HH788" s="53"/>
      <c r="HI788" s="53"/>
      <c r="HJ788" s="53"/>
      <c r="HK788" s="53"/>
      <c r="HL788" s="53"/>
      <c r="HM788" s="53"/>
      <c r="HN788" s="53"/>
      <c r="HO788" s="53"/>
      <c r="HP788" s="53"/>
      <c r="HQ788" s="53"/>
      <c r="HR788" s="53"/>
      <c r="HS788" s="53"/>
      <c r="HT788" s="53"/>
      <c r="HU788" s="53"/>
      <c r="HV788" s="53"/>
      <c r="HW788" s="53"/>
      <c r="HX788" s="53"/>
      <c r="HY788" s="53"/>
      <c r="HZ788" s="53"/>
      <c r="IA788" s="53"/>
    </row>
    <row r="789" spans="1:235" ht="11.25">
      <c r="A789" s="1"/>
      <c r="B789" s="1"/>
      <c r="C789" s="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04"/>
      <c r="O789" s="104"/>
      <c r="P789" s="104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3"/>
      <c r="BS789" s="53"/>
      <c r="BT789" s="53"/>
      <c r="BU789" s="53"/>
      <c r="BV789" s="53"/>
      <c r="BW789" s="53"/>
      <c r="BX789" s="53"/>
      <c r="BY789" s="53"/>
      <c r="BZ789" s="53"/>
      <c r="CA789" s="53"/>
      <c r="CB789" s="53"/>
      <c r="CC789" s="53"/>
      <c r="CD789" s="53"/>
      <c r="CE789" s="53"/>
      <c r="CF789" s="53"/>
      <c r="CG789" s="53"/>
      <c r="CH789" s="53"/>
      <c r="CI789" s="53"/>
      <c r="CJ789" s="53"/>
      <c r="CK789" s="53"/>
      <c r="CL789" s="53"/>
      <c r="CM789" s="53"/>
      <c r="CN789" s="53"/>
      <c r="CO789" s="53"/>
      <c r="CP789" s="53"/>
      <c r="CQ789" s="53"/>
      <c r="CR789" s="53"/>
      <c r="CS789" s="53"/>
      <c r="CT789" s="53"/>
      <c r="CU789" s="53"/>
      <c r="CV789" s="53"/>
      <c r="CW789" s="53"/>
      <c r="CX789" s="53"/>
      <c r="CY789" s="53"/>
      <c r="CZ789" s="53"/>
      <c r="DA789" s="53"/>
      <c r="DB789" s="53"/>
      <c r="DC789" s="53"/>
      <c r="DD789" s="53"/>
      <c r="DE789" s="53"/>
      <c r="DF789" s="53"/>
      <c r="DG789" s="53"/>
      <c r="DH789" s="53"/>
      <c r="DI789" s="53"/>
      <c r="DJ789" s="53"/>
      <c r="DK789" s="53"/>
      <c r="DL789" s="53"/>
      <c r="DM789" s="53"/>
      <c r="DN789" s="53"/>
      <c r="DO789" s="53"/>
      <c r="DP789" s="53"/>
      <c r="DQ789" s="53"/>
      <c r="DR789" s="53"/>
      <c r="DS789" s="53"/>
      <c r="DT789" s="53"/>
      <c r="DU789" s="53"/>
      <c r="DV789" s="53"/>
      <c r="DW789" s="53"/>
      <c r="DX789" s="53"/>
      <c r="DY789" s="53"/>
      <c r="DZ789" s="53"/>
      <c r="EA789" s="53"/>
      <c r="EB789" s="53"/>
      <c r="EC789" s="53"/>
      <c r="ED789" s="53"/>
      <c r="EE789" s="53"/>
      <c r="EF789" s="53"/>
      <c r="EG789" s="53"/>
      <c r="EH789" s="53"/>
      <c r="EI789" s="53"/>
      <c r="EJ789" s="53"/>
      <c r="EK789" s="53"/>
      <c r="EL789" s="53"/>
      <c r="EM789" s="53"/>
      <c r="EN789" s="53"/>
      <c r="EO789" s="53"/>
      <c r="EP789" s="53"/>
      <c r="EQ789" s="53"/>
      <c r="ER789" s="53"/>
      <c r="ES789" s="53"/>
      <c r="ET789" s="53"/>
      <c r="EU789" s="53"/>
      <c r="EV789" s="53"/>
      <c r="EW789" s="53"/>
      <c r="EX789" s="53"/>
      <c r="EY789" s="53"/>
      <c r="EZ789" s="53"/>
      <c r="FA789" s="53"/>
      <c r="FB789" s="53"/>
      <c r="FC789" s="53"/>
      <c r="FD789" s="53"/>
      <c r="FE789" s="53"/>
      <c r="FF789" s="53"/>
      <c r="FG789" s="53"/>
      <c r="FH789" s="53"/>
      <c r="FI789" s="53"/>
      <c r="FJ789" s="53"/>
      <c r="FK789" s="53"/>
      <c r="FL789" s="53"/>
      <c r="FM789" s="53"/>
      <c r="FN789" s="53"/>
      <c r="FO789" s="53"/>
      <c r="FP789" s="53"/>
      <c r="FQ789" s="53"/>
      <c r="FR789" s="53"/>
      <c r="FS789" s="53"/>
      <c r="FT789" s="53"/>
      <c r="FU789" s="53"/>
      <c r="FV789" s="53"/>
      <c r="FW789" s="53"/>
      <c r="FX789" s="53"/>
      <c r="FY789" s="53"/>
      <c r="FZ789" s="53"/>
      <c r="GA789" s="53"/>
      <c r="GB789" s="53"/>
      <c r="GC789" s="53"/>
      <c r="GD789" s="53"/>
      <c r="GE789" s="53"/>
      <c r="GF789" s="53"/>
      <c r="GG789" s="53"/>
      <c r="GH789" s="53"/>
      <c r="GI789" s="53"/>
      <c r="GJ789" s="53"/>
      <c r="GK789" s="53"/>
      <c r="GL789" s="53"/>
      <c r="GM789" s="53"/>
      <c r="GN789" s="53"/>
      <c r="GO789" s="53"/>
      <c r="GP789" s="53"/>
      <c r="GQ789" s="53"/>
      <c r="GR789" s="53"/>
      <c r="GS789" s="53"/>
      <c r="GT789" s="53"/>
      <c r="GU789" s="53"/>
      <c r="GV789" s="53"/>
      <c r="GW789" s="53"/>
      <c r="GX789" s="53"/>
      <c r="GY789" s="53"/>
      <c r="GZ789" s="53"/>
      <c r="HA789" s="53"/>
      <c r="HB789" s="53"/>
      <c r="HC789" s="53"/>
      <c r="HD789" s="53"/>
      <c r="HE789" s="53"/>
      <c r="HF789" s="53"/>
      <c r="HG789" s="53"/>
      <c r="HH789" s="53"/>
      <c r="HI789" s="53"/>
      <c r="HJ789" s="53"/>
      <c r="HK789" s="53"/>
      <c r="HL789" s="53"/>
      <c r="HM789" s="53"/>
      <c r="HN789" s="53"/>
      <c r="HO789" s="53"/>
      <c r="HP789" s="53"/>
      <c r="HQ789" s="53"/>
      <c r="HR789" s="53"/>
      <c r="HS789" s="53"/>
      <c r="HT789" s="53"/>
      <c r="HU789" s="53"/>
      <c r="HV789" s="53"/>
      <c r="HW789" s="53"/>
      <c r="HX789" s="53"/>
      <c r="HY789" s="53"/>
      <c r="HZ789" s="53"/>
      <c r="IA789" s="53"/>
    </row>
    <row r="790" spans="1:235" ht="11.25">
      <c r="A790" s="1"/>
      <c r="B790" s="1"/>
      <c r="C790" s="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04"/>
      <c r="O790" s="104"/>
      <c r="P790" s="104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3"/>
      <c r="BS790" s="53"/>
      <c r="BT790" s="53"/>
      <c r="BU790" s="53"/>
      <c r="BV790" s="53"/>
      <c r="BW790" s="53"/>
      <c r="BX790" s="53"/>
      <c r="BY790" s="53"/>
      <c r="BZ790" s="53"/>
      <c r="CA790" s="53"/>
      <c r="CB790" s="53"/>
      <c r="CC790" s="53"/>
      <c r="CD790" s="53"/>
      <c r="CE790" s="53"/>
      <c r="CF790" s="53"/>
      <c r="CG790" s="53"/>
      <c r="CH790" s="53"/>
      <c r="CI790" s="53"/>
      <c r="CJ790" s="53"/>
      <c r="CK790" s="53"/>
      <c r="CL790" s="53"/>
      <c r="CM790" s="53"/>
      <c r="CN790" s="53"/>
      <c r="CO790" s="53"/>
      <c r="CP790" s="53"/>
      <c r="CQ790" s="53"/>
      <c r="CR790" s="53"/>
      <c r="CS790" s="53"/>
      <c r="CT790" s="53"/>
      <c r="CU790" s="53"/>
      <c r="CV790" s="53"/>
      <c r="CW790" s="53"/>
      <c r="CX790" s="53"/>
      <c r="CY790" s="53"/>
      <c r="CZ790" s="53"/>
      <c r="DA790" s="53"/>
      <c r="DB790" s="53"/>
      <c r="DC790" s="53"/>
      <c r="DD790" s="53"/>
      <c r="DE790" s="53"/>
      <c r="DF790" s="53"/>
      <c r="DG790" s="53"/>
      <c r="DH790" s="53"/>
      <c r="DI790" s="53"/>
      <c r="DJ790" s="53"/>
      <c r="DK790" s="53"/>
      <c r="DL790" s="53"/>
      <c r="DM790" s="53"/>
      <c r="DN790" s="53"/>
      <c r="DO790" s="53"/>
      <c r="DP790" s="53"/>
      <c r="DQ790" s="53"/>
      <c r="DR790" s="53"/>
      <c r="DS790" s="53"/>
      <c r="DT790" s="53"/>
      <c r="DU790" s="53"/>
      <c r="DV790" s="53"/>
      <c r="DW790" s="53"/>
      <c r="DX790" s="53"/>
      <c r="DY790" s="53"/>
      <c r="DZ790" s="53"/>
      <c r="EA790" s="53"/>
      <c r="EB790" s="53"/>
      <c r="EC790" s="53"/>
      <c r="ED790" s="53"/>
      <c r="EE790" s="53"/>
      <c r="EF790" s="53"/>
      <c r="EG790" s="53"/>
      <c r="EH790" s="53"/>
      <c r="EI790" s="53"/>
      <c r="EJ790" s="53"/>
      <c r="EK790" s="53"/>
      <c r="EL790" s="53"/>
      <c r="EM790" s="53"/>
      <c r="EN790" s="53"/>
      <c r="EO790" s="53"/>
      <c r="EP790" s="53"/>
      <c r="EQ790" s="53"/>
      <c r="ER790" s="53"/>
      <c r="ES790" s="53"/>
      <c r="ET790" s="53"/>
      <c r="EU790" s="53"/>
      <c r="EV790" s="53"/>
      <c r="EW790" s="53"/>
      <c r="EX790" s="53"/>
      <c r="EY790" s="53"/>
      <c r="EZ790" s="53"/>
      <c r="FA790" s="53"/>
      <c r="FB790" s="53"/>
      <c r="FC790" s="53"/>
      <c r="FD790" s="53"/>
      <c r="FE790" s="53"/>
      <c r="FF790" s="53"/>
      <c r="FG790" s="53"/>
      <c r="FH790" s="53"/>
      <c r="FI790" s="53"/>
      <c r="FJ790" s="53"/>
      <c r="FK790" s="53"/>
      <c r="FL790" s="53"/>
      <c r="FM790" s="53"/>
      <c r="FN790" s="53"/>
      <c r="FO790" s="53"/>
      <c r="FP790" s="53"/>
      <c r="FQ790" s="53"/>
      <c r="FR790" s="53"/>
      <c r="FS790" s="53"/>
      <c r="FT790" s="53"/>
      <c r="FU790" s="53"/>
      <c r="FV790" s="53"/>
      <c r="FW790" s="53"/>
      <c r="FX790" s="53"/>
      <c r="FY790" s="53"/>
      <c r="FZ790" s="53"/>
      <c r="GA790" s="53"/>
      <c r="GB790" s="53"/>
      <c r="GC790" s="53"/>
      <c r="GD790" s="53"/>
      <c r="GE790" s="53"/>
      <c r="GF790" s="53"/>
      <c r="GG790" s="53"/>
      <c r="GH790" s="53"/>
      <c r="GI790" s="53"/>
      <c r="GJ790" s="53"/>
      <c r="GK790" s="53"/>
      <c r="GL790" s="53"/>
      <c r="GM790" s="53"/>
      <c r="GN790" s="53"/>
      <c r="GO790" s="53"/>
      <c r="GP790" s="53"/>
      <c r="GQ790" s="53"/>
      <c r="GR790" s="53"/>
      <c r="GS790" s="53"/>
      <c r="GT790" s="53"/>
      <c r="GU790" s="53"/>
      <c r="GV790" s="53"/>
      <c r="GW790" s="53"/>
      <c r="GX790" s="53"/>
      <c r="GY790" s="53"/>
      <c r="GZ790" s="53"/>
      <c r="HA790" s="53"/>
      <c r="HB790" s="53"/>
      <c r="HC790" s="53"/>
      <c r="HD790" s="53"/>
      <c r="HE790" s="53"/>
      <c r="HF790" s="53"/>
      <c r="HG790" s="53"/>
      <c r="HH790" s="53"/>
      <c r="HI790" s="53"/>
      <c r="HJ790" s="53"/>
      <c r="HK790" s="53"/>
      <c r="HL790" s="53"/>
      <c r="HM790" s="53"/>
      <c r="HN790" s="53"/>
      <c r="HO790" s="53"/>
      <c r="HP790" s="53"/>
      <c r="HQ790" s="53"/>
      <c r="HR790" s="53"/>
      <c r="HS790" s="53"/>
      <c r="HT790" s="53"/>
      <c r="HU790" s="53"/>
      <c r="HV790" s="53"/>
      <c r="HW790" s="53"/>
      <c r="HX790" s="53"/>
      <c r="HY790" s="53"/>
      <c r="HZ790" s="53"/>
      <c r="IA790" s="53"/>
    </row>
    <row r="791" spans="1:235" ht="11.25">
      <c r="A791" s="1"/>
      <c r="B791" s="1"/>
      <c r="C791" s="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04"/>
      <c r="O791" s="104"/>
      <c r="P791" s="104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3"/>
      <c r="BS791" s="53"/>
      <c r="BT791" s="53"/>
      <c r="BU791" s="53"/>
      <c r="BV791" s="53"/>
      <c r="BW791" s="53"/>
      <c r="BX791" s="53"/>
      <c r="BY791" s="53"/>
      <c r="BZ791" s="53"/>
      <c r="CA791" s="53"/>
      <c r="CB791" s="53"/>
      <c r="CC791" s="53"/>
      <c r="CD791" s="53"/>
      <c r="CE791" s="53"/>
      <c r="CF791" s="53"/>
      <c r="CG791" s="53"/>
      <c r="CH791" s="53"/>
      <c r="CI791" s="53"/>
      <c r="CJ791" s="53"/>
      <c r="CK791" s="53"/>
      <c r="CL791" s="53"/>
      <c r="CM791" s="53"/>
      <c r="CN791" s="53"/>
      <c r="CO791" s="53"/>
      <c r="CP791" s="53"/>
      <c r="CQ791" s="53"/>
      <c r="CR791" s="53"/>
      <c r="CS791" s="53"/>
      <c r="CT791" s="53"/>
      <c r="CU791" s="53"/>
      <c r="CV791" s="53"/>
      <c r="CW791" s="53"/>
      <c r="CX791" s="53"/>
      <c r="CY791" s="53"/>
      <c r="CZ791" s="53"/>
      <c r="DA791" s="53"/>
      <c r="DB791" s="53"/>
      <c r="DC791" s="53"/>
      <c r="DD791" s="53"/>
      <c r="DE791" s="53"/>
      <c r="DF791" s="53"/>
      <c r="DG791" s="53"/>
      <c r="DH791" s="53"/>
      <c r="DI791" s="53"/>
      <c r="DJ791" s="53"/>
      <c r="DK791" s="53"/>
      <c r="DL791" s="53"/>
      <c r="DM791" s="53"/>
      <c r="DN791" s="53"/>
      <c r="DO791" s="53"/>
      <c r="DP791" s="53"/>
      <c r="DQ791" s="53"/>
      <c r="DR791" s="53"/>
      <c r="DS791" s="53"/>
      <c r="DT791" s="53"/>
      <c r="DU791" s="53"/>
      <c r="DV791" s="53"/>
      <c r="DW791" s="53"/>
      <c r="DX791" s="53"/>
      <c r="DY791" s="53"/>
      <c r="DZ791" s="53"/>
      <c r="EA791" s="53"/>
      <c r="EB791" s="53"/>
      <c r="EC791" s="53"/>
      <c r="ED791" s="53"/>
      <c r="EE791" s="53"/>
      <c r="EF791" s="53"/>
      <c r="EG791" s="53"/>
      <c r="EH791" s="53"/>
      <c r="EI791" s="53"/>
      <c r="EJ791" s="53"/>
      <c r="EK791" s="53"/>
      <c r="EL791" s="53"/>
      <c r="EM791" s="53"/>
      <c r="EN791" s="53"/>
      <c r="EO791" s="53"/>
      <c r="EP791" s="53"/>
      <c r="EQ791" s="53"/>
      <c r="ER791" s="53"/>
      <c r="ES791" s="53"/>
      <c r="ET791" s="53"/>
      <c r="EU791" s="53"/>
      <c r="EV791" s="53"/>
      <c r="EW791" s="53"/>
      <c r="EX791" s="53"/>
      <c r="EY791" s="53"/>
      <c r="EZ791" s="53"/>
      <c r="FA791" s="53"/>
      <c r="FB791" s="53"/>
      <c r="FC791" s="53"/>
      <c r="FD791" s="53"/>
      <c r="FE791" s="53"/>
      <c r="FF791" s="53"/>
      <c r="FG791" s="53"/>
      <c r="FH791" s="53"/>
      <c r="FI791" s="53"/>
      <c r="FJ791" s="53"/>
      <c r="FK791" s="53"/>
      <c r="FL791" s="53"/>
      <c r="FM791" s="53"/>
      <c r="FN791" s="53"/>
      <c r="FO791" s="53"/>
      <c r="FP791" s="53"/>
      <c r="FQ791" s="53"/>
      <c r="FR791" s="53"/>
      <c r="FS791" s="53"/>
      <c r="FT791" s="53"/>
      <c r="FU791" s="53"/>
      <c r="FV791" s="53"/>
      <c r="FW791" s="53"/>
      <c r="FX791" s="53"/>
      <c r="FY791" s="53"/>
      <c r="FZ791" s="53"/>
      <c r="GA791" s="53"/>
      <c r="GB791" s="53"/>
      <c r="GC791" s="53"/>
      <c r="GD791" s="53"/>
      <c r="GE791" s="53"/>
      <c r="GF791" s="53"/>
      <c r="GG791" s="53"/>
      <c r="GH791" s="53"/>
      <c r="GI791" s="53"/>
      <c r="GJ791" s="53"/>
      <c r="GK791" s="53"/>
      <c r="GL791" s="53"/>
      <c r="GM791" s="53"/>
      <c r="GN791" s="53"/>
      <c r="GO791" s="53"/>
      <c r="GP791" s="53"/>
      <c r="GQ791" s="53"/>
      <c r="GR791" s="53"/>
      <c r="GS791" s="53"/>
      <c r="GT791" s="53"/>
      <c r="GU791" s="53"/>
      <c r="GV791" s="53"/>
      <c r="GW791" s="53"/>
      <c r="GX791" s="53"/>
      <c r="GY791" s="53"/>
      <c r="GZ791" s="53"/>
      <c r="HA791" s="53"/>
      <c r="HB791" s="53"/>
      <c r="HC791" s="53"/>
      <c r="HD791" s="53"/>
      <c r="HE791" s="53"/>
      <c r="HF791" s="53"/>
      <c r="HG791" s="53"/>
      <c r="HH791" s="53"/>
      <c r="HI791" s="53"/>
      <c r="HJ791" s="53"/>
      <c r="HK791" s="53"/>
      <c r="HL791" s="53"/>
      <c r="HM791" s="53"/>
      <c r="HN791" s="53"/>
      <c r="HO791" s="53"/>
      <c r="HP791" s="53"/>
      <c r="HQ791" s="53"/>
      <c r="HR791" s="53"/>
      <c r="HS791" s="53"/>
      <c r="HT791" s="53"/>
      <c r="HU791" s="53"/>
      <c r="HV791" s="53"/>
      <c r="HW791" s="53"/>
      <c r="HX791" s="53"/>
      <c r="HY791" s="53"/>
      <c r="HZ791" s="53"/>
      <c r="IA791" s="53"/>
    </row>
    <row r="792" spans="1:235" ht="11.25">
      <c r="A792" s="1"/>
      <c r="B792" s="1"/>
      <c r="C792" s="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04"/>
      <c r="O792" s="104"/>
      <c r="P792" s="104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3"/>
      <c r="BS792" s="53"/>
      <c r="BT792" s="53"/>
      <c r="BU792" s="53"/>
      <c r="BV792" s="53"/>
      <c r="BW792" s="53"/>
      <c r="BX792" s="53"/>
      <c r="BY792" s="53"/>
      <c r="BZ792" s="53"/>
      <c r="CA792" s="53"/>
      <c r="CB792" s="53"/>
      <c r="CC792" s="53"/>
      <c r="CD792" s="53"/>
      <c r="CE792" s="53"/>
      <c r="CF792" s="53"/>
      <c r="CG792" s="53"/>
      <c r="CH792" s="53"/>
      <c r="CI792" s="53"/>
      <c r="CJ792" s="53"/>
      <c r="CK792" s="53"/>
      <c r="CL792" s="53"/>
      <c r="CM792" s="53"/>
      <c r="CN792" s="53"/>
      <c r="CO792" s="53"/>
      <c r="CP792" s="53"/>
      <c r="CQ792" s="53"/>
      <c r="CR792" s="53"/>
      <c r="CS792" s="53"/>
      <c r="CT792" s="53"/>
      <c r="CU792" s="53"/>
      <c r="CV792" s="53"/>
      <c r="CW792" s="53"/>
      <c r="CX792" s="53"/>
      <c r="CY792" s="53"/>
      <c r="CZ792" s="53"/>
      <c r="DA792" s="53"/>
      <c r="DB792" s="53"/>
      <c r="DC792" s="53"/>
      <c r="DD792" s="53"/>
      <c r="DE792" s="53"/>
      <c r="DF792" s="53"/>
      <c r="DG792" s="53"/>
      <c r="DH792" s="53"/>
      <c r="DI792" s="53"/>
      <c r="DJ792" s="53"/>
      <c r="DK792" s="53"/>
      <c r="DL792" s="53"/>
      <c r="DM792" s="53"/>
      <c r="DN792" s="53"/>
      <c r="DO792" s="53"/>
      <c r="DP792" s="53"/>
      <c r="DQ792" s="53"/>
      <c r="DR792" s="53"/>
      <c r="DS792" s="53"/>
      <c r="DT792" s="53"/>
      <c r="DU792" s="53"/>
      <c r="DV792" s="53"/>
      <c r="DW792" s="53"/>
      <c r="DX792" s="53"/>
      <c r="DY792" s="53"/>
      <c r="DZ792" s="53"/>
      <c r="EA792" s="53"/>
      <c r="EB792" s="53"/>
      <c r="EC792" s="53"/>
      <c r="ED792" s="53"/>
      <c r="EE792" s="53"/>
      <c r="EF792" s="53"/>
      <c r="EG792" s="53"/>
      <c r="EH792" s="53"/>
      <c r="EI792" s="53"/>
      <c r="EJ792" s="53"/>
      <c r="EK792" s="53"/>
      <c r="EL792" s="53"/>
      <c r="EM792" s="53"/>
      <c r="EN792" s="53"/>
      <c r="EO792" s="53"/>
      <c r="EP792" s="53"/>
      <c r="EQ792" s="53"/>
      <c r="ER792" s="53"/>
      <c r="ES792" s="53"/>
      <c r="ET792" s="53"/>
      <c r="EU792" s="53"/>
      <c r="EV792" s="53"/>
      <c r="EW792" s="53"/>
      <c r="EX792" s="53"/>
      <c r="EY792" s="53"/>
      <c r="EZ792" s="53"/>
      <c r="FA792" s="53"/>
      <c r="FB792" s="53"/>
      <c r="FC792" s="53"/>
      <c r="FD792" s="53"/>
      <c r="FE792" s="53"/>
      <c r="FF792" s="53"/>
      <c r="FG792" s="53"/>
      <c r="FH792" s="53"/>
      <c r="FI792" s="53"/>
      <c r="FJ792" s="53"/>
      <c r="FK792" s="53"/>
      <c r="FL792" s="53"/>
      <c r="FM792" s="53"/>
      <c r="FN792" s="53"/>
      <c r="FO792" s="53"/>
      <c r="FP792" s="53"/>
      <c r="FQ792" s="53"/>
      <c r="FR792" s="53"/>
      <c r="FS792" s="53"/>
      <c r="FT792" s="53"/>
      <c r="FU792" s="53"/>
      <c r="FV792" s="53"/>
      <c r="FW792" s="53"/>
      <c r="FX792" s="53"/>
      <c r="FY792" s="53"/>
      <c r="FZ792" s="53"/>
      <c r="GA792" s="53"/>
      <c r="GB792" s="53"/>
      <c r="GC792" s="53"/>
      <c r="GD792" s="53"/>
      <c r="GE792" s="53"/>
      <c r="GF792" s="53"/>
      <c r="GG792" s="53"/>
      <c r="GH792" s="53"/>
      <c r="GI792" s="53"/>
      <c r="GJ792" s="53"/>
      <c r="GK792" s="53"/>
      <c r="GL792" s="53"/>
      <c r="GM792" s="53"/>
      <c r="GN792" s="53"/>
      <c r="GO792" s="53"/>
      <c r="GP792" s="53"/>
      <c r="GQ792" s="53"/>
      <c r="GR792" s="53"/>
      <c r="GS792" s="53"/>
      <c r="GT792" s="53"/>
      <c r="GU792" s="53"/>
      <c r="GV792" s="53"/>
      <c r="GW792" s="53"/>
      <c r="GX792" s="53"/>
      <c r="GY792" s="53"/>
      <c r="GZ792" s="53"/>
      <c r="HA792" s="53"/>
      <c r="HB792" s="53"/>
      <c r="HC792" s="53"/>
      <c r="HD792" s="53"/>
      <c r="HE792" s="53"/>
      <c r="HF792" s="53"/>
      <c r="HG792" s="53"/>
      <c r="HH792" s="53"/>
      <c r="HI792" s="53"/>
      <c r="HJ792" s="53"/>
      <c r="HK792" s="53"/>
      <c r="HL792" s="53"/>
      <c r="HM792" s="53"/>
      <c r="HN792" s="53"/>
      <c r="HO792" s="53"/>
      <c r="HP792" s="53"/>
      <c r="HQ792" s="53"/>
      <c r="HR792" s="53"/>
      <c r="HS792" s="53"/>
      <c r="HT792" s="53"/>
      <c r="HU792" s="53"/>
      <c r="HV792" s="53"/>
      <c r="HW792" s="53"/>
      <c r="HX792" s="53"/>
      <c r="HY792" s="53"/>
      <c r="HZ792" s="53"/>
      <c r="IA792" s="53"/>
    </row>
    <row r="793" spans="1:235" ht="11.25">
      <c r="A793" s="1"/>
      <c r="B793" s="1"/>
      <c r="C793" s="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04"/>
      <c r="O793" s="104"/>
      <c r="P793" s="104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3"/>
      <c r="AV793" s="53"/>
      <c r="AW793" s="53"/>
      <c r="AX793" s="53"/>
      <c r="AY793" s="53"/>
      <c r="AZ793" s="53"/>
      <c r="BA793" s="53"/>
      <c r="BB793" s="53"/>
      <c r="BC793" s="53"/>
      <c r="BD793" s="53"/>
      <c r="BE793" s="53"/>
      <c r="BF793" s="53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3"/>
      <c r="BS793" s="53"/>
      <c r="BT793" s="53"/>
      <c r="BU793" s="53"/>
      <c r="BV793" s="53"/>
      <c r="BW793" s="53"/>
      <c r="BX793" s="53"/>
      <c r="BY793" s="53"/>
      <c r="BZ793" s="53"/>
      <c r="CA793" s="53"/>
      <c r="CB793" s="53"/>
      <c r="CC793" s="53"/>
      <c r="CD793" s="53"/>
      <c r="CE793" s="53"/>
      <c r="CF793" s="53"/>
      <c r="CG793" s="53"/>
      <c r="CH793" s="53"/>
      <c r="CI793" s="53"/>
      <c r="CJ793" s="53"/>
      <c r="CK793" s="53"/>
      <c r="CL793" s="53"/>
      <c r="CM793" s="53"/>
      <c r="CN793" s="53"/>
      <c r="CO793" s="53"/>
      <c r="CP793" s="53"/>
      <c r="CQ793" s="53"/>
      <c r="CR793" s="53"/>
      <c r="CS793" s="53"/>
      <c r="CT793" s="53"/>
      <c r="CU793" s="53"/>
      <c r="CV793" s="53"/>
      <c r="CW793" s="53"/>
      <c r="CX793" s="53"/>
      <c r="CY793" s="53"/>
      <c r="CZ793" s="53"/>
      <c r="DA793" s="53"/>
      <c r="DB793" s="53"/>
      <c r="DC793" s="53"/>
      <c r="DD793" s="53"/>
      <c r="DE793" s="53"/>
      <c r="DF793" s="53"/>
      <c r="DG793" s="53"/>
      <c r="DH793" s="53"/>
      <c r="DI793" s="53"/>
      <c r="DJ793" s="53"/>
      <c r="DK793" s="53"/>
      <c r="DL793" s="53"/>
      <c r="DM793" s="53"/>
      <c r="DN793" s="53"/>
      <c r="DO793" s="53"/>
      <c r="DP793" s="53"/>
      <c r="DQ793" s="53"/>
      <c r="DR793" s="53"/>
      <c r="DS793" s="53"/>
      <c r="DT793" s="53"/>
      <c r="DU793" s="53"/>
      <c r="DV793" s="53"/>
      <c r="DW793" s="53"/>
      <c r="DX793" s="53"/>
      <c r="DY793" s="53"/>
      <c r="DZ793" s="53"/>
      <c r="EA793" s="53"/>
      <c r="EB793" s="53"/>
      <c r="EC793" s="53"/>
      <c r="ED793" s="53"/>
      <c r="EE793" s="53"/>
      <c r="EF793" s="53"/>
      <c r="EG793" s="53"/>
      <c r="EH793" s="53"/>
      <c r="EI793" s="53"/>
      <c r="EJ793" s="53"/>
      <c r="EK793" s="53"/>
      <c r="EL793" s="53"/>
      <c r="EM793" s="53"/>
      <c r="EN793" s="53"/>
      <c r="EO793" s="53"/>
      <c r="EP793" s="53"/>
      <c r="EQ793" s="53"/>
      <c r="ER793" s="53"/>
      <c r="ES793" s="53"/>
      <c r="ET793" s="53"/>
      <c r="EU793" s="53"/>
      <c r="EV793" s="53"/>
      <c r="EW793" s="53"/>
      <c r="EX793" s="53"/>
      <c r="EY793" s="53"/>
      <c r="EZ793" s="53"/>
      <c r="FA793" s="53"/>
      <c r="FB793" s="53"/>
      <c r="FC793" s="53"/>
      <c r="FD793" s="53"/>
      <c r="FE793" s="53"/>
      <c r="FF793" s="53"/>
      <c r="FG793" s="53"/>
      <c r="FH793" s="53"/>
      <c r="FI793" s="53"/>
      <c r="FJ793" s="53"/>
      <c r="FK793" s="53"/>
      <c r="FL793" s="53"/>
      <c r="FM793" s="53"/>
      <c r="FN793" s="53"/>
      <c r="FO793" s="53"/>
      <c r="FP793" s="53"/>
      <c r="FQ793" s="53"/>
      <c r="FR793" s="53"/>
      <c r="FS793" s="53"/>
      <c r="FT793" s="53"/>
      <c r="FU793" s="53"/>
      <c r="FV793" s="53"/>
      <c r="FW793" s="53"/>
      <c r="FX793" s="53"/>
      <c r="FY793" s="53"/>
      <c r="FZ793" s="53"/>
      <c r="GA793" s="53"/>
      <c r="GB793" s="53"/>
      <c r="GC793" s="53"/>
      <c r="GD793" s="53"/>
      <c r="GE793" s="53"/>
      <c r="GF793" s="53"/>
      <c r="GG793" s="53"/>
      <c r="GH793" s="53"/>
      <c r="GI793" s="53"/>
      <c r="GJ793" s="53"/>
      <c r="GK793" s="53"/>
      <c r="GL793" s="53"/>
      <c r="GM793" s="53"/>
      <c r="GN793" s="53"/>
      <c r="GO793" s="53"/>
      <c r="GP793" s="53"/>
      <c r="GQ793" s="53"/>
      <c r="GR793" s="53"/>
      <c r="GS793" s="53"/>
      <c r="GT793" s="53"/>
      <c r="GU793" s="53"/>
      <c r="GV793" s="53"/>
      <c r="GW793" s="53"/>
      <c r="GX793" s="53"/>
      <c r="GY793" s="53"/>
      <c r="GZ793" s="53"/>
      <c r="HA793" s="53"/>
      <c r="HB793" s="53"/>
      <c r="HC793" s="53"/>
      <c r="HD793" s="53"/>
      <c r="HE793" s="53"/>
      <c r="HF793" s="53"/>
      <c r="HG793" s="53"/>
      <c r="HH793" s="53"/>
      <c r="HI793" s="53"/>
      <c r="HJ793" s="53"/>
      <c r="HK793" s="53"/>
      <c r="HL793" s="53"/>
      <c r="HM793" s="53"/>
      <c r="HN793" s="53"/>
      <c r="HO793" s="53"/>
      <c r="HP793" s="53"/>
      <c r="HQ793" s="53"/>
      <c r="HR793" s="53"/>
      <c r="HS793" s="53"/>
      <c r="HT793" s="53"/>
      <c r="HU793" s="53"/>
      <c r="HV793" s="53"/>
      <c r="HW793" s="53"/>
      <c r="HX793" s="53"/>
      <c r="HY793" s="53"/>
      <c r="HZ793" s="53"/>
      <c r="IA793" s="53"/>
    </row>
    <row r="794" spans="1:235" ht="11.25">
      <c r="A794" s="1"/>
      <c r="B794" s="1"/>
      <c r="C794" s="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04"/>
      <c r="O794" s="104"/>
      <c r="P794" s="104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3"/>
      <c r="BS794" s="53"/>
      <c r="BT794" s="53"/>
      <c r="BU794" s="53"/>
      <c r="BV794" s="53"/>
      <c r="BW794" s="53"/>
      <c r="BX794" s="53"/>
      <c r="BY794" s="53"/>
      <c r="BZ794" s="53"/>
      <c r="CA794" s="53"/>
      <c r="CB794" s="53"/>
      <c r="CC794" s="53"/>
      <c r="CD794" s="53"/>
      <c r="CE794" s="53"/>
      <c r="CF794" s="53"/>
      <c r="CG794" s="53"/>
      <c r="CH794" s="53"/>
      <c r="CI794" s="53"/>
      <c r="CJ794" s="53"/>
      <c r="CK794" s="53"/>
      <c r="CL794" s="53"/>
      <c r="CM794" s="53"/>
      <c r="CN794" s="53"/>
      <c r="CO794" s="53"/>
      <c r="CP794" s="53"/>
      <c r="CQ794" s="53"/>
      <c r="CR794" s="53"/>
      <c r="CS794" s="53"/>
      <c r="CT794" s="53"/>
      <c r="CU794" s="53"/>
      <c r="CV794" s="53"/>
      <c r="CW794" s="53"/>
      <c r="CX794" s="53"/>
      <c r="CY794" s="53"/>
      <c r="CZ794" s="53"/>
      <c r="DA794" s="53"/>
      <c r="DB794" s="53"/>
      <c r="DC794" s="53"/>
      <c r="DD794" s="53"/>
      <c r="DE794" s="53"/>
      <c r="DF794" s="53"/>
      <c r="DG794" s="53"/>
      <c r="DH794" s="53"/>
      <c r="DI794" s="53"/>
      <c r="DJ794" s="53"/>
      <c r="DK794" s="53"/>
      <c r="DL794" s="53"/>
      <c r="DM794" s="53"/>
      <c r="DN794" s="53"/>
      <c r="DO794" s="53"/>
      <c r="DP794" s="53"/>
      <c r="DQ794" s="53"/>
      <c r="DR794" s="53"/>
      <c r="DS794" s="53"/>
      <c r="DT794" s="53"/>
      <c r="DU794" s="53"/>
      <c r="DV794" s="53"/>
      <c r="DW794" s="53"/>
      <c r="DX794" s="53"/>
      <c r="DY794" s="53"/>
      <c r="DZ794" s="53"/>
      <c r="EA794" s="53"/>
      <c r="EB794" s="53"/>
      <c r="EC794" s="53"/>
      <c r="ED794" s="53"/>
      <c r="EE794" s="53"/>
      <c r="EF794" s="53"/>
      <c r="EG794" s="53"/>
      <c r="EH794" s="53"/>
      <c r="EI794" s="53"/>
      <c r="EJ794" s="53"/>
      <c r="EK794" s="53"/>
      <c r="EL794" s="53"/>
      <c r="EM794" s="53"/>
      <c r="EN794" s="53"/>
      <c r="EO794" s="53"/>
      <c r="EP794" s="53"/>
      <c r="EQ794" s="53"/>
      <c r="ER794" s="53"/>
      <c r="ES794" s="53"/>
      <c r="ET794" s="53"/>
      <c r="EU794" s="53"/>
      <c r="EV794" s="53"/>
      <c r="EW794" s="53"/>
      <c r="EX794" s="53"/>
      <c r="EY794" s="53"/>
      <c r="EZ794" s="53"/>
      <c r="FA794" s="53"/>
      <c r="FB794" s="53"/>
      <c r="FC794" s="53"/>
      <c r="FD794" s="53"/>
      <c r="FE794" s="53"/>
      <c r="FF794" s="53"/>
      <c r="FG794" s="53"/>
      <c r="FH794" s="53"/>
      <c r="FI794" s="53"/>
      <c r="FJ794" s="53"/>
      <c r="FK794" s="53"/>
      <c r="FL794" s="53"/>
      <c r="FM794" s="53"/>
      <c r="FN794" s="53"/>
      <c r="FO794" s="53"/>
      <c r="FP794" s="53"/>
      <c r="FQ794" s="53"/>
      <c r="FR794" s="53"/>
      <c r="FS794" s="53"/>
      <c r="FT794" s="53"/>
      <c r="FU794" s="53"/>
      <c r="FV794" s="53"/>
      <c r="FW794" s="53"/>
      <c r="FX794" s="53"/>
      <c r="FY794" s="53"/>
      <c r="FZ794" s="53"/>
      <c r="GA794" s="53"/>
      <c r="GB794" s="53"/>
      <c r="GC794" s="53"/>
      <c r="GD794" s="53"/>
      <c r="GE794" s="53"/>
      <c r="GF794" s="53"/>
      <c r="GG794" s="53"/>
      <c r="GH794" s="53"/>
      <c r="GI794" s="53"/>
      <c r="GJ794" s="53"/>
      <c r="GK794" s="53"/>
      <c r="GL794" s="53"/>
      <c r="GM794" s="53"/>
      <c r="GN794" s="53"/>
      <c r="GO794" s="53"/>
      <c r="GP794" s="53"/>
      <c r="GQ794" s="53"/>
      <c r="GR794" s="53"/>
      <c r="GS794" s="53"/>
      <c r="GT794" s="53"/>
      <c r="GU794" s="53"/>
      <c r="GV794" s="53"/>
      <c r="GW794" s="53"/>
      <c r="GX794" s="53"/>
      <c r="GY794" s="53"/>
      <c r="GZ794" s="53"/>
      <c r="HA794" s="53"/>
      <c r="HB794" s="53"/>
      <c r="HC794" s="53"/>
      <c r="HD794" s="53"/>
      <c r="HE794" s="53"/>
      <c r="HF794" s="53"/>
      <c r="HG794" s="53"/>
      <c r="HH794" s="53"/>
      <c r="HI794" s="53"/>
      <c r="HJ794" s="53"/>
      <c r="HK794" s="53"/>
      <c r="HL794" s="53"/>
      <c r="HM794" s="53"/>
      <c r="HN794" s="53"/>
      <c r="HO794" s="53"/>
      <c r="HP794" s="53"/>
      <c r="HQ794" s="53"/>
      <c r="HR794" s="53"/>
      <c r="HS794" s="53"/>
      <c r="HT794" s="53"/>
      <c r="HU794" s="53"/>
      <c r="HV794" s="53"/>
      <c r="HW794" s="53"/>
      <c r="HX794" s="53"/>
      <c r="HY794" s="53"/>
      <c r="HZ794" s="53"/>
      <c r="IA794" s="53"/>
    </row>
    <row r="795" spans="1:235" ht="11.25">
      <c r="A795" s="1"/>
      <c r="B795" s="1"/>
      <c r="C795" s="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04"/>
      <c r="O795" s="104"/>
      <c r="P795" s="104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3"/>
      <c r="AV795" s="53"/>
      <c r="AW795" s="53"/>
      <c r="AX795" s="53"/>
      <c r="AY795" s="53"/>
      <c r="AZ795" s="53"/>
      <c r="BA795" s="53"/>
      <c r="BB795" s="53"/>
      <c r="BC795" s="53"/>
      <c r="BD795" s="53"/>
      <c r="BE795" s="53"/>
      <c r="BF795" s="53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3"/>
      <c r="BS795" s="53"/>
      <c r="BT795" s="53"/>
      <c r="BU795" s="53"/>
      <c r="BV795" s="53"/>
      <c r="BW795" s="53"/>
      <c r="BX795" s="53"/>
      <c r="BY795" s="53"/>
      <c r="BZ795" s="53"/>
      <c r="CA795" s="53"/>
      <c r="CB795" s="53"/>
      <c r="CC795" s="53"/>
      <c r="CD795" s="53"/>
      <c r="CE795" s="53"/>
      <c r="CF795" s="53"/>
      <c r="CG795" s="53"/>
      <c r="CH795" s="53"/>
      <c r="CI795" s="53"/>
      <c r="CJ795" s="53"/>
      <c r="CK795" s="53"/>
      <c r="CL795" s="53"/>
      <c r="CM795" s="53"/>
      <c r="CN795" s="53"/>
      <c r="CO795" s="53"/>
      <c r="CP795" s="53"/>
      <c r="CQ795" s="53"/>
      <c r="CR795" s="53"/>
      <c r="CS795" s="53"/>
      <c r="CT795" s="53"/>
      <c r="CU795" s="53"/>
      <c r="CV795" s="53"/>
      <c r="CW795" s="53"/>
      <c r="CX795" s="53"/>
      <c r="CY795" s="53"/>
      <c r="CZ795" s="53"/>
      <c r="DA795" s="53"/>
      <c r="DB795" s="53"/>
      <c r="DC795" s="53"/>
      <c r="DD795" s="53"/>
      <c r="DE795" s="53"/>
      <c r="DF795" s="53"/>
      <c r="DG795" s="53"/>
      <c r="DH795" s="53"/>
      <c r="DI795" s="53"/>
      <c r="DJ795" s="53"/>
      <c r="DK795" s="53"/>
      <c r="DL795" s="53"/>
      <c r="DM795" s="53"/>
      <c r="DN795" s="53"/>
      <c r="DO795" s="53"/>
      <c r="DP795" s="53"/>
      <c r="DQ795" s="53"/>
      <c r="DR795" s="53"/>
      <c r="DS795" s="53"/>
      <c r="DT795" s="53"/>
      <c r="DU795" s="53"/>
      <c r="DV795" s="53"/>
      <c r="DW795" s="53"/>
      <c r="DX795" s="53"/>
      <c r="DY795" s="53"/>
      <c r="DZ795" s="53"/>
      <c r="EA795" s="53"/>
      <c r="EB795" s="53"/>
      <c r="EC795" s="53"/>
      <c r="ED795" s="53"/>
      <c r="EE795" s="53"/>
      <c r="EF795" s="53"/>
      <c r="EG795" s="53"/>
      <c r="EH795" s="53"/>
      <c r="EI795" s="53"/>
      <c r="EJ795" s="53"/>
      <c r="EK795" s="53"/>
      <c r="EL795" s="53"/>
      <c r="EM795" s="53"/>
      <c r="EN795" s="53"/>
      <c r="EO795" s="53"/>
      <c r="EP795" s="53"/>
      <c r="EQ795" s="53"/>
      <c r="ER795" s="53"/>
      <c r="ES795" s="53"/>
      <c r="ET795" s="53"/>
      <c r="EU795" s="53"/>
      <c r="EV795" s="53"/>
      <c r="EW795" s="53"/>
      <c r="EX795" s="53"/>
      <c r="EY795" s="53"/>
      <c r="EZ795" s="53"/>
      <c r="FA795" s="53"/>
      <c r="FB795" s="53"/>
      <c r="FC795" s="53"/>
      <c r="FD795" s="53"/>
      <c r="FE795" s="53"/>
      <c r="FF795" s="53"/>
      <c r="FG795" s="53"/>
      <c r="FH795" s="53"/>
      <c r="FI795" s="53"/>
      <c r="FJ795" s="53"/>
      <c r="FK795" s="53"/>
      <c r="FL795" s="53"/>
      <c r="FM795" s="53"/>
      <c r="FN795" s="53"/>
      <c r="FO795" s="53"/>
      <c r="FP795" s="53"/>
      <c r="FQ795" s="53"/>
      <c r="FR795" s="53"/>
      <c r="FS795" s="53"/>
      <c r="FT795" s="53"/>
      <c r="FU795" s="53"/>
      <c r="FV795" s="53"/>
      <c r="FW795" s="53"/>
      <c r="FX795" s="53"/>
      <c r="FY795" s="53"/>
      <c r="FZ795" s="53"/>
      <c r="GA795" s="53"/>
      <c r="GB795" s="53"/>
      <c r="GC795" s="53"/>
      <c r="GD795" s="53"/>
      <c r="GE795" s="53"/>
      <c r="GF795" s="53"/>
      <c r="GG795" s="53"/>
      <c r="GH795" s="53"/>
      <c r="GI795" s="53"/>
      <c r="GJ795" s="53"/>
      <c r="GK795" s="53"/>
      <c r="GL795" s="53"/>
      <c r="GM795" s="53"/>
      <c r="GN795" s="53"/>
      <c r="GO795" s="53"/>
      <c r="GP795" s="53"/>
      <c r="GQ795" s="53"/>
      <c r="GR795" s="53"/>
      <c r="GS795" s="53"/>
      <c r="GT795" s="53"/>
      <c r="GU795" s="53"/>
      <c r="GV795" s="53"/>
      <c r="GW795" s="53"/>
      <c r="GX795" s="53"/>
      <c r="GY795" s="53"/>
      <c r="GZ795" s="53"/>
      <c r="HA795" s="53"/>
      <c r="HB795" s="53"/>
      <c r="HC795" s="53"/>
      <c r="HD795" s="53"/>
      <c r="HE795" s="53"/>
      <c r="HF795" s="53"/>
      <c r="HG795" s="53"/>
      <c r="HH795" s="53"/>
      <c r="HI795" s="53"/>
      <c r="HJ795" s="53"/>
      <c r="HK795" s="53"/>
      <c r="HL795" s="53"/>
      <c r="HM795" s="53"/>
      <c r="HN795" s="53"/>
      <c r="HO795" s="53"/>
      <c r="HP795" s="53"/>
      <c r="HQ795" s="53"/>
      <c r="HR795" s="53"/>
      <c r="HS795" s="53"/>
      <c r="HT795" s="53"/>
      <c r="HU795" s="53"/>
      <c r="HV795" s="53"/>
      <c r="HW795" s="53"/>
      <c r="HX795" s="53"/>
      <c r="HY795" s="53"/>
      <c r="HZ795" s="53"/>
      <c r="IA795" s="53"/>
    </row>
    <row r="796" spans="1:235" ht="11.25">
      <c r="A796" s="1"/>
      <c r="B796" s="1"/>
      <c r="C796" s="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04"/>
      <c r="O796" s="104"/>
      <c r="P796" s="104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3"/>
      <c r="AV796" s="53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3"/>
      <c r="BS796" s="53"/>
      <c r="BT796" s="53"/>
      <c r="BU796" s="53"/>
      <c r="BV796" s="53"/>
      <c r="BW796" s="53"/>
      <c r="BX796" s="53"/>
      <c r="BY796" s="53"/>
      <c r="BZ796" s="53"/>
      <c r="CA796" s="53"/>
      <c r="CB796" s="53"/>
      <c r="CC796" s="53"/>
      <c r="CD796" s="53"/>
      <c r="CE796" s="53"/>
      <c r="CF796" s="53"/>
      <c r="CG796" s="53"/>
      <c r="CH796" s="53"/>
      <c r="CI796" s="53"/>
      <c r="CJ796" s="53"/>
      <c r="CK796" s="53"/>
      <c r="CL796" s="53"/>
      <c r="CM796" s="53"/>
      <c r="CN796" s="53"/>
      <c r="CO796" s="53"/>
      <c r="CP796" s="53"/>
      <c r="CQ796" s="53"/>
      <c r="CR796" s="53"/>
      <c r="CS796" s="53"/>
      <c r="CT796" s="53"/>
      <c r="CU796" s="53"/>
      <c r="CV796" s="53"/>
      <c r="CW796" s="53"/>
      <c r="CX796" s="53"/>
      <c r="CY796" s="53"/>
      <c r="CZ796" s="53"/>
      <c r="DA796" s="53"/>
      <c r="DB796" s="53"/>
      <c r="DC796" s="53"/>
      <c r="DD796" s="53"/>
      <c r="DE796" s="53"/>
      <c r="DF796" s="53"/>
      <c r="DG796" s="53"/>
      <c r="DH796" s="53"/>
      <c r="DI796" s="53"/>
      <c r="DJ796" s="53"/>
      <c r="DK796" s="53"/>
      <c r="DL796" s="53"/>
      <c r="DM796" s="53"/>
      <c r="DN796" s="53"/>
      <c r="DO796" s="53"/>
      <c r="DP796" s="53"/>
      <c r="DQ796" s="53"/>
      <c r="DR796" s="53"/>
      <c r="DS796" s="53"/>
      <c r="DT796" s="53"/>
      <c r="DU796" s="53"/>
      <c r="DV796" s="53"/>
      <c r="DW796" s="53"/>
      <c r="DX796" s="53"/>
      <c r="DY796" s="53"/>
      <c r="DZ796" s="53"/>
      <c r="EA796" s="53"/>
      <c r="EB796" s="53"/>
      <c r="EC796" s="53"/>
      <c r="ED796" s="53"/>
      <c r="EE796" s="53"/>
      <c r="EF796" s="53"/>
      <c r="EG796" s="53"/>
      <c r="EH796" s="53"/>
      <c r="EI796" s="53"/>
      <c r="EJ796" s="53"/>
      <c r="EK796" s="53"/>
      <c r="EL796" s="53"/>
      <c r="EM796" s="53"/>
      <c r="EN796" s="53"/>
      <c r="EO796" s="53"/>
      <c r="EP796" s="53"/>
      <c r="EQ796" s="53"/>
      <c r="ER796" s="53"/>
      <c r="ES796" s="53"/>
      <c r="ET796" s="53"/>
      <c r="EU796" s="53"/>
      <c r="EV796" s="53"/>
      <c r="EW796" s="53"/>
      <c r="EX796" s="53"/>
      <c r="EY796" s="53"/>
      <c r="EZ796" s="53"/>
      <c r="FA796" s="53"/>
      <c r="FB796" s="53"/>
      <c r="FC796" s="53"/>
      <c r="FD796" s="53"/>
      <c r="FE796" s="53"/>
      <c r="FF796" s="53"/>
      <c r="FG796" s="53"/>
      <c r="FH796" s="53"/>
      <c r="FI796" s="53"/>
      <c r="FJ796" s="53"/>
      <c r="FK796" s="53"/>
      <c r="FL796" s="53"/>
      <c r="FM796" s="53"/>
      <c r="FN796" s="53"/>
      <c r="FO796" s="53"/>
      <c r="FP796" s="53"/>
      <c r="FQ796" s="53"/>
      <c r="FR796" s="53"/>
      <c r="FS796" s="53"/>
      <c r="FT796" s="53"/>
      <c r="FU796" s="53"/>
      <c r="FV796" s="53"/>
      <c r="FW796" s="53"/>
      <c r="FX796" s="53"/>
      <c r="FY796" s="53"/>
      <c r="FZ796" s="53"/>
      <c r="GA796" s="53"/>
      <c r="GB796" s="53"/>
      <c r="GC796" s="53"/>
      <c r="GD796" s="53"/>
      <c r="GE796" s="53"/>
      <c r="GF796" s="53"/>
      <c r="GG796" s="53"/>
      <c r="GH796" s="53"/>
      <c r="GI796" s="53"/>
      <c r="GJ796" s="53"/>
      <c r="GK796" s="53"/>
      <c r="GL796" s="53"/>
      <c r="GM796" s="53"/>
      <c r="GN796" s="53"/>
      <c r="GO796" s="53"/>
      <c r="GP796" s="53"/>
      <c r="GQ796" s="53"/>
      <c r="GR796" s="53"/>
      <c r="GS796" s="53"/>
      <c r="GT796" s="53"/>
      <c r="GU796" s="53"/>
      <c r="GV796" s="53"/>
      <c r="GW796" s="53"/>
      <c r="GX796" s="53"/>
      <c r="GY796" s="53"/>
      <c r="GZ796" s="53"/>
      <c r="HA796" s="53"/>
      <c r="HB796" s="53"/>
      <c r="HC796" s="53"/>
      <c r="HD796" s="53"/>
      <c r="HE796" s="53"/>
      <c r="HF796" s="53"/>
      <c r="HG796" s="53"/>
      <c r="HH796" s="53"/>
      <c r="HI796" s="53"/>
      <c r="HJ796" s="53"/>
      <c r="HK796" s="53"/>
      <c r="HL796" s="53"/>
      <c r="HM796" s="53"/>
      <c r="HN796" s="53"/>
      <c r="HO796" s="53"/>
      <c r="HP796" s="53"/>
      <c r="HQ796" s="53"/>
      <c r="HR796" s="53"/>
      <c r="HS796" s="53"/>
      <c r="HT796" s="53"/>
      <c r="HU796" s="53"/>
      <c r="HV796" s="53"/>
      <c r="HW796" s="53"/>
      <c r="HX796" s="53"/>
      <c r="HY796" s="53"/>
      <c r="HZ796" s="53"/>
      <c r="IA796" s="53"/>
    </row>
    <row r="797" spans="1:235" ht="11.25">
      <c r="A797" s="1"/>
      <c r="B797" s="1"/>
      <c r="C797" s="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04"/>
      <c r="O797" s="104"/>
      <c r="P797" s="104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3"/>
      <c r="AV797" s="53"/>
      <c r="AW797" s="53"/>
      <c r="AX797" s="53"/>
      <c r="AY797" s="53"/>
      <c r="AZ797" s="53"/>
      <c r="BA797" s="53"/>
      <c r="BB797" s="53"/>
      <c r="BC797" s="53"/>
      <c r="BD797" s="53"/>
      <c r="BE797" s="53"/>
      <c r="BF797" s="53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3"/>
      <c r="BS797" s="53"/>
      <c r="BT797" s="53"/>
      <c r="BU797" s="53"/>
      <c r="BV797" s="53"/>
      <c r="BW797" s="53"/>
      <c r="BX797" s="53"/>
      <c r="BY797" s="53"/>
      <c r="BZ797" s="53"/>
      <c r="CA797" s="53"/>
      <c r="CB797" s="53"/>
      <c r="CC797" s="53"/>
      <c r="CD797" s="53"/>
      <c r="CE797" s="53"/>
      <c r="CF797" s="53"/>
      <c r="CG797" s="53"/>
      <c r="CH797" s="53"/>
      <c r="CI797" s="53"/>
      <c r="CJ797" s="53"/>
      <c r="CK797" s="53"/>
      <c r="CL797" s="53"/>
      <c r="CM797" s="53"/>
      <c r="CN797" s="53"/>
      <c r="CO797" s="53"/>
      <c r="CP797" s="53"/>
      <c r="CQ797" s="53"/>
      <c r="CR797" s="53"/>
      <c r="CS797" s="53"/>
      <c r="CT797" s="53"/>
      <c r="CU797" s="53"/>
      <c r="CV797" s="53"/>
      <c r="CW797" s="53"/>
      <c r="CX797" s="53"/>
      <c r="CY797" s="53"/>
      <c r="CZ797" s="53"/>
      <c r="DA797" s="53"/>
      <c r="DB797" s="53"/>
      <c r="DC797" s="53"/>
      <c r="DD797" s="53"/>
      <c r="DE797" s="53"/>
      <c r="DF797" s="53"/>
      <c r="DG797" s="53"/>
      <c r="DH797" s="53"/>
      <c r="DI797" s="53"/>
      <c r="DJ797" s="53"/>
      <c r="DK797" s="53"/>
      <c r="DL797" s="53"/>
      <c r="DM797" s="53"/>
      <c r="DN797" s="53"/>
      <c r="DO797" s="53"/>
      <c r="DP797" s="53"/>
      <c r="DQ797" s="53"/>
      <c r="DR797" s="53"/>
      <c r="DS797" s="53"/>
      <c r="DT797" s="53"/>
      <c r="DU797" s="53"/>
      <c r="DV797" s="53"/>
      <c r="DW797" s="53"/>
      <c r="DX797" s="53"/>
      <c r="DY797" s="53"/>
      <c r="DZ797" s="53"/>
      <c r="EA797" s="53"/>
      <c r="EB797" s="53"/>
      <c r="EC797" s="53"/>
      <c r="ED797" s="53"/>
      <c r="EE797" s="53"/>
      <c r="EF797" s="53"/>
      <c r="EG797" s="53"/>
      <c r="EH797" s="53"/>
      <c r="EI797" s="53"/>
      <c r="EJ797" s="53"/>
      <c r="EK797" s="53"/>
      <c r="EL797" s="53"/>
      <c r="EM797" s="53"/>
      <c r="EN797" s="53"/>
      <c r="EO797" s="53"/>
      <c r="EP797" s="53"/>
      <c r="EQ797" s="53"/>
      <c r="ER797" s="53"/>
      <c r="ES797" s="53"/>
      <c r="ET797" s="53"/>
      <c r="EU797" s="53"/>
      <c r="EV797" s="53"/>
      <c r="EW797" s="53"/>
      <c r="EX797" s="53"/>
      <c r="EY797" s="53"/>
      <c r="EZ797" s="53"/>
      <c r="FA797" s="53"/>
      <c r="FB797" s="53"/>
      <c r="FC797" s="53"/>
      <c r="FD797" s="53"/>
      <c r="FE797" s="53"/>
      <c r="FF797" s="53"/>
      <c r="FG797" s="53"/>
      <c r="FH797" s="53"/>
      <c r="FI797" s="53"/>
      <c r="FJ797" s="53"/>
      <c r="FK797" s="53"/>
      <c r="FL797" s="53"/>
      <c r="FM797" s="53"/>
      <c r="FN797" s="53"/>
      <c r="FO797" s="53"/>
      <c r="FP797" s="53"/>
      <c r="FQ797" s="53"/>
      <c r="FR797" s="53"/>
      <c r="FS797" s="53"/>
      <c r="FT797" s="53"/>
      <c r="FU797" s="53"/>
      <c r="FV797" s="53"/>
      <c r="FW797" s="53"/>
      <c r="FX797" s="53"/>
      <c r="FY797" s="53"/>
      <c r="FZ797" s="53"/>
      <c r="GA797" s="53"/>
      <c r="GB797" s="53"/>
      <c r="GC797" s="53"/>
      <c r="GD797" s="53"/>
      <c r="GE797" s="53"/>
      <c r="GF797" s="53"/>
      <c r="GG797" s="53"/>
      <c r="GH797" s="53"/>
      <c r="GI797" s="53"/>
      <c r="GJ797" s="53"/>
      <c r="GK797" s="53"/>
      <c r="GL797" s="53"/>
      <c r="GM797" s="53"/>
      <c r="GN797" s="53"/>
      <c r="GO797" s="53"/>
      <c r="GP797" s="53"/>
      <c r="GQ797" s="53"/>
      <c r="GR797" s="53"/>
      <c r="GS797" s="53"/>
      <c r="GT797" s="53"/>
      <c r="GU797" s="53"/>
      <c r="GV797" s="53"/>
      <c r="GW797" s="53"/>
      <c r="GX797" s="53"/>
      <c r="GY797" s="53"/>
      <c r="GZ797" s="53"/>
      <c r="HA797" s="53"/>
      <c r="HB797" s="53"/>
      <c r="HC797" s="53"/>
      <c r="HD797" s="53"/>
      <c r="HE797" s="53"/>
      <c r="HF797" s="53"/>
      <c r="HG797" s="53"/>
      <c r="HH797" s="53"/>
      <c r="HI797" s="53"/>
      <c r="HJ797" s="53"/>
      <c r="HK797" s="53"/>
      <c r="HL797" s="53"/>
      <c r="HM797" s="53"/>
      <c r="HN797" s="53"/>
      <c r="HO797" s="53"/>
      <c r="HP797" s="53"/>
      <c r="HQ797" s="53"/>
      <c r="HR797" s="53"/>
      <c r="HS797" s="53"/>
      <c r="HT797" s="53"/>
      <c r="HU797" s="53"/>
      <c r="HV797" s="53"/>
      <c r="HW797" s="53"/>
      <c r="HX797" s="53"/>
      <c r="HY797" s="53"/>
      <c r="HZ797" s="53"/>
      <c r="IA797" s="53"/>
    </row>
    <row r="798" spans="1:235" ht="11.25">
      <c r="A798" s="1"/>
      <c r="B798" s="1"/>
      <c r="C798" s="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04"/>
      <c r="O798" s="104"/>
      <c r="P798" s="104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3"/>
      <c r="AV798" s="53"/>
      <c r="AW798" s="53"/>
      <c r="AX798" s="53"/>
      <c r="AY798" s="53"/>
      <c r="AZ798" s="53"/>
      <c r="BA798" s="53"/>
      <c r="BB798" s="53"/>
      <c r="BC798" s="53"/>
      <c r="BD798" s="53"/>
      <c r="BE798" s="53"/>
      <c r="BF798" s="53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3"/>
      <c r="BS798" s="53"/>
      <c r="BT798" s="53"/>
      <c r="BU798" s="53"/>
      <c r="BV798" s="53"/>
      <c r="BW798" s="53"/>
      <c r="BX798" s="53"/>
      <c r="BY798" s="53"/>
      <c r="BZ798" s="53"/>
      <c r="CA798" s="53"/>
      <c r="CB798" s="53"/>
      <c r="CC798" s="53"/>
      <c r="CD798" s="53"/>
      <c r="CE798" s="53"/>
      <c r="CF798" s="53"/>
      <c r="CG798" s="53"/>
      <c r="CH798" s="53"/>
      <c r="CI798" s="53"/>
      <c r="CJ798" s="53"/>
      <c r="CK798" s="53"/>
      <c r="CL798" s="53"/>
      <c r="CM798" s="53"/>
      <c r="CN798" s="53"/>
      <c r="CO798" s="53"/>
      <c r="CP798" s="53"/>
      <c r="CQ798" s="53"/>
      <c r="CR798" s="53"/>
      <c r="CS798" s="53"/>
      <c r="CT798" s="53"/>
      <c r="CU798" s="53"/>
      <c r="CV798" s="53"/>
      <c r="CW798" s="53"/>
      <c r="CX798" s="53"/>
      <c r="CY798" s="53"/>
      <c r="CZ798" s="53"/>
      <c r="DA798" s="53"/>
      <c r="DB798" s="53"/>
      <c r="DC798" s="53"/>
      <c r="DD798" s="53"/>
      <c r="DE798" s="53"/>
      <c r="DF798" s="53"/>
      <c r="DG798" s="53"/>
      <c r="DH798" s="53"/>
      <c r="DI798" s="53"/>
      <c r="DJ798" s="53"/>
      <c r="DK798" s="53"/>
      <c r="DL798" s="53"/>
      <c r="DM798" s="53"/>
      <c r="DN798" s="53"/>
      <c r="DO798" s="53"/>
      <c r="DP798" s="53"/>
      <c r="DQ798" s="53"/>
      <c r="DR798" s="53"/>
      <c r="DS798" s="53"/>
      <c r="DT798" s="53"/>
      <c r="DU798" s="53"/>
      <c r="DV798" s="53"/>
      <c r="DW798" s="53"/>
      <c r="DX798" s="53"/>
      <c r="DY798" s="53"/>
      <c r="DZ798" s="53"/>
      <c r="EA798" s="53"/>
      <c r="EB798" s="53"/>
      <c r="EC798" s="53"/>
      <c r="ED798" s="53"/>
      <c r="EE798" s="53"/>
      <c r="EF798" s="53"/>
      <c r="EG798" s="53"/>
      <c r="EH798" s="53"/>
      <c r="EI798" s="53"/>
      <c r="EJ798" s="53"/>
      <c r="EK798" s="53"/>
      <c r="EL798" s="53"/>
      <c r="EM798" s="53"/>
      <c r="EN798" s="53"/>
      <c r="EO798" s="53"/>
      <c r="EP798" s="53"/>
      <c r="EQ798" s="53"/>
      <c r="ER798" s="53"/>
      <c r="ES798" s="53"/>
      <c r="ET798" s="53"/>
      <c r="EU798" s="53"/>
      <c r="EV798" s="53"/>
      <c r="EW798" s="53"/>
      <c r="EX798" s="53"/>
      <c r="EY798" s="53"/>
      <c r="EZ798" s="53"/>
      <c r="FA798" s="53"/>
      <c r="FB798" s="53"/>
      <c r="FC798" s="53"/>
      <c r="FD798" s="53"/>
      <c r="FE798" s="53"/>
      <c r="FF798" s="53"/>
      <c r="FG798" s="53"/>
      <c r="FH798" s="53"/>
      <c r="FI798" s="53"/>
      <c r="FJ798" s="53"/>
      <c r="FK798" s="53"/>
      <c r="FL798" s="53"/>
      <c r="FM798" s="53"/>
      <c r="FN798" s="53"/>
      <c r="FO798" s="53"/>
      <c r="FP798" s="53"/>
      <c r="FQ798" s="53"/>
      <c r="FR798" s="53"/>
      <c r="FS798" s="53"/>
      <c r="FT798" s="53"/>
      <c r="FU798" s="53"/>
      <c r="FV798" s="53"/>
      <c r="FW798" s="53"/>
      <c r="FX798" s="53"/>
      <c r="FY798" s="53"/>
      <c r="FZ798" s="53"/>
      <c r="GA798" s="53"/>
      <c r="GB798" s="53"/>
      <c r="GC798" s="53"/>
      <c r="GD798" s="53"/>
      <c r="GE798" s="53"/>
      <c r="GF798" s="53"/>
      <c r="GG798" s="53"/>
      <c r="GH798" s="53"/>
      <c r="GI798" s="53"/>
      <c r="GJ798" s="53"/>
      <c r="GK798" s="53"/>
      <c r="GL798" s="53"/>
      <c r="GM798" s="53"/>
      <c r="GN798" s="53"/>
      <c r="GO798" s="53"/>
      <c r="GP798" s="53"/>
      <c r="GQ798" s="53"/>
      <c r="GR798" s="53"/>
      <c r="GS798" s="53"/>
      <c r="GT798" s="53"/>
      <c r="GU798" s="53"/>
      <c r="GV798" s="53"/>
      <c r="GW798" s="53"/>
      <c r="GX798" s="53"/>
      <c r="GY798" s="53"/>
      <c r="GZ798" s="53"/>
      <c r="HA798" s="53"/>
      <c r="HB798" s="53"/>
      <c r="HC798" s="53"/>
      <c r="HD798" s="53"/>
      <c r="HE798" s="53"/>
      <c r="HF798" s="53"/>
      <c r="HG798" s="53"/>
      <c r="HH798" s="53"/>
      <c r="HI798" s="53"/>
      <c r="HJ798" s="53"/>
      <c r="HK798" s="53"/>
      <c r="HL798" s="53"/>
      <c r="HM798" s="53"/>
      <c r="HN798" s="53"/>
      <c r="HO798" s="53"/>
      <c r="HP798" s="53"/>
      <c r="HQ798" s="53"/>
      <c r="HR798" s="53"/>
      <c r="HS798" s="53"/>
      <c r="HT798" s="53"/>
      <c r="HU798" s="53"/>
      <c r="HV798" s="53"/>
      <c r="HW798" s="53"/>
      <c r="HX798" s="53"/>
      <c r="HY798" s="53"/>
      <c r="HZ798" s="53"/>
      <c r="IA798" s="53"/>
    </row>
    <row r="799" spans="1:235" ht="11.25">
      <c r="A799" s="1"/>
      <c r="B799" s="1"/>
      <c r="C799" s="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04"/>
      <c r="O799" s="104"/>
      <c r="P799" s="104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3"/>
      <c r="AV799" s="53"/>
      <c r="AW799" s="53"/>
      <c r="AX799" s="53"/>
      <c r="AY799" s="53"/>
      <c r="AZ799" s="53"/>
      <c r="BA799" s="53"/>
      <c r="BB799" s="53"/>
      <c r="BC799" s="53"/>
      <c r="BD799" s="53"/>
      <c r="BE799" s="53"/>
      <c r="BF799" s="53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3"/>
      <c r="BS799" s="53"/>
      <c r="BT799" s="53"/>
      <c r="BU799" s="53"/>
      <c r="BV799" s="53"/>
      <c r="BW799" s="53"/>
      <c r="BX799" s="53"/>
      <c r="BY799" s="53"/>
      <c r="BZ799" s="53"/>
      <c r="CA799" s="53"/>
      <c r="CB799" s="53"/>
      <c r="CC799" s="53"/>
      <c r="CD799" s="53"/>
      <c r="CE799" s="53"/>
      <c r="CF799" s="53"/>
      <c r="CG799" s="53"/>
      <c r="CH799" s="53"/>
      <c r="CI799" s="53"/>
      <c r="CJ799" s="53"/>
      <c r="CK799" s="53"/>
      <c r="CL799" s="53"/>
      <c r="CM799" s="53"/>
      <c r="CN799" s="53"/>
      <c r="CO799" s="53"/>
      <c r="CP799" s="53"/>
      <c r="CQ799" s="53"/>
      <c r="CR799" s="53"/>
      <c r="CS799" s="53"/>
      <c r="CT799" s="53"/>
      <c r="CU799" s="53"/>
      <c r="CV799" s="53"/>
      <c r="CW799" s="53"/>
      <c r="CX799" s="53"/>
      <c r="CY799" s="53"/>
      <c r="CZ799" s="53"/>
      <c r="DA799" s="53"/>
      <c r="DB799" s="53"/>
      <c r="DC799" s="53"/>
      <c r="DD799" s="53"/>
      <c r="DE799" s="53"/>
      <c r="DF799" s="53"/>
      <c r="DG799" s="53"/>
      <c r="DH799" s="53"/>
      <c r="DI799" s="53"/>
      <c r="DJ799" s="53"/>
      <c r="DK799" s="53"/>
      <c r="DL799" s="53"/>
      <c r="DM799" s="53"/>
      <c r="DN799" s="53"/>
      <c r="DO799" s="53"/>
      <c r="DP799" s="53"/>
      <c r="DQ799" s="53"/>
      <c r="DR799" s="53"/>
      <c r="DS799" s="53"/>
      <c r="DT799" s="53"/>
      <c r="DU799" s="53"/>
      <c r="DV799" s="53"/>
      <c r="DW799" s="53"/>
      <c r="DX799" s="53"/>
      <c r="DY799" s="53"/>
      <c r="DZ799" s="53"/>
      <c r="EA799" s="53"/>
      <c r="EB799" s="53"/>
      <c r="EC799" s="53"/>
      <c r="ED799" s="53"/>
      <c r="EE799" s="53"/>
      <c r="EF799" s="53"/>
      <c r="EG799" s="53"/>
      <c r="EH799" s="53"/>
      <c r="EI799" s="53"/>
      <c r="EJ799" s="53"/>
      <c r="EK799" s="53"/>
      <c r="EL799" s="53"/>
      <c r="EM799" s="53"/>
      <c r="EN799" s="53"/>
      <c r="EO799" s="53"/>
      <c r="EP799" s="53"/>
      <c r="EQ799" s="53"/>
      <c r="ER799" s="53"/>
      <c r="ES799" s="53"/>
      <c r="ET799" s="53"/>
      <c r="EU799" s="53"/>
      <c r="EV799" s="53"/>
      <c r="EW799" s="53"/>
      <c r="EX799" s="53"/>
      <c r="EY799" s="53"/>
      <c r="EZ799" s="53"/>
      <c r="FA799" s="53"/>
      <c r="FB799" s="53"/>
      <c r="FC799" s="53"/>
      <c r="FD799" s="53"/>
      <c r="FE799" s="53"/>
      <c r="FF799" s="53"/>
      <c r="FG799" s="53"/>
      <c r="FH799" s="53"/>
      <c r="FI799" s="53"/>
      <c r="FJ799" s="53"/>
      <c r="FK799" s="53"/>
      <c r="FL799" s="53"/>
      <c r="FM799" s="53"/>
      <c r="FN799" s="53"/>
      <c r="FO799" s="53"/>
      <c r="FP799" s="53"/>
      <c r="FQ799" s="53"/>
      <c r="FR799" s="53"/>
      <c r="FS799" s="53"/>
      <c r="FT799" s="53"/>
      <c r="FU799" s="53"/>
      <c r="FV799" s="53"/>
      <c r="FW799" s="53"/>
      <c r="FX799" s="53"/>
      <c r="FY799" s="53"/>
      <c r="FZ799" s="53"/>
      <c r="GA799" s="53"/>
      <c r="GB799" s="53"/>
      <c r="GC799" s="53"/>
      <c r="GD799" s="53"/>
      <c r="GE799" s="53"/>
      <c r="GF799" s="53"/>
      <c r="GG799" s="53"/>
      <c r="GH799" s="53"/>
      <c r="GI799" s="53"/>
      <c r="GJ799" s="53"/>
      <c r="GK799" s="53"/>
      <c r="GL799" s="53"/>
      <c r="GM799" s="53"/>
      <c r="GN799" s="53"/>
      <c r="GO799" s="53"/>
      <c r="GP799" s="53"/>
      <c r="GQ799" s="53"/>
      <c r="GR799" s="53"/>
      <c r="GS799" s="53"/>
      <c r="GT799" s="53"/>
      <c r="GU799" s="53"/>
      <c r="GV799" s="53"/>
      <c r="GW799" s="53"/>
      <c r="GX799" s="53"/>
      <c r="GY799" s="53"/>
      <c r="GZ799" s="53"/>
      <c r="HA799" s="53"/>
      <c r="HB799" s="53"/>
      <c r="HC799" s="53"/>
      <c r="HD799" s="53"/>
      <c r="HE799" s="53"/>
      <c r="HF799" s="53"/>
      <c r="HG799" s="53"/>
      <c r="HH799" s="53"/>
      <c r="HI799" s="53"/>
      <c r="HJ799" s="53"/>
      <c r="HK799" s="53"/>
      <c r="HL799" s="53"/>
      <c r="HM799" s="53"/>
      <c r="HN799" s="53"/>
      <c r="HO799" s="53"/>
      <c r="HP799" s="53"/>
      <c r="HQ799" s="53"/>
      <c r="HR799" s="53"/>
      <c r="HS799" s="53"/>
      <c r="HT799" s="53"/>
      <c r="HU799" s="53"/>
      <c r="HV799" s="53"/>
      <c r="HW799" s="53"/>
      <c r="HX799" s="53"/>
      <c r="HY799" s="53"/>
      <c r="HZ799" s="53"/>
      <c r="IA799" s="53"/>
    </row>
    <row r="800" spans="1:235" ht="11.25">
      <c r="A800" s="1"/>
      <c r="B800" s="1"/>
      <c r="C800" s="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04"/>
      <c r="O800" s="104"/>
      <c r="P800" s="104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3"/>
      <c r="AV800" s="53"/>
      <c r="AW800" s="53"/>
      <c r="AX800" s="53"/>
      <c r="AY800" s="53"/>
      <c r="AZ800" s="53"/>
      <c r="BA800" s="53"/>
      <c r="BB800" s="53"/>
      <c r="BC800" s="53"/>
      <c r="BD800" s="53"/>
      <c r="BE800" s="53"/>
      <c r="BF800" s="53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3"/>
      <c r="BS800" s="53"/>
      <c r="BT800" s="53"/>
      <c r="BU800" s="53"/>
      <c r="BV800" s="53"/>
      <c r="BW800" s="53"/>
      <c r="BX800" s="53"/>
      <c r="BY800" s="53"/>
      <c r="BZ800" s="53"/>
      <c r="CA800" s="53"/>
      <c r="CB800" s="53"/>
      <c r="CC800" s="53"/>
      <c r="CD800" s="53"/>
      <c r="CE800" s="53"/>
      <c r="CF800" s="53"/>
      <c r="CG800" s="53"/>
      <c r="CH800" s="53"/>
      <c r="CI800" s="53"/>
      <c r="CJ800" s="53"/>
      <c r="CK800" s="53"/>
      <c r="CL800" s="53"/>
      <c r="CM800" s="53"/>
      <c r="CN800" s="53"/>
      <c r="CO800" s="53"/>
      <c r="CP800" s="53"/>
      <c r="CQ800" s="53"/>
      <c r="CR800" s="53"/>
      <c r="CS800" s="53"/>
      <c r="CT800" s="53"/>
      <c r="CU800" s="53"/>
      <c r="CV800" s="53"/>
      <c r="CW800" s="53"/>
      <c r="CX800" s="53"/>
      <c r="CY800" s="53"/>
      <c r="CZ800" s="53"/>
      <c r="DA800" s="53"/>
      <c r="DB800" s="53"/>
      <c r="DC800" s="53"/>
      <c r="DD800" s="53"/>
      <c r="DE800" s="53"/>
      <c r="DF800" s="53"/>
      <c r="DG800" s="53"/>
      <c r="DH800" s="53"/>
      <c r="DI800" s="53"/>
      <c r="DJ800" s="53"/>
      <c r="DK800" s="53"/>
      <c r="DL800" s="53"/>
      <c r="DM800" s="53"/>
      <c r="DN800" s="53"/>
      <c r="DO800" s="53"/>
      <c r="DP800" s="53"/>
      <c r="DQ800" s="53"/>
      <c r="DR800" s="53"/>
      <c r="DS800" s="53"/>
      <c r="DT800" s="53"/>
      <c r="DU800" s="53"/>
      <c r="DV800" s="53"/>
      <c r="DW800" s="53"/>
      <c r="DX800" s="53"/>
      <c r="DY800" s="53"/>
      <c r="DZ800" s="53"/>
      <c r="EA800" s="53"/>
      <c r="EB800" s="53"/>
      <c r="EC800" s="53"/>
      <c r="ED800" s="53"/>
      <c r="EE800" s="53"/>
      <c r="EF800" s="53"/>
      <c r="EG800" s="53"/>
      <c r="EH800" s="53"/>
      <c r="EI800" s="53"/>
      <c r="EJ800" s="53"/>
      <c r="EK800" s="53"/>
      <c r="EL800" s="53"/>
      <c r="EM800" s="53"/>
      <c r="EN800" s="53"/>
      <c r="EO800" s="53"/>
      <c r="EP800" s="53"/>
      <c r="EQ800" s="53"/>
      <c r="ER800" s="53"/>
      <c r="ES800" s="53"/>
      <c r="ET800" s="53"/>
      <c r="EU800" s="53"/>
      <c r="EV800" s="53"/>
      <c r="EW800" s="53"/>
      <c r="EX800" s="53"/>
      <c r="EY800" s="53"/>
      <c r="EZ800" s="53"/>
      <c r="FA800" s="53"/>
      <c r="FB800" s="53"/>
      <c r="FC800" s="53"/>
      <c r="FD800" s="53"/>
      <c r="FE800" s="53"/>
      <c r="FF800" s="53"/>
      <c r="FG800" s="53"/>
      <c r="FH800" s="53"/>
      <c r="FI800" s="53"/>
      <c r="FJ800" s="53"/>
      <c r="FK800" s="53"/>
      <c r="FL800" s="53"/>
      <c r="FM800" s="53"/>
      <c r="FN800" s="53"/>
      <c r="FO800" s="53"/>
      <c r="FP800" s="53"/>
      <c r="FQ800" s="53"/>
      <c r="FR800" s="53"/>
      <c r="FS800" s="53"/>
      <c r="FT800" s="53"/>
      <c r="FU800" s="53"/>
      <c r="FV800" s="53"/>
      <c r="FW800" s="53"/>
      <c r="FX800" s="53"/>
      <c r="FY800" s="53"/>
      <c r="FZ800" s="53"/>
      <c r="GA800" s="53"/>
      <c r="GB800" s="53"/>
      <c r="GC800" s="53"/>
      <c r="GD800" s="53"/>
      <c r="GE800" s="53"/>
      <c r="GF800" s="53"/>
      <c r="GG800" s="53"/>
      <c r="GH800" s="53"/>
      <c r="GI800" s="53"/>
      <c r="GJ800" s="53"/>
      <c r="GK800" s="53"/>
      <c r="GL800" s="53"/>
      <c r="GM800" s="53"/>
      <c r="GN800" s="53"/>
      <c r="GO800" s="53"/>
      <c r="GP800" s="53"/>
      <c r="GQ800" s="53"/>
      <c r="GR800" s="53"/>
      <c r="GS800" s="53"/>
      <c r="GT800" s="53"/>
      <c r="GU800" s="53"/>
      <c r="GV800" s="53"/>
      <c r="GW800" s="53"/>
      <c r="GX800" s="53"/>
      <c r="GY800" s="53"/>
      <c r="GZ800" s="53"/>
      <c r="HA800" s="53"/>
      <c r="HB800" s="53"/>
      <c r="HC800" s="53"/>
      <c r="HD800" s="53"/>
      <c r="HE800" s="53"/>
      <c r="HF800" s="53"/>
      <c r="HG800" s="53"/>
      <c r="HH800" s="53"/>
      <c r="HI800" s="53"/>
      <c r="HJ800" s="53"/>
      <c r="HK800" s="53"/>
      <c r="HL800" s="53"/>
      <c r="HM800" s="53"/>
      <c r="HN800" s="53"/>
      <c r="HO800" s="53"/>
      <c r="HP800" s="53"/>
      <c r="HQ800" s="53"/>
      <c r="HR800" s="53"/>
      <c r="HS800" s="53"/>
      <c r="HT800" s="53"/>
      <c r="HU800" s="53"/>
      <c r="HV800" s="53"/>
      <c r="HW800" s="53"/>
      <c r="HX800" s="53"/>
      <c r="HY800" s="53"/>
      <c r="HZ800" s="53"/>
      <c r="IA800" s="53"/>
    </row>
    <row r="801" spans="1:235" ht="11.25">
      <c r="A801" s="1"/>
      <c r="B801" s="1"/>
      <c r="C801" s="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04"/>
      <c r="O801" s="104"/>
      <c r="P801" s="104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3"/>
      <c r="AV801" s="53"/>
      <c r="AW801" s="53"/>
      <c r="AX801" s="53"/>
      <c r="AY801" s="53"/>
      <c r="AZ801" s="53"/>
      <c r="BA801" s="53"/>
      <c r="BB801" s="53"/>
      <c r="BC801" s="53"/>
      <c r="BD801" s="53"/>
      <c r="BE801" s="53"/>
      <c r="BF801" s="53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3"/>
      <c r="BS801" s="53"/>
      <c r="BT801" s="53"/>
      <c r="BU801" s="53"/>
      <c r="BV801" s="53"/>
      <c r="BW801" s="53"/>
      <c r="BX801" s="53"/>
      <c r="BY801" s="53"/>
      <c r="BZ801" s="53"/>
      <c r="CA801" s="53"/>
      <c r="CB801" s="53"/>
      <c r="CC801" s="53"/>
      <c r="CD801" s="53"/>
      <c r="CE801" s="53"/>
      <c r="CF801" s="53"/>
      <c r="CG801" s="53"/>
      <c r="CH801" s="53"/>
      <c r="CI801" s="53"/>
      <c r="CJ801" s="53"/>
      <c r="CK801" s="53"/>
      <c r="CL801" s="53"/>
      <c r="CM801" s="53"/>
      <c r="CN801" s="53"/>
      <c r="CO801" s="53"/>
      <c r="CP801" s="53"/>
      <c r="CQ801" s="53"/>
      <c r="CR801" s="53"/>
      <c r="CS801" s="53"/>
      <c r="CT801" s="53"/>
      <c r="CU801" s="53"/>
      <c r="CV801" s="53"/>
      <c r="CW801" s="53"/>
      <c r="CX801" s="53"/>
      <c r="CY801" s="53"/>
      <c r="CZ801" s="53"/>
      <c r="DA801" s="53"/>
      <c r="DB801" s="53"/>
      <c r="DC801" s="53"/>
      <c r="DD801" s="53"/>
      <c r="DE801" s="53"/>
      <c r="DF801" s="53"/>
      <c r="DG801" s="53"/>
      <c r="DH801" s="53"/>
      <c r="DI801" s="53"/>
      <c r="DJ801" s="53"/>
      <c r="DK801" s="53"/>
      <c r="DL801" s="53"/>
      <c r="DM801" s="53"/>
      <c r="DN801" s="53"/>
      <c r="DO801" s="53"/>
      <c r="DP801" s="53"/>
      <c r="DQ801" s="53"/>
      <c r="DR801" s="53"/>
      <c r="DS801" s="53"/>
      <c r="DT801" s="53"/>
      <c r="DU801" s="53"/>
      <c r="DV801" s="53"/>
      <c r="DW801" s="53"/>
      <c r="DX801" s="53"/>
      <c r="DY801" s="53"/>
      <c r="DZ801" s="53"/>
      <c r="EA801" s="53"/>
      <c r="EB801" s="53"/>
      <c r="EC801" s="53"/>
      <c r="ED801" s="53"/>
      <c r="EE801" s="53"/>
      <c r="EF801" s="53"/>
      <c r="EG801" s="53"/>
      <c r="EH801" s="53"/>
      <c r="EI801" s="53"/>
      <c r="EJ801" s="53"/>
      <c r="EK801" s="53"/>
      <c r="EL801" s="53"/>
      <c r="EM801" s="53"/>
      <c r="EN801" s="53"/>
      <c r="EO801" s="53"/>
      <c r="EP801" s="53"/>
      <c r="EQ801" s="53"/>
      <c r="ER801" s="53"/>
      <c r="ES801" s="53"/>
      <c r="ET801" s="53"/>
      <c r="EU801" s="53"/>
      <c r="EV801" s="53"/>
      <c r="EW801" s="53"/>
      <c r="EX801" s="53"/>
      <c r="EY801" s="53"/>
      <c r="EZ801" s="53"/>
      <c r="FA801" s="53"/>
      <c r="FB801" s="53"/>
      <c r="FC801" s="53"/>
      <c r="FD801" s="53"/>
      <c r="FE801" s="53"/>
      <c r="FF801" s="53"/>
      <c r="FG801" s="53"/>
      <c r="FH801" s="53"/>
      <c r="FI801" s="53"/>
      <c r="FJ801" s="53"/>
      <c r="FK801" s="53"/>
      <c r="FL801" s="53"/>
      <c r="FM801" s="53"/>
      <c r="FN801" s="53"/>
      <c r="FO801" s="53"/>
      <c r="FP801" s="53"/>
      <c r="FQ801" s="53"/>
      <c r="FR801" s="53"/>
      <c r="FS801" s="53"/>
      <c r="FT801" s="53"/>
      <c r="FU801" s="53"/>
      <c r="FV801" s="53"/>
      <c r="FW801" s="53"/>
      <c r="FX801" s="53"/>
      <c r="FY801" s="53"/>
      <c r="FZ801" s="53"/>
      <c r="GA801" s="53"/>
      <c r="GB801" s="53"/>
      <c r="GC801" s="53"/>
      <c r="GD801" s="53"/>
      <c r="GE801" s="53"/>
      <c r="GF801" s="53"/>
      <c r="GG801" s="53"/>
      <c r="GH801" s="53"/>
      <c r="GI801" s="53"/>
      <c r="GJ801" s="53"/>
      <c r="GK801" s="53"/>
      <c r="GL801" s="53"/>
      <c r="GM801" s="53"/>
      <c r="GN801" s="53"/>
      <c r="GO801" s="53"/>
      <c r="GP801" s="53"/>
      <c r="GQ801" s="53"/>
      <c r="GR801" s="53"/>
      <c r="GS801" s="53"/>
      <c r="GT801" s="53"/>
      <c r="GU801" s="53"/>
      <c r="GV801" s="53"/>
      <c r="GW801" s="53"/>
      <c r="GX801" s="53"/>
      <c r="GY801" s="53"/>
      <c r="GZ801" s="53"/>
      <c r="HA801" s="53"/>
      <c r="HB801" s="53"/>
      <c r="HC801" s="53"/>
      <c r="HD801" s="53"/>
      <c r="HE801" s="53"/>
      <c r="HF801" s="53"/>
      <c r="HG801" s="53"/>
      <c r="HH801" s="53"/>
      <c r="HI801" s="53"/>
      <c r="HJ801" s="53"/>
      <c r="HK801" s="53"/>
      <c r="HL801" s="53"/>
      <c r="HM801" s="53"/>
      <c r="HN801" s="53"/>
      <c r="HO801" s="53"/>
      <c r="HP801" s="53"/>
      <c r="HQ801" s="53"/>
      <c r="HR801" s="53"/>
      <c r="HS801" s="53"/>
      <c r="HT801" s="53"/>
      <c r="HU801" s="53"/>
      <c r="HV801" s="53"/>
      <c r="HW801" s="53"/>
      <c r="HX801" s="53"/>
      <c r="HY801" s="53"/>
      <c r="HZ801" s="53"/>
      <c r="IA801" s="53"/>
    </row>
    <row r="802" spans="1:235" ht="11.25">
      <c r="A802" s="1"/>
      <c r="B802" s="1"/>
      <c r="C802" s="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04"/>
      <c r="O802" s="104"/>
      <c r="P802" s="104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3"/>
      <c r="AV802" s="53"/>
      <c r="AW802" s="53"/>
      <c r="AX802" s="53"/>
      <c r="AY802" s="53"/>
      <c r="AZ802" s="53"/>
      <c r="BA802" s="53"/>
      <c r="BB802" s="53"/>
      <c r="BC802" s="53"/>
      <c r="BD802" s="53"/>
      <c r="BE802" s="53"/>
      <c r="BF802" s="53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3"/>
      <c r="BS802" s="53"/>
      <c r="BT802" s="53"/>
      <c r="BU802" s="53"/>
      <c r="BV802" s="53"/>
      <c r="BW802" s="53"/>
      <c r="BX802" s="53"/>
      <c r="BY802" s="53"/>
      <c r="BZ802" s="53"/>
      <c r="CA802" s="53"/>
      <c r="CB802" s="53"/>
      <c r="CC802" s="53"/>
      <c r="CD802" s="53"/>
      <c r="CE802" s="53"/>
      <c r="CF802" s="53"/>
      <c r="CG802" s="53"/>
      <c r="CH802" s="53"/>
      <c r="CI802" s="53"/>
      <c r="CJ802" s="53"/>
      <c r="CK802" s="53"/>
      <c r="CL802" s="53"/>
      <c r="CM802" s="53"/>
      <c r="CN802" s="53"/>
      <c r="CO802" s="53"/>
      <c r="CP802" s="53"/>
      <c r="CQ802" s="53"/>
      <c r="CR802" s="53"/>
      <c r="CS802" s="53"/>
      <c r="CT802" s="53"/>
      <c r="CU802" s="53"/>
      <c r="CV802" s="53"/>
      <c r="CW802" s="53"/>
      <c r="CX802" s="53"/>
      <c r="CY802" s="53"/>
      <c r="CZ802" s="53"/>
      <c r="DA802" s="53"/>
      <c r="DB802" s="53"/>
      <c r="DC802" s="53"/>
      <c r="DD802" s="53"/>
      <c r="DE802" s="53"/>
      <c r="DF802" s="53"/>
      <c r="DG802" s="53"/>
      <c r="DH802" s="53"/>
      <c r="DI802" s="53"/>
      <c r="DJ802" s="53"/>
      <c r="DK802" s="53"/>
      <c r="DL802" s="53"/>
      <c r="DM802" s="53"/>
      <c r="DN802" s="53"/>
      <c r="DO802" s="53"/>
      <c r="DP802" s="53"/>
      <c r="DQ802" s="53"/>
      <c r="DR802" s="53"/>
      <c r="DS802" s="53"/>
      <c r="DT802" s="53"/>
      <c r="DU802" s="53"/>
      <c r="DV802" s="53"/>
      <c r="DW802" s="53"/>
      <c r="DX802" s="53"/>
      <c r="DY802" s="53"/>
      <c r="DZ802" s="53"/>
      <c r="EA802" s="53"/>
      <c r="EB802" s="53"/>
      <c r="EC802" s="53"/>
      <c r="ED802" s="53"/>
      <c r="EE802" s="53"/>
      <c r="EF802" s="53"/>
      <c r="EG802" s="53"/>
      <c r="EH802" s="53"/>
      <c r="EI802" s="53"/>
      <c r="EJ802" s="53"/>
      <c r="EK802" s="53"/>
      <c r="EL802" s="53"/>
      <c r="EM802" s="53"/>
      <c r="EN802" s="53"/>
      <c r="EO802" s="53"/>
      <c r="EP802" s="53"/>
      <c r="EQ802" s="53"/>
      <c r="ER802" s="53"/>
      <c r="ES802" s="53"/>
      <c r="ET802" s="53"/>
      <c r="EU802" s="53"/>
      <c r="EV802" s="53"/>
      <c r="EW802" s="53"/>
      <c r="EX802" s="53"/>
      <c r="EY802" s="53"/>
      <c r="EZ802" s="53"/>
      <c r="FA802" s="53"/>
      <c r="FB802" s="53"/>
      <c r="FC802" s="53"/>
      <c r="FD802" s="53"/>
      <c r="FE802" s="53"/>
      <c r="FF802" s="53"/>
      <c r="FG802" s="53"/>
      <c r="FH802" s="53"/>
      <c r="FI802" s="53"/>
      <c r="FJ802" s="53"/>
      <c r="FK802" s="53"/>
      <c r="FL802" s="53"/>
      <c r="FM802" s="53"/>
      <c r="FN802" s="53"/>
      <c r="FO802" s="53"/>
      <c r="FP802" s="53"/>
      <c r="FQ802" s="53"/>
      <c r="FR802" s="53"/>
      <c r="FS802" s="53"/>
      <c r="FT802" s="53"/>
      <c r="FU802" s="53"/>
      <c r="FV802" s="53"/>
      <c r="FW802" s="53"/>
      <c r="FX802" s="53"/>
      <c r="FY802" s="53"/>
      <c r="FZ802" s="53"/>
      <c r="GA802" s="53"/>
      <c r="GB802" s="53"/>
      <c r="GC802" s="53"/>
      <c r="GD802" s="53"/>
      <c r="GE802" s="53"/>
      <c r="GF802" s="53"/>
      <c r="GG802" s="53"/>
      <c r="GH802" s="53"/>
      <c r="GI802" s="53"/>
      <c r="GJ802" s="53"/>
      <c r="GK802" s="53"/>
      <c r="GL802" s="53"/>
      <c r="GM802" s="53"/>
      <c r="GN802" s="53"/>
      <c r="GO802" s="53"/>
      <c r="GP802" s="53"/>
      <c r="GQ802" s="53"/>
      <c r="GR802" s="53"/>
      <c r="GS802" s="53"/>
      <c r="GT802" s="53"/>
      <c r="GU802" s="53"/>
      <c r="GV802" s="53"/>
      <c r="GW802" s="53"/>
      <c r="GX802" s="53"/>
      <c r="GY802" s="53"/>
      <c r="GZ802" s="53"/>
      <c r="HA802" s="53"/>
      <c r="HB802" s="53"/>
      <c r="HC802" s="53"/>
      <c r="HD802" s="53"/>
      <c r="HE802" s="53"/>
      <c r="HF802" s="53"/>
      <c r="HG802" s="53"/>
      <c r="HH802" s="53"/>
      <c r="HI802" s="53"/>
      <c r="HJ802" s="53"/>
      <c r="HK802" s="53"/>
      <c r="HL802" s="53"/>
      <c r="HM802" s="53"/>
      <c r="HN802" s="53"/>
      <c r="HO802" s="53"/>
      <c r="HP802" s="53"/>
      <c r="HQ802" s="53"/>
      <c r="HR802" s="53"/>
      <c r="HS802" s="53"/>
      <c r="HT802" s="53"/>
      <c r="HU802" s="53"/>
      <c r="HV802" s="53"/>
      <c r="HW802" s="53"/>
      <c r="HX802" s="53"/>
      <c r="HY802" s="53"/>
      <c r="HZ802" s="53"/>
      <c r="IA802" s="53"/>
    </row>
    <row r="803" spans="1:235" ht="11.25">
      <c r="A803" s="1"/>
      <c r="B803" s="1"/>
      <c r="C803" s="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04"/>
      <c r="O803" s="104"/>
      <c r="P803" s="104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3"/>
      <c r="AV803" s="53"/>
      <c r="AW803" s="53"/>
      <c r="AX803" s="53"/>
      <c r="AY803" s="53"/>
      <c r="AZ803" s="53"/>
      <c r="BA803" s="53"/>
      <c r="BB803" s="53"/>
      <c r="BC803" s="53"/>
      <c r="BD803" s="53"/>
      <c r="BE803" s="53"/>
      <c r="BF803" s="53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3"/>
      <c r="BS803" s="53"/>
      <c r="BT803" s="53"/>
      <c r="BU803" s="53"/>
      <c r="BV803" s="53"/>
      <c r="BW803" s="53"/>
      <c r="BX803" s="53"/>
      <c r="BY803" s="53"/>
      <c r="BZ803" s="53"/>
      <c r="CA803" s="53"/>
      <c r="CB803" s="53"/>
      <c r="CC803" s="53"/>
      <c r="CD803" s="53"/>
      <c r="CE803" s="53"/>
      <c r="CF803" s="53"/>
      <c r="CG803" s="53"/>
      <c r="CH803" s="53"/>
      <c r="CI803" s="53"/>
      <c r="CJ803" s="53"/>
      <c r="CK803" s="53"/>
      <c r="CL803" s="53"/>
      <c r="CM803" s="53"/>
      <c r="CN803" s="53"/>
      <c r="CO803" s="53"/>
      <c r="CP803" s="53"/>
      <c r="CQ803" s="53"/>
      <c r="CR803" s="53"/>
      <c r="CS803" s="53"/>
      <c r="CT803" s="53"/>
      <c r="CU803" s="53"/>
      <c r="CV803" s="53"/>
      <c r="CW803" s="53"/>
      <c r="CX803" s="53"/>
      <c r="CY803" s="53"/>
      <c r="CZ803" s="53"/>
      <c r="DA803" s="53"/>
      <c r="DB803" s="53"/>
      <c r="DC803" s="53"/>
      <c r="DD803" s="53"/>
      <c r="DE803" s="53"/>
      <c r="DF803" s="53"/>
      <c r="DG803" s="53"/>
      <c r="DH803" s="53"/>
      <c r="DI803" s="53"/>
      <c r="DJ803" s="53"/>
      <c r="DK803" s="53"/>
      <c r="DL803" s="53"/>
      <c r="DM803" s="53"/>
      <c r="DN803" s="53"/>
      <c r="DO803" s="53"/>
      <c r="DP803" s="53"/>
      <c r="DQ803" s="53"/>
      <c r="DR803" s="53"/>
      <c r="DS803" s="53"/>
      <c r="DT803" s="53"/>
      <c r="DU803" s="53"/>
      <c r="DV803" s="53"/>
      <c r="DW803" s="53"/>
      <c r="DX803" s="53"/>
      <c r="DY803" s="53"/>
      <c r="DZ803" s="53"/>
      <c r="EA803" s="53"/>
      <c r="EB803" s="53"/>
      <c r="EC803" s="53"/>
      <c r="ED803" s="53"/>
      <c r="EE803" s="53"/>
      <c r="EF803" s="53"/>
      <c r="EG803" s="53"/>
      <c r="EH803" s="53"/>
      <c r="EI803" s="53"/>
      <c r="EJ803" s="53"/>
      <c r="EK803" s="53"/>
      <c r="EL803" s="53"/>
      <c r="EM803" s="53"/>
      <c r="EN803" s="53"/>
      <c r="EO803" s="53"/>
      <c r="EP803" s="53"/>
      <c r="EQ803" s="53"/>
      <c r="ER803" s="53"/>
      <c r="ES803" s="53"/>
      <c r="ET803" s="53"/>
      <c r="EU803" s="53"/>
      <c r="EV803" s="53"/>
      <c r="EW803" s="53"/>
      <c r="EX803" s="53"/>
      <c r="EY803" s="53"/>
      <c r="EZ803" s="53"/>
      <c r="FA803" s="53"/>
      <c r="FB803" s="53"/>
      <c r="FC803" s="53"/>
      <c r="FD803" s="53"/>
      <c r="FE803" s="53"/>
      <c r="FF803" s="53"/>
      <c r="FG803" s="53"/>
      <c r="FH803" s="53"/>
      <c r="FI803" s="53"/>
      <c r="FJ803" s="53"/>
      <c r="FK803" s="53"/>
      <c r="FL803" s="53"/>
      <c r="FM803" s="53"/>
      <c r="FN803" s="53"/>
      <c r="FO803" s="53"/>
      <c r="FP803" s="53"/>
      <c r="FQ803" s="53"/>
      <c r="FR803" s="53"/>
      <c r="FS803" s="53"/>
      <c r="FT803" s="53"/>
      <c r="FU803" s="53"/>
      <c r="FV803" s="53"/>
      <c r="FW803" s="53"/>
      <c r="FX803" s="53"/>
      <c r="FY803" s="53"/>
      <c r="FZ803" s="53"/>
      <c r="GA803" s="53"/>
      <c r="GB803" s="53"/>
      <c r="GC803" s="53"/>
      <c r="GD803" s="53"/>
      <c r="GE803" s="53"/>
      <c r="GF803" s="53"/>
      <c r="GG803" s="53"/>
      <c r="GH803" s="53"/>
      <c r="GI803" s="53"/>
      <c r="GJ803" s="53"/>
      <c r="GK803" s="53"/>
      <c r="GL803" s="53"/>
      <c r="GM803" s="53"/>
      <c r="GN803" s="53"/>
      <c r="GO803" s="53"/>
      <c r="GP803" s="53"/>
      <c r="GQ803" s="53"/>
      <c r="GR803" s="53"/>
      <c r="GS803" s="53"/>
      <c r="GT803" s="53"/>
      <c r="GU803" s="53"/>
      <c r="GV803" s="53"/>
      <c r="GW803" s="53"/>
      <c r="GX803" s="53"/>
      <c r="GY803" s="53"/>
      <c r="GZ803" s="53"/>
      <c r="HA803" s="53"/>
      <c r="HB803" s="53"/>
      <c r="HC803" s="53"/>
      <c r="HD803" s="53"/>
      <c r="HE803" s="53"/>
      <c r="HF803" s="53"/>
      <c r="HG803" s="53"/>
      <c r="HH803" s="53"/>
      <c r="HI803" s="53"/>
      <c r="HJ803" s="53"/>
      <c r="HK803" s="53"/>
      <c r="HL803" s="53"/>
      <c r="HM803" s="53"/>
      <c r="HN803" s="53"/>
      <c r="HO803" s="53"/>
      <c r="HP803" s="53"/>
      <c r="HQ803" s="53"/>
      <c r="HR803" s="53"/>
      <c r="HS803" s="53"/>
      <c r="HT803" s="53"/>
      <c r="HU803" s="53"/>
      <c r="HV803" s="53"/>
      <c r="HW803" s="53"/>
      <c r="HX803" s="53"/>
      <c r="HY803" s="53"/>
      <c r="HZ803" s="53"/>
      <c r="IA803" s="53"/>
    </row>
    <row r="804" spans="1:235" ht="11.25">
      <c r="A804" s="1"/>
      <c r="B804" s="1"/>
      <c r="C804" s="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04"/>
      <c r="O804" s="104"/>
      <c r="P804" s="104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3"/>
      <c r="BS804" s="53"/>
      <c r="BT804" s="53"/>
      <c r="BU804" s="53"/>
      <c r="BV804" s="53"/>
      <c r="BW804" s="53"/>
      <c r="BX804" s="53"/>
      <c r="BY804" s="53"/>
      <c r="BZ804" s="53"/>
      <c r="CA804" s="53"/>
      <c r="CB804" s="53"/>
      <c r="CC804" s="53"/>
      <c r="CD804" s="53"/>
      <c r="CE804" s="53"/>
      <c r="CF804" s="53"/>
      <c r="CG804" s="53"/>
      <c r="CH804" s="53"/>
      <c r="CI804" s="53"/>
      <c r="CJ804" s="53"/>
      <c r="CK804" s="53"/>
      <c r="CL804" s="53"/>
      <c r="CM804" s="53"/>
      <c r="CN804" s="53"/>
      <c r="CO804" s="53"/>
      <c r="CP804" s="53"/>
      <c r="CQ804" s="53"/>
      <c r="CR804" s="53"/>
      <c r="CS804" s="53"/>
      <c r="CT804" s="53"/>
      <c r="CU804" s="53"/>
      <c r="CV804" s="53"/>
      <c r="CW804" s="53"/>
      <c r="CX804" s="53"/>
      <c r="CY804" s="53"/>
      <c r="CZ804" s="53"/>
      <c r="DA804" s="53"/>
      <c r="DB804" s="53"/>
      <c r="DC804" s="53"/>
      <c r="DD804" s="53"/>
      <c r="DE804" s="53"/>
      <c r="DF804" s="53"/>
      <c r="DG804" s="53"/>
      <c r="DH804" s="53"/>
      <c r="DI804" s="53"/>
      <c r="DJ804" s="53"/>
      <c r="DK804" s="53"/>
      <c r="DL804" s="53"/>
      <c r="DM804" s="53"/>
      <c r="DN804" s="53"/>
      <c r="DO804" s="53"/>
      <c r="DP804" s="53"/>
      <c r="DQ804" s="53"/>
      <c r="DR804" s="53"/>
      <c r="DS804" s="53"/>
      <c r="DT804" s="53"/>
      <c r="DU804" s="53"/>
      <c r="DV804" s="53"/>
      <c r="DW804" s="53"/>
      <c r="DX804" s="53"/>
      <c r="DY804" s="53"/>
      <c r="DZ804" s="53"/>
      <c r="EA804" s="53"/>
      <c r="EB804" s="53"/>
      <c r="EC804" s="53"/>
      <c r="ED804" s="53"/>
      <c r="EE804" s="53"/>
      <c r="EF804" s="53"/>
      <c r="EG804" s="53"/>
      <c r="EH804" s="53"/>
      <c r="EI804" s="53"/>
      <c r="EJ804" s="53"/>
      <c r="EK804" s="53"/>
      <c r="EL804" s="53"/>
      <c r="EM804" s="53"/>
      <c r="EN804" s="53"/>
      <c r="EO804" s="53"/>
      <c r="EP804" s="53"/>
      <c r="EQ804" s="53"/>
      <c r="ER804" s="53"/>
      <c r="ES804" s="53"/>
      <c r="ET804" s="53"/>
      <c r="EU804" s="53"/>
      <c r="EV804" s="53"/>
      <c r="EW804" s="53"/>
      <c r="EX804" s="53"/>
      <c r="EY804" s="53"/>
      <c r="EZ804" s="53"/>
      <c r="FA804" s="53"/>
      <c r="FB804" s="53"/>
      <c r="FC804" s="53"/>
      <c r="FD804" s="53"/>
      <c r="FE804" s="53"/>
      <c r="FF804" s="53"/>
      <c r="FG804" s="53"/>
      <c r="FH804" s="53"/>
      <c r="FI804" s="53"/>
      <c r="FJ804" s="53"/>
      <c r="FK804" s="53"/>
      <c r="FL804" s="53"/>
      <c r="FM804" s="53"/>
      <c r="FN804" s="53"/>
      <c r="FO804" s="53"/>
      <c r="FP804" s="53"/>
      <c r="FQ804" s="53"/>
      <c r="FR804" s="53"/>
      <c r="FS804" s="53"/>
      <c r="FT804" s="53"/>
      <c r="FU804" s="53"/>
      <c r="FV804" s="53"/>
      <c r="FW804" s="53"/>
      <c r="FX804" s="53"/>
      <c r="FY804" s="53"/>
      <c r="FZ804" s="53"/>
      <c r="GA804" s="53"/>
      <c r="GB804" s="53"/>
      <c r="GC804" s="53"/>
      <c r="GD804" s="53"/>
      <c r="GE804" s="53"/>
      <c r="GF804" s="53"/>
      <c r="GG804" s="53"/>
      <c r="GH804" s="53"/>
      <c r="GI804" s="53"/>
      <c r="GJ804" s="53"/>
      <c r="GK804" s="53"/>
      <c r="GL804" s="53"/>
      <c r="GM804" s="53"/>
      <c r="GN804" s="53"/>
      <c r="GO804" s="53"/>
      <c r="GP804" s="53"/>
      <c r="GQ804" s="53"/>
      <c r="GR804" s="53"/>
      <c r="GS804" s="53"/>
      <c r="GT804" s="53"/>
      <c r="GU804" s="53"/>
      <c r="GV804" s="53"/>
      <c r="GW804" s="53"/>
      <c r="GX804" s="53"/>
      <c r="GY804" s="53"/>
      <c r="GZ804" s="53"/>
      <c r="HA804" s="53"/>
      <c r="HB804" s="53"/>
      <c r="HC804" s="53"/>
      <c r="HD804" s="53"/>
      <c r="HE804" s="53"/>
      <c r="HF804" s="53"/>
      <c r="HG804" s="53"/>
      <c r="HH804" s="53"/>
      <c r="HI804" s="53"/>
      <c r="HJ804" s="53"/>
      <c r="HK804" s="53"/>
      <c r="HL804" s="53"/>
      <c r="HM804" s="53"/>
      <c r="HN804" s="53"/>
      <c r="HO804" s="53"/>
      <c r="HP804" s="53"/>
      <c r="HQ804" s="53"/>
      <c r="HR804" s="53"/>
      <c r="HS804" s="53"/>
      <c r="HT804" s="53"/>
      <c r="HU804" s="53"/>
      <c r="HV804" s="53"/>
      <c r="HW804" s="53"/>
      <c r="HX804" s="53"/>
      <c r="HY804" s="53"/>
      <c r="HZ804" s="53"/>
      <c r="IA804" s="53"/>
    </row>
  </sheetData>
  <sheetProtection/>
  <mergeCells count="19">
    <mergeCell ref="A706:B706"/>
    <mergeCell ref="F16:F17"/>
    <mergeCell ref="D15:F15"/>
    <mergeCell ref="G16:I16"/>
    <mergeCell ref="K16:M16"/>
    <mergeCell ref="A15:A17"/>
    <mergeCell ref="B15:B17"/>
    <mergeCell ref="C15:C17"/>
    <mergeCell ref="D16:E16"/>
    <mergeCell ref="G15:J15"/>
    <mergeCell ref="A703:D703"/>
    <mergeCell ref="F14:G14"/>
    <mergeCell ref="J2:L2"/>
    <mergeCell ref="A13:P13"/>
    <mergeCell ref="O703:P703"/>
    <mergeCell ref="N15:P15"/>
    <mergeCell ref="N16:O16"/>
    <mergeCell ref="P16:P17"/>
    <mergeCell ref="J16:J17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3" r:id="rId1"/>
  <rowBreaks count="1" manualBreakCount="1">
    <brk id="6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2020-02-19T10:42:35Z</cp:lastPrinted>
  <dcterms:created xsi:type="dcterms:W3CDTF">2014-04-22T08:24:49Z</dcterms:created>
  <dcterms:modified xsi:type="dcterms:W3CDTF">2020-02-19T15:40:47Z</dcterms:modified>
  <cp:category/>
  <cp:version/>
  <cp:contentType/>
  <cp:contentStatus/>
</cp:coreProperties>
</file>