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'Sheet1'!$A$1:$P$698</definedName>
  </definedNames>
  <calcPr fullCalcOnLoad="1"/>
</workbook>
</file>

<file path=xl/sharedStrings.xml><?xml version="1.0" encoding="utf-8"?>
<sst xmlns="http://schemas.openxmlformats.org/spreadsheetml/2006/main" count="706" uniqueCount="461">
  <si>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</si>
  <si>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</si>
  <si>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</si>
  <si>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</si>
  <si>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</si>
  <si>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</si>
  <si>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</si>
  <si>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</si>
  <si>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</si>
  <si>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</si>
  <si>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</si>
  <si>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</si>
  <si>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</si>
  <si>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</si>
  <si>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</si>
  <si>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</si>
  <si>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</si>
  <si>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</si>
  <si>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</si>
  <si>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</si>
  <si>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</si>
  <si>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</si>
  <si>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</si>
  <si>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</si>
  <si>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</si>
  <si>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</si>
  <si>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</si>
  <si>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</si>
  <si>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</si>
  <si>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</si>
  <si>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</si>
  <si>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</si>
  <si>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</si>
  <si>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</si>
  <si>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</si>
  <si>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</si>
  <si>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</si>
  <si>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</si>
  <si>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</si>
  <si>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</si>
  <si>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</si>
  <si>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</si>
  <si>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</si>
  <si>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</si>
  <si>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</si>
  <si>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</si>
  <si>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</si>
  <si>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</si>
  <si>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</si>
  <si>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</si>
  <si>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</si>
  <si>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</si>
  <si>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</si>
  <si>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</si>
  <si>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</si>
  <si>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</si>
  <si>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</si>
  <si>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</si>
  <si>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</si>
  <si>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</si>
  <si>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</si>
  <si>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</si>
  <si>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</si>
  <si>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</si>
  <si>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</si>
  <si>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</si>
  <si>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</si>
  <si>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</si>
  <si>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</si>
  <si>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</si>
  <si>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</si>
  <si>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</si>
  <si>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</si>
  <si>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</si>
  <si>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</si>
  <si>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</si>
  <si>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</si>
  <si>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</si>
  <si>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</si>
  <si>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</si>
  <si>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</si>
  <si>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</si>
  <si>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</si>
  <si>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</si>
  <si>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</si>
  <si>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</si>
  <si>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</si>
  <si>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</si>
  <si>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</si>
  <si>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</si>
  <si>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</si>
  <si>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</si>
  <si>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</si>
  <si>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</si>
  <si>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</si>
  <si>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</si>
  <si>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</si>
  <si>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</si>
  <si>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</si>
  <si>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</si>
  <si>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</si>
  <si>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</si>
  <si>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</si>
  <si>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</si>
  <si>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</si>
  <si>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</si>
  <si>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</si>
  <si>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</si>
  <si>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</si>
  <si>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</si>
  <si>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</si>
  <si>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</si>
  <si>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</si>
  <si>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</si>
  <si>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</si>
  <si>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</si>
  <si>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</si>
  <si>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</si>
  <si>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</si>
  <si>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</si>
  <si>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</si>
  <si>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</si>
  <si>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</si>
  <si>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</si>
  <si>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</si>
  <si>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</si>
  <si>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</si>
  <si>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</si>
  <si>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</si>
  <si>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</si>
  <si>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</si>
  <si>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</si>
  <si>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</si>
  <si>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</si>
  <si>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</si>
  <si>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</si>
  <si>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</si>
  <si>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</si>
  <si>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</si>
  <si>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</si>
  <si>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</si>
  <si>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</si>
  <si>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</si>
  <si>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</si>
  <si>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</si>
  <si>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</si>
  <si>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</si>
  <si>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</si>
  <si>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</si>
  <si>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</si>
  <si>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</si>
  <si>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</si>
  <si>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</si>
  <si>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</si>
  <si>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</si>
  <si>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</si>
  <si>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</si>
  <si>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</si>
  <si>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</si>
  <si>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</si>
  <si>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</si>
  <si>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</si>
  <si>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</si>
  <si>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</si>
  <si>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</si>
  <si>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</si>
  <si>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</si>
  <si>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</si>
  <si>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</si>
  <si>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</si>
  <si>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</si>
  <si>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</si>
  <si>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</si>
  <si>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</si>
  <si>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</si>
  <si>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</si>
  <si>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</si>
  <si>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</si>
  <si>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</si>
  <si>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</si>
  <si>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</si>
  <si>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</si>
  <si>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</si>
  <si>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</si>
  <si>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</si>
  <si>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</si>
  <si>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</si>
  <si>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</si>
  <si>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</si>
  <si>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</si>
  <si>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</si>
  <si>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</si>
  <si>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</si>
  <si>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</si>
  <si>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</si>
  <si>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</si>
  <si>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</si>
  <si>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</si>
  <si>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</si>
  <si>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</si>
  <si>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</si>
  <si>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</si>
  <si>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</si>
  <si>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</si>
  <si>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</si>
  <si>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</si>
  <si>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</si>
  <si>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</si>
  <si>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</si>
  <si>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</si>
  <si>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</si>
  <si>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</si>
  <si>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</si>
  <si>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</si>
  <si>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</si>
  <si>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</si>
  <si>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</si>
  <si>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</si>
  <si>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</si>
  <si>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</si>
  <si>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</si>
  <si>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</si>
  <si>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</si>
  <si>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</si>
  <si>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</si>
  <si>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</si>
  <si>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</si>
  <si>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</si>
  <si>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</si>
  <si>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</si>
  <si>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</si>
  <si>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</si>
  <si>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</si>
  <si>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</si>
  <si>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</si>
  <si>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</si>
  <si>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</si>
  <si>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</si>
  <si>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</si>
  <si>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</si>
  <si>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</si>
  <si>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</si>
  <si>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</si>
  <si>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</si>
  <si>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</si>
  <si>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</si>
  <si>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</si>
  <si>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</si>
  <si>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</si>
  <si>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</si>
  <si>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</si>
  <si>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</si>
  <si>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</si>
  <si>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</si>
  <si>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</si>
  <si>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</si>
  <si>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</si>
  <si>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</si>
  <si>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</si>
  <si>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</si>
  <si>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</si>
  <si>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</si>
  <si>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</si>
  <si>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</si>
  <si>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</si>
  <si>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</si>
  <si>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</si>
  <si>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</si>
  <si>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</si>
  <si>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</si>
  <si>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</si>
  <si>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</si>
  <si>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</si>
  <si>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</si>
  <si>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</si>
  <si>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</si>
  <si>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</si>
  <si>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</si>
  <si>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</si>
  <si>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</si>
  <si>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</si>
  <si>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</si>
  <si>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</si>
  <si>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</si>
  <si>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</si>
  <si>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</si>
  <si>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</si>
  <si>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</si>
  <si>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</si>
  <si>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</si>
  <si>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</si>
  <si>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</si>
  <si>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</si>
  <si>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</si>
  <si>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</si>
  <si>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</si>
  <si>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</si>
  <si>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</si>
  <si>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</si>
  <si>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</si>
  <si>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</si>
  <si>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</si>
  <si>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</si>
  <si>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</si>
  <si>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</si>
  <si>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</si>
  <si>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</si>
  <si>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</si>
  <si>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</si>
  <si>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</si>
  <si>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</si>
  <si>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</si>
  <si>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</si>
  <si>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</si>
  <si>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</si>
  <si>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</si>
  <si>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</si>
  <si>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</si>
  <si>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</si>
  <si>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</si>
  <si>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</si>
  <si>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</si>
  <si>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</si>
  <si>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</si>
  <si>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</si>
  <si>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</si>
  <si>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</si>
  <si>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</si>
  <si>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</si>
  <si>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</si>
  <si>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</si>
  <si>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</si>
  <si>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</si>
  <si>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</si>
  <si>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</si>
  <si>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</si>
  <si>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</si>
  <si>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</si>
  <si>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</si>
  <si>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</si>
  <si>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</si>
  <si>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</si>
  <si>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</si>
  <si>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</si>
  <si>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</si>
  <si>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</si>
  <si>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</si>
  <si>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</si>
  <si>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</si>
  <si>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</si>
  <si>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</si>
  <si>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</si>
  <si>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</si>
  <si>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</si>
  <si>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</si>
  <si>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</si>
  <si>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</si>
  <si>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</si>
  <si>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</si>
  <si>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</si>
  <si>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</si>
  <si>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</si>
  <si>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</si>
  <si>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</si>
  <si>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</si>
  <si>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</si>
  <si>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</si>
  <si>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</si>
  <si>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</si>
  <si>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</si>
  <si>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</si>
  <si>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</si>
  <si>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</si>
  <si>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</si>
  <si>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</si>
  <si>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</si>
  <si>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</si>
  <si>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</si>
  <si>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</si>
  <si>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</si>
  <si>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</si>
  <si>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</si>
  <si>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</si>
  <si>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</si>
  <si>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</si>
  <si>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</si>
  <si>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</si>
  <si>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</si>
  <si>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</si>
  <si>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</si>
  <si>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</si>
  <si>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</si>
  <si>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</si>
  <si>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</si>
  <si>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</si>
  <si>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</si>
  <si>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</si>
  <si>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</si>
  <si>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</si>
  <si>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</si>
  <si>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</si>
  <si>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</si>
  <si>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</si>
  <si>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</si>
  <si>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</si>
  <si>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</si>
  <si>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</si>
  <si>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</si>
  <si>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</si>
  <si>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</si>
  <si>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</si>
  <si>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</si>
  <si>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</si>
  <si>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</si>
  <si>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</si>
  <si>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</si>
  <si>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</si>
  <si>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</si>
  <si>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</si>
  <si>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</si>
  <si>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</si>
  <si>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</si>
  <si>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</si>
  <si>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</si>
  <si>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</si>
  <si>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</si>
  <si>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</si>
  <si>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</si>
  <si>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</si>
  <si>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</si>
  <si>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</si>
  <si>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</si>
  <si>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</si>
  <si>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</si>
  <si>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</si>
  <si>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</si>
  <si>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</si>
  <si>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</si>
  <si>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</si>
  <si>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</si>
  <si>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</si>
  <si>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</si>
  <si>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</si>
  <si>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</si>
  <si>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</si>
  <si>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</si>
  <si>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</si>
  <si>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</si>
  <si>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Сумський міський голова </t>
  </si>
  <si>
    <t>О.М. Лисенко</t>
  </si>
  <si>
    <t xml:space="preserve">Показник: видатки на визначення норм надання послуг з вивезення ТПВ в м. Суми (ІІІ етап робіт -розробка звіту) </t>
  </si>
  <si>
    <t>міської ради від 21 грудня 2017 року № 2913-МР" (зі змінами)</t>
  </si>
  <si>
    <t>Виконавець: Павленко В.І.</t>
  </si>
  <si>
    <t xml:space="preserve">  Завдання: 31.3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</si>
  <si>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електроенергії), Фінансова підтримка КП «Міськводоканал» СМР для проведення оцінки запасів питних підземних вод Сумського родовища</t>
  </si>
  <si>
    <t xml:space="preserve">від                                 № 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</si>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</sst>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7287589"/>
        <c:axId val="44261710"/>
      </c:bar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1710"/>
        <c:crosses val="autoZero"/>
        <c:auto val="1"/>
        <c:lblOffset val="100"/>
        <c:tickLblSkip val="1"/>
        <c:noMultiLvlLbl val="0"/>
      </c:catAx>
      <c:valAx>
        <c:axId val="44261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58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95"/>
  <sheetViews>
    <sheetView tabSelected="1" view="pageBreakPreview" zoomScaleNormal="85" zoomScaleSheetLayoutView="100" workbookViewId="0" topLeftCell="A8">
      <selection activeCell="H141" sqref="H14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3" t="s">
        <v>447</v>
      </c>
      <c r="K2" s="163"/>
      <c r="L2" s="163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61" t="s">
        <v>451</v>
      </c>
      <c r="K8" s="161"/>
      <c r="L8" s="161"/>
      <c r="M8" s="161"/>
      <c r="N8" s="161"/>
      <c r="O8" s="161"/>
      <c r="P8" s="161"/>
    </row>
    <row r="9" spans="1:16" ht="18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455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64" t="s">
        <v>273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16.5" customHeight="1">
      <c r="A13" s="122"/>
      <c r="B13" s="122"/>
      <c r="C13" s="122"/>
      <c r="D13" s="123"/>
      <c r="E13" s="123"/>
      <c r="F13" s="162" t="s">
        <v>274</v>
      </c>
      <c r="G13" s="162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76"/>
      <c r="B14" s="176" t="s">
        <v>34</v>
      </c>
      <c r="C14" s="176" t="s">
        <v>35</v>
      </c>
      <c r="D14" s="166" t="s">
        <v>444</v>
      </c>
      <c r="E14" s="167"/>
      <c r="F14" s="168"/>
      <c r="G14" s="173" t="s">
        <v>445</v>
      </c>
      <c r="H14" s="173"/>
      <c r="I14" s="173"/>
      <c r="J14" s="173"/>
      <c r="K14" s="33"/>
      <c r="L14" s="33"/>
      <c r="M14" s="33"/>
      <c r="N14" s="166" t="s">
        <v>446</v>
      </c>
      <c r="O14" s="167"/>
      <c r="P14" s="168"/>
      <c r="IB14" s="25"/>
      <c r="IC14" s="25"/>
      <c r="ID14" s="25"/>
      <c r="IE14" s="25"/>
      <c r="IF14" s="25"/>
      <c r="IG14" s="25"/>
    </row>
    <row r="15" spans="1:241" ht="12" customHeight="1">
      <c r="A15" s="177"/>
      <c r="B15" s="177"/>
      <c r="C15" s="177"/>
      <c r="D15" s="169" t="s">
        <v>36</v>
      </c>
      <c r="E15" s="170"/>
      <c r="F15" s="171" t="s">
        <v>26</v>
      </c>
      <c r="G15" s="175" t="s">
        <v>36</v>
      </c>
      <c r="H15" s="175"/>
      <c r="I15" s="175"/>
      <c r="J15" s="173" t="s">
        <v>26</v>
      </c>
      <c r="K15" s="166" t="s">
        <v>25</v>
      </c>
      <c r="L15" s="167"/>
      <c r="M15" s="168"/>
      <c r="N15" s="169" t="s">
        <v>36</v>
      </c>
      <c r="O15" s="170"/>
      <c r="P15" s="171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78"/>
      <c r="B16" s="178"/>
      <c r="C16" s="178"/>
      <c r="D16" s="33" t="s">
        <v>0</v>
      </c>
      <c r="E16" s="33" t="s">
        <v>1</v>
      </c>
      <c r="F16" s="172"/>
      <c r="G16" s="33" t="s">
        <v>0</v>
      </c>
      <c r="H16" s="33" t="s">
        <v>1</v>
      </c>
      <c r="I16" s="33" t="s">
        <v>186</v>
      </c>
      <c r="J16" s="173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72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SUM(D23)+D299+D338+D461+D470+D577+D595+D604+D613+D623+D633+D641+D654+D663+D681</f>
        <v>157231200.00291747</v>
      </c>
      <c r="E18" s="33">
        <f>SUM(E23)+E299+E338+E461+E470+E577+E595+E604+E613+E623+E633+E641+E654+E663+E681</f>
        <v>490457807.999755</v>
      </c>
      <c r="F18" s="33">
        <f>SUM(D18:E18)</f>
        <v>647689008.0026724</v>
      </c>
      <c r="G18" s="33">
        <f>SUM(G23)+G299+G338+G461+G470+G577+G595+G604+G613+G623+G633+G641+G654+G663+G681</f>
        <v>330308667.0794948</v>
      </c>
      <c r="H18" s="33">
        <f>SUM(H23)+H299+H338+H461+H470+H577+H595+H604+H613+H623+H633+H641+H654+H663+H672+H681</f>
        <v>382552016.94646204</v>
      </c>
      <c r="I18" s="33" t="e">
        <f>SUM(I23)+I299+I338+I461+I470+I577+I595+I604+I613+I623+I633+I641+I654+I663+I681</f>
        <v>#REF!</v>
      </c>
      <c r="J18" s="33">
        <f>SUM(G18)+H18</f>
        <v>712860684.0259569</v>
      </c>
      <c r="K18" s="33" t="e">
        <f aca="true" t="shared" si="0" ref="K18:P18">SUM(K23)+K299+K338+K461+K470+K577+K595+K604+K613+K623+K633+K641+K654+K663+K681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293357400.000365</v>
      </c>
      <c r="P18" s="33">
        <f t="shared" si="0"/>
        <v>435491400.0034373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D339-0.006</f>
        <v>462379.99700000003</v>
      </c>
      <c r="E20" s="33">
        <f>E339</f>
        <v>692840</v>
      </c>
      <c r="F20" s="33">
        <f>F339</f>
        <v>1155220.003</v>
      </c>
      <c r="G20" s="33">
        <f>G339</f>
        <v>443775</v>
      </c>
      <c r="H20" s="33">
        <f>H339</f>
        <v>763900</v>
      </c>
      <c r="I20" s="33">
        <f>I339</f>
        <v>0</v>
      </c>
      <c r="J20" s="33">
        <f>SUM(G20)+H20</f>
        <v>1207675</v>
      </c>
      <c r="K20" s="33">
        <f aca="true" t="shared" si="2" ref="K20:Q20">K339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339794142.0834948</v>
      </c>
      <c r="H21" s="33">
        <f>H18+H19+H20</f>
        <v>591618396.9461066</v>
      </c>
      <c r="I21" s="33" t="e">
        <f t="shared" si="3"/>
        <v>#REF!</v>
      </c>
      <c r="J21" s="33">
        <f>J18+J19+J20</f>
        <v>931412539.0296013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470007931.99946564</v>
      </c>
      <c r="P21" s="33">
        <f t="shared" si="3"/>
        <v>759046952.0024046</v>
      </c>
      <c r="Q21" s="33">
        <f t="shared" si="3"/>
        <v>0</v>
      </c>
    </row>
    <row r="22" spans="1:235" s="139" customFormat="1" ht="30.75" customHeight="1">
      <c r="A22" s="140" t="s">
        <v>443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261199566.68376482</v>
      </c>
      <c r="H22" s="142">
        <f>H23+H24</f>
        <v>319617016.9486065</v>
      </c>
      <c r="I22" s="142">
        <f t="shared" si="4"/>
        <v>-2000000</v>
      </c>
      <c r="J22" s="142">
        <f>J23+J24</f>
        <v>580816583.6323714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SUM(D48)+D76+(D91*D94)+D98+D141+D167+D221+D245+D269+D290+D282+2000000</f>
        <v>117045100.0029181</v>
      </c>
      <c r="E23" s="142">
        <f>SUM(E48)+E76+(E91*E94)+E98+E141+E167+E221+E245+E269+E290+E282</f>
        <v>98585582.999755</v>
      </c>
      <c r="F23" s="142">
        <f>D23+E23</f>
        <v>215630683.0026731</v>
      </c>
      <c r="G23" s="142">
        <f>SUM(G48)+G76+(G91*G94)+G98+G141+G167+G221+G245+G269+G290+G282+G34+G57</f>
        <v>252157866.6797648</v>
      </c>
      <c r="H23" s="142">
        <f>SUM(H48)+H76+(H91*H94)+H98+H141+H167+H221+H245+H269+H290+H282</f>
        <v>111314536.948962</v>
      </c>
      <c r="I23" s="142">
        <f>I48+I76+I85+I98+I141+I167+I221+I245+I269+I282+I290</f>
        <v>0</v>
      </c>
      <c r="J23" s="142">
        <f>G23+H23</f>
        <v>363472403.62872684</v>
      </c>
      <c r="K23" s="142" t="e">
        <f>K48+K76+K85+K98+K141+K167+K221+K245+K269+K282+K290</f>
        <v>#REF!</v>
      </c>
      <c r="L23" s="142" t="e">
        <f>L48+L76+L85+L98+L141+L167+L221+L245+L269+L282+L290</f>
        <v>#REF!</v>
      </c>
      <c r="M23" s="142" t="e">
        <f>M48+M76+M85+M98+M141+M167+M221+M245+M269+M282+M290</f>
        <v>#REF!</v>
      </c>
      <c r="N23" s="142">
        <f>SUM(N48)+N76+(N91*N94)+N98+N141+N167+N221+N245+N269+N290+N282</f>
        <v>126459000.00102262</v>
      </c>
      <c r="O23" s="142">
        <f>SUM(O48)+O76+(O91*O94)+O98+O141+O167+O221+O245+O269+O290+O214+O282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39115366.67961999</v>
      </c>
      <c r="H141" s="36">
        <f>(H152*H158)+(H153*H159)+(H155*H161)+(H154*H160)+(H156*H162)+5006</f>
        <v>10845506</v>
      </c>
      <c r="I141" s="36"/>
      <c r="J141" s="36">
        <f>G141+H141</f>
        <v>49960872.67961999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59">
        <v>21.681</v>
      </c>
      <c r="I153" s="7"/>
      <c r="J153" s="7">
        <f>H153</f>
        <v>21.681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311360.456</v>
      </c>
      <c r="H158" s="7"/>
      <c r="I158" s="7"/>
      <c r="J158" s="7">
        <f>G158</f>
        <v>311360.456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2.114</v>
      </c>
      <c r="H162" s="7"/>
      <c r="I162" s="7"/>
      <c r="J162" s="7">
        <f>G162</f>
        <v>2.114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5.071578947368422</v>
      </c>
      <c r="I164" s="7"/>
      <c r="J164" s="7">
        <f>H164</f>
        <v>5.071578947368422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(E254*E259)+(E255*E260)+(E257*E262)</f>
        <v>0</v>
      </c>
      <c r="F245" s="36">
        <f aca="true" t="shared" si="32" ref="F245:F252">D245+E245</f>
        <v>5421400</v>
      </c>
      <c r="G245" s="36">
        <f>G247+G248+G249+G250+G251+G252</f>
        <v>8515000</v>
      </c>
      <c r="H245" s="36">
        <f>(H254*H259)+(H255*H260)+(H257*H262)</f>
        <v>0</v>
      </c>
      <c r="I245" s="36">
        <f>(I254*I259)+(I255*I260)+(I257*I262)</f>
        <v>0</v>
      </c>
      <c r="J245" s="36">
        <f aca="true" t="shared" si="33" ref="J245:J252">G245+H245</f>
        <v>8515000</v>
      </c>
      <c r="K245" s="36">
        <f>(K254*K259)+(K255*K260)+(K257*K262)</f>
        <v>0</v>
      </c>
      <c r="L245" s="36">
        <f>(L254*L259)+(L255*L260)+(L257*L262)</f>
        <v>0</v>
      </c>
      <c r="M245" s="36">
        <f>(M254*M259)+(M255*M260)+(M257*M262)</f>
        <v>0</v>
      </c>
      <c r="N245" s="36">
        <f>N247+N249+N250+N251</f>
        <v>5660000</v>
      </c>
      <c r="O245" s="36">
        <f>(O254*O259)+(O255*O260)+(O257*O262)</f>
        <v>0</v>
      </c>
      <c r="P245" s="36">
        <f aca="true" t="shared" si="34" ref="P245:P251">N245+O245</f>
        <v>5660000</v>
      </c>
      <c r="Q245" s="36">
        <f>(Q254*Q259)+(Q255*Q260)+(Q257*Q262)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450</v>
      </c>
      <c r="B252" s="35"/>
      <c r="C252" s="35"/>
      <c r="D252" s="7">
        <v>0</v>
      </c>
      <c r="E252" s="7"/>
      <c r="F252" s="7">
        <f t="shared" si="32"/>
        <v>0</v>
      </c>
      <c r="G252" s="7">
        <v>15000</v>
      </c>
      <c r="H252" s="7"/>
      <c r="I252" s="7"/>
      <c r="J252" s="7">
        <f t="shared" si="33"/>
        <v>15000</v>
      </c>
      <c r="K252" s="7"/>
      <c r="L252" s="7"/>
      <c r="M252" s="7"/>
      <c r="N252" s="7"/>
      <c r="O252" s="7"/>
      <c r="P252" s="7"/>
      <c r="Q252" s="42"/>
      <c r="IB252" s="39"/>
      <c r="IC252" s="39"/>
      <c r="ID252" s="39"/>
      <c r="IE252" s="39"/>
      <c r="IF252" s="39"/>
      <c r="IG252" s="39"/>
    </row>
    <row r="253" spans="1:241" s="25" customFormat="1" ht="11.25">
      <c r="A253" s="5" t="s">
        <v>5</v>
      </c>
      <c r="B253" s="37"/>
      <c r="C253" s="37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IB253" s="53"/>
      <c r="IC253" s="53"/>
      <c r="ID253" s="53"/>
      <c r="IE253" s="53"/>
      <c r="IF253" s="53"/>
      <c r="IG253" s="53"/>
    </row>
    <row r="254" spans="1:241" s="25" customFormat="1" ht="35.25" customHeight="1">
      <c r="A254" s="8" t="s">
        <v>238</v>
      </c>
      <c r="B254" s="6"/>
      <c r="C254" s="6"/>
      <c r="D254" s="7">
        <v>155760</v>
      </c>
      <c r="E254" s="7"/>
      <c r="F254" s="7">
        <f>D254+E254</f>
        <v>155760</v>
      </c>
      <c r="G254" s="7">
        <f>F254</f>
        <v>155760</v>
      </c>
      <c r="H254" s="7"/>
      <c r="I254" s="7"/>
      <c r="J254" s="7">
        <f>G254+H254</f>
        <v>155760</v>
      </c>
      <c r="K254" s="7"/>
      <c r="L254" s="7"/>
      <c r="M254" s="7"/>
      <c r="N254" s="7">
        <f>G254</f>
        <v>155760</v>
      </c>
      <c r="O254" s="7"/>
      <c r="P254" s="7">
        <f>N254+O254</f>
        <v>155760</v>
      </c>
      <c r="IB254" s="53"/>
      <c r="IC254" s="53"/>
      <c r="ID254" s="53"/>
      <c r="IE254" s="53"/>
      <c r="IF254" s="53"/>
      <c r="IG254" s="53"/>
    </row>
    <row r="255" spans="1:241" s="25" customFormat="1" ht="22.5">
      <c r="A255" s="8" t="s">
        <v>111</v>
      </c>
      <c r="B255" s="6"/>
      <c r="C255" s="6"/>
      <c r="D255" s="7">
        <v>243</v>
      </c>
      <c r="E255" s="7"/>
      <c r="F255" s="7">
        <f aca="true" t="shared" si="35" ref="F255:F268">D255+E255</f>
        <v>243</v>
      </c>
      <c r="G255" s="7">
        <v>250</v>
      </c>
      <c r="H255" s="7"/>
      <c r="I255" s="7"/>
      <c r="J255" s="7">
        <f aca="true" t="shared" si="36" ref="J255:J268">G255+H255</f>
        <v>250</v>
      </c>
      <c r="K255" s="7"/>
      <c r="L255" s="7"/>
      <c r="M255" s="7"/>
      <c r="N255" s="7">
        <v>260</v>
      </c>
      <c r="O255" s="7"/>
      <c r="P255" s="7">
        <f aca="true" t="shared" si="37" ref="P255:P268">N255+O255</f>
        <v>260</v>
      </c>
      <c r="IB255" s="53"/>
      <c r="IC255" s="53"/>
      <c r="ID255" s="53"/>
      <c r="IE255" s="53"/>
      <c r="IF255" s="53"/>
      <c r="IG255" s="53"/>
    </row>
    <row r="256" spans="1:241" s="25" customFormat="1" ht="33.75">
      <c r="A256" s="8" t="s">
        <v>243</v>
      </c>
      <c r="B256" s="6"/>
      <c r="C256" s="6"/>
      <c r="D256" s="7">
        <v>11036.4</v>
      </c>
      <c r="E256" s="7"/>
      <c r="F256" s="7">
        <f t="shared" si="35"/>
        <v>11036.4</v>
      </c>
      <c r="G256" s="7">
        <f>E256+F256</f>
        <v>11036.4</v>
      </c>
      <c r="H256" s="7"/>
      <c r="I256" s="7">
        <f>G256+H256</f>
        <v>11036.4</v>
      </c>
      <c r="J256" s="7">
        <f>H256+I256</f>
        <v>11036.4</v>
      </c>
      <c r="K256" s="7">
        <f>I256+J256</f>
        <v>22072.8</v>
      </c>
      <c r="L256" s="7">
        <f>J256+K256</f>
        <v>33109.2</v>
      </c>
      <c r="M256" s="7">
        <f>K256+L256</f>
        <v>55182</v>
      </c>
      <c r="N256" s="7">
        <v>11036.4</v>
      </c>
      <c r="O256" s="7"/>
      <c r="P256" s="7">
        <f t="shared" si="37"/>
        <v>11036.4</v>
      </c>
      <c r="IB256" s="53"/>
      <c r="IC256" s="53"/>
      <c r="ID256" s="53"/>
      <c r="IE256" s="53"/>
      <c r="IF256" s="53"/>
      <c r="IG256" s="53"/>
    </row>
    <row r="257" spans="1:241" s="25" customFormat="1" ht="33" customHeight="1">
      <c r="A257" s="8" t="s">
        <v>240</v>
      </c>
      <c r="B257" s="6"/>
      <c r="C257" s="6"/>
      <c r="D257" s="7">
        <v>51.4</v>
      </c>
      <c r="E257" s="7"/>
      <c r="F257" s="7">
        <f t="shared" si="35"/>
        <v>51.4</v>
      </c>
      <c r="G257" s="7">
        <v>48</v>
      </c>
      <c r="H257" s="7"/>
      <c r="I257" s="7"/>
      <c r="J257" s="7">
        <f t="shared" si="36"/>
        <v>48</v>
      </c>
      <c r="K257" s="7"/>
      <c r="L257" s="7"/>
      <c r="M257" s="7"/>
      <c r="N257" s="7">
        <v>45</v>
      </c>
      <c r="O257" s="7"/>
      <c r="P257" s="7">
        <f t="shared" si="37"/>
        <v>45</v>
      </c>
      <c r="IB257" s="53"/>
      <c r="IC257" s="53"/>
      <c r="ID257" s="53"/>
      <c r="IE257" s="53"/>
      <c r="IF257" s="53"/>
      <c r="IG257" s="53"/>
    </row>
    <row r="258" spans="1:241" s="25" customFormat="1" ht="11.25">
      <c r="A258" s="5" t="s">
        <v>7</v>
      </c>
      <c r="B258" s="37"/>
      <c r="C258" s="37"/>
      <c r="D258" s="30"/>
      <c r="E258" s="30"/>
      <c r="F258" s="7">
        <f t="shared" si="35"/>
        <v>0</v>
      </c>
      <c r="G258" s="30"/>
      <c r="H258" s="30"/>
      <c r="I258" s="30"/>
      <c r="J258" s="7">
        <f t="shared" si="36"/>
        <v>0</v>
      </c>
      <c r="K258" s="7"/>
      <c r="L258" s="7"/>
      <c r="M258" s="7"/>
      <c r="N258" s="30"/>
      <c r="O258" s="30"/>
      <c r="P258" s="7">
        <f t="shared" si="37"/>
        <v>0</v>
      </c>
      <c r="IB258" s="53"/>
      <c r="IC258" s="53"/>
      <c r="ID258" s="53"/>
      <c r="IE258" s="53"/>
      <c r="IF258" s="53"/>
      <c r="IG258" s="53"/>
    </row>
    <row r="259" spans="1:241" s="25" customFormat="1" ht="48.75" customHeight="1">
      <c r="A259" s="8" t="s">
        <v>239</v>
      </c>
      <c r="B259" s="6"/>
      <c r="C259" s="6"/>
      <c r="D259" s="7">
        <f>D247/D254</f>
        <v>19.07678479712378</v>
      </c>
      <c r="E259" s="7"/>
      <c r="F259" s="7">
        <f t="shared" si="35"/>
        <v>19.07678479712378</v>
      </c>
      <c r="G259" s="7">
        <f>G247/G254</f>
        <v>12.840267077555213</v>
      </c>
      <c r="H259" s="7"/>
      <c r="I259" s="7"/>
      <c r="J259" s="7">
        <f t="shared" si="36"/>
        <v>12.840267077555213</v>
      </c>
      <c r="K259" s="7"/>
      <c r="L259" s="7"/>
      <c r="M259" s="7"/>
      <c r="N259" s="7">
        <f>N247/N254</f>
        <v>19.90241397021058</v>
      </c>
      <c r="O259" s="7"/>
      <c r="P259" s="7">
        <f t="shared" si="37"/>
        <v>19.90241397021058</v>
      </c>
      <c r="IB259" s="53"/>
      <c r="IC259" s="53"/>
      <c r="ID259" s="53"/>
      <c r="IE259" s="53"/>
      <c r="IF259" s="53"/>
      <c r="IG259" s="53"/>
    </row>
    <row r="260" spans="1:241" s="25" customFormat="1" ht="19.5" customHeight="1">
      <c r="A260" s="8" t="s">
        <v>112</v>
      </c>
      <c r="B260" s="6"/>
      <c r="C260" s="6"/>
      <c r="D260" s="7">
        <f>D249/D255</f>
        <v>823.0452674897119</v>
      </c>
      <c r="E260" s="7"/>
      <c r="F260" s="7">
        <f t="shared" si="35"/>
        <v>823.0452674897119</v>
      </c>
      <c r="G260" s="7">
        <f>G249/G255</f>
        <v>800</v>
      </c>
      <c r="H260" s="7"/>
      <c r="I260" s="7"/>
      <c r="J260" s="7">
        <f t="shared" si="36"/>
        <v>800</v>
      </c>
      <c r="K260" s="7"/>
      <c r="L260" s="7"/>
      <c r="M260" s="7"/>
      <c r="N260" s="7">
        <f>N249/N255</f>
        <v>769.2307692307693</v>
      </c>
      <c r="O260" s="7"/>
      <c r="P260" s="7">
        <f t="shared" si="37"/>
        <v>769.2307692307693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242</v>
      </c>
      <c r="B261" s="6"/>
      <c r="C261" s="6"/>
      <c r="D261" s="7">
        <f>D250/D256</f>
        <v>31.71323982458048</v>
      </c>
      <c r="E261" s="7"/>
      <c r="F261" s="7">
        <f t="shared" si="35"/>
        <v>31.71323982458048</v>
      </c>
      <c r="G261" s="7">
        <f>G250/G256</f>
        <v>36.24370265666341</v>
      </c>
      <c r="H261" s="7"/>
      <c r="I261" s="7"/>
      <c r="J261" s="7">
        <f t="shared" si="36"/>
        <v>36.24370265666341</v>
      </c>
      <c r="K261" s="7"/>
      <c r="L261" s="7"/>
      <c r="M261" s="7"/>
      <c r="N261" s="7">
        <f>N250/N256</f>
        <v>41.680258055162916</v>
      </c>
      <c r="O261" s="7"/>
      <c r="P261" s="7">
        <f t="shared" si="37"/>
        <v>41.680258055162916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36964.980544747086</v>
      </c>
      <c r="E262" s="7"/>
      <c r="F262" s="7">
        <f t="shared" si="35"/>
        <v>36964.980544747086</v>
      </c>
      <c r="G262" s="7">
        <f>G251/G257</f>
        <v>39583.333333333336</v>
      </c>
      <c r="H262" s="7"/>
      <c r="I262" s="7"/>
      <c r="J262" s="7">
        <f t="shared" si="36"/>
        <v>39583.333333333336</v>
      </c>
      <c r="K262" s="7"/>
      <c r="L262" s="7"/>
      <c r="M262" s="7"/>
      <c r="N262" s="7">
        <f>N251/N257</f>
        <v>42222.22222222222</v>
      </c>
      <c r="O262" s="7"/>
      <c r="P262" s="7">
        <f t="shared" si="37"/>
        <v>42222.22222222222</v>
      </c>
      <c r="IB262" s="53"/>
      <c r="IC262" s="53"/>
      <c r="ID262" s="53"/>
      <c r="IE262" s="53"/>
      <c r="IF262" s="53"/>
      <c r="IG262" s="53"/>
    </row>
    <row r="263" spans="1:241" s="25" customFormat="1" ht="45">
      <c r="A263" s="8" t="s">
        <v>221</v>
      </c>
      <c r="B263" s="6"/>
      <c r="C263" s="6"/>
      <c r="D263" s="7"/>
      <c r="E263" s="7"/>
      <c r="F263" s="7">
        <f t="shared" si="35"/>
        <v>0</v>
      </c>
      <c r="G263" s="7">
        <v>145.4502</v>
      </c>
      <c r="H263" s="7"/>
      <c r="I263" s="7"/>
      <c r="J263" s="7">
        <f t="shared" si="36"/>
        <v>145.4502</v>
      </c>
      <c r="K263" s="7"/>
      <c r="L263" s="7"/>
      <c r="M263" s="7"/>
      <c r="N263" s="7">
        <v>145.461241023</v>
      </c>
      <c r="O263" s="7"/>
      <c r="P263" s="7">
        <f t="shared" si="37"/>
        <v>145.461241023</v>
      </c>
      <c r="IB263" s="53"/>
      <c r="IC263" s="53"/>
      <c r="ID263" s="53"/>
      <c r="IE263" s="53"/>
      <c r="IF263" s="53"/>
      <c r="IG263" s="53"/>
    </row>
    <row r="264" spans="1:241" s="25" customFormat="1" ht="11.25">
      <c r="A264" s="5" t="s">
        <v>6</v>
      </c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113</v>
      </c>
      <c r="B265" s="6"/>
      <c r="C265" s="6"/>
      <c r="D265" s="7"/>
      <c r="E265" s="7"/>
      <c r="F265" s="7">
        <f t="shared" si="35"/>
        <v>0</v>
      </c>
      <c r="G265" s="7">
        <f>G259/D259*100</f>
        <v>67.30833950326446</v>
      </c>
      <c r="H265" s="7"/>
      <c r="I265" s="7"/>
      <c r="J265" s="7">
        <f t="shared" si="36"/>
        <v>67.30833950326446</v>
      </c>
      <c r="K265" s="7"/>
      <c r="L265" s="7"/>
      <c r="M265" s="7"/>
      <c r="N265" s="7">
        <f>N259/G259*100</f>
        <v>155</v>
      </c>
      <c r="O265" s="7"/>
      <c r="P265" s="7">
        <f t="shared" si="37"/>
        <v>155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222</v>
      </c>
      <c r="B266" s="6"/>
      <c r="C266" s="6"/>
      <c r="D266" s="7"/>
      <c r="E266" s="7"/>
      <c r="F266" s="7">
        <f t="shared" si="35"/>
        <v>0</v>
      </c>
      <c r="G266" s="7">
        <f>G261/D261*100</f>
        <v>114.2857142857143</v>
      </c>
      <c r="H266" s="7"/>
      <c r="I266" s="7"/>
      <c r="J266" s="7">
        <f t="shared" si="36"/>
        <v>114.2857142857143</v>
      </c>
      <c r="K266" s="7"/>
      <c r="L266" s="7"/>
      <c r="M266" s="7"/>
      <c r="N266" s="7">
        <f>N260/G260*100</f>
        <v>96.15384615384616</v>
      </c>
      <c r="O266" s="7"/>
      <c r="P266" s="7">
        <f t="shared" si="37"/>
        <v>96.15384615384616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244</v>
      </c>
      <c r="B267" s="6"/>
      <c r="C267" s="6"/>
      <c r="D267" s="7"/>
      <c r="E267" s="7"/>
      <c r="F267" s="7">
        <f t="shared" si="35"/>
        <v>0</v>
      </c>
      <c r="G267" s="7">
        <f>G262/D262*100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114.99999999999999</v>
      </c>
      <c r="O267" s="7"/>
      <c r="P267" s="7">
        <f t="shared" si="37"/>
        <v>114.99999999999999</v>
      </c>
      <c r="IB267" s="53"/>
      <c r="IC267" s="53"/>
      <c r="ID267" s="53"/>
      <c r="IE267" s="53"/>
      <c r="IF267" s="53"/>
      <c r="IG267" s="53"/>
    </row>
    <row r="268" spans="1:241" s="25" customFormat="1" ht="33.75">
      <c r="A268" s="8" t="s">
        <v>245</v>
      </c>
      <c r="B268" s="6"/>
      <c r="C268" s="6"/>
      <c r="D268" s="7"/>
      <c r="E268" s="7"/>
      <c r="F268" s="7">
        <f t="shared" si="35"/>
        <v>0</v>
      </c>
      <c r="G268" s="7">
        <f>G262/D262*100</f>
        <v>107.08333333333333</v>
      </c>
      <c r="H268" s="7"/>
      <c r="I268" s="7"/>
      <c r="J268" s="7">
        <f t="shared" si="36"/>
        <v>107.08333333333333</v>
      </c>
      <c r="K268" s="7"/>
      <c r="L268" s="7"/>
      <c r="M268" s="7"/>
      <c r="N268" s="7">
        <f>N262/G262*100</f>
        <v>106.66666666666664</v>
      </c>
      <c r="O268" s="7"/>
      <c r="P268" s="7">
        <f t="shared" si="37"/>
        <v>106.66666666666664</v>
      </c>
      <c r="IB268" s="53"/>
      <c r="IC268" s="53"/>
      <c r="ID268" s="53"/>
      <c r="IE268" s="53"/>
      <c r="IF268" s="53"/>
      <c r="IG268" s="53"/>
    </row>
    <row r="269" spans="1:241" s="38" customFormat="1" ht="22.5">
      <c r="A269" s="34" t="s">
        <v>382</v>
      </c>
      <c r="B269" s="35"/>
      <c r="C269" s="35"/>
      <c r="D269" s="36">
        <f>(D270*D274)+(D271*D275)+(D272*D277)-1.78+25000</f>
        <v>20099999.999959998</v>
      </c>
      <c r="E269" s="36">
        <f>(E270*E274)+(E271*E275)+(E272*E277)</f>
        <v>0</v>
      </c>
      <c r="F269" s="36">
        <f>D269</f>
        <v>20099999.999959998</v>
      </c>
      <c r="G269" s="36">
        <f>(G270*G274)+(G271*G275)+(G272*G277)+2928700-3000000</f>
        <v>20183699.999900002</v>
      </c>
      <c r="H269" s="36">
        <f>(H270*H274)+(H271*H275)+(H272*H277)</f>
        <v>0</v>
      </c>
      <c r="I269" s="36">
        <v>0</v>
      </c>
      <c r="J269" s="36">
        <f>G269+H269</f>
        <v>20183699.999900002</v>
      </c>
      <c r="K269" s="36">
        <f>(K270*K274)+(K271*K275)+(K272*K277)</f>
        <v>0</v>
      </c>
      <c r="L269" s="36">
        <f>(L270*L274)+(L271*L275)+(L272*L277)</f>
        <v>0</v>
      </c>
      <c r="M269" s="36">
        <f>(M270*M274)+(M271*M275)+(M272*M277)</f>
        <v>0</v>
      </c>
      <c r="N269" s="36">
        <f>(N270*N274)+(N271*N275)+(N272*N277)</f>
        <v>21574999.99998</v>
      </c>
      <c r="O269" s="36">
        <f>(O270*O274)+(O271*O275)+(O272*O277)</f>
        <v>0</v>
      </c>
      <c r="P269" s="36">
        <f>N269+O269</f>
        <v>21574999.99998</v>
      </c>
      <c r="Q269" s="36">
        <f>(Q270*Q274)+(Q271*Q275)+(Q272*Q277)</f>
        <v>0</v>
      </c>
      <c r="IB269" s="39"/>
      <c r="IC269" s="39"/>
      <c r="ID269" s="39"/>
      <c r="IE269" s="39"/>
      <c r="IF269" s="39"/>
      <c r="IG269" s="39"/>
    </row>
    <row r="270" spans="1:241" s="25" customFormat="1" ht="22.5">
      <c r="A270" s="8" t="s">
        <v>114</v>
      </c>
      <c r="B270" s="6"/>
      <c r="C270" s="6"/>
      <c r="D270" s="7">
        <v>33</v>
      </c>
      <c r="E270" s="7"/>
      <c r="F270" s="7">
        <f>D270+E270</f>
        <v>33</v>
      </c>
      <c r="G270" s="7">
        <v>30</v>
      </c>
      <c r="H270" s="7"/>
      <c r="I270" s="7"/>
      <c r="J270" s="7">
        <f>G270+H270</f>
        <v>30</v>
      </c>
      <c r="K270" s="7"/>
      <c r="L270" s="7"/>
      <c r="M270" s="7"/>
      <c r="N270" s="7">
        <v>28</v>
      </c>
      <c r="O270" s="7"/>
      <c r="P270" s="7">
        <f>N270+O270</f>
        <v>28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115</v>
      </c>
      <c r="B271" s="6"/>
      <c r="C271" s="6"/>
      <c r="D271" s="7">
        <v>6</v>
      </c>
      <c r="E271" s="7"/>
      <c r="F271" s="7">
        <f aca="true" t="shared" si="38" ref="F271:F281">D271+E271</f>
        <v>6</v>
      </c>
      <c r="G271" s="7">
        <f>D271</f>
        <v>6</v>
      </c>
      <c r="H271" s="7"/>
      <c r="I271" s="7"/>
      <c r="J271" s="7">
        <f aca="true" t="shared" si="39" ref="J271:J281">G271+H271</f>
        <v>6</v>
      </c>
      <c r="K271" s="7"/>
      <c r="L271" s="7"/>
      <c r="M271" s="7"/>
      <c r="N271" s="7">
        <v>6</v>
      </c>
      <c r="O271" s="7"/>
      <c r="P271" s="7">
        <f aca="true" t="shared" si="40" ref="P271:P281">N271+O271</f>
        <v>6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161</v>
      </c>
      <c r="B272" s="6"/>
      <c r="C272" s="6"/>
      <c r="D272" s="7">
        <v>77</v>
      </c>
      <c r="E272" s="7"/>
      <c r="F272" s="7">
        <f t="shared" si="38"/>
        <v>77</v>
      </c>
      <c r="G272" s="7">
        <v>80</v>
      </c>
      <c r="H272" s="7"/>
      <c r="I272" s="7"/>
      <c r="J272" s="7">
        <f t="shared" si="39"/>
        <v>80</v>
      </c>
      <c r="K272" s="7"/>
      <c r="L272" s="7"/>
      <c r="M272" s="7"/>
      <c r="N272" s="7">
        <v>90</v>
      </c>
      <c r="O272" s="7"/>
      <c r="P272" s="7">
        <f t="shared" si="40"/>
        <v>90</v>
      </c>
      <c r="IB272" s="53"/>
      <c r="IC272" s="53"/>
      <c r="ID272" s="53"/>
      <c r="IE272" s="53"/>
      <c r="IF272" s="53"/>
      <c r="IG272" s="53"/>
    </row>
    <row r="273" spans="1:241" s="25" customFormat="1" ht="12" customHeight="1">
      <c r="A273" s="5" t="s">
        <v>7</v>
      </c>
      <c r="B273" s="37"/>
      <c r="C273" s="37"/>
      <c r="D273" s="30"/>
      <c r="E273" s="30"/>
      <c r="F273" s="7"/>
      <c r="G273" s="30"/>
      <c r="H273" s="30"/>
      <c r="I273" s="7"/>
      <c r="J273" s="7"/>
      <c r="K273" s="7"/>
      <c r="L273" s="7"/>
      <c r="M273" s="7"/>
      <c r="N273" s="30"/>
      <c r="O273" s="30"/>
      <c r="P273" s="7"/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116</v>
      </c>
      <c r="B274" s="6"/>
      <c r="C274" s="6"/>
      <c r="D274" s="7">
        <v>506060.66</v>
      </c>
      <c r="E274" s="7"/>
      <c r="F274" s="7">
        <f t="shared" si="38"/>
        <v>506060.66</v>
      </c>
      <c r="G274" s="7">
        <v>593333.33333</v>
      </c>
      <c r="H274" s="7"/>
      <c r="I274" s="7"/>
      <c r="J274" s="7">
        <f t="shared" si="39"/>
        <v>593333.33333</v>
      </c>
      <c r="K274" s="7"/>
      <c r="L274" s="7"/>
      <c r="M274" s="7"/>
      <c r="N274" s="7">
        <v>675000</v>
      </c>
      <c r="O274" s="7"/>
      <c r="P274" s="7">
        <f t="shared" si="40"/>
        <v>675000</v>
      </c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117</v>
      </c>
      <c r="B275" s="6"/>
      <c r="C275" s="6"/>
      <c r="D275" s="7">
        <v>529166.66666</v>
      </c>
      <c r="E275" s="7"/>
      <c r="F275" s="7">
        <f t="shared" si="38"/>
        <v>529166.66666</v>
      </c>
      <c r="G275" s="7">
        <v>367500</v>
      </c>
      <c r="H275" s="7"/>
      <c r="I275" s="7"/>
      <c r="J275" s="7">
        <f t="shared" si="39"/>
        <v>367500</v>
      </c>
      <c r="K275" s="7"/>
      <c r="L275" s="7"/>
      <c r="M275" s="7"/>
      <c r="N275" s="7">
        <v>395833.33333</v>
      </c>
      <c r="O275" s="7"/>
      <c r="P275" s="7">
        <f t="shared" si="40"/>
        <v>395833.33333</v>
      </c>
      <c r="IB275" s="53"/>
      <c r="IC275" s="53"/>
      <c r="ID275" s="53"/>
      <c r="IE275" s="53"/>
      <c r="IF275" s="53"/>
      <c r="IG275" s="53"/>
    </row>
    <row r="276" spans="1:241" s="25" customFormat="1" ht="12" customHeight="1">
      <c r="A276" s="5" t="s">
        <v>6</v>
      </c>
      <c r="B276" s="37"/>
      <c r="C276" s="37"/>
      <c r="D276" s="30"/>
      <c r="E276" s="30"/>
      <c r="F276" s="7"/>
      <c r="G276" s="30"/>
      <c r="H276" s="30"/>
      <c r="I276" s="7"/>
      <c r="J276" s="7"/>
      <c r="K276" s="7"/>
      <c r="L276" s="7"/>
      <c r="M276" s="7"/>
      <c r="N276" s="30"/>
      <c r="O276" s="30"/>
      <c r="P276" s="7"/>
      <c r="IB276" s="53"/>
      <c r="IC276" s="53"/>
      <c r="ID276" s="53"/>
      <c r="IE276" s="53"/>
      <c r="IF276" s="53"/>
      <c r="IG276" s="53"/>
    </row>
    <row r="277" spans="1:241" s="25" customFormat="1" ht="32.25" customHeight="1">
      <c r="A277" s="8" t="s">
        <v>185</v>
      </c>
      <c r="B277" s="6"/>
      <c r="C277" s="6"/>
      <c r="D277" s="7">
        <f>200000/77</f>
        <v>2597.4025974025976</v>
      </c>
      <c r="E277" s="7"/>
      <c r="F277" s="7">
        <f t="shared" si="38"/>
        <v>2597.4025974025976</v>
      </c>
      <c r="G277" s="7">
        <v>3125</v>
      </c>
      <c r="H277" s="7"/>
      <c r="I277" s="7"/>
      <c r="J277" s="7">
        <f t="shared" si="39"/>
        <v>3125</v>
      </c>
      <c r="K277" s="7"/>
      <c r="L277" s="7"/>
      <c r="M277" s="7"/>
      <c r="N277" s="7">
        <f>300000/90</f>
        <v>3333.3333333333335</v>
      </c>
      <c r="O277" s="7"/>
      <c r="P277" s="7">
        <f t="shared" si="40"/>
        <v>3333.3333333333335</v>
      </c>
      <c r="IB277" s="53"/>
      <c r="IC277" s="53"/>
      <c r="ID277" s="53"/>
      <c r="IE277" s="53"/>
      <c r="IF277" s="53"/>
      <c r="IG277" s="53"/>
    </row>
    <row r="278" spans="1:241" s="25" customFormat="1" ht="11.25">
      <c r="A278" s="5" t="s">
        <v>6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118</v>
      </c>
      <c r="B279" s="6"/>
      <c r="C279" s="6"/>
      <c r="D279" s="7"/>
      <c r="E279" s="7"/>
      <c r="F279" s="7">
        <f t="shared" si="38"/>
        <v>0</v>
      </c>
      <c r="G279" s="7">
        <f>G274/F274*100</f>
        <v>117.2454964845519</v>
      </c>
      <c r="H279" s="7"/>
      <c r="I279" s="7"/>
      <c r="J279" s="7">
        <f t="shared" si="39"/>
        <v>117.2454964845519</v>
      </c>
      <c r="K279" s="7"/>
      <c r="L279" s="7"/>
      <c r="M279" s="7"/>
      <c r="N279" s="7">
        <f>N274/J274*100</f>
        <v>113.76404494445933</v>
      </c>
      <c r="O279" s="7"/>
      <c r="P279" s="7">
        <f t="shared" si="40"/>
        <v>113.76404494445933</v>
      </c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119</v>
      </c>
      <c r="B280" s="6"/>
      <c r="C280" s="6"/>
      <c r="D280" s="7"/>
      <c r="E280" s="7"/>
      <c r="F280" s="7">
        <f t="shared" si="38"/>
        <v>0</v>
      </c>
      <c r="G280" s="7">
        <f>G275/D275*100</f>
        <v>69.44881889851274</v>
      </c>
      <c r="H280" s="7"/>
      <c r="I280" s="7"/>
      <c r="J280" s="7">
        <f t="shared" si="39"/>
        <v>69.44881889851274</v>
      </c>
      <c r="K280" s="7"/>
      <c r="L280" s="7"/>
      <c r="M280" s="7"/>
      <c r="N280" s="7">
        <f>N275/G275*100</f>
        <v>107.7097505659864</v>
      </c>
      <c r="O280" s="7"/>
      <c r="P280" s="7">
        <f t="shared" si="40"/>
        <v>107.7097505659864</v>
      </c>
      <c r="IB280" s="53"/>
      <c r="IC280" s="53"/>
      <c r="ID280" s="53"/>
      <c r="IE280" s="53"/>
      <c r="IF280" s="53"/>
      <c r="IG280" s="53"/>
    </row>
    <row r="281" spans="1:241" s="25" customFormat="1" ht="27" customHeight="1">
      <c r="A281" s="8" t="s">
        <v>223</v>
      </c>
      <c r="B281" s="6"/>
      <c r="C281" s="6"/>
      <c r="D281" s="7"/>
      <c r="E281" s="7"/>
      <c r="F281" s="7">
        <f t="shared" si="38"/>
        <v>0</v>
      </c>
      <c r="G281" s="7">
        <f>G277/D277*100</f>
        <v>120.3125</v>
      </c>
      <c r="H281" s="7"/>
      <c r="I281" s="7"/>
      <c r="J281" s="7">
        <f t="shared" si="39"/>
        <v>120.3125</v>
      </c>
      <c r="K281" s="7"/>
      <c r="L281" s="7"/>
      <c r="M281" s="7"/>
      <c r="N281" s="7">
        <f>N277/G277*100</f>
        <v>106.66666666666667</v>
      </c>
      <c r="O281" s="7"/>
      <c r="P281" s="7">
        <f t="shared" si="40"/>
        <v>106.66666666666667</v>
      </c>
      <c r="IB281" s="53"/>
      <c r="IC281" s="53"/>
      <c r="ID281" s="53"/>
      <c r="IE281" s="53"/>
      <c r="IF281" s="53"/>
      <c r="IG281" s="53"/>
    </row>
    <row r="282" spans="1:241" s="38" customFormat="1" ht="24" customHeight="1">
      <c r="A282" s="34" t="s">
        <v>383</v>
      </c>
      <c r="B282" s="35"/>
      <c r="C282" s="35"/>
      <c r="D282" s="36">
        <v>1000000</v>
      </c>
      <c r="E282" s="36"/>
      <c r="F282" s="36">
        <f>D282</f>
        <v>1000000</v>
      </c>
      <c r="G282" s="36">
        <v>1200000</v>
      </c>
      <c r="H282" s="36"/>
      <c r="I282" s="36"/>
      <c r="J282" s="36">
        <f>G282</f>
        <v>1200000</v>
      </c>
      <c r="K282" s="36">
        <f>(K284*K286)</f>
        <v>0</v>
      </c>
      <c r="L282" s="36">
        <f>(L284*L286)</f>
        <v>0</v>
      </c>
      <c r="M282" s="36">
        <f>(M284*M286)</f>
        <v>0</v>
      </c>
      <c r="N282" s="36">
        <v>1400000</v>
      </c>
      <c r="O282" s="36">
        <f>(O284*O286)</f>
        <v>0</v>
      </c>
      <c r="P282" s="36">
        <f>N282</f>
        <v>1400000</v>
      </c>
      <c r="IB282" s="39"/>
      <c r="IC282" s="39"/>
      <c r="ID282" s="39"/>
      <c r="IE282" s="39"/>
      <c r="IF282" s="39"/>
      <c r="IG282" s="39"/>
    </row>
    <row r="283" spans="1:241" s="25" customFormat="1" ht="11.25">
      <c r="A283" s="5" t="s">
        <v>5</v>
      </c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IB283" s="53"/>
      <c r="IC283" s="53"/>
      <c r="ID283" s="53"/>
      <c r="IE283" s="53"/>
      <c r="IF283" s="53"/>
      <c r="IG283" s="53"/>
    </row>
    <row r="284" spans="1:241" s="25" customFormat="1" ht="33.75">
      <c r="A284" s="8" t="s">
        <v>246</v>
      </c>
      <c r="B284" s="6"/>
      <c r="C284" s="6"/>
      <c r="D284" s="7">
        <v>750</v>
      </c>
      <c r="E284" s="7"/>
      <c r="F284" s="7">
        <f>D284</f>
        <v>750</v>
      </c>
      <c r="G284" s="7">
        <v>700</v>
      </c>
      <c r="H284" s="7"/>
      <c r="I284" s="7"/>
      <c r="J284" s="7">
        <f>G284</f>
        <v>700</v>
      </c>
      <c r="K284" s="7"/>
      <c r="L284" s="7"/>
      <c r="M284" s="7"/>
      <c r="N284" s="7">
        <v>650</v>
      </c>
      <c r="O284" s="7"/>
      <c r="P284" s="7">
        <f>N284</f>
        <v>650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7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22.5" customHeight="1">
      <c r="A286" s="8" t="s">
        <v>247</v>
      </c>
      <c r="B286" s="6"/>
      <c r="C286" s="6"/>
      <c r="D286" s="7">
        <f>D282/D284</f>
        <v>1333.3333333333333</v>
      </c>
      <c r="E286" s="7"/>
      <c r="F286" s="7">
        <f>D286</f>
        <v>1333.3333333333333</v>
      </c>
      <c r="G286" s="7">
        <f>G282/G284</f>
        <v>1714.2857142857142</v>
      </c>
      <c r="H286" s="7"/>
      <c r="I286" s="7"/>
      <c r="J286" s="7">
        <f>G286</f>
        <v>1714.2857142857142</v>
      </c>
      <c r="K286" s="7"/>
      <c r="L286" s="7"/>
      <c r="M286" s="7"/>
      <c r="N286" s="7">
        <f>1400000/750</f>
        <v>1866.6666666666667</v>
      </c>
      <c r="O286" s="7"/>
      <c r="P286" s="7">
        <f>N286</f>
        <v>1866.6666666666667</v>
      </c>
      <c r="IB286" s="53"/>
      <c r="IC286" s="53"/>
      <c r="ID286" s="53"/>
      <c r="IE286" s="53"/>
      <c r="IF286" s="53"/>
      <c r="IG286" s="53"/>
    </row>
    <row r="287" spans="1:241" s="25" customFormat="1" ht="11.25">
      <c r="A287" s="5" t="s">
        <v>6</v>
      </c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IB287" s="53"/>
      <c r="IC287" s="53"/>
      <c r="ID287" s="53"/>
      <c r="IE287" s="53"/>
      <c r="IF287" s="53"/>
      <c r="IG287" s="53"/>
    </row>
    <row r="288" spans="1:241" s="25" customFormat="1" ht="24" customHeight="1">
      <c r="A288" s="8" t="s">
        <v>179</v>
      </c>
      <c r="B288" s="6"/>
      <c r="C288" s="6"/>
      <c r="D288" s="7"/>
      <c r="E288" s="7"/>
      <c r="F288" s="7"/>
      <c r="G288" s="7">
        <f>G284/D284*100</f>
        <v>93.33333333333333</v>
      </c>
      <c r="H288" s="7"/>
      <c r="I288" s="7"/>
      <c r="J288" s="7">
        <f>G288</f>
        <v>93.33333333333333</v>
      </c>
      <c r="K288" s="7"/>
      <c r="L288" s="7"/>
      <c r="M288" s="7"/>
      <c r="N288" s="7">
        <f>N284/G284*100</f>
        <v>92.85714285714286</v>
      </c>
      <c r="O288" s="7"/>
      <c r="P288" s="7">
        <f>N288</f>
        <v>92.85714285714286</v>
      </c>
      <c r="IB288" s="53"/>
      <c r="IC288" s="53"/>
      <c r="ID288" s="53"/>
      <c r="IE288" s="53"/>
      <c r="IF288" s="53"/>
      <c r="IG288" s="53"/>
    </row>
    <row r="289" spans="1:241" s="25" customFormat="1" ht="31.5" customHeight="1">
      <c r="A289" s="8" t="s">
        <v>180</v>
      </c>
      <c r="B289" s="6"/>
      <c r="C289" s="6"/>
      <c r="D289" s="7"/>
      <c r="E289" s="7"/>
      <c r="F289" s="7"/>
      <c r="G289" s="7">
        <f>G286/D286*100</f>
        <v>128.57142857142858</v>
      </c>
      <c r="H289" s="7"/>
      <c r="I289" s="7"/>
      <c r="J289" s="7">
        <f>G289</f>
        <v>128.57142857142858</v>
      </c>
      <c r="K289" s="7"/>
      <c r="L289" s="7"/>
      <c r="M289" s="7"/>
      <c r="N289" s="7">
        <f>N286/G286*100</f>
        <v>108.8888888888889</v>
      </c>
      <c r="O289" s="7"/>
      <c r="P289" s="7">
        <f>N289</f>
        <v>108.8888888888889</v>
      </c>
      <c r="IB289" s="53"/>
      <c r="IC289" s="53"/>
      <c r="ID289" s="53"/>
      <c r="IE289" s="53"/>
      <c r="IF289" s="53"/>
      <c r="IG289" s="53"/>
    </row>
    <row r="290" spans="1:241" s="38" customFormat="1" ht="22.5" customHeight="1">
      <c r="A290" s="34" t="s">
        <v>384</v>
      </c>
      <c r="B290" s="35"/>
      <c r="C290" s="35"/>
      <c r="D290" s="36"/>
      <c r="E290" s="36">
        <f>11780000+5075000+152250</f>
        <v>17007250</v>
      </c>
      <c r="F290" s="36">
        <f>E290</f>
        <v>17007250</v>
      </c>
      <c r="G290" s="36">
        <f>G292*G294</f>
        <v>0</v>
      </c>
      <c r="H290" s="36">
        <f>12000000+6097000+185000+6401000+20000+500000+636000+670000</f>
        <v>26509000</v>
      </c>
      <c r="I290" s="36">
        <f>I292*I294</f>
        <v>0</v>
      </c>
      <c r="J290" s="36">
        <f>G290+H290</f>
        <v>26509000</v>
      </c>
      <c r="K290" s="36">
        <f>K292*K294</f>
        <v>0</v>
      </c>
      <c r="L290" s="36">
        <f>L292*L294</f>
        <v>0</v>
      </c>
      <c r="M290" s="36">
        <f>M292*M294</f>
        <v>0</v>
      </c>
      <c r="N290" s="36">
        <f>N292*N294</f>
        <v>0</v>
      </c>
      <c r="O290" s="36">
        <v>12100000</v>
      </c>
      <c r="P290" s="36">
        <f>N290+O290</f>
        <v>12100000</v>
      </c>
      <c r="IB290" s="39"/>
      <c r="IC290" s="39"/>
      <c r="ID290" s="39"/>
      <c r="IE290" s="39"/>
      <c r="IF290" s="39"/>
      <c r="IG290" s="39"/>
    </row>
    <row r="291" spans="1:241" s="25" customFormat="1" ht="11.25">
      <c r="A291" s="5" t="s">
        <v>5</v>
      </c>
      <c r="B291" s="37"/>
      <c r="C291" s="37"/>
      <c r="D291" s="30"/>
      <c r="E291" s="30"/>
      <c r="F291" s="7"/>
      <c r="G291" s="30"/>
      <c r="H291" s="30"/>
      <c r="I291" s="30"/>
      <c r="J291" s="7"/>
      <c r="K291" s="7"/>
      <c r="L291" s="7"/>
      <c r="M291" s="7"/>
      <c r="N291" s="30"/>
      <c r="O291" s="30"/>
      <c r="P291" s="7"/>
      <c r="IB291" s="53"/>
      <c r="IC291" s="53"/>
      <c r="ID291" s="53"/>
      <c r="IE291" s="53"/>
      <c r="IF291" s="53"/>
      <c r="IG291" s="53"/>
    </row>
    <row r="292" spans="1:241" s="25" customFormat="1" ht="21.75" customHeight="1">
      <c r="A292" s="8" t="s">
        <v>120</v>
      </c>
      <c r="B292" s="6"/>
      <c r="C292" s="6"/>
      <c r="D292" s="7"/>
      <c r="E292" s="7">
        <f>20+6</f>
        <v>26</v>
      </c>
      <c r="F292" s="7">
        <f>E292</f>
        <v>26</v>
      </c>
      <c r="G292" s="7"/>
      <c r="H292" s="7">
        <v>18</v>
      </c>
      <c r="I292" s="7"/>
      <c r="J292" s="7">
        <f>G292+H292</f>
        <v>18</v>
      </c>
      <c r="K292" s="7"/>
      <c r="L292" s="7"/>
      <c r="M292" s="7"/>
      <c r="N292" s="7"/>
      <c r="O292" s="7">
        <v>15</v>
      </c>
      <c r="P292" s="7">
        <f>O292</f>
        <v>15</v>
      </c>
      <c r="IB292" s="53"/>
      <c r="IC292" s="53"/>
      <c r="ID292" s="53"/>
      <c r="IE292" s="53"/>
      <c r="IF292" s="53"/>
      <c r="IG292" s="53"/>
    </row>
    <row r="293" spans="1:241" s="25" customFormat="1" ht="11.25">
      <c r="A293" s="5" t="s">
        <v>7</v>
      </c>
      <c r="B293" s="37"/>
      <c r="C293" s="37"/>
      <c r="D293" s="30"/>
      <c r="E293" s="30"/>
      <c r="F293" s="7"/>
      <c r="G293" s="30"/>
      <c r="H293" s="30"/>
      <c r="I293" s="30"/>
      <c r="J293" s="7"/>
      <c r="K293" s="7"/>
      <c r="L293" s="7"/>
      <c r="M293" s="7"/>
      <c r="N293" s="30"/>
      <c r="O293" s="30"/>
      <c r="P293" s="7"/>
      <c r="IB293" s="53"/>
      <c r="IC293" s="53"/>
      <c r="ID293" s="53"/>
      <c r="IE293" s="53"/>
      <c r="IF293" s="53"/>
      <c r="IG293" s="53"/>
    </row>
    <row r="294" spans="1:241" s="25" customFormat="1" ht="23.25" customHeight="1">
      <c r="A294" s="8" t="s">
        <v>121</v>
      </c>
      <c r="B294" s="6"/>
      <c r="C294" s="6"/>
      <c r="D294" s="7"/>
      <c r="E294" s="7">
        <f>E290/E292</f>
        <v>654125</v>
      </c>
      <c r="F294" s="7">
        <f>E294</f>
        <v>654125</v>
      </c>
      <c r="G294" s="7"/>
      <c r="H294" s="7">
        <f>H290/H292</f>
        <v>1472722.2222222222</v>
      </c>
      <c r="I294" s="7"/>
      <c r="J294" s="7">
        <f>G294+H294</f>
        <v>1472722.2222222222</v>
      </c>
      <c r="K294" s="7"/>
      <c r="L294" s="7"/>
      <c r="M294" s="7"/>
      <c r="N294" s="7"/>
      <c r="O294" s="7">
        <f>O290/O292</f>
        <v>806666.6666666666</v>
      </c>
      <c r="P294" s="7">
        <f>O294</f>
        <v>806666.6666666666</v>
      </c>
      <c r="IB294" s="53"/>
      <c r="IC294" s="53"/>
      <c r="ID294" s="53"/>
      <c r="IE294" s="53"/>
      <c r="IF294" s="53"/>
      <c r="IG294" s="53"/>
    </row>
    <row r="295" spans="1:241" s="25" customFormat="1" ht="11.25">
      <c r="A295" s="5" t="s">
        <v>6</v>
      </c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IB295" s="53"/>
      <c r="IC295" s="53"/>
      <c r="ID295" s="53"/>
      <c r="IE295" s="53"/>
      <c r="IF295" s="53"/>
      <c r="IG295" s="53"/>
    </row>
    <row r="296" spans="1:241" s="25" customFormat="1" ht="35.25" customHeight="1">
      <c r="A296" s="8" t="s">
        <v>122</v>
      </c>
      <c r="B296" s="6"/>
      <c r="C296" s="6"/>
      <c r="D296" s="7"/>
      <c r="E296" s="7">
        <v>0</v>
      </c>
      <c r="F296" s="7">
        <v>0</v>
      </c>
      <c r="G296" s="7"/>
      <c r="H296" s="7">
        <f>H294/E294*100</f>
        <v>225.1438520500244</v>
      </c>
      <c r="I296" s="7"/>
      <c r="J296" s="7">
        <f>G296+H296</f>
        <v>225.1438520500244</v>
      </c>
      <c r="K296" s="7"/>
      <c r="L296" s="7"/>
      <c r="M296" s="7"/>
      <c r="N296" s="7"/>
      <c r="O296" s="7">
        <f>O294/H294*100</f>
        <v>54.77385039043343</v>
      </c>
      <c r="P296" s="7">
        <f>O296</f>
        <v>54.77385039043343</v>
      </c>
      <c r="IB296" s="53"/>
      <c r="IC296" s="53"/>
      <c r="ID296" s="53"/>
      <c r="IE296" s="53"/>
      <c r="IF296" s="53"/>
      <c r="IG296" s="53"/>
    </row>
    <row r="297" spans="1:241" s="25" customFormat="1" ht="17.25" customHeight="1">
      <c r="A297" s="8" t="s">
        <v>397</v>
      </c>
      <c r="B297" s="6"/>
      <c r="C297" s="6"/>
      <c r="D297" s="7"/>
      <c r="E297" s="7">
        <v>5075000</v>
      </c>
      <c r="F297" s="7">
        <f>E297</f>
        <v>5075000</v>
      </c>
      <c r="G297" s="7"/>
      <c r="H297" s="7">
        <f>0+6097000+6401000+20000+500000+636000+670000</f>
        <v>14324000</v>
      </c>
      <c r="I297" s="7"/>
      <c r="J297" s="7">
        <f>H297</f>
        <v>14324000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241" s="25" customFormat="1" ht="20.25" customHeight="1">
      <c r="A298" s="8" t="s">
        <v>398</v>
      </c>
      <c r="B298" s="6"/>
      <c r="C298" s="6"/>
      <c r="D298" s="7"/>
      <c r="E298" s="7">
        <v>152250</v>
      </c>
      <c r="F298" s="7">
        <f>E298</f>
        <v>152250</v>
      </c>
      <c r="G298" s="7"/>
      <c r="H298" s="7">
        <f>0+185000+15000</f>
        <v>200000</v>
      </c>
      <c r="I298" s="7"/>
      <c r="J298" s="7">
        <f>H298</f>
        <v>200000</v>
      </c>
      <c r="K298" s="7"/>
      <c r="L298" s="7"/>
      <c r="M298" s="7"/>
      <c r="N298" s="7"/>
      <c r="O298" s="7"/>
      <c r="P298" s="7"/>
      <c r="IB298" s="53"/>
      <c r="IC298" s="53"/>
      <c r="ID298" s="53"/>
      <c r="IE298" s="53"/>
      <c r="IF298" s="53"/>
      <c r="IG298" s="53"/>
    </row>
    <row r="299" spans="1:16" ht="15" customHeight="1">
      <c r="A299" s="37" t="s">
        <v>355</v>
      </c>
      <c r="B299" s="37"/>
      <c r="C299" s="37"/>
      <c r="D299" s="30"/>
      <c r="E299" s="30">
        <f aca="true" t="shared" si="41" ref="E299:P299">E301+E315+E330</f>
        <v>76757323</v>
      </c>
      <c r="F299" s="30">
        <f t="shared" si="41"/>
        <v>76757323</v>
      </c>
      <c r="G299" s="30">
        <f t="shared" si="41"/>
        <v>0</v>
      </c>
      <c r="H299" s="30">
        <f>H301+H315+H330</f>
        <v>84517199.9975</v>
      </c>
      <c r="I299" s="30">
        <f t="shared" si="41"/>
        <v>742600</v>
      </c>
      <c r="J299" s="30">
        <f t="shared" si="41"/>
        <v>84517199.9975</v>
      </c>
      <c r="K299" s="30">
        <f t="shared" si="41"/>
        <v>10668.66666388889</v>
      </c>
      <c r="L299" s="30">
        <f t="shared" si="41"/>
        <v>2</v>
      </c>
      <c r="M299" s="30">
        <f t="shared" si="41"/>
        <v>2</v>
      </c>
      <c r="N299" s="30">
        <f t="shared" si="41"/>
        <v>0</v>
      </c>
      <c r="O299" s="30">
        <f t="shared" si="41"/>
        <v>70000000.002</v>
      </c>
      <c r="P299" s="30">
        <f t="shared" si="41"/>
        <v>70000000.002</v>
      </c>
    </row>
    <row r="300" spans="1:16" ht="45" customHeight="1">
      <c r="A300" s="34" t="s">
        <v>123</v>
      </c>
      <c r="B300" s="6"/>
      <c r="C300" s="6"/>
      <c r="D300" s="7"/>
      <c r="E300" s="36"/>
      <c r="F300" s="36"/>
      <c r="G300" s="7"/>
      <c r="H300" s="36"/>
      <c r="I300" s="36"/>
      <c r="J300" s="36"/>
      <c r="K300" s="7" t="e">
        <f>H300/E300*100</f>
        <v>#DIV/0!</v>
      </c>
      <c r="L300" s="36"/>
      <c r="M300" s="36"/>
      <c r="N300" s="7"/>
      <c r="O300" s="36"/>
      <c r="P300" s="36"/>
    </row>
    <row r="301" spans="1:16" ht="22.5" customHeight="1">
      <c r="A301" s="34" t="s">
        <v>128</v>
      </c>
      <c r="B301" s="6"/>
      <c r="C301" s="6"/>
      <c r="D301" s="7"/>
      <c r="E301" s="36">
        <f>E302</f>
        <v>55957320</v>
      </c>
      <c r="F301" s="36">
        <f>D301+E301</f>
        <v>55957320</v>
      </c>
      <c r="G301" s="36"/>
      <c r="H301" s="36">
        <f>H302</f>
        <v>63774599.997499995</v>
      </c>
      <c r="I301" s="36"/>
      <c r="J301" s="36">
        <f>G301+H301</f>
        <v>63774599.997499995</v>
      </c>
      <c r="K301" s="36">
        <f>K302+K316+K323</f>
        <v>10667.66666388889</v>
      </c>
      <c r="L301" s="36">
        <f>L302+L316+L323</f>
        <v>1</v>
      </c>
      <c r="M301" s="36">
        <f>M302+M316+M323</f>
        <v>1</v>
      </c>
      <c r="N301" s="36"/>
      <c r="O301" s="36">
        <f>O302</f>
        <v>50000000.002</v>
      </c>
      <c r="P301" s="36">
        <f>N301+O301</f>
        <v>50000000.002</v>
      </c>
    </row>
    <row r="302" spans="1:235" s="39" customFormat="1" ht="22.5">
      <c r="A302" s="34" t="s">
        <v>385</v>
      </c>
      <c r="B302" s="35"/>
      <c r="C302" s="35"/>
      <c r="D302" s="36"/>
      <c r="E302" s="145">
        <f>(E306*E308)+E312+E313+E314</f>
        <v>55957320</v>
      </c>
      <c r="F302" s="36">
        <f>E302</f>
        <v>55957320</v>
      </c>
      <c r="G302" s="36"/>
      <c r="H302" s="36">
        <f>H306*H308+0.01+5339300+4663300+4487000+990000+295000</f>
        <v>63774599.997499995</v>
      </c>
      <c r="I302" s="36"/>
      <c r="J302" s="36">
        <f>H302</f>
        <v>63774599.997499995</v>
      </c>
      <c r="K302" s="36">
        <f>K306*K308</f>
        <v>10666.66666388889</v>
      </c>
      <c r="L302" s="36">
        <f>L306*L308</f>
        <v>0</v>
      </c>
      <c r="M302" s="36">
        <f>M306*M308</f>
        <v>0</v>
      </c>
      <c r="N302" s="36"/>
      <c r="O302" s="36">
        <f>O306*O308+0.01</f>
        <v>50000000.002</v>
      </c>
      <c r="P302" s="36">
        <f>N302+O302</f>
        <v>50000000.002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37"/>
      <c r="C303" s="37"/>
      <c r="D303" s="7"/>
      <c r="E303" s="36"/>
      <c r="F303" s="36"/>
      <c r="G303" s="7"/>
      <c r="H303" s="36"/>
      <c r="I303" s="36"/>
      <c r="J303" s="36"/>
      <c r="K303" s="7"/>
      <c r="L303" s="36"/>
      <c r="M303" s="36"/>
      <c r="N303" s="7"/>
      <c r="O303" s="36"/>
      <c r="P303" s="36"/>
    </row>
    <row r="304" spans="1:16" ht="22.5">
      <c r="A304" s="8" t="s">
        <v>124</v>
      </c>
      <c r="B304" s="6"/>
      <c r="C304" s="6"/>
      <c r="D304" s="7"/>
      <c r="E304" s="7">
        <v>1072</v>
      </c>
      <c r="F304" s="7">
        <f>E304</f>
        <v>1072</v>
      </c>
      <c r="G304" s="7"/>
      <c r="H304" s="7">
        <v>892</v>
      </c>
      <c r="I304" s="7"/>
      <c r="J304" s="7">
        <f>H304</f>
        <v>892</v>
      </c>
      <c r="K304" s="7"/>
      <c r="L304" s="36"/>
      <c r="M304" s="36"/>
      <c r="N304" s="7"/>
      <c r="O304" s="7">
        <v>617</v>
      </c>
      <c r="P304" s="7">
        <f>O304</f>
        <v>617</v>
      </c>
    </row>
    <row r="305" spans="1:16" ht="11.25">
      <c r="A305" s="5" t="s">
        <v>5</v>
      </c>
      <c r="B305" s="37"/>
      <c r="C305" s="37"/>
      <c r="D305" s="7"/>
      <c r="E305" s="30"/>
      <c r="F305" s="30"/>
      <c r="G305" s="7"/>
      <c r="H305" s="30"/>
      <c r="I305" s="30"/>
      <c r="J305" s="30"/>
      <c r="K305" s="7" t="e">
        <f>H305/E305*100</f>
        <v>#DIV/0!</v>
      </c>
      <c r="L305" s="30"/>
      <c r="M305" s="30"/>
      <c r="N305" s="7"/>
      <c r="O305" s="30"/>
      <c r="P305" s="30"/>
    </row>
    <row r="306" spans="1:16" ht="22.5">
      <c r="A306" s="8" t="s">
        <v>125</v>
      </c>
      <c r="B306" s="6"/>
      <c r="C306" s="6"/>
      <c r="D306" s="7"/>
      <c r="E306" s="7">
        <v>180</v>
      </c>
      <c r="F306" s="7">
        <f>E306</f>
        <v>180</v>
      </c>
      <c r="G306" s="7"/>
      <c r="H306" s="7">
        <v>275</v>
      </c>
      <c r="I306" s="7"/>
      <c r="J306" s="7">
        <f>H306</f>
        <v>275</v>
      </c>
      <c r="K306" s="7">
        <f>H306/E306*100</f>
        <v>152.77777777777777</v>
      </c>
      <c r="L306" s="7"/>
      <c r="M306" s="7"/>
      <c r="N306" s="7"/>
      <c r="O306" s="7">
        <v>240</v>
      </c>
      <c r="P306" s="7">
        <f>O306</f>
        <v>240</v>
      </c>
    </row>
    <row r="307" spans="1:16" ht="11.25">
      <c r="A307" s="5" t="s">
        <v>7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4" customHeight="1">
      <c r="A308" s="8" t="s">
        <v>126</v>
      </c>
      <c r="B308" s="6"/>
      <c r="C308" s="6"/>
      <c r="D308" s="7"/>
      <c r="E308" s="7">
        <v>250000</v>
      </c>
      <c r="F308" s="7">
        <f>E308</f>
        <v>250000</v>
      </c>
      <c r="G308" s="7"/>
      <c r="H308" s="7">
        <v>174545.4545</v>
      </c>
      <c r="I308" s="7"/>
      <c r="J308" s="7">
        <f>H308</f>
        <v>174545.4545</v>
      </c>
      <c r="K308" s="7">
        <f>H308/E308*100</f>
        <v>69.8181818</v>
      </c>
      <c r="L308" s="7"/>
      <c r="M308" s="7"/>
      <c r="N308" s="7"/>
      <c r="O308" s="7">
        <v>208333.3333</v>
      </c>
      <c r="P308" s="7">
        <f>O308</f>
        <v>208333.3333</v>
      </c>
    </row>
    <row r="309" spans="1:16" ht="11.25">
      <c r="A309" s="5" t="s">
        <v>6</v>
      </c>
      <c r="B309" s="37"/>
      <c r="C309" s="3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50.25" customHeight="1">
      <c r="A310" s="8" t="s">
        <v>127</v>
      </c>
      <c r="B310" s="6"/>
      <c r="C310" s="6"/>
      <c r="D310" s="7"/>
      <c r="E310" s="7">
        <f>E306/E304*100</f>
        <v>16.791044776119403</v>
      </c>
      <c r="F310" s="7">
        <f>D310+E310</f>
        <v>16.791044776119403</v>
      </c>
      <c r="G310" s="7"/>
      <c r="H310" s="7">
        <f>H306/H304*100</f>
        <v>30.829596412556054</v>
      </c>
      <c r="I310" s="7"/>
      <c r="J310" s="7">
        <f>J306/J304*100</f>
        <v>30.829596412556054</v>
      </c>
      <c r="K310" s="7" t="e">
        <f>K306/K304*100</f>
        <v>#DIV/0!</v>
      </c>
      <c r="L310" s="7" t="e">
        <f>L306/L304*100</f>
        <v>#DIV/0!</v>
      </c>
      <c r="M310" s="7" t="e">
        <f>M306/M304*100</f>
        <v>#DIV/0!</v>
      </c>
      <c r="N310" s="7"/>
      <c r="O310" s="7">
        <f>O306/O304*100</f>
        <v>38.897893030794165</v>
      </c>
      <c r="P310" s="7">
        <f>P306/P304*100</f>
        <v>38.897893030794165</v>
      </c>
    </row>
    <row r="311" spans="1:16" ht="11.25">
      <c r="A311" s="5" t="s">
        <v>5</v>
      </c>
      <c r="B311" s="35"/>
      <c r="C311" s="35"/>
      <c r="D311" s="7"/>
      <c r="E311" s="36"/>
      <c r="F311" s="36"/>
      <c r="G311" s="7"/>
      <c r="H311" s="36"/>
      <c r="I311" s="36"/>
      <c r="J311" s="36"/>
      <c r="K311" s="36"/>
      <c r="L311" s="36"/>
      <c r="M311" s="36"/>
      <c r="N311" s="7"/>
      <c r="O311" s="36"/>
      <c r="P311" s="36"/>
    </row>
    <row r="312" spans="1:16" ht="33.75">
      <c r="A312" s="8" t="s">
        <v>277</v>
      </c>
      <c r="B312" s="37"/>
      <c r="C312" s="37"/>
      <c r="D312" s="30"/>
      <c r="E312" s="7">
        <v>160000</v>
      </c>
      <c r="F312" s="7">
        <v>160000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1.25">
      <c r="A313" s="8" t="s">
        <v>356</v>
      </c>
      <c r="B313" s="37"/>
      <c r="C313" s="37"/>
      <c r="D313" s="30"/>
      <c r="E313" s="7">
        <f>1522000+8354000</f>
        <v>9876000</v>
      </c>
      <c r="F313" s="7">
        <f>E313</f>
        <v>9876000</v>
      </c>
      <c r="G313" s="7"/>
      <c r="H313" s="7">
        <f>0+5339300+4663300+4487000+990000+295000</f>
        <v>15774600</v>
      </c>
      <c r="I313" s="7"/>
      <c r="J313" s="7">
        <f>G313+H313</f>
        <v>15774600</v>
      </c>
      <c r="K313" s="7"/>
      <c r="L313" s="7"/>
      <c r="M313" s="7"/>
      <c r="N313" s="7"/>
      <c r="O313" s="7"/>
      <c r="P313" s="7"/>
    </row>
    <row r="314" spans="1:16" ht="22.5">
      <c r="A314" s="8" t="s">
        <v>367</v>
      </c>
      <c r="B314" s="37"/>
      <c r="C314" s="37"/>
      <c r="D314" s="30"/>
      <c r="E314" s="7">
        <f>245700+675620</f>
        <v>921320</v>
      </c>
      <c r="F314" s="7">
        <f>E314</f>
        <v>921320</v>
      </c>
      <c r="G314" s="7"/>
      <c r="H314" s="7">
        <f>0+192200</f>
        <v>192200</v>
      </c>
      <c r="I314" s="7"/>
      <c r="J314" s="7">
        <f>G314+H314</f>
        <v>192200</v>
      </c>
      <c r="K314" s="7"/>
      <c r="L314" s="7"/>
      <c r="M314" s="7"/>
      <c r="N314" s="7"/>
      <c r="O314" s="7"/>
      <c r="P314" s="7"/>
    </row>
    <row r="315" spans="1:235" s="39" customFormat="1" ht="36" customHeight="1">
      <c r="A315" s="34" t="s">
        <v>341</v>
      </c>
      <c r="B315" s="35"/>
      <c r="C315" s="35"/>
      <c r="D315" s="36"/>
      <c r="E315" s="36">
        <f>SUM(E316)+E323</f>
        <v>20000000</v>
      </c>
      <c r="F315" s="36">
        <f aca="true" t="shared" si="42" ref="F315:P315">SUM(F316)+F323</f>
        <v>20000000</v>
      </c>
      <c r="G315" s="36">
        <f t="shared" si="42"/>
        <v>0</v>
      </c>
      <c r="H315" s="36">
        <f t="shared" si="42"/>
        <v>20000000</v>
      </c>
      <c r="I315" s="36">
        <f t="shared" si="42"/>
        <v>0</v>
      </c>
      <c r="J315" s="36">
        <f t="shared" si="42"/>
        <v>20000000</v>
      </c>
      <c r="K315" s="36">
        <f t="shared" si="42"/>
        <v>1</v>
      </c>
      <c r="L315" s="36">
        <f t="shared" si="42"/>
        <v>1</v>
      </c>
      <c r="M315" s="36">
        <f t="shared" si="42"/>
        <v>1</v>
      </c>
      <c r="N315" s="36">
        <f t="shared" si="42"/>
        <v>0</v>
      </c>
      <c r="O315" s="36">
        <f t="shared" si="42"/>
        <v>20000000</v>
      </c>
      <c r="P315" s="36">
        <f t="shared" si="42"/>
        <v>20000000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235" s="39" customFormat="1" ht="41.25" customHeight="1">
      <c r="A316" s="34" t="s">
        <v>386</v>
      </c>
      <c r="B316" s="35"/>
      <c r="C316" s="35"/>
      <c r="D316" s="36"/>
      <c r="E316" s="36">
        <f>E320*E322</f>
        <v>14999999.999999998</v>
      </c>
      <c r="F316" s="36">
        <f>F320*F322</f>
        <v>14999999.999999998</v>
      </c>
      <c r="G316" s="36"/>
      <c r="H316" s="36">
        <f>H320*H322</f>
        <v>14000000</v>
      </c>
      <c r="I316" s="36"/>
      <c r="J316" s="36">
        <f>H316</f>
        <v>14000000</v>
      </c>
      <c r="K316" s="36">
        <f>K320*K322+1</f>
        <v>1</v>
      </c>
      <c r="L316" s="36">
        <f>L320*L322+1</f>
        <v>1</v>
      </c>
      <c r="M316" s="36">
        <f>M320*M322+1</f>
        <v>1</v>
      </c>
      <c r="N316" s="36"/>
      <c r="O316" s="36">
        <f>O318</f>
        <v>13000000</v>
      </c>
      <c r="P316" s="36">
        <f>O316</f>
        <v>13000000</v>
      </c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</row>
    <row r="317" spans="1:16" ht="11.25">
      <c r="A317" s="5" t="s">
        <v>4</v>
      </c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2.5">
      <c r="A318" s="8" t="s">
        <v>193</v>
      </c>
      <c r="B318" s="6"/>
      <c r="C318" s="6"/>
      <c r="D318" s="7"/>
      <c r="E318" s="7">
        <f>E320*E322</f>
        <v>14999999.999999998</v>
      </c>
      <c r="F318" s="7">
        <f>E318</f>
        <v>14999999.999999998</v>
      </c>
      <c r="G318" s="7"/>
      <c r="H318" s="7">
        <f>H320*H322</f>
        <v>14000000</v>
      </c>
      <c r="I318" s="7"/>
      <c r="J318" s="7">
        <f>H318</f>
        <v>14000000</v>
      </c>
      <c r="K318" s="7"/>
      <c r="L318" s="7"/>
      <c r="M318" s="7"/>
      <c r="N318" s="7"/>
      <c r="O318" s="7">
        <f>O320*O322</f>
        <v>13000000</v>
      </c>
      <c r="P318" s="7">
        <f>O318</f>
        <v>13000000</v>
      </c>
    </row>
    <row r="319" spans="1:16" ht="11.25">
      <c r="A319" s="5" t="s">
        <v>5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v>43</v>
      </c>
      <c r="F320" s="7">
        <f>E320</f>
        <v>43</v>
      </c>
      <c r="G320" s="7"/>
      <c r="H320" s="7">
        <v>40</v>
      </c>
      <c r="I320" s="7"/>
      <c r="J320" s="7">
        <f>H320</f>
        <v>40</v>
      </c>
      <c r="K320" s="7"/>
      <c r="L320" s="7"/>
      <c r="M320" s="7"/>
      <c r="N320" s="7"/>
      <c r="O320" s="7">
        <v>36</v>
      </c>
      <c r="P320" s="7">
        <f>O320</f>
        <v>36</v>
      </c>
    </row>
    <row r="321" spans="1:16" ht="11.25">
      <c r="A321" s="5" t="s">
        <v>7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126</v>
      </c>
      <c r="B322" s="6"/>
      <c r="C322" s="6"/>
      <c r="D322" s="7"/>
      <c r="E322" s="7">
        <f>15000000/43</f>
        <v>348837.20930232556</v>
      </c>
      <c r="F322" s="7">
        <f>E322</f>
        <v>348837.20930232556</v>
      </c>
      <c r="G322" s="7"/>
      <c r="H322" s="7">
        <f>14000000/40</f>
        <v>350000</v>
      </c>
      <c r="I322" s="7"/>
      <c r="J322" s="7">
        <f>H322</f>
        <v>350000</v>
      </c>
      <c r="K322" s="7"/>
      <c r="L322" s="7"/>
      <c r="M322" s="7"/>
      <c r="N322" s="7"/>
      <c r="O322" s="7">
        <f>13000000/36</f>
        <v>361111.1111111111</v>
      </c>
      <c r="P322" s="7">
        <f>O322</f>
        <v>361111.1111111111</v>
      </c>
    </row>
    <row r="323" spans="1:16" ht="40.5" customHeight="1">
      <c r="A323" s="34" t="s">
        <v>387</v>
      </c>
      <c r="B323" s="37"/>
      <c r="C323" s="37"/>
      <c r="D323" s="30">
        <f>D325</f>
        <v>0</v>
      </c>
      <c r="E323" s="30">
        <f>E325</f>
        <v>5000000</v>
      </c>
      <c r="F323" s="30">
        <f>D323+E323</f>
        <v>5000000</v>
      </c>
      <c r="G323" s="30"/>
      <c r="H323" s="30">
        <f>H325</f>
        <v>6000000</v>
      </c>
      <c r="I323" s="30">
        <f aca="true" t="shared" si="43" ref="I323:P323">I325</f>
        <v>0</v>
      </c>
      <c r="J323" s="30">
        <f t="shared" si="43"/>
        <v>6000000</v>
      </c>
      <c r="K323" s="30">
        <f t="shared" si="43"/>
        <v>0</v>
      </c>
      <c r="L323" s="30">
        <f t="shared" si="43"/>
        <v>0</v>
      </c>
      <c r="M323" s="30">
        <f t="shared" si="43"/>
        <v>0</v>
      </c>
      <c r="N323" s="30">
        <f t="shared" si="43"/>
        <v>0</v>
      </c>
      <c r="O323" s="30">
        <f t="shared" si="43"/>
        <v>7000000</v>
      </c>
      <c r="P323" s="30">
        <f t="shared" si="43"/>
        <v>7000000</v>
      </c>
    </row>
    <row r="324" spans="1:16" ht="17.2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25.5" customHeight="1">
      <c r="A325" s="8" t="s">
        <v>194</v>
      </c>
      <c r="B325" s="37"/>
      <c r="C325" s="37"/>
      <c r="D325" s="30"/>
      <c r="E325" s="7">
        <f>E327*E329</f>
        <v>5000000</v>
      </c>
      <c r="F325" s="7">
        <f>D325+E325</f>
        <v>5000000</v>
      </c>
      <c r="G325" s="7"/>
      <c r="H325" s="7">
        <f>H327*H329</f>
        <v>6000000</v>
      </c>
      <c r="I325" s="7"/>
      <c r="J325" s="7">
        <f>H325</f>
        <v>6000000</v>
      </c>
      <c r="K325" s="7"/>
      <c r="L325" s="7"/>
      <c r="M325" s="7"/>
      <c r="N325" s="7"/>
      <c r="O325" s="7">
        <f>O327*O329</f>
        <v>7000000</v>
      </c>
      <c r="P325" s="7">
        <f>O325</f>
        <v>7000000</v>
      </c>
    </row>
    <row r="326" spans="1:16" ht="15.7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5.5" customHeight="1">
      <c r="A327" s="8" t="s">
        <v>125</v>
      </c>
      <c r="B327" s="37"/>
      <c r="C327" s="37"/>
      <c r="D327" s="30"/>
      <c r="E327" s="7">
        <v>16</v>
      </c>
      <c r="F327" s="7">
        <f>D327+E327</f>
        <v>16</v>
      </c>
      <c r="G327" s="7"/>
      <c r="H327" s="7">
        <v>16</v>
      </c>
      <c r="I327" s="7"/>
      <c r="J327" s="7">
        <f>H327</f>
        <v>16</v>
      </c>
      <c r="K327" s="7"/>
      <c r="L327" s="7"/>
      <c r="M327" s="7"/>
      <c r="N327" s="7"/>
      <c r="O327" s="7">
        <v>16</v>
      </c>
      <c r="P327" s="7">
        <v>16</v>
      </c>
    </row>
    <row r="328" spans="1:16" ht="15.75" customHeight="1">
      <c r="A328" s="5" t="s">
        <v>7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7.5" customHeight="1">
      <c r="A329" s="8" t="s">
        <v>195</v>
      </c>
      <c r="B329" s="37"/>
      <c r="C329" s="37"/>
      <c r="D329" s="30"/>
      <c r="E329" s="7">
        <v>312500</v>
      </c>
      <c r="F329" s="7">
        <f>D329+E329</f>
        <v>312500</v>
      </c>
      <c r="G329" s="7"/>
      <c r="H329" s="7">
        <v>375000</v>
      </c>
      <c r="I329" s="7"/>
      <c r="J329" s="7">
        <f>H329</f>
        <v>375000</v>
      </c>
      <c r="K329" s="7"/>
      <c r="L329" s="7"/>
      <c r="M329" s="7"/>
      <c r="N329" s="7"/>
      <c r="O329" s="7">
        <v>437500</v>
      </c>
      <c r="P329" s="7">
        <f>O329</f>
        <v>437500</v>
      </c>
    </row>
    <row r="330" spans="1:235" s="52" customFormat="1" ht="37.5" customHeight="1">
      <c r="A330" s="5" t="s">
        <v>388</v>
      </c>
      <c r="B330" s="37"/>
      <c r="C330" s="37"/>
      <c r="D330" s="30"/>
      <c r="E330" s="30">
        <f aca="true" t="shared" si="44" ref="E330:P330">SUM(E332)</f>
        <v>800003</v>
      </c>
      <c r="F330" s="30">
        <f t="shared" si="44"/>
        <v>800003</v>
      </c>
      <c r="G330" s="30">
        <f t="shared" si="44"/>
        <v>0</v>
      </c>
      <c r="H330" s="30">
        <f t="shared" si="44"/>
        <v>742600</v>
      </c>
      <c r="I330" s="30">
        <f t="shared" si="44"/>
        <v>742600</v>
      </c>
      <c r="J330" s="30">
        <f t="shared" si="44"/>
        <v>742600</v>
      </c>
      <c r="K330" s="30">
        <f t="shared" si="44"/>
        <v>0</v>
      </c>
      <c r="L330" s="30">
        <f t="shared" si="44"/>
        <v>0</v>
      </c>
      <c r="M330" s="30">
        <f t="shared" si="44"/>
        <v>0</v>
      </c>
      <c r="N330" s="30">
        <f t="shared" si="44"/>
        <v>0</v>
      </c>
      <c r="O330" s="30">
        <f t="shared" si="44"/>
        <v>0</v>
      </c>
      <c r="P330" s="30">
        <f t="shared" si="44"/>
        <v>0</v>
      </c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</row>
    <row r="331" spans="1:16" ht="10.5" customHeight="1">
      <c r="A331" s="5" t="s">
        <v>4</v>
      </c>
      <c r="B331" s="37"/>
      <c r="C331" s="37"/>
      <c r="D331" s="3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32.25" customHeight="1">
      <c r="A332" s="8" t="s">
        <v>339</v>
      </c>
      <c r="B332" s="37"/>
      <c r="C332" s="37"/>
      <c r="D332" s="30"/>
      <c r="E332" s="7">
        <v>800003</v>
      </c>
      <c r="F332" s="7">
        <v>800003</v>
      </c>
      <c r="G332" s="7"/>
      <c r="H332" s="7">
        <v>742600</v>
      </c>
      <c r="I332" s="7">
        <v>742600</v>
      </c>
      <c r="J332" s="7">
        <v>742600</v>
      </c>
      <c r="K332" s="7"/>
      <c r="L332" s="7"/>
      <c r="M332" s="7"/>
      <c r="N332" s="7"/>
      <c r="O332" s="7"/>
      <c r="P332" s="7"/>
    </row>
    <row r="333" spans="1:16" ht="16.5" customHeight="1">
      <c r="A333" s="5" t="s">
        <v>5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26.25" customHeight="1">
      <c r="A334" s="8" t="s">
        <v>125</v>
      </c>
      <c r="B334" s="37"/>
      <c r="C334" s="37"/>
      <c r="D334" s="30"/>
      <c r="E334" s="7">
        <v>10</v>
      </c>
      <c r="F334" s="7">
        <v>10</v>
      </c>
      <c r="G334" s="7"/>
      <c r="H334" s="7">
        <v>10</v>
      </c>
      <c r="I334" s="7">
        <v>10</v>
      </c>
      <c r="J334" s="7">
        <v>10</v>
      </c>
      <c r="K334" s="7"/>
      <c r="L334" s="7"/>
      <c r="M334" s="7"/>
      <c r="N334" s="7"/>
      <c r="O334" s="7"/>
      <c r="P334" s="7"/>
    </row>
    <row r="335" spans="1:235" s="52" customFormat="1" ht="18" customHeight="1">
      <c r="A335" s="5" t="s">
        <v>7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</row>
    <row r="336" spans="1:16" ht="37.5" customHeight="1">
      <c r="A336" s="8" t="s">
        <v>340</v>
      </c>
      <c r="B336" s="37"/>
      <c r="C336" s="37"/>
      <c r="D336" s="30"/>
      <c r="E336" s="7">
        <f>SUM(E332)/E334</f>
        <v>80000.3</v>
      </c>
      <c r="F336" s="7">
        <f>SUM(F332)/F334</f>
        <v>80000.3</v>
      </c>
      <c r="G336" s="7"/>
      <c r="H336" s="7">
        <f>H332/H334</f>
        <v>74260</v>
      </c>
      <c r="I336" s="7">
        <f>I332/I334</f>
        <v>74260</v>
      </c>
      <c r="J336" s="7">
        <f>J332/J334</f>
        <v>74260</v>
      </c>
      <c r="K336" s="7"/>
      <c r="L336" s="7"/>
      <c r="M336" s="7"/>
      <c r="N336" s="7"/>
      <c r="O336" s="7"/>
      <c r="P336" s="7"/>
    </row>
    <row r="337" spans="1:16" ht="16.5" customHeight="1">
      <c r="A337" s="37" t="s">
        <v>361</v>
      </c>
      <c r="B337" s="37"/>
      <c r="C337" s="37"/>
      <c r="D337" s="30">
        <f>D338+D339</f>
        <v>3794380.0029998</v>
      </c>
      <c r="E337" s="30">
        <f>E338+E339</f>
        <v>692840</v>
      </c>
      <c r="F337" s="30">
        <f>D337+E337</f>
        <v>4487220.002999799</v>
      </c>
      <c r="G337" s="30">
        <f>G338+G339</f>
        <v>4422475</v>
      </c>
      <c r="H337" s="30">
        <f>H338+H339</f>
        <v>763900</v>
      </c>
      <c r="I337" s="30">
        <f>I338+I339</f>
        <v>0</v>
      </c>
      <c r="J337" s="30">
        <f>G337+H337</f>
        <v>5186375</v>
      </c>
      <c r="K337" s="30" t="e">
        <f>K338+K339</f>
        <v>#REF!</v>
      </c>
      <c r="L337" s="30">
        <f>L338+L339</f>
        <v>0</v>
      </c>
      <c r="M337" s="30">
        <f>M338+M339</f>
        <v>0</v>
      </c>
      <c r="N337" s="30">
        <f>N338+N339</f>
        <v>3742519.99999968</v>
      </c>
      <c r="O337" s="30">
        <f>O338+O339</f>
        <v>787532</v>
      </c>
      <c r="P337" s="30">
        <f>N337+O337</f>
        <v>4530051.99999968</v>
      </c>
    </row>
    <row r="338" spans="1:16" ht="13.5" customHeight="1">
      <c r="A338" s="37" t="s">
        <v>54</v>
      </c>
      <c r="B338" s="37"/>
      <c r="C338" s="37"/>
      <c r="D338" s="30">
        <f>D341+D348+D426+D431</f>
        <v>3331999.9999997998</v>
      </c>
      <c r="E338" s="30">
        <f>E341+E348+E426+E431</f>
        <v>0</v>
      </c>
      <c r="F338" s="30">
        <f>D338+E338</f>
        <v>3331999.9999997998</v>
      </c>
      <c r="G338" s="30">
        <f>G341+G348+G426+G431+G358</f>
        <v>3978700</v>
      </c>
      <c r="H338" s="30">
        <f>H341+H348+H426+H431</f>
        <v>0</v>
      </c>
      <c r="I338" s="30">
        <f>I341+I348+I426+I431</f>
        <v>0</v>
      </c>
      <c r="J338" s="30">
        <f>G338+H338</f>
        <v>3978700</v>
      </c>
      <c r="K338" s="30" t="e">
        <f>K341+K348+K426+K431</f>
        <v>#REF!</v>
      </c>
      <c r="L338" s="30">
        <f>L341+L348+L426+L431</f>
        <v>0</v>
      </c>
      <c r="M338" s="30">
        <f>M341+M348+M426+M431</f>
        <v>0</v>
      </c>
      <c r="N338" s="30">
        <f>N341+N348+N426+N431</f>
        <v>3389999.99999968</v>
      </c>
      <c r="O338" s="30">
        <f>O341+O348+O426+O431</f>
        <v>0</v>
      </c>
      <c r="P338" s="30">
        <f>N338+O338</f>
        <v>3389999.99999968</v>
      </c>
    </row>
    <row r="339" spans="1:235" s="139" customFormat="1" ht="11.25">
      <c r="A339" s="152" t="s">
        <v>189</v>
      </c>
      <c r="B339" s="152"/>
      <c r="C339" s="152"/>
      <c r="D339" s="153">
        <f>D367+D452</f>
        <v>462380.003</v>
      </c>
      <c r="E339" s="153">
        <f>E401</f>
        <v>692840</v>
      </c>
      <c r="F339" s="153">
        <f>D339+E339</f>
        <v>1155220.003</v>
      </c>
      <c r="G339" s="153">
        <f>G367+G452</f>
        <v>443775</v>
      </c>
      <c r="H339" s="153">
        <f>H401</f>
        <v>763900</v>
      </c>
      <c r="I339" s="153">
        <f>I369+I379</f>
        <v>0</v>
      </c>
      <c r="J339" s="153">
        <f>G339+H339</f>
        <v>1207675</v>
      </c>
      <c r="K339" s="153">
        <f>K369+K379</f>
        <v>0</v>
      </c>
      <c r="L339" s="153">
        <f>L369+L379</f>
        <v>0</v>
      </c>
      <c r="M339" s="153">
        <f>M369+M379</f>
        <v>0</v>
      </c>
      <c r="N339" s="153">
        <f>N367</f>
        <v>352520</v>
      </c>
      <c r="O339" s="153">
        <f>O401</f>
        <v>787532</v>
      </c>
      <c r="P339" s="153">
        <f>N339+O339</f>
        <v>1140052</v>
      </c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8"/>
      <c r="DF339" s="138"/>
      <c r="DG339" s="138"/>
      <c r="DH339" s="138"/>
      <c r="DI339" s="138"/>
      <c r="DJ339" s="138"/>
      <c r="DK339" s="138"/>
      <c r="DL339" s="138"/>
      <c r="DM339" s="138"/>
      <c r="DN339" s="138"/>
      <c r="DO339" s="138"/>
      <c r="DP339" s="138"/>
      <c r="DQ339" s="138"/>
      <c r="DR339" s="138"/>
      <c r="DS339" s="138"/>
      <c r="DT339" s="138"/>
      <c r="DU339" s="138"/>
      <c r="DV339" s="138"/>
      <c r="DW339" s="138"/>
      <c r="DX339" s="138"/>
      <c r="DY339" s="138"/>
      <c r="DZ339" s="138"/>
      <c r="EA339" s="138"/>
      <c r="EB339" s="138"/>
      <c r="EC339" s="138"/>
      <c r="ED339" s="138"/>
      <c r="EE339" s="138"/>
      <c r="EF339" s="138"/>
      <c r="EG339" s="138"/>
      <c r="EH339" s="138"/>
      <c r="EI339" s="138"/>
      <c r="EJ339" s="138"/>
      <c r="EK339" s="138"/>
      <c r="EL339" s="138"/>
      <c r="EM339" s="138"/>
      <c r="EN339" s="138"/>
      <c r="EO339" s="138"/>
      <c r="EP339" s="138"/>
      <c r="EQ339" s="138"/>
      <c r="ER339" s="138"/>
      <c r="ES339" s="138"/>
      <c r="ET339" s="138"/>
      <c r="EU339" s="138"/>
      <c r="EV339" s="138"/>
      <c r="EW339" s="138"/>
      <c r="EX339" s="138"/>
      <c r="EY339" s="138"/>
      <c r="EZ339" s="138"/>
      <c r="FA339" s="138"/>
      <c r="FB339" s="138"/>
      <c r="FC339" s="138"/>
      <c r="FD339" s="138"/>
      <c r="FE339" s="138"/>
      <c r="FF339" s="138"/>
      <c r="FG339" s="138"/>
      <c r="FH339" s="138"/>
      <c r="FI339" s="138"/>
      <c r="FJ339" s="138"/>
      <c r="FK339" s="138"/>
      <c r="FL339" s="138"/>
      <c r="FM339" s="138"/>
      <c r="FN339" s="138"/>
      <c r="FO339" s="138"/>
      <c r="FP339" s="138"/>
      <c r="FQ339" s="138"/>
      <c r="FR339" s="138"/>
      <c r="FS339" s="138"/>
      <c r="FT339" s="138"/>
      <c r="FU339" s="138"/>
      <c r="FV339" s="138"/>
      <c r="FW339" s="138"/>
      <c r="FX339" s="138"/>
      <c r="FY339" s="138"/>
      <c r="FZ339" s="138"/>
      <c r="GA339" s="138"/>
      <c r="GB339" s="138"/>
      <c r="GC339" s="138"/>
      <c r="GD339" s="138"/>
      <c r="GE339" s="138"/>
      <c r="GF339" s="138"/>
      <c r="GG339" s="138"/>
      <c r="GH339" s="138"/>
      <c r="GI339" s="138"/>
      <c r="GJ339" s="138"/>
      <c r="GK339" s="138"/>
      <c r="GL339" s="138"/>
      <c r="GM339" s="138"/>
      <c r="GN339" s="138"/>
      <c r="GO339" s="138"/>
      <c r="GP339" s="138"/>
      <c r="GQ339" s="138"/>
      <c r="GR339" s="138"/>
      <c r="GS339" s="138"/>
      <c r="GT339" s="138"/>
      <c r="GU339" s="138"/>
      <c r="GV339" s="138"/>
      <c r="GW339" s="138"/>
      <c r="GX339" s="138"/>
      <c r="GY339" s="138"/>
      <c r="GZ339" s="138"/>
      <c r="HA339" s="138"/>
      <c r="HB339" s="138"/>
      <c r="HC339" s="138"/>
      <c r="HD339" s="138"/>
      <c r="HE339" s="138"/>
      <c r="HF339" s="138"/>
      <c r="HG339" s="138"/>
      <c r="HH339" s="138"/>
      <c r="HI339" s="138"/>
      <c r="HJ339" s="138"/>
      <c r="HK339" s="138"/>
      <c r="HL339" s="138"/>
      <c r="HM339" s="138"/>
      <c r="HN339" s="138"/>
      <c r="HO339" s="138"/>
      <c r="HP339" s="138"/>
      <c r="HQ339" s="138"/>
      <c r="HR339" s="138"/>
      <c r="HS339" s="138"/>
      <c r="HT339" s="138"/>
      <c r="HU339" s="138"/>
      <c r="HV339" s="138"/>
      <c r="HW339" s="138"/>
      <c r="HX339" s="138"/>
      <c r="HY339" s="138"/>
      <c r="HZ339" s="138"/>
      <c r="IA339" s="138"/>
    </row>
    <row r="340" spans="1:16" ht="36" customHeight="1">
      <c r="A340" s="8" t="s">
        <v>129</v>
      </c>
      <c r="B340" s="6"/>
      <c r="C340" s="6"/>
      <c r="D340" s="36"/>
      <c r="E340" s="36"/>
      <c r="F340" s="36"/>
      <c r="G340" s="36"/>
      <c r="H340" s="36"/>
      <c r="I340" s="36"/>
      <c r="J340" s="36"/>
      <c r="K340" s="7"/>
      <c r="L340" s="36"/>
      <c r="M340" s="36"/>
      <c r="N340" s="36"/>
      <c r="O340" s="36"/>
      <c r="P340" s="36"/>
    </row>
    <row r="341" spans="1:235" s="39" customFormat="1" ht="22.5">
      <c r="A341" s="34" t="s">
        <v>389</v>
      </c>
      <c r="B341" s="35"/>
      <c r="C341" s="35"/>
      <c r="D341" s="36">
        <f>D343</f>
        <v>2700000</v>
      </c>
      <c r="E341" s="36"/>
      <c r="F341" s="36">
        <f>F343</f>
        <v>2700000</v>
      </c>
      <c r="G341" s="36">
        <f>G345*G347+800000-2000-220000</f>
        <v>2578000</v>
      </c>
      <c r="H341" s="36"/>
      <c r="I341" s="36"/>
      <c r="J341" s="36">
        <f>J343</f>
        <v>2578000</v>
      </c>
      <c r="K341" s="36"/>
      <c r="L341" s="36"/>
      <c r="M341" s="36"/>
      <c r="N341" s="36">
        <f>N343</f>
        <v>2900000</v>
      </c>
      <c r="O341" s="36"/>
      <c r="P341" s="36">
        <f>N341</f>
        <v>2900000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30"/>
      <c r="E342" s="30"/>
      <c r="F342" s="30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269</v>
      </c>
      <c r="B343" s="6"/>
      <c r="C343" s="6"/>
      <c r="D343" s="7">
        <f>(D345*D347)+280000+700000</f>
        <v>2700000</v>
      </c>
      <c r="E343" s="7"/>
      <c r="F343" s="7">
        <f>D343</f>
        <v>2700000</v>
      </c>
      <c r="G343" s="7">
        <f>G345*G347+800000-2000-220000</f>
        <v>2578000</v>
      </c>
      <c r="H343" s="7"/>
      <c r="I343" s="7"/>
      <c r="J343" s="7">
        <f>G343</f>
        <v>2578000</v>
      </c>
      <c r="K343" s="7">
        <f>G343/D343*100</f>
        <v>95.48148148148148</v>
      </c>
      <c r="L343" s="7"/>
      <c r="M343" s="7"/>
      <c r="N343" s="7">
        <f>N345*N347+700000</f>
        <v>2900000</v>
      </c>
      <c r="O343" s="7"/>
      <c r="P343" s="7">
        <f>N343</f>
        <v>2900000</v>
      </c>
    </row>
    <row r="344" spans="1:16" ht="11.25">
      <c r="A344" s="5" t="s">
        <v>5</v>
      </c>
      <c r="B344" s="37"/>
      <c r="C344" s="37"/>
      <c r="D344" s="30"/>
      <c r="E344" s="30"/>
      <c r="F344" s="7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2.5">
      <c r="A345" s="8" t="s">
        <v>268</v>
      </c>
      <c r="B345" s="6"/>
      <c r="C345" s="6"/>
      <c r="D345" s="7">
        <v>8</v>
      </c>
      <c r="E345" s="7"/>
      <c r="F345" s="7">
        <f>D345</f>
        <v>8</v>
      </c>
      <c r="G345" s="7">
        <v>8</v>
      </c>
      <c r="H345" s="7"/>
      <c r="I345" s="7"/>
      <c r="J345" s="7">
        <f>G345</f>
        <v>8</v>
      </c>
      <c r="K345" s="7">
        <f>G345/D345*100</f>
        <v>100</v>
      </c>
      <c r="L345" s="7"/>
      <c r="M345" s="7"/>
      <c r="N345" s="7">
        <v>8</v>
      </c>
      <c r="O345" s="7"/>
      <c r="P345" s="7">
        <f>N345</f>
        <v>8</v>
      </c>
    </row>
    <row r="346" spans="1:16" ht="11.25">
      <c r="A346" s="5" t="s">
        <v>7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270</v>
      </c>
      <c r="B347" s="6"/>
      <c r="C347" s="6"/>
      <c r="D347" s="7">
        <v>215000</v>
      </c>
      <c r="E347" s="7"/>
      <c r="F347" s="7">
        <f>D347</f>
        <v>215000</v>
      </c>
      <c r="G347" s="7">
        <v>250000</v>
      </c>
      <c r="H347" s="7"/>
      <c r="I347" s="7"/>
      <c r="J347" s="7">
        <f>G347</f>
        <v>250000</v>
      </c>
      <c r="K347" s="7">
        <f>G347/D347*100</f>
        <v>116.27906976744187</v>
      </c>
      <c r="L347" s="7"/>
      <c r="M347" s="7"/>
      <c r="N347" s="7">
        <v>275000</v>
      </c>
      <c r="O347" s="7"/>
      <c r="P347" s="7">
        <f>N347</f>
        <v>275000</v>
      </c>
    </row>
    <row r="348" spans="1:235" s="39" customFormat="1" ht="36" customHeight="1">
      <c r="A348" s="34" t="s">
        <v>390</v>
      </c>
      <c r="B348" s="35"/>
      <c r="C348" s="35"/>
      <c r="D348" s="45">
        <f>D352*D355</f>
        <v>163000</v>
      </c>
      <c r="E348" s="45"/>
      <c r="F348" s="45">
        <f>D348+E348</f>
        <v>163000</v>
      </c>
      <c r="G348" s="45">
        <f aca="true" t="shared" si="45" ref="G348:M348">G352*G355</f>
        <v>300000</v>
      </c>
      <c r="H348" s="45"/>
      <c r="I348" s="45"/>
      <c r="J348" s="45">
        <f t="shared" si="45"/>
        <v>300000</v>
      </c>
      <c r="K348" s="45" t="e">
        <f t="shared" si="45"/>
        <v>#REF!</v>
      </c>
      <c r="L348" s="45">
        <f t="shared" si="45"/>
        <v>0</v>
      </c>
      <c r="M348" s="45">
        <f t="shared" si="45"/>
        <v>0</v>
      </c>
      <c r="N348" s="45">
        <f>N352*N355</f>
        <v>350000</v>
      </c>
      <c r="O348" s="45"/>
      <c r="P348" s="45" t="e">
        <f>P352*P355+P353*#REF!</f>
        <v>#REF!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  <c r="HJ348" s="38"/>
      <c r="HK348" s="38"/>
      <c r="HL348" s="38"/>
      <c r="HM348" s="38"/>
      <c r="HN348" s="38"/>
      <c r="HO348" s="38"/>
      <c r="HP348" s="38"/>
      <c r="HQ348" s="38"/>
      <c r="HR348" s="38"/>
      <c r="HS348" s="38"/>
      <c r="HT348" s="38"/>
      <c r="HU348" s="38"/>
      <c r="HV348" s="38"/>
      <c r="HW348" s="38"/>
      <c r="HX348" s="38"/>
      <c r="HY348" s="38"/>
      <c r="HZ348" s="38"/>
      <c r="IA348" s="38"/>
    </row>
    <row r="349" spans="1:16" ht="11.25">
      <c r="A349" s="5" t="s">
        <v>38</v>
      </c>
      <c r="B349" s="37"/>
      <c r="C349" s="37"/>
      <c r="D349" s="44"/>
      <c r="E349" s="44"/>
      <c r="F349" s="44"/>
      <c r="G349" s="30"/>
      <c r="H349" s="30"/>
      <c r="I349" s="30"/>
      <c r="J349" s="30"/>
      <c r="K349" s="7"/>
      <c r="L349" s="30"/>
      <c r="M349" s="30"/>
      <c r="N349" s="30"/>
      <c r="O349" s="30"/>
      <c r="P349" s="30"/>
    </row>
    <row r="350" spans="1:16" ht="23.25" customHeight="1">
      <c r="A350" s="8" t="s">
        <v>132</v>
      </c>
      <c r="B350" s="6"/>
      <c r="C350" s="6"/>
      <c r="D350" s="44">
        <v>2752</v>
      </c>
      <c r="E350" s="44"/>
      <c r="F350" s="44">
        <f>D350</f>
        <v>2752</v>
      </c>
      <c r="G350" s="44">
        <v>1752</v>
      </c>
      <c r="H350" s="44"/>
      <c r="I350" s="44"/>
      <c r="J350" s="44">
        <f>G350</f>
        <v>1752</v>
      </c>
      <c r="K350" s="7" t="e">
        <f>#REF!/G350*100</f>
        <v>#REF!</v>
      </c>
      <c r="L350" s="7"/>
      <c r="M350" s="7"/>
      <c r="N350" s="44">
        <v>952</v>
      </c>
      <c r="O350" s="44"/>
      <c r="P350" s="44">
        <f>N350</f>
        <v>952</v>
      </c>
    </row>
    <row r="351" spans="1:16" ht="11.25">
      <c r="A351" s="5" t="s">
        <v>5</v>
      </c>
      <c r="B351" s="37"/>
      <c r="C351" s="37"/>
      <c r="D351" s="44"/>
      <c r="E351" s="44"/>
      <c r="F351" s="44"/>
      <c r="G351" s="30"/>
      <c r="H351" s="30"/>
      <c r="I351" s="30"/>
      <c r="J351" s="7"/>
      <c r="K351" s="7"/>
      <c r="L351" s="30"/>
      <c r="M351" s="30"/>
      <c r="N351" s="30"/>
      <c r="O351" s="30"/>
      <c r="P351" s="7"/>
    </row>
    <row r="352" spans="1:16" ht="24" customHeight="1">
      <c r="A352" s="8" t="s">
        <v>130</v>
      </c>
      <c r="B352" s="6"/>
      <c r="C352" s="6"/>
      <c r="D352" s="44">
        <v>1000</v>
      </c>
      <c r="E352" s="44"/>
      <c r="F352" s="44">
        <f>D352</f>
        <v>1000</v>
      </c>
      <c r="G352" s="44">
        <v>800</v>
      </c>
      <c r="H352" s="44"/>
      <c r="I352" s="44"/>
      <c r="J352" s="44">
        <f>G352</f>
        <v>800</v>
      </c>
      <c r="K352" s="7" t="e">
        <f>#REF!/G352*100</f>
        <v>#REF!</v>
      </c>
      <c r="L352" s="7"/>
      <c r="M352" s="7"/>
      <c r="N352" s="44">
        <v>875</v>
      </c>
      <c r="O352" s="44"/>
      <c r="P352" s="44">
        <f>N352</f>
        <v>875</v>
      </c>
    </row>
    <row r="353" spans="1:16" ht="33.75" customHeight="1">
      <c r="A353" s="8" t="s">
        <v>202</v>
      </c>
      <c r="B353" s="6"/>
      <c r="C353" s="6"/>
      <c r="D353" s="44"/>
      <c r="E353" s="44"/>
      <c r="F353" s="44"/>
      <c r="G353" s="44">
        <v>0</v>
      </c>
      <c r="H353" s="44"/>
      <c r="I353" s="44"/>
      <c r="J353" s="44"/>
      <c r="K353" s="7"/>
      <c r="L353" s="7"/>
      <c r="M353" s="7"/>
      <c r="N353" s="44">
        <v>5</v>
      </c>
      <c r="O353" s="44"/>
      <c r="P353" s="44">
        <f>N353</f>
        <v>5</v>
      </c>
    </row>
    <row r="354" spans="1:16" ht="11.25">
      <c r="A354" s="5" t="s">
        <v>7</v>
      </c>
      <c r="B354" s="37"/>
      <c r="C354" s="37"/>
      <c r="D354" s="44"/>
      <c r="E354" s="44"/>
      <c r="F354" s="44"/>
      <c r="G354" s="44"/>
      <c r="H354" s="44"/>
      <c r="I354" s="44"/>
      <c r="J354" s="44"/>
      <c r="K354" s="7"/>
      <c r="L354" s="30"/>
      <c r="M354" s="30"/>
      <c r="N354" s="44"/>
      <c r="O354" s="44"/>
      <c r="P354" s="44"/>
    </row>
    <row r="355" spans="1:16" ht="24" customHeight="1">
      <c r="A355" s="8" t="s">
        <v>40</v>
      </c>
      <c r="B355" s="6"/>
      <c r="C355" s="6"/>
      <c r="D355" s="44">
        <v>163</v>
      </c>
      <c r="E355" s="44"/>
      <c r="F355" s="44">
        <f>D355</f>
        <v>163</v>
      </c>
      <c r="G355" s="44">
        <v>375</v>
      </c>
      <c r="H355" s="44"/>
      <c r="I355" s="44"/>
      <c r="J355" s="44">
        <f>G355</f>
        <v>375</v>
      </c>
      <c r="K355" s="7" t="e">
        <f>#REF!/G355*100</f>
        <v>#REF!</v>
      </c>
      <c r="L355" s="7"/>
      <c r="M355" s="7"/>
      <c r="N355" s="44">
        <v>400</v>
      </c>
      <c r="O355" s="44"/>
      <c r="P355" s="44">
        <f>N355</f>
        <v>400</v>
      </c>
    </row>
    <row r="356" spans="1:16" ht="11.25">
      <c r="A356" s="54" t="s">
        <v>6</v>
      </c>
      <c r="B356" s="55"/>
      <c r="C356" s="55"/>
      <c r="D356" s="48"/>
      <c r="E356" s="48"/>
      <c r="F356" s="48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235" s="22" customFormat="1" ht="39" customHeight="1">
      <c r="A357" s="8" t="s">
        <v>131</v>
      </c>
      <c r="B357" s="6"/>
      <c r="C357" s="6"/>
      <c r="D357" s="44">
        <f>D352/D350*100</f>
        <v>36.337209302325576</v>
      </c>
      <c r="E357" s="44"/>
      <c r="F357" s="44">
        <f>D357</f>
        <v>36.337209302325576</v>
      </c>
      <c r="G357" s="44">
        <f>G352/G350*100</f>
        <v>45.662100456621005</v>
      </c>
      <c r="H357" s="44"/>
      <c r="I357" s="44"/>
      <c r="J357" s="44">
        <f>G357</f>
        <v>45.662100456621005</v>
      </c>
      <c r="K357" s="7"/>
      <c r="L357" s="7"/>
      <c r="M357" s="7"/>
      <c r="N357" s="44">
        <f>N352/N350*100</f>
        <v>91.91176470588235</v>
      </c>
      <c r="O357" s="44"/>
      <c r="P357" s="44">
        <f>N357</f>
        <v>91.91176470588235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45.75" customHeight="1">
      <c r="A358" s="34" t="s">
        <v>399</v>
      </c>
      <c r="B358" s="6"/>
      <c r="C358" s="6"/>
      <c r="D358" s="44"/>
      <c r="E358" s="44"/>
      <c r="F358" s="44"/>
      <c r="G358" s="57">
        <f>G360</f>
        <v>250000</v>
      </c>
      <c r="H358" s="44"/>
      <c r="I358" s="44"/>
      <c r="J358" s="44">
        <f>G358</f>
        <v>250000</v>
      </c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15" customHeight="1">
      <c r="A359" s="5" t="s">
        <v>38</v>
      </c>
      <c r="B359" s="6"/>
      <c r="C359" s="6"/>
      <c r="D359" s="44"/>
      <c r="E359" s="44"/>
      <c r="F359" s="44"/>
      <c r="G359" s="44"/>
      <c r="H359" s="44"/>
      <c r="I359" s="44"/>
      <c r="J359" s="44"/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22.5" customHeight="1">
      <c r="A360" s="8" t="s">
        <v>402</v>
      </c>
      <c r="B360" s="6"/>
      <c r="C360" s="6"/>
      <c r="D360" s="44"/>
      <c r="E360" s="44"/>
      <c r="F360" s="44"/>
      <c r="G360" s="44">
        <f>G362*G364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.75" customHeight="1">
      <c r="A361" s="5" t="s">
        <v>5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400</v>
      </c>
      <c r="B362" s="6"/>
      <c r="C362" s="6"/>
      <c r="D362" s="44"/>
      <c r="E362" s="44"/>
      <c r="F362" s="44"/>
      <c r="G362" s="44">
        <v>5000</v>
      </c>
      <c r="H362" s="44"/>
      <c r="I362" s="44"/>
      <c r="J362" s="44">
        <f>G362</f>
        <v>5000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5" t="s">
        <v>7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401</v>
      </c>
      <c r="B364" s="6"/>
      <c r="C364" s="6"/>
      <c r="D364" s="44"/>
      <c r="E364" s="44"/>
      <c r="F364" s="44"/>
      <c r="G364" s="44">
        <v>50</v>
      </c>
      <c r="H364" s="44"/>
      <c r="I364" s="44"/>
      <c r="J364" s="44">
        <f>G364</f>
        <v>50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16.5" customHeight="1">
      <c r="A365" s="54" t="s">
        <v>6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131</v>
      </c>
      <c r="B366" s="6"/>
      <c r="C366" s="6"/>
      <c r="D366" s="44"/>
      <c r="E366" s="44"/>
      <c r="F366" s="44"/>
      <c r="G366" s="44"/>
      <c r="H366" s="44"/>
      <c r="I366" s="44"/>
      <c r="J366" s="44"/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37" t="s">
        <v>304</v>
      </c>
      <c r="B367" s="20"/>
      <c r="C367" s="20"/>
      <c r="D367" s="57">
        <f>D369+D379</f>
        <v>312380.003</v>
      </c>
      <c r="E367" s="57"/>
      <c r="F367" s="57">
        <f>F369+F379</f>
        <v>312380.003</v>
      </c>
      <c r="G367" s="57">
        <f>G369+G379</f>
        <v>343775</v>
      </c>
      <c r="H367" s="57"/>
      <c r="I367" s="57"/>
      <c r="J367" s="57">
        <f>J369+J379</f>
        <v>343775</v>
      </c>
      <c r="K367" s="57"/>
      <c r="L367" s="57"/>
      <c r="M367" s="57"/>
      <c r="N367" s="57">
        <f>N369+N379</f>
        <v>352520</v>
      </c>
      <c r="O367" s="57"/>
      <c r="P367" s="57">
        <f>P369+P379</f>
        <v>352520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4" customHeight="1">
      <c r="A368" s="8" t="s">
        <v>281</v>
      </c>
      <c r="B368" s="20"/>
      <c r="C368" s="20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60" customFormat="1" ht="44.25" customHeight="1">
      <c r="A369" s="58" t="s">
        <v>406</v>
      </c>
      <c r="B369" s="58"/>
      <c r="C369" s="58"/>
      <c r="D369" s="45">
        <f>D371+D372</f>
        <v>209000.003</v>
      </c>
      <c r="E369" s="45"/>
      <c r="F369" s="45">
        <f>F371+F372</f>
        <v>209000.003</v>
      </c>
      <c r="G369" s="45">
        <f>G371+G372</f>
        <v>224075</v>
      </c>
      <c r="H369" s="45"/>
      <c r="I369" s="45"/>
      <c r="J369" s="45">
        <f>J371+J372</f>
        <v>224075</v>
      </c>
      <c r="K369" s="45"/>
      <c r="L369" s="45"/>
      <c r="M369" s="45"/>
      <c r="N369" s="45">
        <f>N371+N372</f>
        <v>237530</v>
      </c>
      <c r="O369" s="45"/>
      <c r="P369" s="45">
        <f>P371+P372</f>
        <v>237530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</row>
    <row r="370" spans="1:16" ht="11.25">
      <c r="A370" s="61" t="s">
        <v>4</v>
      </c>
      <c r="B370" s="61"/>
      <c r="C370" s="61"/>
      <c r="D370" s="62"/>
      <c r="E370" s="62"/>
      <c r="F370" s="62"/>
      <c r="G370" s="62"/>
      <c r="H370" s="62"/>
      <c r="I370" s="62"/>
      <c r="J370" s="62"/>
      <c r="K370" s="63"/>
      <c r="L370" s="62"/>
      <c r="M370" s="62"/>
      <c r="N370" s="62"/>
      <c r="O370" s="62"/>
      <c r="P370" s="62"/>
    </row>
    <row r="371" spans="1:16" ht="33.75">
      <c r="A371" s="11" t="s">
        <v>394</v>
      </c>
      <c r="B371" s="11"/>
      <c r="C371" s="11"/>
      <c r="D371" s="43">
        <f>D374*D377</f>
        <v>132000.003</v>
      </c>
      <c r="E371" s="43"/>
      <c r="F371" s="43">
        <f>F374*F377</f>
        <v>132000.003</v>
      </c>
      <c r="G371" s="43">
        <f>G374*G377</f>
        <v>141525</v>
      </c>
      <c r="H371" s="43"/>
      <c r="I371" s="43"/>
      <c r="J371" s="43">
        <f>J374*J377</f>
        <v>141525</v>
      </c>
      <c r="K371" s="43">
        <f>G371/D371*100</f>
        <v>107.21590665418394</v>
      </c>
      <c r="L371" s="43"/>
      <c r="M371" s="43"/>
      <c r="N371" s="43">
        <f>N374*N377</f>
        <v>150030</v>
      </c>
      <c r="O371" s="43"/>
      <c r="P371" s="43">
        <f>P374*P377</f>
        <v>150030</v>
      </c>
    </row>
    <row r="372" spans="1:16" ht="36.75" customHeight="1">
      <c r="A372" s="11" t="s">
        <v>395</v>
      </c>
      <c r="B372" s="11"/>
      <c r="C372" s="11"/>
      <c r="D372" s="43">
        <f>D375*D378</f>
        <v>77000</v>
      </c>
      <c r="E372" s="43"/>
      <c r="F372" s="43">
        <f>F375*F378</f>
        <v>77000</v>
      </c>
      <c r="G372" s="43">
        <f>G375*G378</f>
        <v>82550</v>
      </c>
      <c r="H372" s="43"/>
      <c r="I372" s="43"/>
      <c r="J372" s="43">
        <f>J375*J378</f>
        <v>82550</v>
      </c>
      <c r="K372" s="43"/>
      <c r="L372" s="43"/>
      <c r="M372" s="43"/>
      <c r="N372" s="43">
        <f>N375*N378</f>
        <v>87500</v>
      </c>
      <c r="O372" s="43"/>
      <c r="P372" s="43">
        <f>P375*P378</f>
        <v>87500</v>
      </c>
    </row>
    <row r="373" spans="1:16" ht="11.25">
      <c r="A373" s="13" t="s">
        <v>5</v>
      </c>
      <c r="B373" s="13"/>
      <c r="C373" s="13"/>
      <c r="D373" s="10"/>
      <c r="E373" s="10"/>
      <c r="F373" s="43"/>
      <c r="G373" s="10"/>
      <c r="H373" s="10"/>
      <c r="I373" s="10"/>
      <c r="J373" s="43"/>
      <c r="K373" s="43"/>
      <c r="L373" s="10"/>
      <c r="M373" s="10"/>
      <c r="N373" s="10"/>
      <c r="O373" s="10"/>
      <c r="P373" s="43"/>
    </row>
    <row r="374" spans="1:16" ht="25.5" customHeight="1">
      <c r="A374" s="11" t="s">
        <v>283</v>
      </c>
      <c r="B374" s="11"/>
      <c r="C374" s="11"/>
      <c r="D374" s="43">
        <v>9</v>
      </c>
      <c r="E374" s="43"/>
      <c r="F374" s="43">
        <f>D374</f>
        <v>9</v>
      </c>
      <c r="G374" s="43">
        <v>9</v>
      </c>
      <c r="H374" s="43"/>
      <c r="I374" s="43"/>
      <c r="J374" s="43">
        <f>G374+H374</f>
        <v>9</v>
      </c>
      <c r="K374" s="43">
        <f>G374/D374*100</f>
        <v>100</v>
      </c>
      <c r="L374" s="43"/>
      <c r="M374" s="43"/>
      <c r="N374" s="43">
        <v>9</v>
      </c>
      <c r="O374" s="43"/>
      <c r="P374" s="43">
        <f>N374</f>
        <v>9</v>
      </c>
    </row>
    <row r="375" spans="1:16" ht="25.5" customHeight="1">
      <c r="A375" s="11" t="s">
        <v>282</v>
      </c>
      <c r="B375" s="11"/>
      <c r="C375" s="11"/>
      <c r="D375" s="43">
        <v>10</v>
      </c>
      <c r="E375" s="43"/>
      <c r="F375" s="43">
        <v>10</v>
      </c>
      <c r="G375" s="43">
        <v>10</v>
      </c>
      <c r="H375" s="43"/>
      <c r="I375" s="43"/>
      <c r="J375" s="43">
        <v>10</v>
      </c>
      <c r="K375" s="43"/>
      <c r="L375" s="43"/>
      <c r="M375" s="43"/>
      <c r="N375" s="43">
        <v>10</v>
      </c>
      <c r="O375" s="43"/>
      <c r="P375" s="43">
        <v>10</v>
      </c>
    </row>
    <row r="376" spans="1:16" ht="11.25">
      <c r="A376" s="13" t="s">
        <v>7</v>
      </c>
      <c r="B376" s="13"/>
      <c r="C376" s="13"/>
      <c r="D376" s="64"/>
      <c r="E376" s="64"/>
      <c r="F376" s="65"/>
      <c r="G376" s="64"/>
      <c r="H376" s="64"/>
      <c r="I376" s="64"/>
      <c r="J376" s="65"/>
      <c r="K376" s="65"/>
      <c r="L376" s="64"/>
      <c r="M376" s="64"/>
      <c r="N376" s="64"/>
      <c r="O376" s="64"/>
      <c r="P376" s="65"/>
    </row>
    <row r="377" spans="1:16" ht="33.75">
      <c r="A377" s="11" t="s">
        <v>284</v>
      </c>
      <c r="B377" s="11"/>
      <c r="C377" s="11"/>
      <c r="D377" s="65">
        <v>14666.667</v>
      </c>
      <c r="E377" s="65"/>
      <c r="F377" s="65">
        <f>D377</f>
        <v>14666.667</v>
      </c>
      <c r="G377" s="65">
        <v>15725</v>
      </c>
      <c r="H377" s="65"/>
      <c r="I377" s="65"/>
      <c r="J377" s="65">
        <f>G377</f>
        <v>15725</v>
      </c>
      <c r="K377" s="65">
        <f>G377/D377*100</f>
        <v>107.21590665418394</v>
      </c>
      <c r="L377" s="65"/>
      <c r="M377" s="65"/>
      <c r="N377" s="65">
        <v>16670</v>
      </c>
      <c r="O377" s="65"/>
      <c r="P377" s="65">
        <f>N377</f>
        <v>16670</v>
      </c>
    </row>
    <row r="378" spans="1:16" ht="24" customHeight="1">
      <c r="A378" s="11" t="s">
        <v>285</v>
      </c>
      <c r="B378" s="11"/>
      <c r="C378" s="11"/>
      <c r="D378" s="43">
        <v>7700</v>
      </c>
      <c r="E378" s="43"/>
      <c r="F378" s="43">
        <v>7700</v>
      </c>
      <c r="G378" s="43">
        <v>8255</v>
      </c>
      <c r="H378" s="43"/>
      <c r="I378" s="43"/>
      <c r="J378" s="43">
        <v>8255</v>
      </c>
      <c r="K378" s="65"/>
      <c r="L378" s="65"/>
      <c r="M378" s="65"/>
      <c r="N378" s="43">
        <v>8750</v>
      </c>
      <c r="O378" s="43"/>
      <c r="P378" s="43">
        <v>8750</v>
      </c>
    </row>
    <row r="379" spans="1:235" s="39" customFormat="1" ht="33.75">
      <c r="A379" s="9" t="s">
        <v>407</v>
      </c>
      <c r="B379" s="9"/>
      <c r="C379" s="9"/>
      <c r="D379" s="10">
        <f>D381+D382+D383+D384+D385+D386</f>
        <v>103380</v>
      </c>
      <c r="E379" s="10"/>
      <c r="F379" s="10">
        <f>D379+E379</f>
        <v>103380</v>
      </c>
      <c r="G379" s="10">
        <f>G381+G382+G383+G384+G385+G386</f>
        <v>119700</v>
      </c>
      <c r="H379" s="10"/>
      <c r="I379" s="10"/>
      <c r="J379" s="10">
        <f>G379+H379</f>
        <v>119700</v>
      </c>
      <c r="K379" s="10"/>
      <c r="L379" s="10"/>
      <c r="M379" s="10"/>
      <c r="N379" s="10">
        <f>N381+N382+N383+N384+N385+N386</f>
        <v>114990</v>
      </c>
      <c r="O379" s="10"/>
      <c r="P379" s="10">
        <f>N379</f>
        <v>114990</v>
      </c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11.25">
      <c r="A380" s="61" t="s">
        <v>4</v>
      </c>
      <c r="B380" s="9"/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2.25" customHeight="1">
      <c r="A381" s="9" t="s">
        <v>286</v>
      </c>
      <c r="B381" s="9"/>
      <c r="C381" s="9"/>
      <c r="D381" s="10">
        <f>D388*D395</f>
        <v>7200</v>
      </c>
      <c r="E381" s="10"/>
      <c r="F381" s="10">
        <f aca="true" t="shared" si="46" ref="F381:F386">D381+E381</f>
        <v>7200</v>
      </c>
      <c r="G381" s="10">
        <f>G388*G395</f>
        <v>7800</v>
      </c>
      <c r="H381" s="10"/>
      <c r="I381" s="10"/>
      <c r="J381" s="10">
        <f aca="true" t="shared" si="47" ref="J381:J386">G381+H381</f>
        <v>7800</v>
      </c>
      <c r="K381" s="10"/>
      <c r="L381" s="10"/>
      <c r="M381" s="10"/>
      <c r="N381" s="10">
        <f>N388*N395</f>
        <v>8250</v>
      </c>
      <c r="O381" s="10"/>
      <c r="P381" s="10">
        <f aca="true" t="shared" si="48" ref="P381:P386">N381+O381</f>
        <v>8250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287</v>
      </c>
      <c r="B382" s="9"/>
      <c r="C382" s="9"/>
      <c r="D382" s="10">
        <f>D396*D389</f>
        <v>22800</v>
      </c>
      <c r="E382" s="10"/>
      <c r="F382" s="10">
        <f t="shared" si="46"/>
        <v>22800</v>
      </c>
      <c r="G382" s="10">
        <f>G396*G389</f>
        <v>24600</v>
      </c>
      <c r="H382" s="10"/>
      <c r="I382" s="10"/>
      <c r="J382" s="10">
        <f t="shared" si="47"/>
        <v>24600</v>
      </c>
      <c r="K382" s="10"/>
      <c r="L382" s="10"/>
      <c r="M382" s="10"/>
      <c r="N382" s="10">
        <f>N396*N389</f>
        <v>26100</v>
      </c>
      <c r="O382" s="10"/>
      <c r="P382" s="10">
        <f t="shared" si="48"/>
        <v>26100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288</v>
      </c>
      <c r="B383" s="9"/>
      <c r="C383" s="9"/>
      <c r="D383" s="10">
        <f>D390*D397</f>
        <v>40500</v>
      </c>
      <c r="E383" s="10"/>
      <c r="F383" s="10">
        <f t="shared" si="46"/>
        <v>40500</v>
      </c>
      <c r="G383" s="10">
        <f>G390*G397</f>
        <v>43500</v>
      </c>
      <c r="H383" s="10"/>
      <c r="I383" s="10"/>
      <c r="J383" s="10">
        <f t="shared" si="47"/>
        <v>43500</v>
      </c>
      <c r="K383" s="10"/>
      <c r="L383" s="10"/>
      <c r="M383" s="10"/>
      <c r="N383" s="10">
        <f>N390*N397</f>
        <v>46200</v>
      </c>
      <c r="O383" s="10"/>
      <c r="P383" s="10">
        <f t="shared" si="48"/>
        <v>46200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289</v>
      </c>
      <c r="B384" s="9"/>
      <c r="C384" s="9"/>
      <c r="D384" s="10">
        <f>D398*D391</f>
        <v>25200</v>
      </c>
      <c r="E384" s="10"/>
      <c r="F384" s="10">
        <f t="shared" si="46"/>
        <v>25200</v>
      </c>
      <c r="G384" s="10">
        <f>G391*G398</f>
        <v>27000</v>
      </c>
      <c r="H384" s="10"/>
      <c r="I384" s="10"/>
      <c r="J384" s="10">
        <f t="shared" si="47"/>
        <v>27000</v>
      </c>
      <c r="K384" s="10"/>
      <c r="L384" s="10"/>
      <c r="M384" s="10"/>
      <c r="N384" s="10">
        <f>N398*N391</f>
        <v>28800</v>
      </c>
      <c r="O384" s="10"/>
      <c r="P384" s="10">
        <f t="shared" si="48"/>
        <v>28800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22.5">
      <c r="A385" s="9" t="s">
        <v>290</v>
      </c>
      <c r="B385" s="9"/>
      <c r="C385" s="9"/>
      <c r="D385" s="10">
        <f>D392*D399</f>
        <v>6120</v>
      </c>
      <c r="E385" s="10"/>
      <c r="F385" s="10">
        <f t="shared" si="46"/>
        <v>6120</v>
      </c>
      <c r="G385" s="10">
        <f>G392*G399</f>
        <v>6600</v>
      </c>
      <c r="H385" s="10"/>
      <c r="I385" s="10"/>
      <c r="J385" s="10">
        <f t="shared" si="47"/>
        <v>6600</v>
      </c>
      <c r="K385" s="10"/>
      <c r="L385" s="10"/>
      <c r="M385" s="10"/>
      <c r="N385" s="10">
        <f>N392*N398</f>
        <v>3840</v>
      </c>
      <c r="O385" s="10"/>
      <c r="P385" s="10">
        <f t="shared" si="48"/>
        <v>3840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291</v>
      </c>
      <c r="B386" s="9"/>
      <c r="C386" s="9"/>
      <c r="D386" s="10">
        <f>D393*D400</f>
        <v>1560</v>
      </c>
      <c r="E386" s="10"/>
      <c r="F386" s="10">
        <f t="shared" si="46"/>
        <v>1560</v>
      </c>
      <c r="G386" s="10">
        <v>10200</v>
      </c>
      <c r="H386" s="10"/>
      <c r="I386" s="10"/>
      <c r="J386" s="10">
        <f t="shared" si="47"/>
        <v>10200</v>
      </c>
      <c r="K386" s="10"/>
      <c r="L386" s="10"/>
      <c r="M386" s="10"/>
      <c r="N386" s="10">
        <f>N393*N400</f>
        <v>1800</v>
      </c>
      <c r="O386" s="10"/>
      <c r="P386" s="10">
        <f t="shared" si="48"/>
        <v>1800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16" ht="11.25">
      <c r="A387" s="13" t="s">
        <v>5</v>
      </c>
      <c r="B387" s="13"/>
      <c r="C387" s="13"/>
      <c r="D387" s="64"/>
      <c r="E387" s="64"/>
      <c r="F387" s="65"/>
      <c r="G387" s="64"/>
      <c r="H387" s="64"/>
      <c r="I387" s="64"/>
      <c r="J387" s="65"/>
      <c r="K387" s="65"/>
      <c r="L387" s="64"/>
      <c r="M387" s="64"/>
      <c r="N387" s="64"/>
      <c r="O387" s="64"/>
      <c r="P387" s="65"/>
    </row>
    <row r="388" spans="1:16" ht="33.75" customHeight="1">
      <c r="A388" s="11" t="s">
        <v>292</v>
      </c>
      <c r="B388" s="11"/>
      <c r="C388" s="11"/>
      <c r="D388" s="66">
        <v>30</v>
      </c>
      <c r="E388" s="66"/>
      <c r="F388" s="66">
        <f aca="true" t="shared" si="49" ref="F388:F393">D388+E388</f>
        <v>30</v>
      </c>
      <c r="G388" s="66">
        <v>30</v>
      </c>
      <c r="H388" s="66"/>
      <c r="I388" s="66"/>
      <c r="J388" s="66">
        <f aca="true" t="shared" si="50" ref="J388:J393">G388+H388</f>
        <v>30</v>
      </c>
      <c r="K388" s="66">
        <f aca="true" t="shared" si="51" ref="K388:K393">G388/D388*100</f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9" customHeight="1">
      <c r="A389" s="11" t="s">
        <v>293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3.75" customHeight="1">
      <c r="A390" s="11" t="s">
        <v>294</v>
      </c>
      <c r="B390" s="11"/>
      <c r="C390" s="11"/>
      <c r="D390" s="66">
        <v>30</v>
      </c>
      <c r="E390" s="66"/>
      <c r="F390" s="66">
        <f t="shared" si="49"/>
        <v>30</v>
      </c>
      <c r="G390" s="66">
        <v>30</v>
      </c>
      <c r="H390" s="66"/>
      <c r="I390" s="66"/>
      <c r="J390" s="66">
        <f t="shared" si="50"/>
        <v>30</v>
      </c>
      <c r="K390" s="66">
        <f t="shared" si="51"/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295</v>
      </c>
      <c r="B391" s="11"/>
      <c r="C391" s="11"/>
      <c r="D391" s="66">
        <v>90</v>
      </c>
      <c r="E391" s="66"/>
      <c r="F391" s="66">
        <f t="shared" si="49"/>
        <v>90</v>
      </c>
      <c r="G391" s="66">
        <v>90</v>
      </c>
      <c r="H391" s="66"/>
      <c r="I391" s="66"/>
      <c r="J391" s="66">
        <f t="shared" si="50"/>
        <v>90</v>
      </c>
      <c r="K391" s="66">
        <f t="shared" si="51"/>
        <v>100</v>
      </c>
      <c r="L391" s="66"/>
      <c r="M391" s="66"/>
      <c r="N391" s="66">
        <v>90</v>
      </c>
      <c r="O391" s="66"/>
      <c r="P391" s="66">
        <f>N391+O391</f>
        <v>90</v>
      </c>
    </row>
    <row r="392" spans="1:16" ht="22.5">
      <c r="A392" s="11" t="s">
        <v>296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22.5">
      <c r="A393" s="11" t="s">
        <v>297</v>
      </c>
      <c r="B393" s="11"/>
      <c r="C393" s="11"/>
      <c r="D393" s="66">
        <v>12</v>
      </c>
      <c r="E393" s="66"/>
      <c r="F393" s="66">
        <f t="shared" si="49"/>
        <v>12</v>
      </c>
      <c r="G393" s="66">
        <v>12</v>
      </c>
      <c r="H393" s="66"/>
      <c r="I393" s="66"/>
      <c r="J393" s="66">
        <f t="shared" si="50"/>
        <v>12</v>
      </c>
      <c r="K393" s="66">
        <f t="shared" si="51"/>
        <v>100</v>
      </c>
      <c r="L393" s="66"/>
      <c r="M393" s="66"/>
      <c r="N393" s="66">
        <v>12</v>
      </c>
      <c r="O393" s="66"/>
      <c r="P393" s="66">
        <f>N393</f>
        <v>12</v>
      </c>
    </row>
    <row r="394" spans="1:16" ht="11.25">
      <c r="A394" s="13" t="s">
        <v>7</v>
      </c>
      <c r="B394" s="13"/>
      <c r="C394" s="13"/>
      <c r="D394" s="10"/>
      <c r="E394" s="10"/>
      <c r="F394" s="43"/>
      <c r="G394" s="10"/>
      <c r="H394" s="10"/>
      <c r="I394" s="10"/>
      <c r="J394" s="43"/>
      <c r="K394" s="43"/>
      <c r="L394" s="10"/>
      <c r="M394" s="10"/>
      <c r="N394" s="10"/>
      <c r="O394" s="10"/>
      <c r="P394" s="43"/>
    </row>
    <row r="395" spans="1:16" ht="41.25" customHeight="1">
      <c r="A395" s="11" t="s">
        <v>298</v>
      </c>
      <c r="B395" s="11"/>
      <c r="C395" s="11"/>
      <c r="D395" s="43">
        <v>240</v>
      </c>
      <c r="E395" s="43"/>
      <c r="F395" s="43">
        <f aca="true" t="shared" si="52" ref="F395:F400">D395+E395</f>
        <v>240</v>
      </c>
      <c r="G395" s="43">
        <v>260</v>
      </c>
      <c r="H395" s="43"/>
      <c r="I395" s="43"/>
      <c r="J395" s="43">
        <f aca="true" t="shared" si="53" ref="J395:J400">G395+H395</f>
        <v>260</v>
      </c>
      <c r="K395" s="43">
        <f>G395/D395*100</f>
        <v>108.33333333333333</v>
      </c>
      <c r="L395" s="43"/>
      <c r="M395" s="43"/>
      <c r="N395" s="43">
        <v>275</v>
      </c>
      <c r="O395" s="43"/>
      <c r="P395" s="43">
        <f>N395+O395</f>
        <v>275</v>
      </c>
    </row>
    <row r="396" spans="1:16" ht="33.75">
      <c r="A396" s="11" t="s">
        <v>299</v>
      </c>
      <c r="B396" s="11"/>
      <c r="C396" s="11"/>
      <c r="D396" s="65">
        <v>760</v>
      </c>
      <c r="E396" s="65"/>
      <c r="F396" s="65">
        <f t="shared" si="52"/>
        <v>760</v>
      </c>
      <c r="G396" s="65">
        <v>820</v>
      </c>
      <c r="H396" s="65"/>
      <c r="I396" s="65"/>
      <c r="J396" s="65">
        <f t="shared" si="53"/>
        <v>820</v>
      </c>
      <c r="K396" s="65">
        <f>G396/D396*100</f>
        <v>107.89473684210526</v>
      </c>
      <c r="L396" s="65"/>
      <c r="M396" s="65"/>
      <c r="N396" s="65">
        <v>870</v>
      </c>
      <c r="O396" s="65"/>
      <c r="P396" s="65">
        <f>N396+O396</f>
        <v>870</v>
      </c>
    </row>
    <row r="397" spans="1:16" ht="33.75" customHeight="1">
      <c r="A397" s="11" t="s">
        <v>300</v>
      </c>
      <c r="B397" s="11"/>
      <c r="C397" s="11"/>
      <c r="D397" s="43">
        <v>1350</v>
      </c>
      <c r="E397" s="43"/>
      <c r="F397" s="43">
        <f t="shared" si="52"/>
        <v>1350</v>
      </c>
      <c r="G397" s="43">
        <v>1450</v>
      </c>
      <c r="H397" s="43"/>
      <c r="I397" s="43"/>
      <c r="J397" s="43">
        <f t="shared" si="53"/>
        <v>1450</v>
      </c>
      <c r="K397" s="65"/>
      <c r="L397" s="65"/>
      <c r="M397" s="65"/>
      <c r="N397" s="43">
        <v>1540</v>
      </c>
      <c r="O397" s="43"/>
      <c r="P397" s="43">
        <f>N397</f>
        <v>1540</v>
      </c>
    </row>
    <row r="398" spans="1:16" ht="38.25" customHeight="1">
      <c r="A398" s="11" t="s">
        <v>301</v>
      </c>
      <c r="B398" s="11"/>
      <c r="C398" s="11"/>
      <c r="D398" s="43">
        <v>280</v>
      </c>
      <c r="E398" s="43"/>
      <c r="F398" s="43">
        <f t="shared" si="52"/>
        <v>280</v>
      </c>
      <c r="G398" s="43">
        <v>300</v>
      </c>
      <c r="H398" s="43"/>
      <c r="I398" s="43"/>
      <c r="J398" s="43">
        <f t="shared" si="53"/>
        <v>300</v>
      </c>
      <c r="K398" s="65"/>
      <c r="L398" s="65"/>
      <c r="M398" s="65"/>
      <c r="N398" s="43">
        <v>320</v>
      </c>
      <c r="O398" s="43"/>
      <c r="P398" s="43">
        <f>N398</f>
        <v>320</v>
      </c>
    </row>
    <row r="399" spans="1:16" ht="22.5">
      <c r="A399" s="11" t="s">
        <v>302</v>
      </c>
      <c r="B399" s="11"/>
      <c r="C399" s="11"/>
      <c r="D399" s="43">
        <v>510</v>
      </c>
      <c r="E399" s="43"/>
      <c r="F399" s="43">
        <f t="shared" si="52"/>
        <v>510</v>
      </c>
      <c r="G399" s="43">
        <v>550</v>
      </c>
      <c r="H399" s="43"/>
      <c r="I399" s="43"/>
      <c r="J399" s="43">
        <f t="shared" si="53"/>
        <v>550</v>
      </c>
      <c r="K399" s="65"/>
      <c r="L399" s="65"/>
      <c r="M399" s="65"/>
      <c r="N399" s="43">
        <v>585</v>
      </c>
      <c r="O399" s="43"/>
      <c r="P399" s="43">
        <f>N399</f>
        <v>585</v>
      </c>
    </row>
    <row r="400" spans="1:16" ht="22.5">
      <c r="A400" s="11" t="s">
        <v>303</v>
      </c>
      <c r="B400" s="11"/>
      <c r="C400" s="11"/>
      <c r="D400" s="43">
        <v>130</v>
      </c>
      <c r="E400" s="43"/>
      <c r="F400" s="43">
        <f t="shared" si="52"/>
        <v>130</v>
      </c>
      <c r="G400" s="43">
        <v>850</v>
      </c>
      <c r="H400" s="43"/>
      <c r="I400" s="43"/>
      <c r="J400" s="43">
        <f t="shared" si="53"/>
        <v>850</v>
      </c>
      <c r="K400" s="65"/>
      <c r="L400" s="65"/>
      <c r="M400" s="65"/>
      <c r="N400" s="43">
        <v>150</v>
      </c>
      <c r="O400" s="43"/>
      <c r="P400" s="43">
        <f>N400+O400</f>
        <v>150</v>
      </c>
    </row>
    <row r="401" spans="1:16" ht="11.25">
      <c r="A401" s="125" t="s">
        <v>426</v>
      </c>
      <c r="B401" s="13"/>
      <c r="C401" s="13"/>
      <c r="D401" s="10"/>
      <c r="E401" s="10">
        <f>E403+E419</f>
        <v>692840</v>
      </c>
      <c r="F401" s="10">
        <f>F403+F419</f>
        <v>692840</v>
      </c>
      <c r="G401" s="10"/>
      <c r="H401" s="10">
        <f>H403+H419</f>
        <v>763900</v>
      </c>
      <c r="I401" s="10"/>
      <c r="J401" s="10">
        <f>J403+J419</f>
        <v>763900</v>
      </c>
      <c r="K401" s="64"/>
      <c r="L401" s="64"/>
      <c r="M401" s="64"/>
      <c r="N401" s="10"/>
      <c r="O401" s="10">
        <f>O403+O419</f>
        <v>787532</v>
      </c>
      <c r="P401" s="10">
        <f>P403+P419</f>
        <v>787532</v>
      </c>
    </row>
    <row r="402" spans="1:16" ht="101.25">
      <c r="A402" s="12" t="s">
        <v>306</v>
      </c>
      <c r="B402" s="11"/>
      <c r="C402" s="11"/>
      <c r="D402" s="43"/>
      <c r="E402" s="43"/>
      <c r="F402" s="43"/>
      <c r="G402" s="43"/>
      <c r="H402" s="43"/>
      <c r="I402" s="43"/>
      <c r="J402" s="43"/>
      <c r="K402" s="65"/>
      <c r="L402" s="65"/>
      <c r="M402" s="65"/>
      <c r="N402" s="43"/>
      <c r="O402" s="43"/>
      <c r="P402" s="43"/>
    </row>
    <row r="403" spans="1:16" ht="66.75" customHeight="1">
      <c r="A403" s="67" t="s">
        <v>408</v>
      </c>
      <c r="B403" s="11"/>
      <c r="C403" s="11"/>
      <c r="D403" s="43"/>
      <c r="E403" s="43">
        <f>E405+E406+E407+E408</f>
        <v>428840</v>
      </c>
      <c r="F403" s="43">
        <f>D403+E403</f>
        <v>428840</v>
      </c>
      <c r="G403" s="43"/>
      <c r="H403" s="43">
        <f>H405+H406+H407+H408</f>
        <v>480700</v>
      </c>
      <c r="I403" s="43"/>
      <c r="J403" s="43">
        <f>J405+J406+J407+J408</f>
        <v>480700</v>
      </c>
      <c r="K403" s="65"/>
      <c r="L403" s="65"/>
      <c r="M403" s="65"/>
      <c r="N403" s="43"/>
      <c r="O403" s="43">
        <f>O405+O406+O407+O408</f>
        <v>487340</v>
      </c>
      <c r="P403" s="43">
        <f>P405+P406+P407+P408</f>
        <v>487340</v>
      </c>
    </row>
    <row r="404" spans="1:16" ht="11.25">
      <c r="A404" s="13" t="s">
        <v>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33.75">
      <c r="A405" s="8" t="s">
        <v>308</v>
      </c>
      <c r="B405" s="11"/>
      <c r="C405" s="11"/>
      <c r="D405" s="43"/>
      <c r="E405" s="43">
        <f>E410*E415</f>
        <v>387500</v>
      </c>
      <c r="F405" s="43">
        <f>D405+E405</f>
        <v>387500</v>
      </c>
      <c r="G405" s="43"/>
      <c r="H405" s="43">
        <f>H410*H415</f>
        <v>415000</v>
      </c>
      <c r="I405" s="43"/>
      <c r="J405" s="43">
        <f>G405+H405</f>
        <v>415000</v>
      </c>
      <c r="K405" s="65"/>
      <c r="L405" s="65"/>
      <c r="M405" s="65"/>
      <c r="N405" s="43"/>
      <c r="O405" s="43">
        <f>O410*O415</f>
        <v>440000</v>
      </c>
      <c r="P405" s="43">
        <f>N405+O405</f>
        <v>440000</v>
      </c>
    </row>
    <row r="406" spans="1:16" ht="22.5">
      <c r="A406" s="8" t="s">
        <v>307</v>
      </c>
      <c r="B406" s="11"/>
      <c r="C406" s="11"/>
      <c r="D406" s="43"/>
      <c r="E406" s="43">
        <f>E411*E416</f>
        <v>12240</v>
      </c>
      <c r="F406" s="43">
        <f>D406+E406</f>
        <v>12240</v>
      </c>
      <c r="G406" s="43"/>
      <c r="H406" s="43">
        <f>H411*H416</f>
        <v>13200</v>
      </c>
      <c r="I406" s="43"/>
      <c r="J406" s="43">
        <f>G406+H406</f>
        <v>13200</v>
      </c>
      <c r="K406" s="65"/>
      <c r="L406" s="65"/>
      <c r="M406" s="65"/>
      <c r="N406" s="43"/>
      <c r="O406" s="43">
        <f>O411*O416</f>
        <v>14040</v>
      </c>
      <c r="P406" s="43">
        <f>N406+O406</f>
        <v>14040</v>
      </c>
    </row>
    <row r="407" spans="1:16" ht="33.75">
      <c r="A407" s="8" t="s">
        <v>309</v>
      </c>
      <c r="B407" s="11"/>
      <c r="C407" s="11"/>
      <c r="D407" s="43"/>
      <c r="E407" s="43">
        <f>E412*E417</f>
        <v>25200</v>
      </c>
      <c r="F407" s="43">
        <f>D407+E407</f>
        <v>25200</v>
      </c>
      <c r="G407" s="43"/>
      <c r="H407" s="43">
        <f>H412*H417</f>
        <v>27000</v>
      </c>
      <c r="I407" s="43"/>
      <c r="J407" s="43">
        <f>G407+H407</f>
        <v>27000</v>
      </c>
      <c r="K407" s="65"/>
      <c r="L407" s="65"/>
      <c r="M407" s="65"/>
      <c r="N407" s="43"/>
      <c r="O407" s="43">
        <f>O412*O417</f>
        <v>28800</v>
      </c>
      <c r="P407" s="43">
        <f>N407+O407</f>
        <v>28800</v>
      </c>
    </row>
    <row r="408" spans="1:16" ht="33.75">
      <c r="A408" s="8" t="s">
        <v>310</v>
      </c>
      <c r="B408" s="11"/>
      <c r="C408" s="11"/>
      <c r="D408" s="43"/>
      <c r="E408" s="43">
        <f>E413*E418</f>
        <v>3900</v>
      </c>
      <c r="F408" s="43">
        <f>D408+E408</f>
        <v>3900</v>
      </c>
      <c r="G408" s="43"/>
      <c r="H408" s="43">
        <v>25500</v>
      </c>
      <c r="I408" s="43"/>
      <c r="J408" s="43">
        <f>G408+H408</f>
        <v>25500</v>
      </c>
      <c r="K408" s="65"/>
      <c r="L408" s="65"/>
      <c r="M408" s="65"/>
      <c r="N408" s="43"/>
      <c r="O408" s="43">
        <f>O413*O418</f>
        <v>4500</v>
      </c>
      <c r="P408" s="43">
        <f>N408+O408</f>
        <v>4500</v>
      </c>
    </row>
    <row r="409" spans="1:16" ht="11.25">
      <c r="A409" s="13" t="s">
        <v>5</v>
      </c>
      <c r="B409" s="11"/>
      <c r="C409" s="11"/>
      <c r="D409" s="43"/>
      <c r="E409" s="43"/>
      <c r="F409" s="43"/>
      <c r="G409" s="43"/>
      <c r="H409" s="43"/>
      <c r="I409" s="43"/>
      <c r="J409" s="43"/>
      <c r="K409" s="65"/>
      <c r="L409" s="65"/>
      <c r="M409" s="65"/>
      <c r="N409" s="43"/>
      <c r="O409" s="43"/>
      <c r="P409" s="43"/>
    </row>
    <row r="410" spans="1:16" ht="30.75" customHeight="1">
      <c r="A410" s="8" t="s">
        <v>311</v>
      </c>
      <c r="B410" s="11"/>
      <c r="C410" s="11"/>
      <c r="D410" s="43"/>
      <c r="E410" s="14">
        <f>60+160+30</f>
        <v>250</v>
      </c>
      <c r="F410" s="43">
        <f aca="true" t="shared" si="54" ref="F410:F418">D410+E410</f>
        <v>250</v>
      </c>
      <c r="G410" s="43"/>
      <c r="H410" s="14">
        <f>60+160+30</f>
        <v>250</v>
      </c>
      <c r="I410" s="43"/>
      <c r="J410" s="43">
        <f aca="true" t="shared" si="55" ref="J410:J418">G410+H410</f>
        <v>250</v>
      </c>
      <c r="K410" s="65"/>
      <c r="L410" s="65"/>
      <c r="M410" s="65"/>
      <c r="N410" s="43"/>
      <c r="O410" s="14">
        <f>60+160+30</f>
        <v>250</v>
      </c>
      <c r="P410" s="43">
        <f aca="true" t="shared" si="56" ref="P410:P418">N410+O410</f>
        <v>250</v>
      </c>
    </row>
    <row r="411" spans="1:16" ht="28.5" customHeight="1">
      <c r="A411" s="8" t="s">
        <v>312</v>
      </c>
      <c r="B411" s="11"/>
      <c r="C411" s="11"/>
      <c r="D411" s="43"/>
      <c r="E411" s="14">
        <v>24</v>
      </c>
      <c r="F411" s="43">
        <f t="shared" si="54"/>
        <v>24</v>
      </c>
      <c r="G411" s="43"/>
      <c r="H411" s="14">
        <v>24</v>
      </c>
      <c r="I411" s="43"/>
      <c r="J411" s="43">
        <f t="shared" si="55"/>
        <v>24</v>
      </c>
      <c r="K411" s="65"/>
      <c r="L411" s="65"/>
      <c r="M411" s="65"/>
      <c r="N411" s="43"/>
      <c r="O411" s="14">
        <v>24</v>
      </c>
      <c r="P411" s="43">
        <f t="shared" si="56"/>
        <v>24</v>
      </c>
    </row>
    <row r="412" spans="1:16" ht="33.75">
      <c r="A412" s="8" t="s">
        <v>313</v>
      </c>
      <c r="B412" s="11"/>
      <c r="C412" s="11"/>
      <c r="D412" s="43"/>
      <c r="E412" s="14">
        <v>90</v>
      </c>
      <c r="F412" s="43">
        <f t="shared" si="54"/>
        <v>90</v>
      </c>
      <c r="G412" s="43"/>
      <c r="H412" s="14">
        <v>90</v>
      </c>
      <c r="I412" s="43"/>
      <c r="J412" s="43">
        <f t="shared" si="55"/>
        <v>90</v>
      </c>
      <c r="K412" s="65"/>
      <c r="L412" s="65"/>
      <c r="M412" s="65"/>
      <c r="N412" s="43"/>
      <c r="O412" s="14">
        <v>90</v>
      </c>
      <c r="P412" s="43">
        <f t="shared" si="56"/>
        <v>90</v>
      </c>
    </row>
    <row r="413" spans="1:16" ht="22.5">
      <c r="A413" s="8" t="s">
        <v>314</v>
      </c>
      <c r="B413" s="11"/>
      <c r="C413" s="11"/>
      <c r="D413" s="43"/>
      <c r="E413" s="14">
        <v>30</v>
      </c>
      <c r="F413" s="43">
        <f t="shared" si="54"/>
        <v>30</v>
      </c>
      <c r="G413" s="43"/>
      <c r="H413" s="14">
        <v>30</v>
      </c>
      <c r="I413" s="43"/>
      <c r="J413" s="43">
        <f t="shared" si="55"/>
        <v>30</v>
      </c>
      <c r="K413" s="65"/>
      <c r="L413" s="65"/>
      <c r="M413" s="65"/>
      <c r="N413" s="43"/>
      <c r="O413" s="14">
        <v>30</v>
      </c>
      <c r="P413" s="43">
        <f t="shared" si="56"/>
        <v>30</v>
      </c>
    </row>
    <row r="414" spans="1:16" ht="11.25">
      <c r="A414" s="13" t="s">
        <v>7</v>
      </c>
      <c r="B414" s="68"/>
      <c r="C414" s="11"/>
      <c r="D414" s="43"/>
      <c r="E414" s="15">
        <f>E415+E416+E417+E418</f>
        <v>2470</v>
      </c>
      <c r="F414" s="43">
        <f t="shared" si="54"/>
        <v>2470</v>
      </c>
      <c r="G414" s="43"/>
      <c r="H414" s="15">
        <f>H415+H416+H417+H418</f>
        <v>3360</v>
      </c>
      <c r="I414" s="43"/>
      <c r="J414" s="43">
        <f t="shared" si="55"/>
        <v>3360</v>
      </c>
      <c r="K414" s="65"/>
      <c r="L414" s="65"/>
      <c r="M414" s="65"/>
      <c r="N414" s="43"/>
      <c r="O414" s="15">
        <f>O415+O416+O417+O418</f>
        <v>2815</v>
      </c>
      <c r="P414" s="43">
        <f t="shared" si="56"/>
        <v>2815</v>
      </c>
    </row>
    <row r="415" spans="1:16" ht="30" customHeight="1">
      <c r="A415" s="11" t="s">
        <v>315</v>
      </c>
      <c r="B415" s="68"/>
      <c r="C415" s="11"/>
      <c r="D415" s="43"/>
      <c r="E415" s="15">
        <v>1550</v>
      </c>
      <c r="F415" s="43">
        <f t="shared" si="54"/>
        <v>1550</v>
      </c>
      <c r="G415" s="43"/>
      <c r="H415" s="15">
        <v>1660</v>
      </c>
      <c r="I415" s="43"/>
      <c r="J415" s="43">
        <f t="shared" si="55"/>
        <v>1660</v>
      </c>
      <c r="K415" s="65"/>
      <c r="L415" s="65"/>
      <c r="M415" s="65"/>
      <c r="N415" s="43"/>
      <c r="O415" s="15">
        <v>1760</v>
      </c>
      <c r="P415" s="43">
        <f t="shared" si="56"/>
        <v>1760</v>
      </c>
    </row>
    <row r="416" spans="1:16" ht="20.25" customHeight="1">
      <c r="A416" s="11" t="s">
        <v>316</v>
      </c>
      <c r="B416" s="68"/>
      <c r="C416" s="11"/>
      <c r="D416" s="43"/>
      <c r="E416" s="15">
        <v>510</v>
      </c>
      <c r="F416" s="43">
        <f t="shared" si="54"/>
        <v>510</v>
      </c>
      <c r="G416" s="43"/>
      <c r="H416" s="15">
        <v>550</v>
      </c>
      <c r="I416" s="43"/>
      <c r="J416" s="43">
        <f t="shared" si="55"/>
        <v>550</v>
      </c>
      <c r="K416" s="65"/>
      <c r="L416" s="65"/>
      <c r="M416" s="65"/>
      <c r="N416" s="43"/>
      <c r="O416" s="15">
        <v>585</v>
      </c>
      <c r="P416" s="43">
        <f t="shared" si="56"/>
        <v>585</v>
      </c>
    </row>
    <row r="417" spans="1:16" ht="33.75">
      <c r="A417" s="11" t="s">
        <v>317</v>
      </c>
      <c r="B417" s="11"/>
      <c r="C417" s="11"/>
      <c r="D417" s="43"/>
      <c r="E417" s="15">
        <v>280</v>
      </c>
      <c r="F417" s="43">
        <f t="shared" si="54"/>
        <v>280</v>
      </c>
      <c r="G417" s="43"/>
      <c r="H417" s="15">
        <v>300</v>
      </c>
      <c r="I417" s="43"/>
      <c r="J417" s="43">
        <f t="shared" si="55"/>
        <v>300</v>
      </c>
      <c r="K417" s="65"/>
      <c r="L417" s="65"/>
      <c r="M417" s="65"/>
      <c r="N417" s="43"/>
      <c r="O417" s="15">
        <v>320</v>
      </c>
      <c r="P417" s="43">
        <f t="shared" si="56"/>
        <v>320</v>
      </c>
    </row>
    <row r="418" spans="1:16" ht="22.5">
      <c r="A418" s="16" t="s">
        <v>318</v>
      </c>
      <c r="B418" s="11"/>
      <c r="C418" s="11"/>
      <c r="D418" s="43"/>
      <c r="E418" s="17">
        <v>130</v>
      </c>
      <c r="F418" s="43">
        <f t="shared" si="54"/>
        <v>130</v>
      </c>
      <c r="G418" s="43"/>
      <c r="H418" s="17">
        <v>850</v>
      </c>
      <c r="I418" s="43"/>
      <c r="J418" s="43">
        <f t="shared" si="55"/>
        <v>850</v>
      </c>
      <c r="K418" s="65"/>
      <c r="L418" s="65"/>
      <c r="M418" s="65"/>
      <c r="N418" s="43"/>
      <c r="O418" s="18">
        <v>150</v>
      </c>
      <c r="P418" s="43">
        <f t="shared" si="56"/>
        <v>150</v>
      </c>
    </row>
    <row r="419" spans="1:16" ht="45">
      <c r="A419" s="58" t="s">
        <v>409</v>
      </c>
      <c r="B419" s="11"/>
      <c r="C419" s="11"/>
      <c r="D419" s="43">
        <f>D421</f>
        <v>0</v>
      </c>
      <c r="E419" s="43">
        <f>E421</f>
        <v>264000</v>
      </c>
      <c r="F419" s="43">
        <f>F421</f>
        <v>264000</v>
      </c>
      <c r="G419" s="43"/>
      <c r="H419" s="43">
        <f>H421</f>
        <v>283200</v>
      </c>
      <c r="I419" s="43"/>
      <c r="J419" s="43">
        <f>J421</f>
        <v>283200</v>
      </c>
      <c r="K419" s="65"/>
      <c r="L419" s="65"/>
      <c r="M419" s="65"/>
      <c r="N419" s="43"/>
      <c r="O419" s="43">
        <f>O421</f>
        <v>300192</v>
      </c>
      <c r="P419" s="43">
        <f>P421</f>
        <v>300192</v>
      </c>
    </row>
    <row r="420" spans="1:16" ht="11.25">
      <c r="A420" s="19" t="s">
        <v>4</v>
      </c>
      <c r="B420" s="11"/>
      <c r="C420" s="11"/>
      <c r="D420" s="43"/>
      <c r="E420" s="17"/>
      <c r="F420" s="43"/>
      <c r="G420" s="43"/>
      <c r="H420" s="17"/>
      <c r="I420" s="43"/>
      <c r="J420" s="43"/>
      <c r="K420" s="65"/>
      <c r="L420" s="65"/>
      <c r="M420" s="65"/>
      <c r="N420" s="43"/>
      <c r="O420" s="18"/>
      <c r="P420" s="43"/>
    </row>
    <row r="421" spans="1:16" ht="22.5">
      <c r="A421" s="8" t="s">
        <v>319</v>
      </c>
      <c r="B421" s="11"/>
      <c r="C421" s="11"/>
      <c r="D421" s="43"/>
      <c r="E421" s="17">
        <v>264000</v>
      </c>
      <c r="F421" s="43">
        <f>D421+E421</f>
        <v>264000</v>
      </c>
      <c r="G421" s="43"/>
      <c r="H421" s="17">
        <f>H423*H425</f>
        <v>283200</v>
      </c>
      <c r="I421" s="43"/>
      <c r="J421" s="43">
        <f>G421+H421</f>
        <v>283200</v>
      </c>
      <c r="K421" s="65"/>
      <c r="L421" s="65"/>
      <c r="M421" s="65"/>
      <c r="N421" s="43"/>
      <c r="O421" s="18">
        <f>O423*O425</f>
        <v>300192</v>
      </c>
      <c r="P421" s="43">
        <f>N421+O421</f>
        <v>300192</v>
      </c>
    </row>
    <row r="422" spans="1:16" ht="11.25">
      <c r="A422" s="19" t="s">
        <v>5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20" t="s">
        <v>320</v>
      </c>
      <c r="B423" s="11"/>
      <c r="C423" s="11"/>
      <c r="D423" s="43"/>
      <c r="E423" s="21">
        <v>236</v>
      </c>
      <c r="F423" s="69">
        <f>D423+E423</f>
        <v>236</v>
      </c>
      <c r="G423" s="69"/>
      <c r="H423" s="21">
        <v>236</v>
      </c>
      <c r="I423" s="69"/>
      <c r="J423" s="69">
        <f>G423+H423</f>
        <v>236</v>
      </c>
      <c r="K423" s="70"/>
      <c r="L423" s="70"/>
      <c r="M423" s="70"/>
      <c r="N423" s="69"/>
      <c r="O423" s="21">
        <v>236</v>
      </c>
      <c r="P423" s="69">
        <f>N423+O423</f>
        <v>236</v>
      </c>
    </row>
    <row r="424" spans="1:16" ht="11.25">
      <c r="A424" s="19" t="s">
        <v>7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321</v>
      </c>
      <c r="B425" s="11"/>
      <c r="C425" s="11"/>
      <c r="D425" s="43"/>
      <c r="E425" s="43">
        <v>1118.64</v>
      </c>
      <c r="F425" s="43">
        <f>D425+E425</f>
        <v>1118.64</v>
      </c>
      <c r="G425" s="43"/>
      <c r="H425" s="43">
        <v>1200</v>
      </c>
      <c r="I425" s="43"/>
      <c r="J425" s="43">
        <f>G425+H425</f>
        <v>1200</v>
      </c>
      <c r="K425" s="65"/>
      <c r="L425" s="65"/>
      <c r="M425" s="65"/>
      <c r="N425" s="43"/>
      <c r="O425" s="43">
        <v>1272</v>
      </c>
      <c r="P425" s="43">
        <f>N425+O425</f>
        <v>1272</v>
      </c>
    </row>
    <row r="426" spans="1:235" s="39" customFormat="1" ht="21" customHeight="1">
      <c r="A426" s="9" t="s">
        <v>410</v>
      </c>
      <c r="B426" s="9"/>
      <c r="C426" s="9"/>
      <c r="D426" s="10">
        <f>(D428*D430)</f>
        <v>64999.9999998</v>
      </c>
      <c r="E426" s="10"/>
      <c r="F426" s="10">
        <f>D426</f>
        <v>64999.9999998</v>
      </c>
      <c r="G426" s="10">
        <f>G428*G430</f>
        <v>58000</v>
      </c>
      <c r="H426" s="10"/>
      <c r="I426" s="10"/>
      <c r="J426" s="10">
        <f>G426</f>
        <v>58000</v>
      </c>
      <c r="K426" s="10"/>
      <c r="L426" s="10"/>
      <c r="M426" s="10"/>
      <c r="N426" s="10">
        <f>N428*N430</f>
        <v>74999.99999968</v>
      </c>
      <c r="O426" s="10"/>
      <c r="P426" s="10">
        <f>N426</f>
        <v>74999.99999968</v>
      </c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  <c r="HJ426" s="38"/>
      <c r="HK426" s="38"/>
      <c r="HL426" s="38"/>
      <c r="HM426" s="38"/>
      <c r="HN426" s="38"/>
      <c r="HO426" s="38"/>
      <c r="HP426" s="38"/>
      <c r="HQ426" s="38"/>
      <c r="HR426" s="38"/>
      <c r="HS426" s="38"/>
      <c r="HT426" s="38"/>
      <c r="HU426" s="38"/>
      <c r="HV426" s="38"/>
      <c r="HW426" s="38"/>
      <c r="HX426" s="38"/>
      <c r="HY426" s="38"/>
      <c r="HZ426" s="38"/>
      <c r="IA426" s="38"/>
    </row>
    <row r="427" spans="1:16" ht="12.75" customHeight="1">
      <c r="A427" s="13" t="s">
        <v>152</v>
      </c>
      <c r="B427" s="9"/>
      <c r="C427" s="9"/>
      <c r="D427" s="10"/>
      <c r="E427" s="10"/>
      <c r="F427" s="10"/>
      <c r="G427" s="10"/>
      <c r="H427" s="10"/>
      <c r="I427" s="10"/>
      <c r="J427" s="10"/>
      <c r="K427" s="65"/>
      <c r="L427" s="10"/>
      <c r="M427" s="10"/>
      <c r="N427" s="10"/>
      <c r="O427" s="10"/>
      <c r="P427" s="10"/>
    </row>
    <row r="428" spans="1:16" ht="24" customHeight="1">
      <c r="A428" s="8" t="s">
        <v>151</v>
      </c>
      <c r="B428" s="11"/>
      <c r="C428" s="11"/>
      <c r="D428" s="43">
        <v>5400</v>
      </c>
      <c r="E428" s="43"/>
      <c r="F428" s="43">
        <f>D428</f>
        <v>5400</v>
      </c>
      <c r="G428" s="43">
        <v>4640</v>
      </c>
      <c r="H428" s="43"/>
      <c r="I428" s="43"/>
      <c r="J428" s="43">
        <f>G428</f>
        <v>4640</v>
      </c>
      <c r="K428" s="65"/>
      <c r="L428" s="65"/>
      <c r="M428" s="65"/>
      <c r="N428" s="43">
        <v>5600</v>
      </c>
      <c r="O428" s="43"/>
      <c r="P428" s="43">
        <f>N428</f>
        <v>5600</v>
      </c>
    </row>
    <row r="429" spans="1:16" ht="11.25">
      <c r="A429" s="13" t="s">
        <v>7</v>
      </c>
      <c r="B429" s="11"/>
      <c r="C429" s="11"/>
      <c r="D429" s="43"/>
      <c r="E429" s="43"/>
      <c r="F429" s="43"/>
      <c r="G429" s="43"/>
      <c r="H429" s="43"/>
      <c r="I429" s="43"/>
      <c r="J429" s="43"/>
      <c r="K429" s="65"/>
      <c r="L429" s="65"/>
      <c r="M429" s="65"/>
      <c r="N429" s="43"/>
      <c r="O429" s="43"/>
      <c r="P429" s="43"/>
    </row>
    <row r="430" spans="1:16" ht="18.75" customHeight="1">
      <c r="A430" s="11" t="s">
        <v>153</v>
      </c>
      <c r="B430" s="11"/>
      <c r="C430" s="11"/>
      <c r="D430" s="43">
        <v>12.037037037</v>
      </c>
      <c r="E430" s="43"/>
      <c r="F430" s="43">
        <f>D430</f>
        <v>12.037037037</v>
      </c>
      <c r="G430" s="43">
        <v>12.5</v>
      </c>
      <c r="H430" s="43"/>
      <c r="I430" s="43"/>
      <c r="J430" s="43">
        <f>G430</f>
        <v>12.5</v>
      </c>
      <c r="K430" s="65"/>
      <c r="L430" s="65"/>
      <c r="M430" s="65"/>
      <c r="N430" s="43">
        <v>13.3928571428</v>
      </c>
      <c r="O430" s="43"/>
      <c r="P430" s="43">
        <f>N430</f>
        <v>13.3928571428</v>
      </c>
    </row>
    <row r="431" spans="1:235" s="39" customFormat="1" ht="157.5">
      <c r="A431" s="67" t="s">
        <v>456</v>
      </c>
      <c r="B431" s="9"/>
      <c r="C431" s="9"/>
      <c r="D431" s="146">
        <f>D433*D443+D435*D445+D434*D444+D436*D446+D439*D448+D440*D449</f>
        <v>404000</v>
      </c>
      <c r="E431" s="10"/>
      <c r="F431" s="10">
        <f>F433*F443+F435*F445+F434*F444+F436*F446+F439*F448+F440*F449</f>
        <v>404000</v>
      </c>
      <c r="G431" s="10">
        <f>G433*G443+G435*G445+G434*G444+G436*G446+G439*G448+G440*G449+G441*G451+G438*G450+G437*G447</f>
        <v>792700</v>
      </c>
      <c r="H431" s="10"/>
      <c r="I431" s="10"/>
      <c r="J431" s="10">
        <f>G431</f>
        <v>792700</v>
      </c>
      <c r="K431" s="10"/>
      <c r="L431" s="10"/>
      <c r="M431" s="10"/>
      <c r="N431" s="10">
        <f>N435*N445+N433*N443</f>
        <v>65000</v>
      </c>
      <c r="O431" s="10"/>
      <c r="P431" s="10">
        <f>N431</f>
        <v>65000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</row>
    <row r="432" spans="1:16" ht="11.25">
      <c r="A432" s="13" t="s">
        <v>152</v>
      </c>
      <c r="B432" s="9"/>
      <c r="C432" s="9"/>
      <c r="D432" s="10"/>
      <c r="E432" s="10"/>
      <c r="F432" s="10"/>
      <c r="G432" s="10"/>
      <c r="H432" s="10"/>
      <c r="I432" s="10"/>
      <c r="J432" s="10"/>
      <c r="K432" s="65"/>
      <c r="L432" s="65"/>
      <c r="M432" s="65"/>
      <c r="N432" s="43"/>
      <c r="O432" s="43"/>
      <c r="P432" s="43"/>
    </row>
    <row r="433" spans="1:16" ht="23.25" customHeight="1">
      <c r="A433" s="8" t="s">
        <v>267</v>
      </c>
      <c r="B433" s="9"/>
      <c r="C433" s="9"/>
      <c r="D433" s="43">
        <v>5</v>
      </c>
      <c r="E433" s="10"/>
      <c r="F433" s="43">
        <f>D433+E433</f>
        <v>5</v>
      </c>
      <c r="G433" s="43">
        <v>5</v>
      </c>
      <c r="H433" s="10"/>
      <c r="I433" s="43"/>
      <c r="J433" s="43">
        <f aca="true" t="shared" si="57" ref="J433:J441">G433+H433</f>
        <v>5</v>
      </c>
      <c r="K433" s="65"/>
      <c r="L433" s="65"/>
      <c r="M433" s="65"/>
      <c r="N433" s="43">
        <v>5</v>
      </c>
      <c r="O433" s="43"/>
      <c r="P433" s="43">
        <f>N433</f>
        <v>5</v>
      </c>
    </row>
    <row r="434" spans="1:16" ht="21" customHeight="1">
      <c r="A434" s="8" t="s">
        <v>272</v>
      </c>
      <c r="B434" s="9"/>
      <c r="C434" s="9"/>
      <c r="D434" s="43">
        <v>1</v>
      </c>
      <c r="E434" s="10"/>
      <c r="F434" s="43">
        <v>1</v>
      </c>
      <c r="G434" s="43">
        <v>1</v>
      </c>
      <c r="H434" s="10"/>
      <c r="I434" s="43"/>
      <c r="J434" s="43">
        <f t="shared" si="57"/>
        <v>1</v>
      </c>
      <c r="K434" s="65"/>
      <c r="L434" s="65"/>
      <c r="M434" s="65"/>
      <c r="N434" s="43"/>
      <c r="O434" s="43"/>
      <c r="P434" s="43"/>
    </row>
    <row r="435" spans="1:16" ht="39" customHeight="1">
      <c r="A435" s="8" t="s">
        <v>224</v>
      </c>
      <c r="B435" s="11"/>
      <c r="C435" s="11"/>
      <c r="D435" s="43">
        <v>12</v>
      </c>
      <c r="E435" s="43"/>
      <c r="F435" s="43">
        <f>D435+E435</f>
        <v>12</v>
      </c>
      <c r="G435" s="43">
        <v>12</v>
      </c>
      <c r="H435" s="43"/>
      <c r="I435" s="43"/>
      <c r="J435" s="43">
        <f t="shared" si="57"/>
        <v>12</v>
      </c>
      <c r="K435" s="65"/>
      <c r="L435" s="65"/>
      <c r="M435" s="65"/>
      <c r="N435" s="43">
        <v>12</v>
      </c>
      <c r="O435" s="43"/>
      <c r="P435" s="43">
        <f>N435</f>
        <v>12</v>
      </c>
    </row>
    <row r="436" spans="1:16" ht="21.75" customHeight="1">
      <c r="A436" s="71" t="s">
        <v>325</v>
      </c>
      <c r="B436" s="11"/>
      <c r="C436" s="11"/>
      <c r="D436" s="43">
        <v>1</v>
      </c>
      <c r="E436" s="43"/>
      <c r="F436" s="43">
        <f>D436+E436</f>
        <v>1</v>
      </c>
      <c r="G436" s="43">
        <v>1</v>
      </c>
      <c r="H436" s="43"/>
      <c r="I436" s="43"/>
      <c r="J436" s="43">
        <f t="shared" si="57"/>
        <v>1</v>
      </c>
      <c r="K436" s="65"/>
      <c r="L436" s="65"/>
      <c r="M436" s="65"/>
      <c r="N436" s="43"/>
      <c r="O436" s="43"/>
      <c r="P436" s="43"/>
    </row>
    <row r="437" spans="1:16" ht="23.25" customHeight="1">
      <c r="A437" s="71" t="s">
        <v>459</v>
      </c>
      <c r="B437" s="11"/>
      <c r="C437" s="11"/>
      <c r="D437" s="43"/>
      <c r="E437" s="43"/>
      <c r="F437" s="43"/>
      <c r="G437" s="43">
        <v>1</v>
      </c>
      <c r="H437" s="43"/>
      <c r="I437" s="43"/>
      <c r="J437" s="43">
        <f t="shared" si="57"/>
        <v>1</v>
      </c>
      <c r="K437" s="65"/>
      <c r="L437" s="65"/>
      <c r="M437" s="65"/>
      <c r="N437" s="43"/>
      <c r="O437" s="43"/>
      <c r="P437" s="43"/>
    </row>
    <row r="438" spans="1:16" ht="27.75" customHeight="1">
      <c r="A438" s="71" t="s">
        <v>457</v>
      </c>
      <c r="B438" s="11"/>
      <c r="C438" s="11"/>
      <c r="D438" s="43"/>
      <c r="E438" s="43"/>
      <c r="F438" s="43"/>
      <c r="G438" s="43">
        <v>1</v>
      </c>
      <c r="H438" s="43"/>
      <c r="I438" s="43"/>
      <c r="J438" s="43">
        <f t="shared" si="57"/>
        <v>1</v>
      </c>
      <c r="K438" s="65"/>
      <c r="L438" s="65"/>
      <c r="M438" s="65"/>
      <c r="N438" s="43"/>
      <c r="O438" s="43"/>
      <c r="P438" s="43"/>
    </row>
    <row r="439" spans="1:16" ht="12.75" customHeight="1">
      <c r="A439" s="71" t="s">
        <v>327</v>
      </c>
      <c r="B439" s="11"/>
      <c r="C439" s="11"/>
      <c r="D439" s="43">
        <v>1</v>
      </c>
      <c r="E439" s="43"/>
      <c r="F439" s="43">
        <f>D439+E439</f>
        <v>1</v>
      </c>
      <c r="G439" s="43"/>
      <c r="H439" s="43"/>
      <c r="I439" s="43"/>
      <c r="J439" s="43">
        <f t="shared" si="57"/>
        <v>0</v>
      </c>
      <c r="K439" s="65"/>
      <c r="L439" s="65"/>
      <c r="M439" s="65"/>
      <c r="N439" s="43"/>
      <c r="O439" s="43"/>
      <c r="P439" s="43"/>
    </row>
    <row r="440" spans="1:16" ht="21.75" customHeight="1">
      <c r="A440" s="8" t="s">
        <v>357</v>
      </c>
      <c r="B440" s="68"/>
      <c r="C440" s="11"/>
      <c r="D440" s="43">
        <v>4</v>
      </c>
      <c r="E440" s="43"/>
      <c r="F440" s="43">
        <f>D440+E440</f>
        <v>4</v>
      </c>
      <c r="G440" s="43">
        <v>4</v>
      </c>
      <c r="H440" s="43"/>
      <c r="I440" s="43"/>
      <c r="J440" s="43">
        <f t="shared" si="57"/>
        <v>4</v>
      </c>
      <c r="K440" s="65"/>
      <c r="L440" s="65"/>
      <c r="M440" s="65"/>
      <c r="N440" s="43"/>
      <c r="O440" s="43"/>
      <c r="P440" s="43"/>
    </row>
    <row r="441" spans="1:16" ht="46.5" customHeight="1">
      <c r="A441" s="8" t="s">
        <v>424</v>
      </c>
      <c r="B441" s="68"/>
      <c r="C441" s="11"/>
      <c r="D441" s="43">
        <v>0</v>
      </c>
      <c r="E441" s="43"/>
      <c r="F441" s="43">
        <f>D441+E441</f>
        <v>0</v>
      </c>
      <c r="G441" s="43">
        <v>1</v>
      </c>
      <c r="H441" s="43"/>
      <c r="I441" s="43"/>
      <c r="J441" s="43">
        <f t="shared" si="57"/>
        <v>1</v>
      </c>
      <c r="K441" s="65"/>
      <c r="L441" s="65"/>
      <c r="M441" s="65"/>
      <c r="N441" s="43"/>
      <c r="O441" s="43"/>
      <c r="P441" s="43"/>
    </row>
    <row r="442" spans="1:16" ht="11.25">
      <c r="A442" s="61" t="s">
        <v>7</v>
      </c>
      <c r="B442" s="11"/>
      <c r="C442" s="11"/>
      <c r="D442" s="43"/>
      <c r="E442" s="43"/>
      <c r="F442" s="43"/>
      <c r="G442" s="43"/>
      <c r="H442" s="43"/>
      <c r="I442" s="43"/>
      <c r="J442" s="43"/>
      <c r="K442" s="65"/>
      <c r="L442" s="65"/>
      <c r="M442" s="65"/>
      <c r="N442" s="43"/>
      <c r="O442" s="43"/>
      <c r="P442" s="43"/>
    </row>
    <row r="443" spans="1:16" ht="22.5">
      <c r="A443" s="11" t="s">
        <v>266</v>
      </c>
      <c r="B443" s="11"/>
      <c r="C443" s="11"/>
      <c r="D443" s="43">
        <v>8400</v>
      </c>
      <c r="E443" s="43"/>
      <c r="F443" s="43">
        <f>D443+E443</f>
        <v>8400</v>
      </c>
      <c r="G443" s="43">
        <v>13000</v>
      </c>
      <c r="H443" s="43"/>
      <c r="I443" s="43"/>
      <c r="J443" s="43">
        <f aca="true" t="shared" si="58" ref="J443:J451">G443+H443</f>
        <v>13000</v>
      </c>
      <c r="K443" s="65"/>
      <c r="L443" s="65"/>
      <c r="M443" s="65"/>
      <c r="N443" s="43">
        <v>10000</v>
      </c>
      <c r="O443" s="43"/>
      <c r="P443" s="43">
        <f>N443</f>
        <v>10000</v>
      </c>
    </row>
    <row r="444" spans="1:16" ht="22.5">
      <c r="A444" s="11" t="s">
        <v>271</v>
      </c>
      <c r="B444" s="11"/>
      <c r="C444" s="11"/>
      <c r="D444" s="43">
        <v>167000</v>
      </c>
      <c r="E444" s="43"/>
      <c r="F444" s="43">
        <f>D444+E444</f>
        <v>167000</v>
      </c>
      <c r="G444" s="43">
        <v>200000</v>
      </c>
      <c r="H444" s="43"/>
      <c r="I444" s="43"/>
      <c r="J444" s="43">
        <f t="shared" si="58"/>
        <v>200000</v>
      </c>
      <c r="K444" s="65"/>
      <c r="L444" s="65"/>
      <c r="M444" s="65"/>
      <c r="N444" s="43"/>
      <c r="O444" s="43"/>
      <c r="P444" s="43"/>
    </row>
    <row r="445" spans="1:16" ht="33.75" customHeight="1">
      <c r="A445" s="11" t="s">
        <v>175</v>
      </c>
      <c r="B445" s="11"/>
      <c r="C445" s="11"/>
      <c r="D445" s="43">
        <f>10000/12</f>
        <v>833.3333333333334</v>
      </c>
      <c r="E445" s="43"/>
      <c r="F445" s="43">
        <f>D445+E445</f>
        <v>833.3333333333334</v>
      </c>
      <c r="G445" s="43">
        <v>500</v>
      </c>
      <c r="H445" s="43"/>
      <c r="I445" s="43"/>
      <c r="J445" s="43">
        <f t="shared" si="58"/>
        <v>500</v>
      </c>
      <c r="K445" s="65"/>
      <c r="L445" s="65"/>
      <c r="M445" s="65"/>
      <c r="N445" s="43">
        <f>15000/12</f>
        <v>1250</v>
      </c>
      <c r="O445" s="43"/>
      <c r="P445" s="43">
        <f>N445</f>
        <v>1250</v>
      </c>
    </row>
    <row r="446" spans="1:16" ht="19.5" customHeight="1">
      <c r="A446" s="11" t="s">
        <v>326</v>
      </c>
      <c r="B446" s="20"/>
      <c r="C446" s="20"/>
      <c r="D446" s="43">
        <v>150000</v>
      </c>
      <c r="E446" s="44"/>
      <c r="F446" s="44">
        <v>150000</v>
      </c>
      <c r="G446" s="44">
        <v>96000</v>
      </c>
      <c r="H446" s="44"/>
      <c r="I446" s="44"/>
      <c r="J446" s="65">
        <f t="shared" si="58"/>
        <v>96000</v>
      </c>
      <c r="K446" s="44"/>
      <c r="L446" s="44"/>
      <c r="M446" s="44"/>
      <c r="N446" s="44"/>
      <c r="O446" s="44"/>
      <c r="P446" s="44"/>
    </row>
    <row r="447" spans="1:16" ht="19.5" customHeight="1">
      <c r="A447" s="16" t="s">
        <v>460</v>
      </c>
      <c r="B447" s="20"/>
      <c r="C447" s="20"/>
      <c r="D447" s="179"/>
      <c r="E447" s="44"/>
      <c r="F447" s="44"/>
      <c r="G447" s="44">
        <v>200000</v>
      </c>
      <c r="H447" s="44"/>
      <c r="I447" s="44"/>
      <c r="J447" s="65">
        <f t="shared" si="58"/>
        <v>200000</v>
      </c>
      <c r="K447" s="44"/>
      <c r="L447" s="44"/>
      <c r="M447" s="44"/>
      <c r="N447" s="44"/>
      <c r="O447" s="44"/>
      <c r="P447" s="44"/>
    </row>
    <row r="448" spans="1:16" ht="17.25" customHeight="1">
      <c r="A448" s="16" t="s">
        <v>328</v>
      </c>
      <c r="B448" s="20"/>
      <c r="C448" s="20"/>
      <c r="D448" s="44">
        <v>1000</v>
      </c>
      <c r="E448" s="44"/>
      <c r="F448" s="44">
        <v>1000</v>
      </c>
      <c r="G448" s="44"/>
      <c r="H448" s="44"/>
      <c r="I448" s="44"/>
      <c r="J448" s="65">
        <f t="shared" si="58"/>
        <v>0</v>
      </c>
      <c r="K448" s="44"/>
      <c r="L448" s="44"/>
      <c r="M448" s="44"/>
      <c r="N448" s="44"/>
      <c r="O448" s="44"/>
      <c r="P448" s="44"/>
    </row>
    <row r="449" spans="1:16" ht="21.75" customHeight="1">
      <c r="A449" s="20" t="s">
        <v>358</v>
      </c>
      <c r="B449" s="20"/>
      <c r="C449" s="20"/>
      <c r="D449" s="44">
        <v>8500</v>
      </c>
      <c r="E449" s="44"/>
      <c r="F449" s="44">
        <v>8500</v>
      </c>
      <c r="G449" s="44">
        <v>12750</v>
      </c>
      <c r="H449" s="44"/>
      <c r="I449" s="44"/>
      <c r="J449" s="65">
        <f t="shared" si="58"/>
        <v>12750</v>
      </c>
      <c r="K449" s="44"/>
      <c r="L449" s="44"/>
      <c r="M449" s="44"/>
      <c r="N449" s="44"/>
      <c r="O449" s="44"/>
      <c r="P449" s="44"/>
    </row>
    <row r="450" spans="1:16" ht="21.75" customHeight="1">
      <c r="A450" s="20" t="s">
        <v>458</v>
      </c>
      <c r="B450" s="20"/>
      <c r="C450" s="20"/>
      <c r="D450" s="44"/>
      <c r="E450" s="44"/>
      <c r="F450" s="44"/>
      <c r="G450" s="44">
        <v>80000</v>
      </c>
      <c r="H450" s="44"/>
      <c r="I450" s="44"/>
      <c r="J450" s="65">
        <f t="shared" si="58"/>
        <v>80000</v>
      </c>
      <c r="K450" s="44"/>
      <c r="L450" s="44"/>
      <c r="M450" s="44"/>
      <c r="N450" s="44"/>
      <c r="O450" s="44"/>
      <c r="P450" s="44"/>
    </row>
    <row r="451" spans="1:16" ht="21.75" customHeight="1">
      <c r="A451" s="20" t="s">
        <v>425</v>
      </c>
      <c r="B451" s="20"/>
      <c r="C451" s="20"/>
      <c r="D451" s="44"/>
      <c r="E451" s="44"/>
      <c r="F451" s="44"/>
      <c r="G451" s="44">
        <f>20000+30000+16200+13500+12000+3000</f>
        <v>94700</v>
      </c>
      <c r="H451" s="44"/>
      <c r="I451" s="44"/>
      <c r="J451" s="65">
        <f t="shared" si="58"/>
        <v>94700</v>
      </c>
      <c r="K451" s="44"/>
      <c r="L451" s="44"/>
      <c r="M451" s="44"/>
      <c r="N451" s="44"/>
      <c r="O451" s="44"/>
      <c r="P451" s="44"/>
    </row>
    <row r="452" spans="1:16" ht="21.75" customHeight="1">
      <c r="A452" s="151" t="s">
        <v>366</v>
      </c>
      <c r="B452" s="20"/>
      <c r="C452" s="20"/>
      <c r="D452" s="57">
        <f>D454</f>
        <v>150000</v>
      </c>
      <c r="E452" s="57"/>
      <c r="F452" s="57">
        <f>F454</f>
        <v>150000</v>
      </c>
      <c r="G452" s="57">
        <f>G454</f>
        <v>100000</v>
      </c>
      <c r="H452" s="57"/>
      <c r="I452" s="57">
        <f>I454</f>
        <v>0</v>
      </c>
      <c r="J452" s="57">
        <f>J454</f>
        <v>100000</v>
      </c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362</v>
      </c>
      <c r="B453" s="20"/>
      <c r="C453" s="20"/>
      <c r="D453" s="57"/>
      <c r="E453" s="57"/>
      <c r="F453" s="57"/>
      <c r="G453" s="57"/>
      <c r="H453" s="57"/>
      <c r="I453" s="57"/>
      <c r="J453" s="57"/>
      <c r="K453" s="44"/>
      <c r="L453" s="44"/>
      <c r="M453" s="44"/>
      <c r="N453" s="44"/>
      <c r="O453" s="44"/>
      <c r="P453" s="44"/>
    </row>
    <row r="454" spans="1:16" ht="46.5" customHeight="1">
      <c r="A454" s="148" t="s">
        <v>411</v>
      </c>
      <c r="B454" s="20"/>
      <c r="C454" s="20"/>
      <c r="D454" s="57">
        <f>D456</f>
        <v>150000</v>
      </c>
      <c r="E454" s="57"/>
      <c r="F454" s="57">
        <f>F456</f>
        <v>150000</v>
      </c>
      <c r="G454" s="57">
        <f>G456</f>
        <v>100000</v>
      </c>
      <c r="H454" s="57"/>
      <c r="I454" s="57">
        <f>I456</f>
        <v>0</v>
      </c>
      <c r="J454" s="57">
        <f>J456</f>
        <v>100000</v>
      </c>
      <c r="K454" s="44"/>
      <c r="L454" s="44"/>
      <c r="M454" s="44"/>
      <c r="N454" s="44"/>
      <c r="O454" s="44"/>
      <c r="P454" s="44"/>
    </row>
    <row r="455" spans="1:16" ht="21.75" customHeight="1">
      <c r="A455" s="149" t="s">
        <v>4</v>
      </c>
      <c r="B455" s="20"/>
      <c r="C455" s="20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21.75" customHeight="1">
      <c r="A456" s="147" t="s">
        <v>363</v>
      </c>
      <c r="B456" s="20"/>
      <c r="C456" s="20"/>
      <c r="D456" s="44">
        <f>D458*D460</f>
        <v>150000</v>
      </c>
      <c r="E456" s="44"/>
      <c r="F456" s="44">
        <f>F458*F460</f>
        <v>150000</v>
      </c>
      <c r="G456" s="44">
        <f>G458*G460</f>
        <v>100000</v>
      </c>
      <c r="H456" s="44"/>
      <c r="I456" s="44">
        <f>I458*I460</f>
        <v>0</v>
      </c>
      <c r="J456" s="44">
        <f>J458*J460</f>
        <v>100000</v>
      </c>
      <c r="K456" s="44"/>
      <c r="L456" s="44"/>
      <c r="M456" s="44"/>
      <c r="N456" s="44"/>
      <c r="O456" s="44"/>
      <c r="P456" s="44"/>
    </row>
    <row r="457" spans="1:16" ht="21.75" customHeight="1">
      <c r="A457" s="149" t="s">
        <v>5</v>
      </c>
      <c r="B457" s="20"/>
      <c r="C457" s="20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ht="21.75" customHeight="1">
      <c r="A458" s="147" t="s">
        <v>364</v>
      </c>
      <c r="B458" s="20"/>
      <c r="C458" s="20"/>
      <c r="D458" s="44">
        <v>1</v>
      </c>
      <c r="E458" s="44"/>
      <c r="F458" s="44">
        <v>1</v>
      </c>
      <c r="G458" s="44">
        <v>2</v>
      </c>
      <c r="H458" s="44"/>
      <c r="I458" s="44"/>
      <c r="J458" s="44">
        <v>2</v>
      </c>
      <c r="K458" s="44"/>
      <c r="L458" s="44"/>
      <c r="M458" s="44"/>
      <c r="N458" s="44"/>
      <c r="O458" s="44"/>
      <c r="P458" s="44"/>
    </row>
    <row r="459" spans="1:16" ht="21.75" customHeight="1">
      <c r="A459" s="149" t="s">
        <v>7</v>
      </c>
      <c r="B459" s="20"/>
      <c r="C459" s="20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ht="21.75" customHeight="1">
      <c r="A460" s="150" t="s">
        <v>365</v>
      </c>
      <c r="B460" s="20"/>
      <c r="C460" s="20"/>
      <c r="D460" s="44">
        <v>150000</v>
      </c>
      <c r="E460" s="44"/>
      <c r="F460" s="44">
        <v>150000</v>
      </c>
      <c r="G460" s="44">
        <v>50000</v>
      </c>
      <c r="H460" s="44"/>
      <c r="I460" s="44"/>
      <c r="J460" s="44">
        <v>50000</v>
      </c>
      <c r="K460" s="44"/>
      <c r="L460" s="44"/>
      <c r="M460" s="44"/>
      <c r="N460" s="44"/>
      <c r="O460" s="44"/>
      <c r="P460" s="44"/>
    </row>
    <row r="461" spans="1:16" ht="16.5" customHeight="1">
      <c r="A461" s="37" t="s">
        <v>248</v>
      </c>
      <c r="B461" s="37"/>
      <c r="C461" s="37"/>
      <c r="D461" s="30">
        <f>D462</f>
        <v>8624700</v>
      </c>
      <c r="E461" s="30">
        <f>E462</f>
        <v>13705000</v>
      </c>
      <c r="F461" s="30">
        <f>F462</f>
        <v>22329700</v>
      </c>
      <c r="G461" s="30">
        <f>G462</f>
        <v>5983100</v>
      </c>
      <c r="H461" s="30"/>
      <c r="I461" s="30">
        <f>I462</f>
        <v>0</v>
      </c>
      <c r="J461" s="30">
        <f>G461</f>
        <v>5983100</v>
      </c>
      <c r="K461" s="30" t="e">
        <f>#REF!+K462</f>
        <v>#REF!</v>
      </c>
      <c r="L461" s="30" t="e">
        <f>#REF!+L462</f>
        <v>#REF!</v>
      </c>
      <c r="M461" s="30" t="e">
        <f>#REF!+M462</f>
        <v>#REF!</v>
      </c>
      <c r="N461" s="30">
        <f>N462</f>
        <v>1650000</v>
      </c>
      <c r="O461" s="30">
        <f>O462</f>
        <v>0</v>
      </c>
      <c r="P461" s="30">
        <f>N461</f>
        <v>1650000</v>
      </c>
    </row>
    <row r="462" spans="1:235" s="39" customFormat="1" ht="26.25" customHeight="1">
      <c r="A462" s="34" t="s">
        <v>412</v>
      </c>
      <c r="B462" s="35"/>
      <c r="C462" s="35"/>
      <c r="D462" s="36">
        <f>D464</f>
        <v>8624700</v>
      </c>
      <c r="E462" s="36">
        <f>SUM(E465)</f>
        <v>13705000</v>
      </c>
      <c r="F462" s="36">
        <f>D462+E462</f>
        <v>22329700</v>
      </c>
      <c r="G462" s="36">
        <f>G464</f>
        <v>5983100</v>
      </c>
      <c r="H462" s="36"/>
      <c r="I462" s="36">
        <f>I464</f>
        <v>0</v>
      </c>
      <c r="J462" s="36">
        <f>G462</f>
        <v>5983100</v>
      </c>
      <c r="K462" s="36"/>
      <c r="L462" s="36"/>
      <c r="M462" s="36"/>
      <c r="N462" s="36">
        <f>N464</f>
        <v>1650000</v>
      </c>
      <c r="O462" s="36">
        <f>O464</f>
        <v>0</v>
      </c>
      <c r="P462" s="36">
        <f>N462</f>
        <v>1650000</v>
      </c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  <c r="EH462" s="38"/>
      <c r="EI462" s="38"/>
      <c r="EJ462" s="38"/>
      <c r="EK462" s="38"/>
      <c r="EL462" s="38"/>
      <c r="EM462" s="38"/>
      <c r="EN462" s="38"/>
      <c r="EO462" s="38"/>
      <c r="EP462" s="38"/>
      <c r="EQ462" s="38"/>
      <c r="ER462" s="38"/>
      <c r="ES462" s="38"/>
      <c r="ET462" s="38"/>
      <c r="EU462" s="38"/>
      <c r="EV462" s="38"/>
      <c r="EW462" s="38"/>
      <c r="EX462" s="38"/>
      <c r="EY462" s="38"/>
      <c r="EZ462" s="38"/>
      <c r="FA462" s="38"/>
      <c r="FB462" s="38"/>
      <c r="FC462" s="38"/>
      <c r="FD462" s="38"/>
      <c r="FE462" s="38"/>
      <c r="FF462" s="38"/>
      <c r="FG462" s="38"/>
      <c r="FH462" s="38"/>
      <c r="FI462" s="38"/>
      <c r="FJ462" s="38"/>
      <c r="FK462" s="38"/>
      <c r="FL462" s="38"/>
      <c r="FM462" s="38"/>
      <c r="FN462" s="38"/>
      <c r="FO462" s="38"/>
      <c r="FP462" s="38"/>
      <c r="FQ462" s="38"/>
      <c r="FR462" s="38"/>
      <c r="FS462" s="38"/>
      <c r="FT462" s="38"/>
      <c r="FU462" s="38"/>
      <c r="FV462" s="38"/>
      <c r="FW462" s="38"/>
      <c r="FX462" s="38"/>
      <c r="FY462" s="38"/>
      <c r="FZ462" s="38"/>
      <c r="GA462" s="38"/>
      <c r="GB462" s="38"/>
      <c r="GC462" s="38"/>
      <c r="GD462" s="38"/>
      <c r="GE462" s="38"/>
      <c r="GF462" s="38"/>
      <c r="GG462" s="38"/>
      <c r="GH462" s="38"/>
      <c r="GI462" s="38"/>
      <c r="GJ462" s="38"/>
      <c r="GK462" s="38"/>
      <c r="GL462" s="38"/>
      <c r="GM462" s="38"/>
      <c r="GN462" s="38"/>
      <c r="GO462" s="38"/>
      <c r="GP462" s="38"/>
      <c r="GQ462" s="38"/>
      <c r="GR462" s="38"/>
      <c r="GS462" s="38"/>
      <c r="GT462" s="38"/>
      <c r="GU462" s="38"/>
      <c r="GV462" s="38"/>
      <c r="GW462" s="38"/>
      <c r="GX462" s="38"/>
      <c r="GY462" s="38"/>
      <c r="GZ462" s="38"/>
      <c r="HA462" s="38"/>
      <c r="HB462" s="38"/>
      <c r="HC462" s="38"/>
      <c r="HD462" s="38"/>
      <c r="HE462" s="38"/>
      <c r="HF462" s="38"/>
      <c r="HG462" s="38"/>
      <c r="HH462" s="38"/>
      <c r="HI462" s="38"/>
      <c r="HJ462" s="38"/>
      <c r="HK462" s="38"/>
      <c r="HL462" s="38"/>
      <c r="HM462" s="38"/>
      <c r="HN462" s="38"/>
      <c r="HO462" s="38"/>
      <c r="HP462" s="38"/>
      <c r="HQ462" s="38"/>
      <c r="HR462" s="38"/>
      <c r="HS462" s="38"/>
      <c r="HT462" s="38"/>
      <c r="HU462" s="38"/>
      <c r="HV462" s="38"/>
      <c r="HW462" s="38"/>
      <c r="HX462" s="38"/>
      <c r="HY462" s="38"/>
      <c r="HZ462" s="38"/>
      <c r="IA462" s="38"/>
    </row>
    <row r="463" spans="1:16" ht="11.25">
      <c r="A463" s="5" t="s">
        <v>4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35.25" customHeight="1">
      <c r="A464" s="8" t="s">
        <v>249</v>
      </c>
      <c r="B464" s="6"/>
      <c r="C464" s="6"/>
      <c r="D464" s="7">
        <f>8124700+500000</f>
        <v>8624700</v>
      </c>
      <c r="E464" s="7"/>
      <c r="F464" s="7">
        <f>D464</f>
        <v>8624700</v>
      </c>
      <c r="G464" s="7">
        <f>G467*G469</f>
        <v>5983100</v>
      </c>
      <c r="H464" s="7"/>
      <c r="I464" s="7"/>
      <c r="J464" s="7">
        <f>G464+H464</f>
        <v>5983100</v>
      </c>
      <c r="K464" s="7"/>
      <c r="L464" s="7"/>
      <c r="M464" s="7"/>
      <c r="N464" s="7">
        <f>N467*N469</f>
        <v>1650000</v>
      </c>
      <c r="O464" s="7"/>
      <c r="P464" s="7">
        <f>N464</f>
        <v>1650000</v>
      </c>
    </row>
    <row r="465" spans="1:16" ht="164.25" customHeight="1">
      <c r="A465" s="8" t="s">
        <v>329</v>
      </c>
      <c r="B465" s="6"/>
      <c r="C465" s="6"/>
      <c r="D465" s="7"/>
      <c r="E465" s="7">
        <v>13705000</v>
      </c>
      <c r="F465" s="7">
        <f>D465+E465</f>
        <v>13705000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 ht="11.25">
      <c r="A466" s="5" t="s">
        <v>5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39.75" customHeight="1">
      <c r="A467" s="8" t="s">
        <v>250</v>
      </c>
      <c r="B467" s="6"/>
      <c r="C467" s="6"/>
      <c r="D467" s="7">
        <v>2</v>
      </c>
      <c r="E467" s="7"/>
      <c r="F467" s="7">
        <f>D467</f>
        <v>2</v>
      </c>
      <c r="G467" s="7">
        <v>2</v>
      </c>
      <c r="H467" s="7"/>
      <c r="I467" s="7"/>
      <c r="J467" s="7">
        <f>G467+H467</f>
        <v>2</v>
      </c>
      <c r="K467" s="7"/>
      <c r="L467" s="7"/>
      <c r="M467" s="7"/>
      <c r="N467" s="7">
        <v>1</v>
      </c>
      <c r="O467" s="7"/>
      <c r="P467" s="7">
        <f>N467</f>
        <v>1</v>
      </c>
    </row>
    <row r="468" spans="1:16" ht="11.25">
      <c r="A468" s="5" t="s">
        <v>7</v>
      </c>
      <c r="B468" s="6"/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40.5" customHeight="1">
      <c r="A469" s="8" t="s">
        <v>251</v>
      </c>
      <c r="B469" s="6"/>
      <c r="C469" s="6"/>
      <c r="D469" s="7">
        <v>3812350</v>
      </c>
      <c r="E469" s="7"/>
      <c r="F469" s="7">
        <f>F464/F467</f>
        <v>4312350</v>
      </c>
      <c r="G469" s="7">
        <v>2991550</v>
      </c>
      <c r="H469" s="7"/>
      <c r="I469" s="7"/>
      <c r="J469" s="7">
        <f>G469+H469</f>
        <v>2991550</v>
      </c>
      <c r="K469" s="7"/>
      <c r="L469" s="7"/>
      <c r="M469" s="7"/>
      <c r="N469" s="7">
        <v>1650000</v>
      </c>
      <c r="O469" s="7"/>
      <c r="P469" s="7">
        <f>P464/P467</f>
        <v>1650000</v>
      </c>
    </row>
    <row r="470" spans="1:17" ht="15" customHeight="1">
      <c r="A470" s="37" t="s">
        <v>254</v>
      </c>
      <c r="B470" s="6"/>
      <c r="C470" s="6"/>
      <c r="D470" s="36">
        <f>D472+D486+D493+D502+D509+D520+D527+D534+D541</f>
        <v>22123399.999999568</v>
      </c>
      <c r="E470" s="36">
        <f>E472+E486+E493+E502+E509+E520+E527+E534+E541</f>
        <v>1370000</v>
      </c>
      <c r="F470" s="36">
        <f>F472+F486+F493+F502+F509+F520+F527+F534+F541</f>
        <v>23493399.999999568</v>
      </c>
      <c r="G470" s="36">
        <f>G472+G486+G493+G502+G509+G520+G548+G555+G569</f>
        <v>61665000.4</v>
      </c>
      <c r="H470" s="36">
        <f>H472+H486+H493+H502+H509+H520+H562</f>
        <v>2350000</v>
      </c>
      <c r="I470" s="36">
        <f aca="true" t="shared" si="59" ref="I470:Q470">I472+I486+I493+I502+I509+I520</f>
        <v>0</v>
      </c>
      <c r="J470" s="36">
        <f>J472+J486+J493+J502+J509+J520+J548+J555+J562+J569</f>
        <v>64015000.4</v>
      </c>
      <c r="K470" s="36">
        <f t="shared" si="59"/>
        <v>0</v>
      </c>
      <c r="L470" s="36">
        <f t="shared" si="59"/>
        <v>0</v>
      </c>
      <c r="M470" s="36">
        <f t="shared" si="59"/>
        <v>0</v>
      </c>
      <c r="N470" s="36">
        <f t="shared" si="59"/>
        <v>7650000.00205</v>
      </c>
      <c r="O470" s="36">
        <f t="shared" si="59"/>
        <v>2000000</v>
      </c>
      <c r="P470" s="36">
        <f t="shared" si="59"/>
        <v>9650000.002050001</v>
      </c>
      <c r="Q470" s="36">
        <f t="shared" si="59"/>
        <v>0</v>
      </c>
    </row>
    <row r="471" spans="1:16" ht="23.25" customHeight="1">
      <c r="A471" s="8" t="s">
        <v>133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235" s="39" customFormat="1" ht="78.75" customHeight="1">
      <c r="A472" s="34" t="s">
        <v>454</v>
      </c>
      <c r="B472" s="35"/>
      <c r="C472" s="35"/>
      <c r="D472" s="36">
        <f>SUM(D473)+D480</f>
        <v>19868000</v>
      </c>
      <c r="E472" s="36"/>
      <c r="F472" s="36">
        <f>SUM(F473)+F480</f>
        <v>19868000</v>
      </c>
      <c r="G472" s="36">
        <f>SUM(G473)+G480+G483</f>
        <v>55453000</v>
      </c>
      <c r="H472" s="36"/>
      <c r="I472" s="36">
        <f aca="true" t="shared" si="60" ref="I472:N472">SUM(I473)+I480</f>
        <v>0</v>
      </c>
      <c r="J472" s="36">
        <f>SUM(J473)+J480+J483</f>
        <v>55453000</v>
      </c>
      <c r="K472" s="36">
        <f t="shared" si="60"/>
        <v>0</v>
      </c>
      <c r="L472" s="36">
        <f t="shared" si="60"/>
        <v>0</v>
      </c>
      <c r="M472" s="36">
        <f t="shared" si="60"/>
        <v>0</v>
      </c>
      <c r="N472" s="36">
        <f t="shared" si="60"/>
        <v>7000000</v>
      </c>
      <c r="O472" s="36"/>
      <c r="P472" s="36">
        <f>SUM(P473)+P480</f>
        <v>7000000</v>
      </c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  <c r="DG472" s="38"/>
      <c r="DH472" s="38"/>
      <c r="DI472" s="38"/>
      <c r="DJ472" s="38"/>
      <c r="DK472" s="38"/>
      <c r="DL472" s="38"/>
      <c r="DM472" s="38"/>
      <c r="DN472" s="38"/>
      <c r="DO472" s="38"/>
      <c r="DP472" s="38"/>
      <c r="DQ472" s="38"/>
      <c r="DR472" s="38"/>
      <c r="DS472" s="38"/>
      <c r="DT472" s="38"/>
      <c r="DU472" s="38"/>
      <c r="DV472" s="38"/>
      <c r="DW472" s="38"/>
      <c r="DX472" s="38"/>
      <c r="DY472" s="38"/>
      <c r="DZ472" s="38"/>
      <c r="EA472" s="38"/>
      <c r="EB472" s="38"/>
      <c r="EC472" s="38"/>
      <c r="ED472" s="38"/>
      <c r="EE472" s="38"/>
      <c r="EF472" s="38"/>
      <c r="EG472" s="38"/>
      <c r="EH472" s="38"/>
      <c r="EI472" s="38"/>
      <c r="EJ472" s="38"/>
      <c r="EK472" s="38"/>
      <c r="EL472" s="38"/>
      <c r="EM472" s="38"/>
      <c r="EN472" s="38"/>
      <c r="EO472" s="38"/>
      <c r="EP472" s="38"/>
      <c r="EQ472" s="38"/>
      <c r="ER472" s="38"/>
      <c r="ES472" s="38"/>
      <c r="ET472" s="38"/>
      <c r="EU472" s="38"/>
      <c r="EV472" s="38"/>
      <c r="EW472" s="38"/>
      <c r="EX472" s="38"/>
      <c r="EY472" s="38"/>
      <c r="EZ472" s="38"/>
      <c r="FA472" s="38"/>
      <c r="FB472" s="38"/>
      <c r="FC472" s="38"/>
      <c r="FD472" s="38"/>
      <c r="FE472" s="38"/>
      <c r="FF472" s="38"/>
      <c r="FG472" s="38"/>
      <c r="FH472" s="38"/>
      <c r="FI472" s="38"/>
      <c r="FJ472" s="38"/>
      <c r="FK472" s="38"/>
      <c r="FL472" s="38"/>
      <c r="FM472" s="38"/>
      <c r="FN472" s="38"/>
      <c r="FO472" s="38"/>
      <c r="FP472" s="38"/>
      <c r="FQ472" s="38"/>
      <c r="FR472" s="38"/>
      <c r="FS472" s="38"/>
      <c r="FT472" s="38"/>
      <c r="FU472" s="38"/>
      <c r="FV472" s="38"/>
      <c r="FW472" s="38"/>
      <c r="FX472" s="38"/>
      <c r="FY472" s="38"/>
      <c r="FZ472" s="38"/>
      <c r="GA472" s="38"/>
      <c r="GB472" s="38"/>
      <c r="GC472" s="38"/>
      <c r="GD472" s="38"/>
      <c r="GE472" s="38"/>
      <c r="GF472" s="38"/>
      <c r="GG472" s="38"/>
      <c r="GH472" s="38"/>
      <c r="GI472" s="38"/>
      <c r="GJ472" s="38"/>
      <c r="GK472" s="38"/>
      <c r="GL472" s="38"/>
      <c r="GM472" s="38"/>
      <c r="GN472" s="38"/>
      <c r="GO472" s="38"/>
      <c r="GP472" s="38"/>
      <c r="GQ472" s="38"/>
      <c r="GR472" s="38"/>
      <c r="GS472" s="38"/>
      <c r="GT472" s="38"/>
      <c r="GU472" s="38"/>
      <c r="GV472" s="38"/>
      <c r="GW472" s="38"/>
      <c r="GX472" s="38"/>
      <c r="GY472" s="38"/>
      <c r="GZ472" s="38"/>
      <c r="HA472" s="38"/>
      <c r="HB472" s="38"/>
      <c r="HC472" s="38"/>
      <c r="HD472" s="38"/>
      <c r="HE472" s="38"/>
      <c r="HF472" s="38"/>
      <c r="HG472" s="38"/>
      <c r="HH472" s="38"/>
      <c r="HI472" s="38"/>
      <c r="HJ472" s="38"/>
      <c r="HK472" s="38"/>
      <c r="HL472" s="38"/>
      <c r="HM472" s="38"/>
      <c r="HN472" s="38"/>
      <c r="HO472" s="38"/>
      <c r="HP472" s="38"/>
      <c r="HQ472" s="38"/>
      <c r="HR472" s="38"/>
      <c r="HS472" s="38"/>
      <c r="HT472" s="38"/>
      <c r="HU472" s="38"/>
      <c r="HV472" s="38"/>
      <c r="HW472" s="38"/>
      <c r="HX472" s="38"/>
      <c r="HY472" s="38"/>
      <c r="HZ472" s="38"/>
      <c r="IA472" s="38"/>
    </row>
    <row r="473" spans="1:235" s="39" customFormat="1" ht="90.75" customHeight="1">
      <c r="A473" s="34" t="s">
        <v>429</v>
      </c>
      <c r="B473" s="35"/>
      <c r="C473" s="35"/>
      <c r="D473" s="36">
        <f>SUM(D475)</f>
        <v>5868000</v>
      </c>
      <c r="E473" s="36"/>
      <c r="F473" s="36">
        <f>SUM(D473)</f>
        <v>5868000</v>
      </c>
      <c r="G473" s="36">
        <f>SUM(G475)</f>
        <v>11028000</v>
      </c>
      <c r="H473" s="36"/>
      <c r="I473" s="36"/>
      <c r="J473" s="36">
        <f>SUM(J475)</f>
        <v>11028000</v>
      </c>
      <c r="K473" s="36"/>
      <c r="L473" s="36"/>
      <c r="M473" s="36"/>
      <c r="N473" s="36">
        <f>SUM(N475)</f>
        <v>7000000</v>
      </c>
      <c r="O473" s="36"/>
      <c r="P473" s="36">
        <f>P475</f>
        <v>7000000</v>
      </c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  <c r="DG473" s="38"/>
      <c r="DH473" s="38"/>
      <c r="DI473" s="38"/>
      <c r="DJ473" s="38"/>
      <c r="DK473" s="38"/>
      <c r="DL473" s="38"/>
      <c r="DM473" s="38"/>
      <c r="DN473" s="38"/>
      <c r="DO473" s="38"/>
      <c r="DP473" s="38"/>
      <c r="DQ473" s="38"/>
      <c r="DR473" s="38"/>
      <c r="DS473" s="38"/>
      <c r="DT473" s="38"/>
      <c r="DU473" s="38"/>
      <c r="DV473" s="38"/>
      <c r="DW473" s="38"/>
      <c r="DX473" s="38"/>
      <c r="DY473" s="38"/>
      <c r="DZ473" s="38"/>
      <c r="EA473" s="38"/>
      <c r="EB473" s="38"/>
      <c r="EC473" s="38"/>
      <c r="ED473" s="38"/>
      <c r="EE473" s="38"/>
      <c r="EF473" s="38"/>
      <c r="EG473" s="38"/>
      <c r="EH473" s="38"/>
      <c r="EI473" s="38"/>
      <c r="EJ473" s="38"/>
      <c r="EK473" s="38"/>
      <c r="EL473" s="38"/>
      <c r="EM473" s="38"/>
      <c r="EN473" s="38"/>
      <c r="EO473" s="38"/>
      <c r="EP473" s="38"/>
      <c r="EQ473" s="38"/>
      <c r="ER473" s="38"/>
      <c r="ES473" s="38"/>
      <c r="ET473" s="38"/>
      <c r="EU473" s="38"/>
      <c r="EV473" s="38"/>
      <c r="EW473" s="38"/>
      <c r="EX473" s="38"/>
      <c r="EY473" s="38"/>
      <c r="EZ473" s="38"/>
      <c r="FA473" s="38"/>
      <c r="FB473" s="38"/>
      <c r="FC473" s="38"/>
      <c r="FD473" s="38"/>
      <c r="FE473" s="38"/>
      <c r="FF473" s="38"/>
      <c r="FG473" s="38"/>
      <c r="FH473" s="38"/>
      <c r="FI473" s="38"/>
      <c r="FJ473" s="38"/>
      <c r="FK473" s="38"/>
      <c r="FL473" s="38"/>
      <c r="FM473" s="38"/>
      <c r="FN473" s="38"/>
      <c r="FO473" s="38"/>
      <c r="FP473" s="38"/>
      <c r="FQ473" s="38"/>
      <c r="FR473" s="38"/>
      <c r="FS473" s="38"/>
      <c r="FT473" s="38"/>
      <c r="FU473" s="38"/>
      <c r="FV473" s="38"/>
      <c r="FW473" s="38"/>
      <c r="FX473" s="38"/>
      <c r="FY473" s="38"/>
      <c r="FZ473" s="38"/>
      <c r="GA473" s="38"/>
      <c r="GB473" s="38"/>
      <c r="GC473" s="38"/>
      <c r="GD473" s="38"/>
      <c r="GE473" s="38"/>
      <c r="GF473" s="38"/>
      <c r="GG473" s="38"/>
      <c r="GH473" s="38"/>
      <c r="GI473" s="38"/>
      <c r="GJ473" s="38"/>
      <c r="GK473" s="38"/>
      <c r="GL473" s="38"/>
      <c r="GM473" s="38"/>
      <c r="GN473" s="38"/>
      <c r="GO473" s="38"/>
      <c r="GP473" s="38"/>
      <c r="GQ473" s="38"/>
      <c r="GR473" s="38"/>
      <c r="GS473" s="38"/>
      <c r="GT473" s="38"/>
      <c r="GU473" s="38"/>
      <c r="GV473" s="38"/>
      <c r="GW473" s="38"/>
      <c r="GX473" s="38"/>
      <c r="GY473" s="38"/>
      <c r="GZ473" s="38"/>
      <c r="HA473" s="38"/>
      <c r="HB473" s="38"/>
      <c r="HC473" s="38"/>
      <c r="HD473" s="38"/>
      <c r="HE473" s="38"/>
      <c r="HF473" s="38"/>
      <c r="HG473" s="38"/>
      <c r="HH473" s="38"/>
      <c r="HI473" s="38"/>
      <c r="HJ473" s="38"/>
      <c r="HK473" s="38"/>
      <c r="HL473" s="38"/>
      <c r="HM473" s="38"/>
      <c r="HN473" s="38"/>
      <c r="HO473" s="38"/>
      <c r="HP473" s="38"/>
      <c r="HQ473" s="38"/>
      <c r="HR473" s="38"/>
      <c r="HS473" s="38"/>
      <c r="HT473" s="38"/>
      <c r="HU473" s="38"/>
      <c r="HV473" s="38"/>
      <c r="HW473" s="38"/>
      <c r="HX473" s="38"/>
      <c r="HY473" s="38"/>
      <c r="HZ473" s="38"/>
      <c r="IA473" s="38"/>
    </row>
    <row r="474" spans="1:16" ht="12" customHeight="1">
      <c r="A474" s="5" t="s">
        <v>4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3.5" customHeight="1">
      <c r="A475" s="8" t="s">
        <v>43</v>
      </c>
      <c r="B475" s="6"/>
      <c r="C475" s="6"/>
      <c r="D475" s="7">
        <f>6000000-180000-320000+180000+60000+90000+38000</f>
        <v>5868000</v>
      </c>
      <c r="E475" s="7"/>
      <c r="F475" s="7">
        <f>D475</f>
        <v>5868000</v>
      </c>
      <c r="G475" s="7">
        <f>6500000+4000000+190000+78000+140000+120000</f>
        <v>11028000</v>
      </c>
      <c r="H475" s="7"/>
      <c r="I475" s="7"/>
      <c r="J475" s="7">
        <f>SUM(G475)</f>
        <v>11028000</v>
      </c>
      <c r="K475" s="7"/>
      <c r="L475" s="7"/>
      <c r="M475" s="7"/>
      <c r="N475" s="7">
        <v>7000000</v>
      </c>
      <c r="O475" s="7"/>
      <c r="P475" s="7">
        <f>N475</f>
        <v>7000000</v>
      </c>
    </row>
    <row r="476" spans="1:16" ht="12" customHeight="1">
      <c r="A476" s="5" t="s">
        <v>5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51" customHeight="1">
      <c r="A477" s="8" t="s">
        <v>252</v>
      </c>
      <c r="B477" s="6"/>
      <c r="C477" s="6"/>
      <c r="D477" s="7">
        <v>12</v>
      </c>
      <c r="E477" s="7"/>
      <c r="F477" s="7">
        <v>12</v>
      </c>
      <c r="G477" s="7">
        <v>12</v>
      </c>
      <c r="H477" s="7"/>
      <c r="I477" s="7"/>
      <c r="J477" s="7">
        <v>12</v>
      </c>
      <c r="K477" s="7"/>
      <c r="L477" s="7"/>
      <c r="M477" s="7"/>
      <c r="N477" s="7">
        <v>12</v>
      </c>
      <c r="O477" s="7"/>
      <c r="P477" s="7">
        <v>12</v>
      </c>
    </row>
    <row r="478" spans="1:16" ht="11.25">
      <c r="A478" s="5" t="s">
        <v>7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36" customHeight="1">
      <c r="A479" s="8" t="s">
        <v>253</v>
      </c>
      <c r="B479" s="6"/>
      <c r="C479" s="6"/>
      <c r="D479" s="7">
        <f>SUM(D475)/D477</f>
        <v>489000</v>
      </c>
      <c r="E479" s="7"/>
      <c r="F479" s="7">
        <f>D479</f>
        <v>489000</v>
      </c>
      <c r="G479" s="7">
        <f>SUM(G475)/G477</f>
        <v>919000</v>
      </c>
      <c r="H479" s="7"/>
      <c r="I479" s="7"/>
      <c r="J479" s="7">
        <f>SUM(J475)/J477</f>
        <v>919000</v>
      </c>
      <c r="K479" s="7"/>
      <c r="L479" s="7"/>
      <c r="M479" s="7"/>
      <c r="N479" s="7">
        <f>SUM(N475)/N477</f>
        <v>583333.3333333334</v>
      </c>
      <c r="O479" s="7"/>
      <c r="P479" s="7">
        <f>SUM(P475)/P477</f>
        <v>583333.3333333334</v>
      </c>
    </row>
    <row r="480" spans="1:16" ht="36" customHeight="1">
      <c r="A480" s="34" t="s">
        <v>413</v>
      </c>
      <c r="B480" s="6"/>
      <c r="C480" s="6"/>
      <c r="D480" s="7">
        <f>D482</f>
        <v>14000000</v>
      </c>
      <c r="E480" s="7"/>
      <c r="F480" s="7">
        <f>F482</f>
        <v>14000000</v>
      </c>
      <c r="G480" s="7">
        <f>G482</f>
        <v>43425000</v>
      </c>
      <c r="H480" s="7"/>
      <c r="I480" s="7"/>
      <c r="J480" s="7">
        <f>G480</f>
        <v>43425000</v>
      </c>
      <c r="K480" s="7"/>
      <c r="L480" s="7"/>
      <c r="M480" s="7"/>
      <c r="N480" s="7"/>
      <c r="O480" s="7"/>
      <c r="P480" s="7"/>
    </row>
    <row r="481" spans="1:16" ht="16.5" customHeight="1">
      <c r="A481" s="5" t="s">
        <v>4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12.75" customHeight="1">
      <c r="A482" s="5" t="s">
        <v>43</v>
      </c>
      <c r="B482" s="6"/>
      <c r="C482" s="6"/>
      <c r="D482" s="7">
        <f>3000000+2000000+3000000+1000000+3000000+2000000</f>
        <v>14000000</v>
      </c>
      <c r="E482" s="7"/>
      <c r="F482" s="7">
        <f>3000000+2000000+3000000+1000000+3000000+2000000</f>
        <v>14000000</v>
      </c>
      <c r="G482" s="7">
        <f>0+4000000+2725000+3000000+9000000+3000000+3000000+3000000+3200000+4000000+3500000+5000000</f>
        <v>43425000</v>
      </c>
      <c r="H482" s="7"/>
      <c r="I482" s="7"/>
      <c r="J482" s="7">
        <f>G482</f>
        <v>43425000</v>
      </c>
      <c r="K482" s="7"/>
      <c r="L482" s="7"/>
      <c r="M482" s="7"/>
      <c r="N482" s="7"/>
      <c r="O482" s="7"/>
      <c r="P482" s="7"/>
    </row>
    <row r="483" spans="1:16" ht="35.25" customHeight="1">
      <c r="A483" s="34" t="s">
        <v>453</v>
      </c>
      <c r="B483" s="6"/>
      <c r="C483" s="6"/>
      <c r="D483" s="7"/>
      <c r="E483" s="7"/>
      <c r="F483" s="7"/>
      <c r="G483" s="7">
        <f>G485</f>
        <v>1000000</v>
      </c>
      <c r="H483" s="7">
        <f>H485</f>
        <v>0</v>
      </c>
      <c r="I483" s="7">
        <f>I485</f>
        <v>0</v>
      </c>
      <c r="J483" s="7">
        <f>J485</f>
        <v>1000000</v>
      </c>
      <c r="K483" s="7"/>
      <c r="L483" s="7"/>
      <c r="M483" s="7"/>
      <c r="N483" s="7"/>
      <c r="O483" s="7"/>
      <c r="P483" s="7"/>
    </row>
    <row r="484" spans="1:16" ht="12.75" customHeight="1">
      <c r="A484" s="5" t="s">
        <v>4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12.75" customHeight="1">
      <c r="A485" s="5" t="s">
        <v>43</v>
      </c>
      <c r="B485" s="6"/>
      <c r="C485" s="6"/>
      <c r="D485" s="7"/>
      <c r="E485" s="7"/>
      <c r="F485" s="7"/>
      <c r="G485" s="7">
        <v>1000000</v>
      </c>
      <c r="H485" s="7"/>
      <c r="I485" s="7"/>
      <c r="J485" s="7">
        <f>G485+H485</f>
        <v>1000000</v>
      </c>
      <c r="K485" s="7"/>
      <c r="L485" s="7"/>
      <c r="M485" s="7"/>
      <c r="N485" s="7"/>
      <c r="O485" s="7"/>
      <c r="P485" s="7"/>
    </row>
    <row r="486" spans="1:235" s="39" customFormat="1" ht="25.5" customHeight="1">
      <c r="A486" s="34" t="s">
        <v>414</v>
      </c>
      <c r="B486" s="35"/>
      <c r="C486" s="35"/>
      <c r="D486" s="36">
        <f>D488</f>
        <v>70000</v>
      </c>
      <c r="E486" s="36"/>
      <c r="F486" s="36">
        <f>D486+E486</f>
        <v>70000</v>
      </c>
      <c r="G486" s="36">
        <f>G490*G492</f>
        <v>0</v>
      </c>
      <c r="H486" s="36"/>
      <c r="I486" s="36"/>
      <c r="J486" s="36">
        <f>G486</f>
        <v>0</v>
      </c>
      <c r="K486" s="36"/>
      <c r="L486" s="36"/>
      <c r="M486" s="36"/>
      <c r="N486" s="36">
        <f>N492*N490</f>
        <v>0</v>
      </c>
      <c r="O486" s="36"/>
      <c r="P486" s="36">
        <f>N486</f>
        <v>0</v>
      </c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</row>
    <row r="487" spans="1:16" ht="11.25">
      <c r="A487" s="5" t="s">
        <v>4</v>
      </c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4.25" customHeight="1">
      <c r="A488" s="8" t="s">
        <v>43</v>
      </c>
      <c r="B488" s="6"/>
      <c r="C488" s="6"/>
      <c r="D488" s="7">
        <f>D490*D492</f>
        <v>70000</v>
      </c>
      <c r="E488" s="7"/>
      <c r="F488" s="7">
        <f>D488+E488</f>
        <v>70000</v>
      </c>
      <c r="G488" s="7"/>
      <c r="H488" s="7"/>
      <c r="I488" s="7"/>
      <c r="J488" s="7">
        <f>G488</f>
        <v>0</v>
      </c>
      <c r="K488" s="7"/>
      <c r="L488" s="7"/>
      <c r="M488" s="7"/>
      <c r="N488" s="7"/>
      <c r="O488" s="7"/>
      <c r="P488" s="7">
        <f>N488</f>
        <v>0</v>
      </c>
    </row>
    <row r="489" spans="1:16" ht="11.25">
      <c r="A489" s="5" t="s">
        <v>5</v>
      </c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23.25" customHeight="1">
      <c r="A490" s="8" t="s">
        <v>134</v>
      </c>
      <c r="B490" s="6"/>
      <c r="C490" s="6"/>
      <c r="D490" s="7">
        <v>2</v>
      </c>
      <c r="E490" s="7"/>
      <c r="F490" s="7">
        <f>D490+E490</f>
        <v>2</v>
      </c>
      <c r="G490" s="7"/>
      <c r="H490" s="7"/>
      <c r="I490" s="7"/>
      <c r="J490" s="7">
        <v>0</v>
      </c>
      <c r="K490" s="7"/>
      <c r="L490" s="7"/>
      <c r="M490" s="7"/>
      <c r="N490" s="7"/>
      <c r="O490" s="7"/>
      <c r="P490" s="7">
        <v>0</v>
      </c>
    </row>
    <row r="491" spans="1:16" ht="11.25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24.75" customHeight="1">
      <c r="A492" s="8" t="s">
        <v>135</v>
      </c>
      <c r="B492" s="6"/>
      <c r="C492" s="6"/>
      <c r="D492" s="7">
        <v>35000</v>
      </c>
      <c r="E492" s="7"/>
      <c r="F492" s="7">
        <f>D492+E492</f>
        <v>35000</v>
      </c>
      <c r="G492" s="7"/>
      <c r="H492" s="7"/>
      <c r="I492" s="7"/>
      <c r="J492" s="7">
        <f>G492</f>
        <v>0</v>
      </c>
      <c r="K492" s="7"/>
      <c r="L492" s="7"/>
      <c r="M492" s="7"/>
      <c r="N492" s="7"/>
      <c r="O492" s="7"/>
      <c r="P492" s="7">
        <v>0</v>
      </c>
    </row>
    <row r="493" spans="1:235" s="39" customFormat="1" ht="15" customHeight="1">
      <c r="A493" s="34" t="s">
        <v>415</v>
      </c>
      <c r="B493" s="35"/>
      <c r="C493" s="35"/>
      <c r="D493" s="36">
        <f>D495</f>
        <v>150399.999999935</v>
      </c>
      <c r="E493" s="36"/>
      <c r="F493" s="36">
        <f>D493</f>
        <v>150399.999999935</v>
      </c>
      <c r="G493" s="36">
        <f>G495</f>
        <v>200000.4</v>
      </c>
      <c r="H493" s="36"/>
      <c r="I493" s="36"/>
      <c r="J493" s="30">
        <f aca="true" t="shared" si="61" ref="J493:J501">G493</f>
        <v>200000.4</v>
      </c>
      <c r="K493" s="36"/>
      <c r="L493" s="36"/>
      <c r="M493" s="36"/>
      <c r="N493" s="36"/>
      <c r="O493" s="36"/>
      <c r="P493" s="36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  <c r="DH493" s="38"/>
      <c r="DI493" s="38"/>
      <c r="DJ493" s="38"/>
      <c r="DK493" s="38"/>
      <c r="DL493" s="38"/>
      <c r="DM493" s="38"/>
      <c r="DN493" s="38"/>
      <c r="DO493" s="38"/>
      <c r="DP493" s="38"/>
      <c r="DQ493" s="38"/>
      <c r="DR493" s="38"/>
      <c r="DS493" s="38"/>
      <c r="DT493" s="38"/>
      <c r="DU493" s="38"/>
      <c r="DV493" s="38"/>
      <c r="DW493" s="38"/>
      <c r="DX493" s="38"/>
      <c r="DY493" s="38"/>
      <c r="DZ493" s="38"/>
      <c r="EA493" s="38"/>
      <c r="EB493" s="38"/>
      <c r="EC493" s="38"/>
      <c r="ED493" s="38"/>
      <c r="EE493" s="38"/>
      <c r="EF493" s="38"/>
      <c r="EG493" s="38"/>
      <c r="EH493" s="38"/>
      <c r="EI493" s="38"/>
      <c r="EJ493" s="38"/>
      <c r="EK493" s="38"/>
      <c r="EL493" s="38"/>
      <c r="EM493" s="38"/>
      <c r="EN493" s="38"/>
      <c r="EO493" s="38"/>
      <c r="EP493" s="38"/>
      <c r="EQ493" s="38"/>
      <c r="ER493" s="38"/>
      <c r="ES493" s="38"/>
      <c r="ET493" s="38"/>
      <c r="EU493" s="38"/>
      <c r="EV493" s="38"/>
      <c r="EW493" s="38"/>
      <c r="EX493" s="38"/>
      <c r="EY493" s="38"/>
      <c r="EZ493" s="38"/>
      <c r="FA493" s="38"/>
      <c r="FB493" s="38"/>
      <c r="FC493" s="38"/>
      <c r="FD493" s="38"/>
      <c r="FE493" s="38"/>
      <c r="FF493" s="38"/>
      <c r="FG493" s="38"/>
      <c r="FH493" s="38"/>
      <c r="FI493" s="38"/>
      <c r="FJ493" s="38"/>
      <c r="FK493" s="38"/>
      <c r="FL493" s="38"/>
      <c r="FM493" s="38"/>
      <c r="FN493" s="38"/>
      <c r="FO493" s="38"/>
      <c r="FP493" s="38"/>
      <c r="FQ493" s="38"/>
      <c r="FR493" s="38"/>
      <c r="FS493" s="38"/>
      <c r="FT493" s="38"/>
      <c r="FU493" s="38"/>
      <c r="FV493" s="38"/>
      <c r="FW493" s="38"/>
      <c r="FX493" s="38"/>
      <c r="FY493" s="38"/>
      <c r="FZ493" s="38"/>
      <c r="GA493" s="38"/>
      <c r="GB493" s="38"/>
      <c r="GC493" s="38"/>
      <c r="GD493" s="38"/>
      <c r="GE493" s="38"/>
      <c r="GF493" s="38"/>
      <c r="GG493" s="38"/>
      <c r="GH493" s="38"/>
      <c r="GI493" s="38"/>
      <c r="GJ493" s="38"/>
      <c r="GK493" s="38"/>
      <c r="GL493" s="38"/>
      <c r="GM493" s="38"/>
      <c r="GN493" s="38"/>
      <c r="GO493" s="38"/>
      <c r="GP493" s="38"/>
      <c r="GQ493" s="38"/>
      <c r="GR493" s="38"/>
      <c r="GS493" s="38"/>
      <c r="GT493" s="38"/>
      <c r="GU493" s="38"/>
      <c r="GV493" s="38"/>
      <c r="GW493" s="38"/>
      <c r="GX493" s="38"/>
      <c r="GY493" s="38"/>
      <c r="GZ493" s="38"/>
      <c r="HA493" s="38"/>
      <c r="HB493" s="38"/>
      <c r="HC493" s="38"/>
      <c r="HD493" s="38"/>
      <c r="HE493" s="38"/>
      <c r="HF493" s="38"/>
      <c r="HG493" s="38"/>
      <c r="HH493" s="38"/>
      <c r="HI493" s="38"/>
      <c r="HJ493" s="38"/>
      <c r="HK493" s="38"/>
      <c r="HL493" s="38"/>
      <c r="HM493" s="38"/>
      <c r="HN493" s="38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  <c r="HZ493" s="38"/>
      <c r="IA493" s="38"/>
    </row>
    <row r="494" spans="1:16" ht="12" customHeight="1">
      <c r="A494" s="5" t="s">
        <v>4</v>
      </c>
      <c r="B494" s="6"/>
      <c r="C494" s="6"/>
      <c r="D494" s="7"/>
      <c r="E494" s="7"/>
      <c r="F494" s="7"/>
      <c r="G494" s="7"/>
      <c r="H494" s="7"/>
      <c r="I494" s="7"/>
      <c r="J494" s="7">
        <f t="shared" si="61"/>
        <v>0</v>
      </c>
      <c r="K494" s="7"/>
      <c r="L494" s="7"/>
      <c r="M494" s="7"/>
      <c r="N494" s="7"/>
      <c r="O494" s="7"/>
      <c r="P494" s="7"/>
    </row>
    <row r="495" spans="1:16" ht="12" customHeight="1">
      <c r="A495" s="8" t="s">
        <v>43</v>
      </c>
      <c r="B495" s="6"/>
      <c r="C495" s="6"/>
      <c r="D495" s="7">
        <f>(D497*D500)+(D498*D501)</f>
        <v>150399.999999935</v>
      </c>
      <c r="E495" s="7"/>
      <c r="F495" s="7">
        <f>D495</f>
        <v>150399.999999935</v>
      </c>
      <c r="G495" s="7">
        <f>(G497*G500)+(G498*G501)</f>
        <v>200000.4</v>
      </c>
      <c r="H495" s="7"/>
      <c r="I495" s="7"/>
      <c r="J495" s="7">
        <f t="shared" si="61"/>
        <v>200000.4</v>
      </c>
      <c r="K495" s="7"/>
      <c r="L495" s="7"/>
      <c r="M495" s="7"/>
      <c r="N495" s="7"/>
      <c r="O495" s="7"/>
      <c r="P495" s="7"/>
    </row>
    <row r="496" spans="1:16" ht="12" customHeight="1">
      <c r="A496" s="5" t="s">
        <v>5</v>
      </c>
      <c r="B496" s="6"/>
      <c r="C496" s="6"/>
      <c r="D496" s="7"/>
      <c r="E496" s="7"/>
      <c r="F496" s="7"/>
      <c r="G496" s="7"/>
      <c r="H496" s="7"/>
      <c r="I496" s="7"/>
      <c r="J496" s="7">
        <f t="shared" si="61"/>
        <v>0</v>
      </c>
      <c r="K496" s="7"/>
      <c r="L496" s="7"/>
      <c r="M496" s="7"/>
      <c r="N496" s="7"/>
      <c r="O496" s="7"/>
      <c r="P496" s="7"/>
    </row>
    <row r="497" spans="1:16" ht="24.75" customHeight="1">
      <c r="A497" s="8" t="s">
        <v>156</v>
      </c>
      <c r="B497" s="6"/>
      <c r="C497" s="6"/>
      <c r="D497" s="7">
        <v>57</v>
      </c>
      <c r="E497" s="7"/>
      <c r="F497" s="7">
        <v>57</v>
      </c>
      <c r="G497" s="7">
        <v>57</v>
      </c>
      <c r="H497" s="7"/>
      <c r="I497" s="7"/>
      <c r="J497" s="7">
        <f t="shared" si="61"/>
        <v>57</v>
      </c>
      <c r="K497" s="7"/>
      <c r="L497" s="7"/>
      <c r="M497" s="7"/>
      <c r="N497" s="7"/>
      <c r="O497" s="7"/>
      <c r="P497" s="7"/>
    </row>
    <row r="498" spans="1:16" ht="15.75" customHeight="1">
      <c r="A498" s="8" t="s">
        <v>154</v>
      </c>
      <c r="B498" s="6"/>
      <c r="C498" s="6"/>
      <c r="D498" s="7">
        <v>145</v>
      </c>
      <c r="E498" s="7"/>
      <c r="F498" s="7">
        <f>D498</f>
        <v>145</v>
      </c>
      <c r="G498" s="7">
        <v>145</v>
      </c>
      <c r="H498" s="7"/>
      <c r="I498" s="7"/>
      <c r="J498" s="7">
        <f t="shared" si="61"/>
        <v>145</v>
      </c>
      <c r="K498" s="7"/>
      <c r="L498" s="7"/>
      <c r="M498" s="7"/>
      <c r="N498" s="7"/>
      <c r="O498" s="7"/>
      <c r="P498" s="7"/>
    </row>
    <row r="499" spans="1:16" ht="12.75" customHeight="1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>
        <f t="shared" si="61"/>
        <v>0</v>
      </c>
      <c r="K499" s="7"/>
      <c r="L499" s="7"/>
      <c r="M499" s="7"/>
      <c r="N499" s="7"/>
      <c r="O499" s="7"/>
      <c r="P499" s="7"/>
    </row>
    <row r="500" spans="1:16" ht="24.75" customHeight="1">
      <c r="A500" s="8" t="s">
        <v>155</v>
      </c>
      <c r="B500" s="6"/>
      <c r="C500" s="6"/>
      <c r="D500" s="7">
        <v>1950.89</v>
      </c>
      <c r="E500" s="7"/>
      <c r="F500" s="7">
        <f>D500</f>
        <v>1950.89</v>
      </c>
      <c r="G500" s="7">
        <v>2596.5</v>
      </c>
      <c r="H500" s="7"/>
      <c r="I500" s="7"/>
      <c r="J500" s="7">
        <f t="shared" si="61"/>
        <v>2596.5</v>
      </c>
      <c r="K500" s="7"/>
      <c r="L500" s="7"/>
      <c r="M500" s="7"/>
      <c r="N500" s="7"/>
      <c r="O500" s="7"/>
      <c r="P500" s="7"/>
    </row>
    <row r="501" spans="1:16" ht="24.75" customHeight="1">
      <c r="A501" s="8" t="s">
        <v>157</v>
      </c>
      <c r="B501" s="6"/>
      <c r="C501" s="6"/>
      <c r="D501" s="7">
        <v>270.339793103</v>
      </c>
      <c r="E501" s="7"/>
      <c r="F501" s="7">
        <f>D501</f>
        <v>270.339793103</v>
      </c>
      <c r="G501" s="7">
        <v>358.62</v>
      </c>
      <c r="H501" s="7"/>
      <c r="I501" s="7"/>
      <c r="J501" s="7">
        <f t="shared" si="61"/>
        <v>358.62</v>
      </c>
      <c r="K501" s="7"/>
      <c r="L501" s="7"/>
      <c r="M501" s="7"/>
      <c r="N501" s="7"/>
      <c r="O501" s="7"/>
      <c r="P501" s="7"/>
    </row>
    <row r="502" spans="1:235" s="39" customFormat="1" ht="25.5" customHeight="1">
      <c r="A502" s="34" t="s">
        <v>416</v>
      </c>
      <c r="B502" s="35"/>
      <c r="C502" s="35"/>
      <c r="D502" s="36">
        <f>D504</f>
        <v>399999.99999963003</v>
      </c>
      <c r="E502" s="36"/>
      <c r="F502" s="36">
        <f>D502</f>
        <v>399999.99999963003</v>
      </c>
      <c r="G502" s="36">
        <f>G504</f>
        <v>450000</v>
      </c>
      <c r="H502" s="36"/>
      <c r="I502" s="36"/>
      <c r="J502" s="36">
        <f>G502+H502</f>
        <v>450000</v>
      </c>
      <c r="K502" s="36"/>
      <c r="L502" s="36"/>
      <c r="M502" s="36"/>
      <c r="N502" s="36">
        <f>N504</f>
        <v>500000.00204999995</v>
      </c>
      <c r="O502" s="36"/>
      <c r="P502" s="36">
        <f>N502</f>
        <v>500000.00204999995</v>
      </c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</row>
    <row r="503" spans="1:16" ht="11.25" customHeight="1">
      <c r="A503" s="5" t="s">
        <v>4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6"/>
    </row>
    <row r="504" spans="1:16" ht="14.25" customHeight="1">
      <c r="A504" s="8" t="s">
        <v>43</v>
      </c>
      <c r="B504" s="6"/>
      <c r="C504" s="6"/>
      <c r="D504" s="7">
        <f>D506*D508</f>
        <v>399999.99999963003</v>
      </c>
      <c r="E504" s="7"/>
      <c r="F504" s="7">
        <f>D504+E504</f>
        <v>399999.99999963003</v>
      </c>
      <c r="G504" s="7">
        <f>G506*G508</f>
        <v>450000</v>
      </c>
      <c r="H504" s="7"/>
      <c r="I504" s="7"/>
      <c r="J504" s="7">
        <f>G504+H504</f>
        <v>450000</v>
      </c>
      <c r="K504" s="7"/>
      <c r="L504" s="7"/>
      <c r="M504" s="7"/>
      <c r="N504" s="7">
        <f>N506*N508</f>
        <v>500000.00204999995</v>
      </c>
      <c r="O504" s="7"/>
      <c r="P504" s="36">
        <f>N504</f>
        <v>500000.00204999995</v>
      </c>
    </row>
    <row r="505" spans="1:16" ht="10.5" customHeight="1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36"/>
    </row>
    <row r="506" spans="1:16" ht="24.75" customHeight="1">
      <c r="A506" s="8" t="s">
        <v>162</v>
      </c>
      <c r="B506" s="6"/>
      <c r="C506" s="6"/>
      <c r="D506" s="7">
        <v>307</v>
      </c>
      <c r="E506" s="7"/>
      <c r="F506" s="7">
        <f>D506</f>
        <v>307</v>
      </c>
      <c r="G506" s="7">
        <v>300</v>
      </c>
      <c r="H506" s="7"/>
      <c r="I506" s="7"/>
      <c r="J506" s="7">
        <f>G506+H506</f>
        <v>300</v>
      </c>
      <c r="K506" s="7"/>
      <c r="L506" s="7"/>
      <c r="M506" s="7"/>
      <c r="N506" s="7">
        <v>213</v>
      </c>
      <c r="O506" s="7"/>
      <c r="P506" s="36">
        <f>N506</f>
        <v>213</v>
      </c>
    </row>
    <row r="507" spans="1:16" ht="11.25">
      <c r="A507" s="5" t="s">
        <v>7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36"/>
    </row>
    <row r="508" spans="1:16" ht="24.75" customHeight="1">
      <c r="A508" s="8" t="s">
        <v>163</v>
      </c>
      <c r="B508" s="6"/>
      <c r="C508" s="6"/>
      <c r="D508" s="7">
        <v>1302.93159609</v>
      </c>
      <c r="E508" s="7"/>
      <c r="F508" s="7">
        <f>D508</f>
        <v>1302.93159609</v>
      </c>
      <c r="G508" s="7">
        <f>450000/300</f>
        <v>1500</v>
      </c>
      <c r="H508" s="7"/>
      <c r="I508" s="7"/>
      <c r="J508" s="7">
        <f>G508+H508</f>
        <v>1500</v>
      </c>
      <c r="K508" s="7"/>
      <c r="L508" s="7"/>
      <c r="M508" s="7"/>
      <c r="N508" s="7">
        <v>2347.41785</v>
      </c>
      <c r="O508" s="7"/>
      <c r="P508" s="36">
        <f>N508</f>
        <v>2347.41785</v>
      </c>
    </row>
    <row r="509" spans="1:235" s="39" customFormat="1" ht="36.75" customHeight="1">
      <c r="A509" s="34" t="s">
        <v>417</v>
      </c>
      <c r="B509" s="35"/>
      <c r="C509" s="35"/>
      <c r="D509" s="36">
        <f>700000+35000+10000</f>
        <v>745000</v>
      </c>
      <c r="E509" s="36">
        <f>E511</f>
        <v>1000000</v>
      </c>
      <c r="F509" s="36">
        <f>D509+E509</f>
        <v>1745000</v>
      </c>
      <c r="G509" s="36">
        <v>200000</v>
      </c>
      <c r="H509" s="36">
        <f>1300000+50000</f>
        <v>1350000</v>
      </c>
      <c r="I509" s="36"/>
      <c r="J509" s="36">
        <f>G509+H509</f>
        <v>1550000</v>
      </c>
      <c r="K509" s="36"/>
      <c r="L509" s="36"/>
      <c r="M509" s="36"/>
      <c r="N509" s="36">
        <f>N514*N517</f>
        <v>0</v>
      </c>
      <c r="O509" s="36">
        <f>O514*O517</f>
        <v>2000000</v>
      </c>
      <c r="P509" s="36">
        <f>O509+N509</f>
        <v>2000000</v>
      </c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  <c r="DG509" s="38"/>
      <c r="DH509" s="38"/>
      <c r="DI509" s="38"/>
      <c r="DJ509" s="38"/>
      <c r="DK509" s="38"/>
      <c r="DL509" s="38"/>
      <c r="DM509" s="38"/>
      <c r="DN509" s="38"/>
      <c r="DO509" s="38"/>
      <c r="DP509" s="38"/>
      <c r="DQ509" s="38"/>
      <c r="DR509" s="38"/>
      <c r="DS509" s="38"/>
      <c r="DT509" s="38"/>
      <c r="DU509" s="38"/>
      <c r="DV509" s="38"/>
      <c r="DW509" s="38"/>
      <c r="DX509" s="38"/>
      <c r="DY509" s="38"/>
      <c r="DZ509" s="38"/>
      <c r="EA509" s="38"/>
      <c r="EB509" s="38"/>
      <c r="EC509" s="38"/>
      <c r="ED509" s="38"/>
      <c r="EE509" s="38"/>
      <c r="EF509" s="38"/>
      <c r="EG509" s="38"/>
      <c r="EH509" s="38"/>
      <c r="EI509" s="38"/>
      <c r="EJ509" s="38"/>
      <c r="EK509" s="38"/>
      <c r="EL509" s="38"/>
      <c r="EM509" s="38"/>
      <c r="EN509" s="38"/>
      <c r="EO509" s="38"/>
      <c r="EP509" s="38"/>
      <c r="EQ509" s="38"/>
      <c r="ER509" s="38"/>
      <c r="ES509" s="38"/>
      <c r="ET509" s="38"/>
      <c r="EU509" s="38"/>
      <c r="EV509" s="38"/>
      <c r="EW509" s="38"/>
      <c r="EX509" s="38"/>
      <c r="EY509" s="38"/>
      <c r="EZ509" s="38"/>
      <c r="FA509" s="38"/>
      <c r="FB509" s="38"/>
      <c r="FC509" s="38"/>
      <c r="FD509" s="38"/>
      <c r="FE509" s="38"/>
      <c r="FF509" s="38"/>
      <c r="FG509" s="38"/>
      <c r="FH509" s="38"/>
      <c r="FI509" s="38"/>
      <c r="FJ509" s="38"/>
      <c r="FK509" s="38"/>
      <c r="FL509" s="38"/>
      <c r="FM509" s="38"/>
      <c r="FN509" s="38"/>
      <c r="FO509" s="38"/>
      <c r="FP509" s="38"/>
      <c r="FQ509" s="38"/>
      <c r="FR509" s="38"/>
      <c r="FS509" s="38"/>
      <c r="FT509" s="38"/>
      <c r="FU509" s="38"/>
      <c r="FV509" s="38"/>
      <c r="FW509" s="38"/>
      <c r="FX509" s="38"/>
      <c r="FY509" s="38"/>
      <c r="FZ509" s="38"/>
      <c r="GA509" s="38"/>
      <c r="GB509" s="38"/>
      <c r="GC509" s="38"/>
      <c r="GD509" s="38"/>
      <c r="GE509" s="38"/>
      <c r="GF509" s="38"/>
      <c r="GG509" s="38"/>
      <c r="GH509" s="38"/>
      <c r="GI509" s="38"/>
      <c r="GJ509" s="38"/>
      <c r="GK509" s="38"/>
      <c r="GL509" s="38"/>
      <c r="GM509" s="38"/>
      <c r="GN509" s="38"/>
      <c r="GO509" s="38"/>
      <c r="GP509" s="38"/>
      <c r="GQ509" s="38"/>
      <c r="GR509" s="38"/>
      <c r="GS509" s="38"/>
      <c r="GT509" s="38"/>
      <c r="GU509" s="38"/>
      <c r="GV509" s="38"/>
      <c r="GW509" s="38"/>
      <c r="GX509" s="38"/>
      <c r="GY509" s="38"/>
      <c r="GZ509" s="38"/>
      <c r="HA509" s="38"/>
      <c r="HB509" s="38"/>
      <c r="HC509" s="38"/>
      <c r="HD509" s="38"/>
      <c r="HE509" s="38"/>
      <c r="HF509" s="38"/>
      <c r="HG509" s="38"/>
      <c r="HH509" s="38"/>
      <c r="HI509" s="38"/>
      <c r="HJ509" s="38"/>
      <c r="HK509" s="38"/>
      <c r="HL509" s="38"/>
      <c r="HM509" s="38"/>
      <c r="HN509" s="38"/>
      <c r="HO509" s="38"/>
      <c r="HP509" s="38"/>
      <c r="HQ509" s="38"/>
      <c r="HR509" s="38"/>
      <c r="HS509" s="38"/>
      <c r="HT509" s="38"/>
      <c r="HU509" s="38"/>
      <c r="HV509" s="38"/>
      <c r="HW509" s="38"/>
      <c r="HX509" s="38"/>
      <c r="HY509" s="38"/>
      <c r="HZ509" s="38"/>
      <c r="IA509" s="38"/>
    </row>
    <row r="510" spans="1:16" ht="11.25">
      <c r="A510" s="5" t="s">
        <v>4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36"/>
    </row>
    <row r="511" spans="1:16" ht="22.5">
      <c r="A511" s="8" t="s">
        <v>351</v>
      </c>
      <c r="B511" s="6"/>
      <c r="C511" s="6"/>
      <c r="D511" s="7">
        <v>700000</v>
      </c>
      <c r="E511" s="7">
        <f>E514*E517</f>
        <v>1000000</v>
      </c>
      <c r="F511" s="7">
        <f>D511+E511</f>
        <v>1700000</v>
      </c>
      <c r="G511" s="7">
        <v>200000</v>
      </c>
      <c r="H511" s="7">
        <f>1300000+50000</f>
        <v>1350000</v>
      </c>
      <c r="I511" s="7"/>
      <c r="J511" s="7">
        <f>G511+H511</f>
        <v>1550000</v>
      </c>
      <c r="K511" s="7"/>
      <c r="L511" s="7"/>
      <c r="M511" s="7"/>
      <c r="N511" s="7"/>
      <c r="O511" s="7">
        <f>O514*O517</f>
        <v>2000000</v>
      </c>
      <c r="P511" s="7">
        <f>O511+N511</f>
        <v>2000000</v>
      </c>
    </row>
    <row r="512" spans="1:16" ht="22.5">
      <c r="A512" s="8" t="s">
        <v>354</v>
      </c>
      <c r="B512" s="6"/>
      <c r="C512" s="6"/>
      <c r="D512" s="7">
        <f>35000+10000</f>
        <v>45000</v>
      </c>
      <c r="E512" s="7"/>
      <c r="F512" s="7">
        <f>D512+E512</f>
        <v>45000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1.25">
      <c r="A513" s="5" t="s">
        <v>5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22.5">
      <c r="A514" s="72" t="s">
        <v>183</v>
      </c>
      <c r="B514" s="6"/>
      <c r="C514" s="6"/>
      <c r="D514" s="7">
        <v>6</v>
      </c>
      <c r="E514" s="7">
        <v>2</v>
      </c>
      <c r="F514" s="7">
        <f>D514+E514</f>
        <v>8</v>
      </c>
      <c r="G514" s="7">
        <v>1</v>
      </c>
      <c r="H514" s="7">
        <v>3</v>
      </c>
      <c r="I514" s="7"/>
      <c r="J514" s="7">
        <f>G514+H514</f>
        <v>4</v>
      </c>
      <c r="K514" s="7"/>
      <c r="L514" s="7"/>
      <c r="M514" s="7"/>
      <c r="N514" s="7"/>
      <c r="O514" s="7">
        <v>4</v>
      </c>
      <c r="P514" s="7">
        <f>O514+N514</f>
        <v>4</v>
      </c>
    </row>
    <row r="515" spans="1:16" ht="22.5">
      <c r="A515" s="72" t="s">
        <v>352</v>
      </c>
      <c r="B515" s="6"/>
      <c r="C515" s="6"/>
      <c r="D515" s="7">
        <v>1</v>
      </c>
      <c r="E515" s="7"/>
      <c r="F515" s="7">
        <f>D515+E515</f>
        <v>1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33.75">
      <c r="A517" s="8" t="s">
        <v>203</v>
      </c>
      <c r="B517" s="6"/>
      <c r="C517" s="6"/>
      <c r="D517" s="7">
        <v>116666.66</v>
      </c>
      <c r="E517" s="7">
        <v>500000</v>
      </c>
      <c r="F517" s="7">
        <f>D517+E517</f>
        <v>616666.66</v>
      </c>
      <c r="G517" s="7">
        <v>200000</v>
      </c>
      <c r="H517" s="7">
        <v>433333.33</v>
      </c>
      <c r="I517" s="7"/>
      <c r="J517" s="7">
        <f>G517+H517</f>
        <v>633333.3300000001</v>
      </c>
      <c r="K517" s="7"/>
      <c r="L517" s="7"/>
      <c r="M517" s="7"/>
      <c r="N517" s="7"/>
      <c r="O517" s="7">
        <v>500000</v>
      </c>
      <c r="P517" s="7">
        <f>O517+N517</f>
        <v>500000</v>
      </c>
    </row>
    <row r="518" spans="1:16" ht="22.5">
      <c r="A518" s="8" t="s">
        <v>353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11.25">
      <c r="A519" s="8"/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235" s="39" customFormat="1" ht="24.75" customHeight="1">
      <c r="A520" s="34" t="s">
        <v>418</v>
      </c>
      <c r="B520" s="35"/>
      <c r="C520" s="35"/>
      <c r="D520" s="36">
        <f>D522</f>
        <v>100000</v>
      </c>
      <c r="E520" s="36"/>
      <c r="F520" s="36">
        <f>D520+E520</f>
        <v>100000</v>
      </c>
      <c r="G520" s="36">
        <f>G524*G526</f>
        <v>130000</v>
      </c>
      <c r="H520" s="36"/>
      <c r="I520" s="36"/>
      <c r="J520" s="36">
        <f>G520+H520</f>
        <v>130000</v>
      </c>
      <c r="K520" s="36"/>
      <c r="L520" s="36"/>
      <c r="M520" s="36"/>
      <c r="N520" s="36">
        <f>N526*N524</f>
        <v>150000</v>
      </c>
      <c r="O520" s="36">
        <f>O526*O524</f>
        <v>0</v>
      </c>
      <c r="P520" s="36">
        <f>P526*P524</f>
        <v>150000</v>
      </c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  <c r="DH520" s="38"/>
      <c r="DI520" s="38"/>
      <c r="DJ520" s="38"/>
      <c r="DK520" s="38"/>
      <c r="DL520" s="38"/>
      <c r="DM520" s="38"/>
      <c r="DN520" s="38"/>
      <c r="DO520" s="38"/>
      <c r="DP520" s="38"/>
      <c r="DQ520" s="38"/>
      <c r="DR520" s="38"/>
      <c r="DS520" s="38"/>
      <c r="DT520" s="38"/>
      <c r="DU520" s="38"/>
      <c r="DV520" s="38"/>
      <c r="DW520" s="38"/>
      <c r="DX520" s="38"/>
      <c r="DY520" s="38"/>
      <c r="DZ520" s="38"/>
      <c r="EA520" s="38"/>
      <c r="EB520" s="38"/>
      <c r="EC520" s="38"/>
      <c r="ED520" s="38"/>
      <c r="EE520" s="38"/>
      <c r="EF520" s="38"/>
      <c r="EG520" s="38"/>
      <c r="EH520" s="38"/>
      <c r="EI520" s="38"/>
      <c r="EJ520" s="38"/>
      <c r="EK520" s="38"/>
      <c r="EL520" s="38"/>
      <c r="EM520" s="38"/>
      <c r="EN520" s="38"/>
      <c r="EO520" s="38"/>
      <c r="EP520" s="38"/>
      <c r="EQ520" s="38"/>
      <c r="ER520" s="38"/>
      <c r="ES520" s="38"/>
      <c r="ET520" s="38"/>
      <c r="EU520" s="38"/>
      <c r="EV520" s="38"/>
      <c r="EW520" s="38"/>
      <c r="EX520" s="38"/>
      <c r="EY520" s="38"/>
      <c r="EZ520" s="38"/>
      <c r="FA520" s="38"/>
      <c r="FB520" s="38"/>
      <c r="FC520" s="38"/>
      <c r="FD520" s="38"/>
      <c r="FE520" s="38"/>
      <c r="FF520" s="38"/>
      <c r="FG520" s="38"/>
      <c r="FH520" s="38"/>
      <c r="FI520" s="38"/>
      <c r="FJ520" s="38"/>
      <c r="FK520" s="38"/>
      <c r="FL520" s="38"/>
      <c r="FM520" s="38"/>
      <c r="FN520" s="38"/>
      <c r="FO520" s="38"/>
      <c r="FP520" s="38"/>
      <c r="FQ520" s="38"/>
      <c r="FR520" s="38"/>
      <c r="FS520" s="38"/>
      <c r="FT520" s="38"/>
      <c r="FU520" s="38"/>
      <c r="FV520" s="38"/>
      <c r="FW520" s="38"/>
      <c r="FX520" s="38"/>
      <c r="FY520" s="38"/>
      <c r="FZ520" s="38"/>
      <c r="GA520" s="38"/>
      <c r="GB520" s="38"/>
      <c r="GC520" s="38"/>
      <c r="GD520" s="38"/>
      <c r="GE520" s="38"/>
      <c r="GF520" s="38"/>
      <c r="GG520" s="38"/>
      <c r="GH520" s="38"/>
      <c r="GI520" s="38"/>
      <c r="GJ520" s="38"/>
      <c r="GK520" s="38"/>
      <c r="GL520" s="38"/>
      <c r="GM520" s="38"/>
      <c r="GN520" s="38"/>
      <c r="GO520" s="38"/>
      <c r="GP520" s="38"/>
      <c r="GQ520" s="38"/>
      <c r="GR520" s="38"/>
      <c r="GS520" s="38"/>
      <c r="GT520" s="38"/>
      <c r="GU520" s="38"/>
      <c r="GV520" s="38"/>
      <c r="GW520" s="38"/>
      <c r="GX520" s="38"/>
      <c r="GY520" s="38"/>
      <c r="GZ520" s="38"/>
      <c r="HA520" s="38"/>
      <c r="HB520" s="38"/>
      <c r="HC520" s="38"/>
      <c r="HD520" s="38"/>
      <c r="HE520" s="38"/>
      <c r="HF520" s="38"/>
      <c r="HG520" s="38"/>
      <c r="HH520" s="38"/>
      <c r="HI520" s="38"/>
      <c r="HJ520" s="38"/>
      <c r="HK520" s="38"/>
      <c r="HL520" s="38"/>
      <c r="HM520" s="38"/>
      <c r="HN520" s="38"/>
      <c r="HO520" s="38"/>
      <c r="HP520" s="38"/>
      <c r="HQ520" s="38"/>
      <c r="HR520" s="38"/>
      <c r="HS520" s="38"/>
      <c r="HT520" s="38"/>
      <c r="HU520" s="38"/>
      <c r="HV520" s="38"/>
      <c r="HW520" s="38"/>
      <c r="HX520" s="38"/>
      <c r="HY520" s="38"/>
      <c r="HZ520" s="38"/>
      <c r="IA520" s="38"/>
    </row>
    <row r="521" spans="1:16" ht="11.25">
      <c r="A521" s="5" t="s">
        <v>4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 ht="11.25">
      <c r="A522" s="8" t="s">
        <v>43</v>
      </c>
      <c r="B522" s="6"/>
      <c r="C522" s="6"/>
      <c r="D522" s="7">
        <f>D524*D526</f>
        <v>100000</v>
      </c>
      <c r="E522" s="7"/>
      <c r="F522" s="7">
        <f>D522+E522</f>
        <v>100000</v>
      </c>
      <c r="G522" s="7">
        <f>G524*G526</f>
        <v>130000</v>
      </c>
      <c r="H522" s="7"/>
      <c r="I522" s="7"/>
      <c r="J522" s="7">
        <f>G522+H522</f>
        <v>130000</v>
      </c>
      <c r="K522" s="7"/>
      <c r="L522" s="7"/>
      <c r="M522" s="7"/>
      <c r="N522" s="7">
        <f>N524*N526</f>
        <v>150000</v>
      </c>
      <c r="O522" s="7"/>
      <c r="P522" s="7">
        <f>N522+O522</f>
        <v>150000</v>
      </c>
    </row>
    <row r="523" spans="1:16" ht="11.25">
      <c r="A523" s="5" t="s">
        <v>5</v>
      </c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 ht="14.25" customHeight="1">
      <c r="A524" s="8" t="s">
        <v>196</v>
      </c>
      <c r="B524" s="6"/>
      <c r="C524" s="6"/>
      <c r="D524" s="7">
        <v>8</v>
      </c>
      <c r="E524" s="7"/>
      <c r="F524" s="7">
        <f>D524+E524</f>
        <v>8</v>
      </c>
      <c r="G524" s="7">
        <v>2</v>
      </c>
      <c r="H524" s="7"/>
      <c r="I524" s="7"/>
      <c r="J524" s="7">
        <f>G524+H524</f>
        <v>2</v>
      </c>
      <c r="K524" s="7"/>
      <c r="L524" s="7"/>
      <c r="M524" s="7"/>
      <c r="N524" s="7">
        <v>8</v>
      </c>
      <c r="O524" s="7"/>
      <c r="P524" s="7">
        <f>N524+O524</f>
        <v>8</v>
      </c>
    </row>
    <row r="525" spans="1:16" ht="12" customHeight="1">
      <c r="A525" s="5" t="s">
        <v>7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24.75" customHeight="1">
      <c r="A526" s="8" t="s">
        <v>178</v>
      </c>
      <c r="B526" s="6"/>
      <c r="C526" s="6"/>
      <c r="D526" s="7">
        <f>100000/8</f>
        <v>12500</v>
      </c>
      <c r="E526" s="7"/>
      <c r="F526" s="7">
        <f>D526+E526</f>
        <v>12500</v>
      </c>
      <c r="G526" s="7">
        <v>65000</v>
      </c>
      <c r="H526" s="7"/>
      <c r="I526" s="7"/>
      <c r="J526" s="7">
        <f>G526+H526</f>
        <v>65000</v>
      </c>
      <c r="K526" s="7"/>
      <c r="L526" s="7"/>
      <c r="M526" s="7"/>
      <c r="N526" s="7">
        <f>150000/8</f>
        <v>18750</v>
      </c>
      <c r="O526" s="7"/>
      <c r="P526" s="7">
        <f>N526+O526</f>
        <v>18750</v>
      </c>
    </row>
    <row r="527" spans="1:17" ht="33.75">
      <c r="A527" s="34" t="s">
        <v>419</v>
      </c>
      <c r="B527" s="35"/>
      <c r="C527" s="35"/>
      <c r="D527" s="22"/>
      <c r="E527" s="36">
        <f>E529</f>
        <v>50000</v>
      </c>
      <c r="F527" s="36">
        <f>F529</f>
        <v>50000</v>
      </c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73"/>
    </row>
    <row r="528" spans="1:17" ht="11.25">
      <c r="A528" s="5" t="s">
        <v>4</v>
      </c>
      <c r="B528" s="6"/>
      <c r="C528" s="6"/>
      <c r="D528" s="22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3"/>
    </row>
    <row r="529" spans="1:17" ht="11.25">
      <c r="A529" s="8" t="s">
        <v>43</v>
      </c>
      <c r="B529" s="6"/>
      <c r="C529" s="6"/>
      <c r="D529" s="22"/>
      <c r="E529" s="7">
        <f>E531*E533</f>
        <v>50000</v>
      </c>
      <c r="F529" s="7">
        <f>F531*F533</f>
        <v>50000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4"/>
    </row>
    <row r="530" spans="1:17" ht="11.25">
      <c r="A530" s="5" t="s">
        <v>5</v>
      </c>
      <c r="B530" s="6"/>
      <c r="C530" s="6"/>
      <c r="D530" s="22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4"/>
    </row>
    <row r="531" spans="1:17" ht="22.5">
      <c r="A531" s="8" t="s">
        <v>196</v>
      </c>
      <c r="B531" s="6"/>
      <c r="C531" s="6"/>
      <c r="D531" s="22"/>
      <c r="E531" s="7">
        <v>1</v>
      </c>
      <c r="F531" s="7">
        <v>1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4">
        <v>5500</v>
      </c>
    </row>
    <row r="532" spans="1:17" ht="11.25">
      <c r="A532" s="5" t="s">
        <v>7</v>
      </c>
      <c r="B532" s="6"/>
      <c r="C532" s="6"/>
      <c r="D532" s="22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22.5">
      <c r="A533" s="8" t="s">
        <v>178</v>
      </c>
      <c r="B533" s="6"/>
      <c r="C533" s="6"/>
      <c r="D533" s="22"/>
      <c r="E533" s="7">
        <v>50000</v>
      </c>
      <c r="F533" s="7">
        <v>50000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33.75">
      <c r="A534" s="34" t="s">
        <v>420</v>
      </c>
      <c r="B534" s="35"/>
      <c r="C534" s="35"/>
      <c r="D534" s="36">
        <f>D536</f>
        <v>790000</v>
      </c>
      <c r="E534" s="36"/>
      <c r="F534" s="36">
        <f>F536</f>
        <v>790000</v>
      </c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24"/>
    </row>
    <row r="535" spans="1:17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8" t="s">
        <v>43</v>
      </c>
      <c r="B536" s="6"/>
      <c r="C536" s="6"/>
      <c r="D536" s="7">
        <f>D538*D540</f>
        <v>790000</v>
      </c>
      <c r="E536" s="7"/>
      <c r="F536" s="7">
        <f>F538*F540</f>
        <v>790000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11.25">
      <c r="A537" s="5" t="s">
        <v>5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22.5">
      <c r="A538" s="8" t="s">
        <v>196</v>
      </c>
      <c r="B538" s="6"/>
      <c r="C538" s="6"/>
      <c r="D538" s="7">
        <v>1</v>
      </c>
      <c r="E538" s="7"/>
      <c r="F538" s="7">
        <v>1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17" ht="11.25">
      <c r="A539" s="5" t="s">
        <v>7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17" ht="22.5">
      <c r="A540" s="8" t="s">
        <v>178</v>
      </c>
      <c r="B540" s="6"/>
      <c r="C540" s="6"/>
      <c r="D540" s="7">
        <v>790000</v>
      </c>
      <c r="E540" s="7"/>
      <c r="F540" s="7">
        <v>790000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24"/>
    </row>
    <row r="541" spans="1:17" ht="36" customHeight="1">
      <c r="A541" s="34" t="s">
        <v>421</v>
      </c>
      <c r="B541" s="35"/>
      <c r="C541" s="35"/>
      <c r="D541" s="36"/>
      <c r="E541" s="36">
        <f>E543</f>
        <v>320000</v>
      </c>
      <c r="F541" s="36">
        <f>F543</f>
        <v>320000</v>
      </c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24"/>
    </row>
    <row r="542" spans="1:17" ht="11.25">
      <c r="A542" s="5" t="s">
        <v>4</v>
      </c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17" ht="11.25">
      <c r="A543" s="8" t="s">
        <v>43</v>
      </c>
      <c r="B543" s="6"/>
      <c r="C543" s="6"/>
      <c r="D543" s="7"/>
      <c r="E543" s="7">
        <f>E545*E547</f>
        <v>320000</v>
      </c>
      <c r="F543" s="7">
        <f>F545*F547</f>
        <v>320000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11.25">
      <c r="A544" s="5" t="s">
        <v>5</v>
      </c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22.5">
      <c r="A545" s="8" t="s">
        <v>196</v>
      </c>
      <c r="B545" s="6"/>
      <c r="C545" s="6"/>
      <c r="D545" s="7"/>
      <c r="E545" s="7">
        <v>1</v>
      </c>
      <c r="F545" s="7">
        <v>1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17" ht="11.25">
      <c r="A546" s="5" t="s">
        <v>7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235" ht="11.25">
      <c r="A547" s="8" t="s">
        <v>330</v>
      </c>
      <c r="B547" s="6"/>
      <c r="C547" s="6"/>
      <c r="D547" s="7"/>
      <c r="E547" s="7">
        <v>320000</v>
      </c>
      <c r="F547" s="7">
        <v>320000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17" ht="24" customHeight="1">
      <c r="A548" s="34" t="s">
        <v>422</v>
      </c>
      <c r="B548" s="35"/>
      <c r="C548" s="35"/>
      <c r="D548" s="36"/>
      <c r="E548" s="36">
        <f>E550</f>
        <v>0</v>
      </c>
      <c r="F548" s="36">
        <f>F550</f>
        <v>0</v>
      </c>
      <c r="G548" s="36">
        <f>G550</f>
        <v>1952000</v>
      </c>
      <c r="H548" s="36"/>
      <c r="I548" s="36"/>
      <c r="J548" s="36">
        <f>J550</f>
        <v>1952000</v>
      </c>
      <c r="K548" s="36"/>
      <c r="L548" s="36"/>
      <c r="M548" s="36"/>
      <c r="N548" s="36"/>
      <c r="O548" s="36"/>
      <c r="P548" s="36"/>
      <c r="Q548" s="24"/>
    </row>
    <row r="549" spans="1:17" ht="11.25">
      <c r="A549" s="5" t="s">
        <v>4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11.25">
      <c r="A550" s="8" t="s">
        <v>43</v>
      </c>
      <c r="B550" s="6"/>
      <c r="C550" s="6"/>
      <c r="D550" s="7"/>
      <c r="E550" s="7">
        <f>E552*E554</f>
        <v>0</v>
      </c>
      <c r="F550" s="7">
        <f>F552*F554</f>
        <v>0</v>
      </c>
      <c r="G550" s="7">
        <f>G552*G554</f>
        <v>1952000</v>
      </c>
      <c r="H550" s="7"/>
      <c r="I550" s="7"/>
      <c r="J550" s="7">
        <f>G550</f>
        <v>1952000</v>
      </c>
      <c r="K550" s="7"/>
      <c r="L550" s="7"/>
      <c r="M550" s="7"/>
      <c r="N550" s="7"/>
      <c r="O550" s="7"/>
      <c r="P550" s="7"/>
      <c r="Q550" s="24"/>
    </row>
    <row r="551" spans="1:17" ht="11.25">
      <c r="A551" s="5" t="s">
        <v>5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22.5">
      <c r="A552" s="8" t="s">
        <v>196</v>
      </c>
      <c r="B552" s="6"/>
      <c r="C552" s="6"/>
      <c r="D552" s="7"/>
      <c r="E552" s="7">
        <v>0</v>
      </c>
      <c r="F552" s="7">
        <v>0</v>
      </c>
      <c r="G552" s="7">
        <v>1</v>
      </c>
      <c r="H552" s="7"/>
      <c r="I552" s="7"/>
      <c r="J552" s="7">
        <f>G552</f>
        <v>1</v>
      </c>
      <c r="K552" s="7"/>
      <c r="L552" s="7"/>
      <c r="M552" s="7"/>
      <c r="N552" s="7"/>
      <c r="O552" s="7"/>
      <c r="P552" s="7"/>
      <c r="Q552" s="24"/>
    </row>
    <row r="553" spans="1:17" ht="11.25">
      <c r="A553" s="5" t="s">
        <v>7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</row>
    <row r="554" spans="1:235" ht="11.25">
      <c r="A554" s="8" t="s">
        <v>330</v>
      </c>
      <c r="B554" s="6"/>
      <c r="C554" s="6"/>
      <c r="D554" s="7"/>
      <c r="E554" s="7"/>
      <c r="F554" s="7">
        <v>0</v>
      </c>
      <c r="G554" s="7">
        <f>2300000-348000</f>
        <v>1952000</v>
      </c>
      <c r="H554" s="7"/>
      <c r="I554" s="7"/>
      <c r="J554" s="7">
        <f>G554</f>
        <v>1952000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33.75">
      <c r="A555" s="34" t="s">
        <v>423</v>
      </c>
      <c r="B555" s="6"/>
      <c r="C555" s="6"/>
      <c r="D555" s="7"/>
      <c r="E555" s="7"/>
      <c r="F555" s="7"/>
      <c r="G555" s="36">
        <f>G557</f>
        <v>3200000</v>
      </c>
      <c r="H555" s="7"/>
      <c r="I555" s="7"/>
      <c r="J555" s="36">
        <f>G555</f>
        <v>3200000</v>
      </c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4</v>
      </c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8" t="s">
        <v>43</v>
      </c>
      <c r="B557" s="6"/>
      <c r="C557" s="6"/>
      <c r="D557" s="7"/>
      <c r="E557" s="7"/>
      <c r="F557" s="7"/>
      <c r="G557" s="7">
        <v>3200000</v>
      </c>
      <c r="H557" s="7"/>
      <c r="I557" s="7"/>
      <c r="J557" s="7">
        <f>G557</f>
        <v>3200000</v>
      </c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5" t="s">
        <v>5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22.5">
      <c r="A559" s="8" t="s">
        <v>196</v>
      </c>
      <c r="B559" s="6"/>
      <c r="C559" s="6"/>
      <c r="D559" s="7"/>
      <c r="E559" s="7"/>
      <c r="F559" s="7"/>
      <c r="G559" s="7">
        <v>59</v>
      </c>
      <c r="H559" s="7"/>
      <c r="I559" s="7"/>
      <c r="J559" s="7">
        <f>G559</f>
        <v>59</v>
      </c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5" t="s">
        <v>7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330</v>
      </c>
      <c r="B561" s="6"/>
      <c r="C561" s="6"/>
      <c r="D561" s="7"/>
      <c r="E561" s="7"/>
      <c r="F561" s="7"/>
      <c r="G561" s="7">
        <v>54237.29</v>
      </c>
      <c r="H561" s="7"/>
      <c r="I561" s="7"/>
      <c r="J561" s="7">
        <f>G561</f>
        <v>54237.29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33.75">
      <c r="A562" s="155" t="s">
        <v>427</v>
      </c>
      <c r="B562" s="6"/>
      <c r="C562" s="6"/>
      <c r="D562" s="7"/>
      <c r="E562" s="7"/>
      <c r="F562" s="7"/>
      <c r="G562" s="36"/>
      <c r="H562" s="36">
        <f>H564</f>
        <v>1000000</v>
      </c>
      <c r="I562" s="7"/>
      <c r="J562" s="36">
        <f>H562</f>
        <v>1000000</v>
      </c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5" t="s">
        <v>4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8" t="s">
        <v>43</v>
      </c>
      <c r="B564" s="6"/>
      <c r="C564" s="6"/>
      <c r="D564" s="7"/>
      <c r="E564" s="7"/>
      <c r="F564" s="7"/>
      <c r="G564" s="7"/>
      <c r="H564" s="7">
        <v>1000000</v>
      </c>
      <c r="I564" s="7"/>
      <c r="J564" s="7">
        <f>H564</f>
        <v>1000000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5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 t="s">
        <v>403</v>
      </c>
      <c r="B566" s="6"/>
      <c r="C566" s="6"/>
      <c r="D566" s="7"/>
      <c r="E566" s="7"/>
      <c r="F566" s="7"/>
      <c r="G566" s="7"/>
      <c r="H566" s="7">
        <v>1</v>
      </c>
      <c r="I566" s="7"/>
      <c r="J566" s="7">
        <f>H566</f>
        <v>1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7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330</v>
      </c>
      <c r="B568" s="6"/>
      <c r="C568" s="6"/>
      <c r="D568" s="7"/>
      <c r="E568" s="7"/>
      <c r="F568" s="7"/>
      <c r="G568" s="7"/>
      <c r="H568" s="7">
        <v>1000000</v>
      </c>
      <c r="I568" s="7"/>
      <c r="J568" s="7">
        <f>H568</f>
        <v>1000000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22.5">
      <c r="A569" s="155" t="s">
        <v>428</v>
      </c>
      <c r="B569" s="6"/>
      <c r="C569" s="6"/>
      <c r="D569" s="7"/>
      <c r="E569" s="7"/>
      <c r="F569" s="7"/>
      <c r="G569" s="36">
        <f>G571</f>
        <v>80000</v>
      </c>
      <c r="H569" s="36">
        <f>H571</f>
        <v>0</v>
      </c>
      <c r="I569" s="7"/>
      <c r="J569" s="36">
        <f>H569+G569</f>
        <v>80000</v>
      </c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5" t="s">
        <v>4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43</v>
      </c>
      <c r="B571" s="6"/>
      <c r="C571" s="6"/>
      <c r="D571" s="7"/>
      <c r="E571" s="7"/>
      <c r="F571" s="7"/>
      <c r="G571" s="7">
        <f>G573*G575</f>
        <v>80000</v>
      </c>
      <c r="H571" s="7"/>
      <c r="I571" s="7"/>
      <c r="J571" s="7">
        <f>H571+G571</f>
        <v>80000</v>
      </c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5</v>
      </c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8" t="s">
        <v>403</v>
      </c>
      <c r="B573" s="6"/>
      <c r="C573" s="6"/>
      <c r="D573" s="7"/>
      <c r="E573" s="7"/>
      <c r="F573" s="7"/>
      <c r="G573" s="7">
        <v>1</v>
      </c>
      <c r="H573" s="7"/>
      <c r="I573" s="7"/>
      <c r="J573" s="7">
        <f>H573+G573</f>
        <v>1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7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8" t="s">
        <v>330</v>
      </c>
      <c r="B575" s="6"/>
      <c r="C575" s="6"/>
      <c r="D575" s="7"/>
      <c r="E575" s="7"/>
      <c r="F575" s="7"/>
      <c r="G575" s="7">
        <v>80000</v>
      </c>
      <c r="H575" s="7"/>
      <c r="I575" s="7"/>
      <c r="J575" s="7">
        <f>H575+G575</f>
        <v>80000</v>
      </c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8"/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17" s="139" customFormat="1" ht="11.25">
      <c r="A577" s="152" t="s">
        <v>255</v>
      </c>
      <c r="B577" s="136"/>
      <c r="C577" s="136"/>
      <c r="D577" s="145">
        <f>D579</f>
        <v>1690000</v>
      </c>
      <c r="E577" s="145">
        <v>0</v>
      </c>
      <c r="F577" s="145">
        <f>D577</f>
        <v>1690000</v>
      </c>
      <c r="G577" s="145">
        <f>G579</f>
        <v>2030000.0019999999</v>
      </c>
      <c r="H577" s="145"/>
      <c r="I577" s="145">
        <f>I579</f>
        <v>0</v>
      </c>
      <c r="J577" s="145">
        <f>J579</f>
        <v>2030000.0019999999</v>
      </c>
      <c r="K577" s="145"/>
      <c r="L577" s="145"/>
      <c r="M577" s="145"/>
      <c r="N577" s="145">
        <f>N579</f>
        <v>1500000</v>
      </c>
      <c r="O577" s="145"/>
      <c r="P577" s="145">
        <f>P579</f>
        <v>1500000</v>
      </c>
      <c r="Q577" s="154"/>
    </row>
    <row r="578" spans="1:235" ht="54.75" customHeight="1">
      <c r="A578" s="8" t="s">
        <v>165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17" s="76" customFormat="1" ht="22.5">
      <c r="A579" s="34" t="s">
        <v>430</v>
      </c>
      <c r="B579" s="37"/>
      <c r="C579" s="37"/>
      <c r="D579" s="57">
        <f>D580+D587</f>
        <v>1690000</v>
      </c>
      <c r="E579" s="57"/>
      <c r="F579" s="57">
        <f>D579</f>
        <v>1690000</v>
      </c>
      <c r="G579" s="30">
        <f>G580+G587</f>
        <v>2030000.0019999999</v>
      </c>
      <c r="H579" s="30"/>
      <c r="I579" s="30"/>
      <c r="J579" s="30">
        <f>G579</f>
        <v>2030000.0019999999</v>
      </c>
      <c r="K579" s="30"/>
      <c r="L579" s="30"/>
      <c r="M579" s="30"/>
      <c r="N579" s="30">
        <f>N580+N587</f>
        <v>1500000</v>
      </c>
      <c r="O579" s="30"/>
      <c r="P579" s="30">
        <f>N579</f>
        <v>1500000</v>
      </c>
      <c r="Q579" s="75"/>
    </row>
    <row r="580" spans="1:17" s="79" customFormat="1" ht="45">
      <c r="A580" s="77" t="s">
        <v>431</v>
      </c>
      <c r="B580" s="35"/>
      <c r="C580" s="35"/>
      <c r="D580" s="45">
        <f>D584*D586+100000</f>
        <v>1400000</v>
      </c>
      <c r="E580" s="45"/>
      <c r="F580" s="45">
        <f>D580+E580</f>
        <v>1400000</v>
      </c>
      <c r="G580" s="36">
        <f>G584*G586</f>
        <v>1500000</v>
      </c>
      <c r="H580" s="36">
        <f aca="true" t="shared" si="62" ref="H580:O580">H584*H586</f>
        <v>0</v>
      </c>
      <c r="I580" s="36">
        <f t="shared" si="62"/>
        <v>0</v>
      </c>
      <c r="J580" s="36">
        <f>G580</f>
        <v>1500000</v>
      </c>
      <c r="K580" s="36">
        <f t="shared" si="62"/>
        <v>0</v>
      </c>
      <c r="L580" s="36">
        <f t="shared" si="62"/>
        <v>0</v>
      </c>
      <c r="M580" s="36">
        <f t="shared" si="62"/>
        <v>0</v>
      </c>
      <c r="N580" s="36">
        <f>N584*N586</f>
        <v>1300000</v>
      </c>
      <c r="O580" s="36">
        <f t="shared" si="62"/>
        <v>0</v>
      </c>
      <c r="P580" s="36">
        <f>N580</f>
        <v>1300000</v>
      </c>
      <c r="Q580" s="78"/>
    </row>
    <row r="581" spans="1:17" s="52" customFormat="1" ht="11.25">
      <c r="A581" s="5" t="s">
        <v>4</v>
      </c>
      <c r="B581" s="37"/>
      <c r="C581" s="37"/>
      <c r="D581" s="80"/>
      <c r="E581" s="80"/>
      <c r="F581" s="81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75"/>
    </row>
    <row r="582" spans="1:17" s="52" customFormat="1" ht="27.75" customHeight="1">
      <c r="A582" s="8" t="s">
        <v>166</v>
      </c>
      <c r="B582" s="37"/>
      <c r="C582" s="37"/>
      <c r="D582" s="49">
        <v>520</v>
      </c>
      <c r="E582" s="80"/>
      <c r="F582" s="81"/>
      <c r="G582" s="7">
        <v>500</v>
      </c>
      <c r="H582" s="30"/>
      <c r="I582" s="30"/>
      <c r="J582" s="7">
        <f>G582+H582</f>
        <v>500</v>
      </c>
      <c r="K582" s="30"/>
      <c r="L582" s="30"/>
      <c r="M582" s="30"/>
      <c r="N582" s="7">
        <v>520</v>
      </c>
      <c r="O582" s="7"/>
      <c r="P582" s="7">
        <f>N582+O582</f>
        <v>520</v>
      </c>
      <c r="Q582" s="75"/>
    </row>
    <row r="583" spans="1:17" s="52" customFormat="1" ht="11.25">
      <c r="A583" s="5" t="s">
        <v>5</v>
      </c>
      <c r="B583" s="37"/>
      <c r="C583" s="37"/>
      <c r="D583" s="80"/>
      <c r="E583" s="80"/>
      <c r="F583" s="81"/>
      <c r="G583" s="30"/>
      <c r="H583" s="30"/>
      <c r="I583" s="30"/>
      <c r="J583" s="7"/>
      <c r="K583" s="30"/>
      <c r="L583" s="30"/>
      <c r="M583" s="30"/>
      <c r="N583" s="30"/>
      <c r="O583" s="30"/>
      <c r="P583" s="7"/>
      <c r="Q583" s="75"/>
    </row>
    <row r="584" spans="1:17" s="52" customFormat="1" ht="22.5">
      <c r="A584" s="8" t="s">
        <v>167</v>
      </c>
      <c r="B584" s="37"/>
      <c r="C584" s="37"/>
      <c r="D584" s="49">
        <v>520</v>
      </c>
      <c r="E584" s="80"/>
      <c r="F584" s="81"/>
      <c r="G584" s="7">
        <f>G582</f>
        <v>500</v>
      </c>
      <c r="H584" s="7"/>
      <c r="I584" s="7"/>
      <c r="J584" s="7">
        <f>G584+H584</f>
        <v>500</v>
      </c>
      <c r="K584" s="7">
        <f>K582</f>
        <v>0</v>
      </c>
      <c r="L584" s="7">
        <f>L582</f>
        <v>0</v>
      </c>
      <c r="M584" s="7">
        <f>M582</f>
        <v>0</v>
      </c>
      <c r="N584" s="7">
        <v>520</v>
      </c>
      <c r="O584" s="7"/>
      <c r="P584" s="7">
        <f>N584+O584</f>
        <v>520</v>
      </c>
      <c r="Q584" s="75"/>
    </row>
    <row r="585" spans="1:17" s="52" customFormat="1" ht="11.25">
      <c r="A585" s="5" t="s">
        <v>7</v>
      </c>
      <c r="B585" s="37"/>
      <c r="C585" s="37"/>
      <c r="D585" s="80"/>
      <c r="E585" s="80"/>
      <c r="F585" s="81"/>
      <c r="G585" s="30"/>
      <c r="H585" s="30"/>
      <c r="I585" s="30"/>
      <c r="J585" s="7"/>
      <c r="K585" s="30"/>
      <c r="L585" s="30"/>
      <c r="M585" s="30"/>
      <c r="N585" s="30"/>
      <c r="O585" s="30"/>
      <c r="P585" s="7"/>
      <c r="Q585" s="75"/>
    </row>
    <row r="586" spans="1:17" s="52" customFormat="1" ht="17.25" customHeight="1">
      <c r="A586" s="8" t="s">
        <v>168</v>
      </c>
      <c r="B586" s="37"/>
      <c r="C586" s="37"/>
      <c r="D586" s="80">
        <v>2500</v>
      </c>
      <c r="E586" s="80"/>
      <c r="F586" s="81"/>
      <c r="G586" s="7">
        <v>3000</v>
      </c>
      <c r="H586" s="30"/>
      <c r="I586" s="30"/>
      <c r="J586" s="7">
        <f>G586+H586</f>
        <v>3000</v>
      </c>
      <c r="K586" s="30"/>
      <c r="L586" s="30"/>
      <c r="M586" s="30"/>
      <c r="N586" s="7">
        <v>2500</v>
      </c>
      <c r="O586" s="7"/>
      <c r="P586" s="7">
        <f>N586+O586</f>
        <v>2500</v>
      </c>
      <c r="Q586" s="75"/>
    </row>
    <row r="587" spans="1:17" s="83" customFormat="1" ht="65.25" customHeight="1">
      <c r="A587" s="77" t="s">
        <v>432</v>
      </c>
      <c r="B587" s="34"/>
      <c r="C587" s="34"/>
      <c r="D587" s="45">
        <f>D591*D594+90000</f>
        <v>290000</v>
      </c>
      <c r="E587" s="45"/>
      <c r="F587" s="45">
        <f>D587+E587</f>
        <v>290000</v>
      </c>
      <c r="G587" s="36">
        <f>G591*G594</f>
        <v>530000.002</v>
      </c>
      <c r="H587" s="36">
        <f aca="true" t="shared" si="63" ref="H587:P587">H591*H594</f>
        <v>0</v>
      </c>
      <c r="I587" s="36">
        <f t="shared" si="63"/>
        <v>0</v>
      </c>
      <c r="J587" s="36">
        <f t="shared" si="63"/>
        <v>530000.002</v>
      </c>
      <c r="K587" s="36">
        <f t="shared" si="63"/>
        <v>0</v>
      </c>
      <c r="L587" s="36">
        <f t="shared" si="63"/>
        <v>0</v>
      </c>
      <c r="M587" s="36">
        <f t="shared" si="63"/>
        <v>0</v>
      </c>
      <c r="N587" s="36">
        <f t="shared" si="63"/>
        <v>200000</v>
      </c>
      <c r="O587" s="36">
        <f t="shared" si="63"/>
        <v>0</v>
      </c>
      <c r="P587" s="36">
        <f t="shared" si="63"/>
        <v>200000</v>
      </c>
      <c r="Q587" s="82"/>
    </row>
    <row r="588" spans="1:235" ht="11.25">
      <c r="A588" s="5" t="s">
        <v>4</v>
      </c>
      <c r="B588" s="6"/>
      <c r="C588" s="6"/>
      <c r="D588" s="84"/>
      <c r="E588" s="84"/>
      <c r="F588" s="84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235" ht="33.75">
      <c r="A589" s="8" t="s">
        <v>166</v>
      </c>
      <c r="B589" s="6"/>
      <c r="C589" s="6"/>
      <c r="D589" s="44">
        <v>6</v>
      </c>
      <c r="E589" s="44"/>
      <c r="F589" s="44">
        <f>D589</f>
        <v>6</v>
      </c>
      <c r="G589" s="44">
        <v>7</v>
      </c>
      <c r="H589" s="44"/>
      <c r="I589" s="44"/>
      <c r="J589" s="7">
        <f>G589+H589</f>
        <v>7</v>
      </c>
      <c r="K589" s="44">
        <f>H589</f>
        <v>0</v>
      </c>
      <c r="L589" s="44">
        <f>J589</f>
        <v>7</v>
      </c>
      <c r="M589" s="44">
        <f>K589</f>
        <v>0</v>
      </c>
      <c r="N589" s="44">
        <v>4</v>
      </c>
      <c r="O589" s="44"/>
      <c r="P589" s="44">
        <f>N589</f>
        <v>4</v>
      </c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11.25">
      <c r="A590" s="5" t="s">
        <v>5</v>
      </c>
      <c r="B590" s="6"/>
      <c r="C590" s="6"/>
      <c r="D590" s="44"/>
      <c r="E590" s="44"/>
      <c r="F590" s="44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32.25" customHeight="1">
      <c r="A591" s="8" t="s">
        <v>167</v>
      </c>
      <c r="B591" s="6"/>
      <c r="C591" s="6"/>
      <c r="D591" s="44">
        <v>6</v>
      </c>
      <c r="E591" s="44"/>
      <c r="F591" s="44">
        <f>D591</f>
        <v>6</v>
      </c>
      <c r="G591" s="7">
        <v>7</v>
      </c>
      <c r="H591" s="7"/>
      <c r="I591" s="7"/>
      <c r="J591" s="7">
        <f>G591+H591</f>
        <v>7</v>
      </c>
      <c r="K591" s="7"/>
      <c r="L591" s="7"/>
      <c r="M591" s="7"/>
      <c r="N591" s="7">
        <v>4</v>
      </c>
      <c r="O591" s="7"/>
      <c r="P591" s="7">
        <f>N591</f>
        <v>4</v>
      </c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22.5">
      <c r="A592" s="8" t="s">
        <v>164</v>
      </c>
      <c r="B592" s="6"/>
      <c r="C592" s="6"/>
      <c r="D592" s="44"/>
      <c r="E592" s="44"/>
      <c r="F592" s="44">
        <f>D592</f>
        <v>0</v>
      </c>
      <c r="G592" s="7"/>
      <c r="H592" s="7"/>
      <c r="I592" s="7"/>
      <c r="J592" s="7">
        <f>G592+H592</f>
        <v>0</v>
      </c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7</v>
      </c>
      <c r="B593" s="6"/>
      <c r="C593" s="6"/>
      <c r="D593" s="44"/>
      <c r="E593" s="44"/>
      <c r="F593" s="44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22.5">
      <c r="A594" s="8" t="s">
        <v>168</v>
      </c>
      <c r="B594" s="6"/>
      <c r="C594" s="6"/>
      <c r="D594" s="44">
        <f>200000/6</f>
        <v>33333.333333333336</v>
      </c>
      <c r="E594" s="44"/>
      <c r="F594" s="44">
        <f>D594</f>
        <v>33333.333333333336</v>
      </c>
      <c r="G594" s="7">
        <v>75714.286</v>
      </c>
      <c r="H594" s="7"/>
      <c r="I594" s="7"/>
      <c r="J594" s="7">
        <f>G594+H594</f>
        <v>75714.286</v>
      </c>
      <c r="K594" s="7"/>
      <c r="L594" s="7"/>
      <c r="M594" s="7"/>
      <c r="N594" s="7">
        <v>50000</v>
      </c>
      <c r="O594" s="7"/>
      <c r="P594" s="7">
        <f>N594</f>
        <v>50000</v>
      </c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37" t="s">
        <v>256</v>
      </c>
      <c r="B595" s="6"/>
      <c r="C595" s="6"/>
      <c r="D595" s="36">
        <f>D597</f>
        <v>0</v>
      </c>
      <c r="E595" s="36">
        <f>E597</f>
        <v>127913400</v>
      </c>
      <c r="F595" s="36">
        <f aca="true" t="shared" si="64" ref="F595:P595">F597</f>
        <v>127913400</v>
      </c>
      <c r="G595" s="36">
        <f t="shared" si="64"/>
        <v>0</v>
      </c>
      <c r="H595" s="36">
        <f t="shared" si="64"/>
        <v>88023272</v>
      </c>
      <c r="I595" s="36">
        <f t="shared" si="64"/>
        <v>0</v>
      </c>
      <c r="J595" s="36">
        <f t="shared" si="64"/>
        <v>88023272</v>
      </c>
      <c r="K595" s="36">
        <f t="shared" si="64"/>
        <v>0</v>
      </c>
      <c r="L595" s="36">
        <f t="shared" si="64"/>
        <v>0</v>
      </c>
      <c r="M595" s="36">
        <f t="shared" si="64"/>
        <v>0</v>
      </c>
      <c r="N595" s="36">
        <f t="shared" si="64"/>
        <v>0</v>
      </c>
      <c r="O595" s="36">
        <f t="shared" si="64"/>
        <v>7297400</v>
      </c>
      <c r="P595" s="36">
        <f t="shared" si="64"/>
        <v>7297400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170</v>
      </c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17" s="157" customFormat="1" ht="33.75">
      <c r="A597" s="155" t="s">
        <v>433</v>
      </c>
      <c r="B597" s="141"/>
      <c r="C597" s="141"/>
      <c r="D597" s="145"/>
      <c r="E597" s="145">
        <f>E599</f>
        <v>127913400</v>
      </c>
      <c r="F597" s="145">
        <f>D597+E597</f>
        <v>127913400</v>
      </c>
      <c r="G597" s="145"/>
      <c r="H597" s="145">
        <f>H601*H603</f>
        <v>88023272</v>
      </c>
      <c r="I597" s="145">
        <f>I599</f>
        <v>0</v>
      </c>
      <c r="J597" s="145">
        <f>H597+I597</f>
        <v>88023272</v>
      </c>
      <c r="K597" s="145"/>
      <c r="L597" s="145"/>
      <c r="M597" s="145"/>
      <c r="N597" s="145"/>
      <c r="O597" s="145">
        <f>O601*O603</f>
        <v>7297400</v>
      </c>
      <c r="P597" s="145">
        <f>O597</f>
        <v>7297400</v>
      </c>
      <c r="Q597" s="156"/>
    </row>
    <row r="598" spans="1:235" ht="11.25">
      <c r="A598" s="5" t="s">
        <v>4</v>
      </c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11.25">
      <c r="A599" s="8" t="s">
        <v>43</v>
      </c>
      <c r="B599" s="6"/>
      <c r="C599" s="6"/>
      <c r="D599" s="7"/>
      <c r="E599" s="7">
        <f>127784300+129100</f>
        <v>127913400</v>
      </c>
      <c r="F599" s="7">
        <f>D599+E599</f>
        <v>127913400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5" t="s">
        <v>5</v>
      </c>
      <c r="B600" s="6"/>
      <c r="C600" s="6"/>
      <c r="D600" s="7"/>
      <c r="E600" s="7"/>
      <c r="F600" s="7">
        <f>D600+E600</f>
        <v>0</v>
      </c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33.75">
      <c r="A601" s="8" t="s">
        <v>171</v>
      </c>
      <c r="B601" s="6"/>
      <c r="C601" s="6"/>
      <c r="D601" s="7"/>
      <c r="E601" s="7">
        <v>10</v>
      </c>
      <c r="F601" s="7">
        <f>D601+E601</f>
        <v>10</v>
      </c>
      <c r="G601" s="7"/>
      <c r="H601" s="7">
        <v>5</v>
      </c>
      <c r="I601" s="7"/>
      <c r="J601" s="7">
        <v>5</v>
      </c>
      <c r="K601" s="7"/>
      <c r="L601" s="7"/>
      <c r="M601" s="7"/>
      <c r="N601" s="7"/>
      <c r="O601" s="7">
        <v>2</v>
      </c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7</v>
      </c>
      <c r="B602" s="6"/>
      <c r="C602" s="6"/>
      <c r="D602" s="7"/>
      <c r="E602" s="7"/>
      <c r="F602" s="7">
        <f>D602+E602</f>
        <v>0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4.75" customHeight="1">
      <c r="A603" s="8" t="s">
        <v>172</v>
      </c>
      <c r="B603" s="6"/>
      <c r="C603" s="6"/>
      <c r="D603" s="7"/>
      <c r="E603" s="7">
        <f>399355600/9</f>
        <v>44372844.44444445</v>
      </c>
      <c r="F603" s="7">
        <f>D603+E603</f>
        <v>44372844.44444445</v>
      </c>
      <c r="G603" s="7"/>
      <c r="H603" s="7">
        <v>17604654.4</v>
      </c>
      <c r="I603" s="7"/>
      <c r="J603" s="7">
        <v>17604654.4</v>
      </c>
      <c r="K603" s="7"/>
      <c r="L603" s="7"/>
      <c r="M603" s="7"/>
      <c r="N603" s="7"/>
      <c r="O603" s="7">
        <v>3648700</v>
      </c>
      <c r="P603" s="85">
        <f>O603</f>
        <v>3648700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37" t="s">
        <v>257</v>
      </c>
      <c r="B604" s="6"/>
      <c r="C604" s="6"/>
      <c r="D604" s="36">
        <f>D606</f>
        <v>760000</v>
      </c>
      <c r="E604" s="36">
        <f aca="true" t="shared" si="65" ref="E604:P604">E606</f>
        <v>1220000</v>
      </c>
      <c r="F604" s="36">
        <f t="shared" si="65"/>
        <v>1980000</v>
      </c>
      <c r="G604" s="36">
        <f t="shared" si="65"/>
        <v>1960000</v>
      </c>
      <c r="H604" s="36">
        <f t="shared" si="65"/>
        <v>6032500</v>
      </c>
      <c r="I604" s="36">
        <f t="shared" si="65"/>
        <v>7992500</v>
      </c>
      <c r="J604" s="36">
        <f t="shared" si="65"/>
        <v>7992500</v>
      </c>
      <c r="K604" s="36">
        <f t="shared" si="65"/>
        <v>0</v>
      </c>
      <c r="L604" s="36">
        <f t="shared" si="65"/>
        <v>0</v>
      </c>
      <c r="M604" s="36">
        <f t="shared" si="65"/>
        <v>0</v>
      </c>
      <c r="N604" s="36">
        <f t="shared" si="65"/>
        <v>760000</v>
      </c>
      <c r="O604" s="36">
        <f t="shared" si="65"/>
        <v>7240000</v>
      </c>
      <c r="P604" s="36">
        <f t="shared" si="65"/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67.5">
      <c r="A605" s="8" t="s">
        <v>396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39" customFormat="1" ht="36" customHeight="1">
      <c r="A606" s="34" t="s">
        <v>434</v>
      </c>
      <c r="B606" s="35"/>
      <c r="C606" s="35"/>
      <c r="D606" s="36">
        <f>D608</f>
        <v>760000</v>
      </c>
      <c r="E606" s="36">
        <f>E608</f>
        <v>1220000</v>
      </c>
      <c r="F606" s="36">
        <f>D606+E606</f>
        <v>1980000</v>
      </c>
      <c r="G606" s="36">
        <f>G608</f>
        <v>1960000</v>
      </c>
      <c r="H606" s="36">
        <f>H608</f>
        <v>6032500</v>
      </c>
      <c r="I606" s="36">
        <f>G606+H606</f>
        <v>7992500</v>
      </c>
      <c r="J606" s="36">
        <f>G606+H606</f>
        <v>7992500</v>
      </c>
      <c r="K606" s="36"/>
      <c r="L606" s="36"/>
      <c r="M606" s="36"/>
      <c r="N606" s="36">
        <f>N610*N612</f>
        <v>760000</v>
      </c>
      <c r="O606" s="36">
        <f>O610*O612</f>
        <v>7240000</v>
      </c>
      <c r="P606" s="36">
        <f>N606+O606</f>
        <v>8000000</v>
      </c>
      <c r="Q606" s="78"/>
    </row>
    <row r="607" spans="1:235" ht="11.25">
      <c r="A607" s="5" t="s">
        <v>4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11.25">
      <c r="A608" s="8" t="s">
        <v>43</v>
      </c>
      <c r="B608" s="6"/>
      <c r="C608" s="6"/>
      <c r="D608" s="7">
        <f>D610*D612</f>
        <v>760000</v>
      </c>
      <c r="E608" s="7">
        <f>E610*E612</f>
        <v>1220000</v>
      </c>
      <c r="F608" s="7">
        <f>D608+E608</f>
        <v>1980000</v>
      </c>
      <c r="G608" s="7">
        <f>G610*G612</f>
        <v>1960000</v>
      </c>
      <c r="H608" s="7">
        <f>H610*H612</f>
        <v>6032500</v>
      </c>
      <c r="I608" s="7"/>
      <c r="J608" s="7">
        <f>G608+H608</f>
        <v>7992500</v>
      </c>
      <c r="K608" s="7"/>
      <c r="L608" s="7"/>
      <c r="M608" s="7"/>
      <c r="N608" s="7">
        <f>N610*N612</f>
        <v>760000</v>
      </c>
      <c r="O608" s="7">
        <f>O610*O612</f>
        <v>7240000</v>
      </c>
      <c r="P608" s="7">
        <f>N608+O608</f>
        <v>8000000</v>
      </c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5" t="s">
        <v>5</v>
      </c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22.5">
      <c r="A610" s="8" t="s">
        <v>181</v>
      </c>
      <c r="B610" s="6"/>
      <c r="C610" s="6"/>
      <c r="D610" s="7">
        <v>1</v>
      </c>
      <c r="E610" s="7">
        <v>1</v>
      </c>
      <c r="F610" s="7">
        <f>D610+E610</f>
        <v>2</v>
      </c>
      <c r="G610" s="7">
        <v>1</v>
      </c>
      <c r="H610" s="7">
        <v>1</v>
      </c>
      <c r="I610" s="7"/>
      <c r="J610" s="7">
        <v>1</v>
      </c>
      <c r="K610" s="7"/>
      <c r="L610" s="7"/>
      <c r="M610" s="7"/>
      <c r="N610" s="7">
        <v>1</v>
      </c>
      <c r="O610" s="7">
        <v>1</v>
      </c>
      <c r="P610" s="7">
        <v>1</v>
      </c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7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2.5">
      <c r="A612" s="8" t="s">
        <v>182</v>
      </c>
      <c r="B612" s="6"/>
      <c r="C612" s="6"/>
      <c r="D612" s="7">
        <v>760000</v>
      </c>
      <c r="E612" s="7">
        <v>1220000</v>
      </c>
      <c r="F612" s="7">
        <f>D612+E612</f>
        <v>1980000</v>
      </c>
      <c r="G612" s="7">
        <v>1960000</v>
      </c>
      <c r="H612" s="7">
        <v>6032500</v>
      </c>
      <c r="I612" s="7"/>
      <c r="J612" s="23">
        <f>J608/J610</f>
        <v>7992500</v>
      </c>
      <c r="K612" s="23"/>
      <c r="L612" s="23"/>
      <c r="M612" s="23"/>
      <c r="N612" s="23">
        <v>760000</v>
      </c>
      <c r="O612" s="23">
        <v>7240000</v>
      </c>
      <c r="P612" s="7">
        <f>N612+O612</f>
        <v>8000000</v>
      </c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17" s="52" customFormat="1" ht="11.25">
      <c r="A613" s="37" t="s">
        <v>346</v>
      </c>
      <c r="B613" s="37"/>
      <c r="C613" s="37"/>
      <c r="D613" s="30">
        <f>D617</f>
        <v>0</v>
      </c>
      <c r="E613" s="30">
        <f>E617</f>
        <v>2275980</v>
      </c>
      <c r="F613" s="30">
        <f>D613+E613</f>
        <v>2275980</v>
      </c>
      <c r="G613" s="30">
        <v>0</v>
      </c>
      <c r="H613" s="30">
        <f>H615</f>
        <v>1108600</v>
      </c>
      <c r="I613" s="30" t="e">
        <f>#REF!</f>
        <v>#REF!</v>
      </c>
      <c r="J613" s="129">
        <f>J615</f>
        <v>1108600</v>
      </c>
      <c r="K613" s="129" t="e">
        <f>#REF!</f>
        <v>#REF!</v>
      </c>
      <c r="L613" s="129" t="e">
        <f>#REF!</f>
        <v>#REF!</v>
      </c>
      <c r="M613" s="129" t="e">
        <f>#REF!</f>
        <v>#REF!</v>
      </c>
      <c r="N613" s="129">
        <v>0</v>
      </c>
      <c r="O613" s="129">
        <v>0</v>
      </c>
      <c r="P613" s="30">
        <v>0</v>
      </c>
      <c r="Q613" s="75" t="e">
        <f>#REF!</f>
        <v>#REF!</v>
      </c>
    </row>
    <row r="614" spans="1:235" ht="33.75">
      <c r="A614" s="8" t="s">
        <v>347</v>
      </c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52" customFormat="1" ht="22.5">
      <c r="A615" s="34" t="s">
        <v>435</v>
      </c>
      <c r="B615" s="37"/>
      <c r="C615" s="37"/>
      <c r="D615" s="30"/>
      <c r="E615" s="30">
        <v>2275980</v>
      </c>
      <c r="F615" s="30">
        <v>2275980</v>
      </c>
      <c r="G615" s="30"/>
      <c r="H615" s="30">
        <f>H617</f>
        <v>1108600</v>
      </c>
      <c r="I615" s="30"/>
      <c r="J615" s="129">
        <f>H615</f>
        <v>1108600</v>
      </c>
      <c r="K615" s="129"/>
      <c r="L615" s="129"/>
      <c r="M615" s="129"/>
      <c r="N615" s="129"/>
      <c r="O615" s="129"/>
      <c r="P615" s="30"/>
      <c r="Q615" s="75"/>
    </row>
    <row r="616" spans="1:235" ht="11.25">
      <c r="A616" s="5" t="s">
        <v>4</v>
      </c>
      <c r="B616" s="6"/>
      <c r="C616" s="6"/>
      <c r="D616" s="7"/>
      <c r="E616" s="7"/>
      <c r="F616" s="7"/>
      <c r="G616" s="7"/>
      <c r="H616" s="7"/>
      <c r="I616" s="7"/>
      <c r="J616" s="23"/>
      <c r="K616" s="23"/>
      <c r="L616" s="23"/>
      <c r="M616" s="23"/>
      <c r="N616" s="23"/>
      <c r="O616" s="23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8" t="s">
        <v>43</v>
      </c>
      <c r="B617" s="6"/>
      <c r="C617" s="6"/>
      <c r="D617" s="7"/>
      <c r="E617" s="7">
        <f>2178000+97980</f>
        <v>2275980</v>
      </c>
      <c r="F617" s="7">
        <f>D617+E617</f>
        <v>2275980</v>
      </c>
      <c r="G617" s="7"/>
      <c r="H617" s="7">
        <v>1108600</v>
      </c>
      <c r="I617" s="7"/>
      <c r="J617" s="23">
        <f>H617</f>
        <v>1108600</v>
      </c>
      <c r="K617" s="23"/>
      <c r="L617" s="23"/>
      <c r="M617" s="23"/>
      <c r="N617" s="23"/>
      <c r="O617" s="23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5" t="s">
        <v>5</v>
      </c>
      <c r="B618" s="6"/>
      <c r="C618" s="6"/>
      <c r="D618" s="7"/>
      <c r="E618" s="7"/>
      <c r="F618" s="7"/>
      <c r="G618" s="7"/>
      <c r="H618" s="7"/>
      <c r="I618" s="7"/>
      <c r="J618" s="23"/>
      <c r="K618" s="23"/>
      <c r="L618" s="23"/>
      <c r="M618" s="23"/>
      <c r="N618" s="23"/>
      <c r="O618" s="23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22.5">
      <c r="A619" s="8" t="s">
        <v>348</v>
      </c>
      <c r="B619" s="6"/>
      <c r="C619" s="6"/>
      <c r="D619" s="7"/>
      <c r="E619" s="7">
        <v>63</v>
      </c>
      <c r="F619" s="7">
        <v>63</v>
      </c>
      <c r="G619" s="7"/>
      <c r="H619" s="7">
        <v>22</v>
      </c>
      <c r="I619" s="7"/>
      <c r="J619" s="23">
        <f>H619</f>
        <v>22</v>
      </c>
      <c r="K619" s="23"/>
      <c r="L619" s="23"/>
      <c r="M619" s="23"/>
      <c r="N619" s="23"/>
      <c r="O619" s="23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7</v>
      </c>
      <c r="B620" s="6"/>
      <c r="C620" s="6"/>
      <c r="D620" s="7"/>
      <c r="E620" s="7"/>
      <c r="F620" s="7"/>
      <c r="G620" s="7"/>
      <c r="H620" s="7"/>
      <c r="I620" s="7"/>
      <c r="J620" s="23"/>
      <c r="K620" s="23"/>
      <c r="L620" s="23"/>
      <c r="M620" s="23"/>
      <c r="N620" s="23"/>
      <c r="O620" s="23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349</v>
      </c>
      <c r="B621" s="6"/>
      <c r="C621" s="6"/>
      <c r="D621" s="7"/>
      <c r="E621" s="7">
        <v>36300</v>
      </c>
      <c r="F621" s="7">
        <v>36300</v>
      </c>
      <c r="G621" s="7"/>
      <c r="H621" s="7">
        <v>50390.91</v>
      </c>
      <c r="I621" s="7"/>
      <c r="J621" s="23">
        <f>H621</f>
        <v>50390.91</v>
      </c>
      <c r="K621" s="23"/>
      <c r="L621" s="23"/>
      <c r="M621" s="23"/>
      <c r="N621" s="23"/>
      <c r="O621" s="23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/>
      <c r="B622" s="6"/>
      <c r="C622" s="6"/>
      <c r="D622" s="7"/>
      <c r="E622" s="7"/>
      <c r="F622" s="7"/>
      <c r="G622" s="7"/>
      <c r="H622" s="7"/>
      <c r="I622" s="7"/>
      <c r="J622" s="23"/>
      <c r="K622" s="23"/>
      <c r="L622" s="23"/>
      <c r="M622" s="23"/>
      <c r="N622" s="23"/>
      <c r="O622" s="23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37" t="s">
        <v>331</v>
      </c>
      <c r="B623" s="6"/>
      <c r="C623" s="6"/>
      <c r="D623" s="36">
        <f>D625</f>
        <v>3000000</v>
      </c>
      <c r="E623" s="36">
        <f aca="true" t="shared" si="66" ref="E623:Q623">E625</f>
        <v>0</v>
      </c>
      <c r="F623" s="36">
        <f t="shared" si="66"/>
        <v>3000000</v>
      </c>
      <c r="G623" s="36">
        <f t="shared" si="66"/>
        <v>1714999.99773</v>
      </c>
      <c r="H623" s="36">
        <f t="shared" si="66"/>
        <v>0</v>
      </c>
      <c r="I623" s="36">
        <f t="shared" si="66"/>
        <v>0</v>
      </c>
      <c r="J623" s="36">
        <f t="shared" si="66"/>
        <v>1714999.99773</v>
      </c>
      <c r="K623" s="36">
        <f t="shared" si="66"/>
        <v>0</v>
      </c>
      <c r="L623" s="36">
        <f t="shared" si="66"/>
        <v>0</v>
      </c>
      <c r="M623" s="36">
        <f t="shared" si="66"/>
        <v>0</v>
      </c>
      <c r="N623" s="36">
        <f t="shared" si="66"/>
        <v>0</v>
      </c>
      <c r="O623" s="36">
        <f t="shared" si="66"/>
        <v>0</v>
      </c>
      <c r="P623" s="36">
        <f t="shared" si="66"/>
        <v>0</v>
      </c>
      <c r="Q623" s="36">
        <f t="shared" si="66"/>
        <v>0</v>
      </c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>
      <c r="A624" s="8" t="s">
        <v>260</v>
      </c>
      <c r="B624" s="6"/>
      <c r="C624" s="6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17" s="39" customFormat="1" ht="37.5" customHeight="1">
      <c r="A625" s="34" t="s">
        <v>436</v>
      </c>
      <c r="B625" s="35"/>
      <c r="C625" s="35"/>
      <c r="D625" s="45">
        <f>D627</f>
        <v>3000000</v>
      </c>
      <c r="E625" s="45"/>
      <c r="F625" s="45">
        <f>D625+E625</f>
        <v>3000000</v>
      </c>
      <c r="G625" s="36">
        <f>G630*G632</f>
        <v>1714999.99773</v>
      </c>
      <c r="H625" s="36"/>
      <c r="I625" s="36"/>
      <c r="J625" s="36">
        <f>J627</f>
        <v>1714999.99773</v>
      </c>
      <c r="K625" s="36"/>
      <c r="L625" s="36"/>
      <c r="M625" s="36"/>
      <c r="N625" s="36">
        <f>N627</f>
        <v>0</v>
      </c>
      <c r="O625" s="36"/>
      <c r="P625" s="36">
        <f>N625</f>
        <v>0</v>
      </c>
      <c r="Q625" s="78"/>
    </row>
    <row r="626" spans="1:235" ht="11.25">
      <c r="A626" s="5" t="s">
        <v>4</v>
      </c>
      <c r="B626" s="6"/>
      <c r="C626" s="6"/>
      <c r="D626" s="84"/>
      <c r="E626" s="84"/>
      <c r="F626" s="84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0.5" customHeight="1">
      <c r="A627" s="8" t="s">
        <v>43</v>
      </c>
      <c r="B627" s="6"/>
      <c r="C627" s="6"/>
      <c r="D627" s="84">
        <f>D630*D632</f>
        <v>3000000</v>
      </c>
      <c r="E627" s="84"/>
      <c r="F627" s="84">
        <f>D627+E627</f>
        <v>3000000</v>
      </c>
      <c r="G627" s="7">
        <f>G630*G632</f>
        <v>1714999.99773</v>
      </c>
      <c r="H627" s="7"/>
      <c r="I627" s="7"/>
      <c r="J627" s="7">
        <f>G627+H627</f>
        <v>1714999.99773</v>
      </c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5" t="s">
        <v>5</v>
      </c>
      <c r="B628" s="6"/>
      <c r="C628" s="6"/>
      <c r="D628" s="84"/>
      <c r="E628" s="84"/>
      <c r="F628" s="84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0.75" customHeight="1">
      <c r="A629" s="8" t="s">
        <v>169</v>
      </c>
      <c r="B629" s="6"/>
      <c r="C629" s="6"/>
      <c r="D629" s="84"/>
      <c r="E629" s="84"/>
      <c r="F629" s="84">
        <f>D629+E629</f>
        <v>0</v>
      </c>
      <c r="G629" s="84"/>
      <c r="H629" s="84"/>
      <c r="I629" s="84"/>
      <c r="J629" s="84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8" t="s">
        <v>176</v>
      </c>
      <c r="B630" s="6"/>
      <c r="C630" s="6"/>
      <c r="D630" s="84">
        <v>667</v>
      </c>
      <c r="E630" s="84"/>
      <c r="F630" s="84">
        <f>D630+E630</f>
        <v>667</v>
      </c>
      <c r="G630" s="84">
        <v>381</v>
      </c>
      <c r="H630" s="84"/>
      <c r="I630" s="84"/>
      <c r="J630" s="84">
        <f>G630+H630</f>
        <v>381</v>
      </c>
      <c r="K630" s="7"/>
      <c r="L630" s="7"/>
      <c r="M630" s="7"/>
      <c r="N630" s="7"/>
      <c r="O630" s="7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0.5" customHeight="1">
      <c r="A631" s="5" t="s">
        <v>7</v>
      </c>
      <c r="B631" s="6"/>
      <c r="C631" s="6"/>
      <c r="D631" s="84"/>
      <c r="E631" s="84"/>
      <c r="F631" s="84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2.5" customHeight="1">
      <c r="A632" s="8" t="s">
        <v>177</v>
      </c>
      <c r="B632" s="6"/>
      <c r="C632" s="6"/>
      <c r="D632" s="7">
        <f>3000000/667</f>
        <v>4497.751124437781</v>
      </c>
      <c r="E632" s="7"/>
      <c r="F632" s="84">
        <f>D632+E632</f>
        <v>4497.751124437781</v>
      </c>
      <c r="G632" s="7">
        <v>4501.31233</v>
      </c>
      <c r="H632" s="7"/>
      <c r="I632" s="7"/>
      <c r="J632" s="7">
        <f>G632+H632</f>
        <v>4501.31233</v>
      </c>
      <c r="K632" s="7"/>
      <c r="L632" s="7"/>
      <c r="M632" s="7"/>
      <c r="N632" s="7"/>
      <c r="O632" s="7"/>
      <c r="P632" s="7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126" t="s">
        <v>332</v>
      </c>
      <c r="B633" s="6"/>
      <c r="C633" s="6"/>
      <c r="D633" s="30">
        <f>D634</f>
        <v>656000</v>
      </c>
      <c r="E633" s="30">
        <f>E634</f>
        <v>0</v>
      </c>
      <c r="F633" s="30">
        <f>F634</f>
        <v>656000</v>
      </c>
      <c r="G633" s="30">
        <f>G634</f>
        <v>819000</v>
      </c>
      <c r="H633" s="30"/>
      <c r="I633" s="30">
        <f>I634</f>
        <v>0</v>
      </c>
      <c r="J633" s="30">
        <f>G633</f>
        <v>819000</v>
      </c>
      <c r="K633" s="7"/>
      <c r="L633" s="7"/>
      <c r="M633" s="7"/>
      <c r="N633" s="30">
        <f>N634</f>
        <v>725000</v>
      </c>
      <c r="O633" s="30"/>
      <c r="P633" s="30">
        <f>N633</f>
        <v>725000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17" s="39" customFormat="1" ht="22.5">
      <c r="A634" s="34" t="s">
        <v>437</v>
      </c>
      <c r="B634" s="35"/>
      <c r="C634" s="35"/>
      <c r="D634" s="36">
        <f>D636</f>
        <v>656000</v>
      </c>
      <c r="E634" s="36"/>
      <c r="F634" s="7">
        <f>D634</f>
        <v>656000</v>
      </c>
      <c r="G634" s="36">
        <f>G638*G640</f>
        <v>819000</v>
      </c>
      <c r="H634" s="36"/>
      <c r="I634" s="36"/>
      <c r="J634" s="36">
        <f>G634</f>
        <v>819000</v>
      </c>
      <c r="K634" s="36"/>
      <c r="L634" s="36"/>
      <c r="M634" s="36"/>
      <c r="N634" s="36">
        <f>N638*N640</f>
        <v>725000</v>
      </c>
      <c r="O634" s="36"/>
      <c r="P634" s="30">
        <f>N634</f>
        <v>725000</v>
      </c>
      <c r="Q634" s="78"/>
    </row>
    <row r="635" spans="1:235" ht="11.25">
      <c r="A635" s="5" t="s">
        <v>4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22.5">
      <c r="A636" s="8" t="s">
        <v>49</v>
      </c>
      <c r="B636" s="6"/>
      <c r="C636" s="6"/>
      <c r="D636" s="7">
        <f>D638*D640</f>
        <v>656000</v>
      </c>
      <c r="E636" s="7"/>
      <c r="F636" s="7">
        <f>D636</f>
        <v>656000</v>
      </c>
      <c r="G636" s="7">
        <v>819000</v>
      </c>
      <c r="H636" s="7"/>
      <c r="I636" s="7"/>
      <c r="J636" s="7">
        <f>G636</f>
        <v>819000</v>
      </c>
      <c r="K636" s="7"/>
      <c r="L636" s="7"/>
      <c r="M636" s="7"/>
      <c r="N636" s="7">
        <f>N638*N640</f>
        <v>725000</v>
      </c>
      <c r="O636" s="7"/>
      <c r="P636" s="7">
        <f>N636</f>
        <v>725000</v>
      </c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5" t="s">
        <v>5</v>
      </c>
      <c r="B637" s="6"/>
      <c r="C637" s="6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24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27.75" customHeight="1">
      <c r="A638" s="8" t="s">
        <v>48</v>
      </c>
      <c r="B638" s="6"/>
      <c r="C638" s="6"/>
      <c r="D638" s="7">
        <v>16</v>
      </c>
      <c r="E638" s="7"/>
      <c r="F638" s="7">
        <f>D638</f>
        <v>16</v>
      </c>
      <c r="G638" s="7">
        <v>16</v>
      </c>
      <c r="H638" s="7"/>
      <c r="I638" s="7"/>
      <c r="J638" s="7">
        <f>G638</f>
        <v>16</v>
      </c>
      <c r="K638" s="7"/>
      <c r="L638" s="7"/>
      <c r="M638" s="7"/>
      <c r="N638" s="7">
        <v>16</v>
      </c>
      <c r="O638" s="7"/>
      <c r="P638" s="7">
        <f>N638</f>
        <v>16</v>
      </c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5" t="s">
        <v>7</v>
      </c>
      <c r="B639" s="6"/>
      <c r="C639" s="6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33.75">
      <c r="A640" s="8" t="s">
        <v>50</v>
      </c>
      <c r="B640" s="6"/>
      <c r="C640" s="6"/>
      <c r="D640" s="7">
        <v>41000</v>
      </c>
      <c r="E640" s="7"/>
      <c r="F640" s="7">
        <v>41000</v>
      </c>
      <c r="G640" s="7">
        <v>51187.5</v>
      </c>
      <c r="H640" s="7"/>
      <c r="I640" s="7"/>
      <c r="J640" s="7">
        <f>G640</f>
        <v>51187.5</v>
      </c>
      <c r="K640" s="7"/>
      <c r="L640" s="7"/>
      <c r="M640" s="7"/>
      <c r="N640" s="7">
        <v>45312.5</v>
      </c>
      <c r="O640" s="7"/>
      <c r="P640" s="7">
        <f>N640</f>
        <v>45312.5</v>
      </c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37" t="s">
        <v>359</v>
      </c>
      <c r="B641" s="6"/>
      <c r="C641" s="6"/>
      <c r="D641" s="36"/>
      <c r="E641" s="36">
        <f>E643+E656</f>
        <v>94580322</v>
      </c>
      <c r="F641" s="36">
        <f>D641+E641</f>
        <v>94580322</v>
      </c>
      <c r="G641" s="36">
        <f aca="true" t="shared" si="67" ref="G641:P641">G643+G656</f>
        <v>0</v>
      </c>
      <c r="H641" s="36">
        <f t="shared" si="67"/>
        <v>92000000</v>
      </c>
      <c r="I641" s="36">
        <f t="shared" si="67"/>
        <v>0</v>
      </c>
      <c r="J641" s="36">
        <f t="shared" si="67"/>
        <v>92000000</v>
      </c>
      <c r="K641" s="36">
        <f t="shared" si="67"/>
        <v>0</v>
      </c>
      <c r="L641" s="36">
        <f t="shared" si="67"/>
        <v>0</v>
      </c>
      <c r="M641" s="36">
        <f t="shared" si="67"/>
        <v>0</v>
      </c>
      <c r="N641" s="36">
        <f t="shared" si="67"/>
        <v>0</v>
      </c>
      <c r="O641" s="36">
        <f t="shared" si="67"/>
        <v>95000000</v>
      </c>
      <c r="P641" s="36">
        <f t="shared" si="67"/>
        <v>95000000</v>
      </c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22.5">
      <c r="A642" s="8" t="s">
        <v>201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17" s="39" customFormat="1" ht="22.5">
      <c r="A643" s="34" t="s">
        <v>438</v>
      </c>
      <c r="B643" s="35"/>
      <c r="C643" s="35"/>
      <c r="D643" s="86"/>
      <c r="E643" s="86">
        <f>E645+E651+E652+E653</f>
        <v>94580322</v>
      </c>
      <c r="F643" s="86">
        <f>D643+E643</f>
        <v>94580322</v>
      </c>
      <c r="G643" s="36">
        <f>G645</f>
        <v>0</v>
      </c>
      <c r="H643" s="36">
        <f>SUM(H645)</f>
        <v>92000000</v>
      </c>
      <c r="I643" s="36"/>
      <c r="J643" s="36">
        <f>G643+H643+I643</f>
        <v>92000000</v>
      </c>
      <c r="K643" s="36"/>
      <c r="L643" s="36"/>
      <c r="M643" s="36"/>
      <c r="N643" s="36"/>
      <c r="O643" s="36">
        <f>O645</f>
        <v>95000000</v>
      </c>
      <c r="P643" s="36">
        <f>N643+O643</f>
        <v>95000000</v>
      </c>
      <c r="Q643" s="78"/>
    </row>
    <row r="644" spans="1:17" s="39" customFormat="1" ht="11.25">
      <c r="A644" s="34" t="s">
        <v>4</v>
      </c>
      <c r="B644" s="35"/>
      <c r="C644" s="35"/>
      <c r="D644" s="86"/>
      <c r="E644" s="86"/>
      <c r="F644" s="8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78"/>
    </row>
    <row r="645" spans="1:17" s="39" customFormat="1" ht="11.25">
      <c r="A645" s="40" t="s">
        <v>43</v>
      </c>
      <c r="B645" s="41"/>
      <c r="C645" s="41"/>
      <c r="D645" s="80"/>
      <c r="E645" s="80">
        <f>E647*E649+1224322-0.03+30000+1000000+37400</f>
        <v>90291722</v>
      </c>
      <c r="F645" s="80">
        <f>F647*F649+1224322-0.03+30000+1000000</f>
        <v>90254322</v>
      </c>
      <c r="G645" s="87"/>
      <c r="H645" s="87">
        <v>92000000</v>
      </c>
      <c r="I645" s="87"/>
      <c r="J645" s="87">
        <f>H645</f>
        <v>92000000</v>
      </c>
      <c r="K645" s="87"/>
      <c r="L645" s="87"/>
      <c r="M645" s="87"/>
      <c r="N645" s="87"/>
      <c r="O645" s="87">
        <v>95000000</v>
      </c>
      <c r="P645" s="87">
        <f>O645</f>
        <v>95000000</v>
      </c>
      <c r="Q645" s="78"/>
    </row>
    <row r="646" spans="1:17" s="39" customFormat="1" ht="11.25">
      <c r="A646" s="34" t="s">
        <v>5</v>
      </c>
      <c r="B646" s="35"/>
      <c r="C646" s="35"/>
      <c r="D646" s="86"/>
      <c r="E646" s="86"/>
      <c r="F646" s="8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78"/>
    </row>
    <row r="647" spans="1:17" s="39" customFormat="1" ht="11.25">
      <c r="A647" s="40" t="s">
        <v>187</v>
      </c>
      <c r="B647" s="41"/>
      <c r="C647" s="41"/>
      <c r="D647" s="80"/>
      <c r="E647" s="80">
        <v>17</v>
      </c>
      <c r="F647" s="80">
        <v>17</v>
      </c>
      <c r="G647" s="87"/>
      <c r="H647" s="87">
        <v>11</v>
      </c>
      <c r="I647" s="87"/>
      <c r="J647" s="87">
        <f>H647</f>
        <v>11</v>
      </c>
      <c r="K647" s="87">
        <f>H647</f>
        <v>11</v>
      </c>
      <c r="L647" s="87">
        <f>J647</f>
        <v>11</v>
      </c>
      <c r="M647" s="87">
        <f>K647</f>
        <v>11</v>
      </c>
      <c r="N647" s="87"/>
      <c r="O647" s="87">
        <v>8</v>
      </c>
      <c r="P647" s="87">
        <f>O647</f>
        <v>8</v>
      </c>
      <c r="Q647" s="78"/>
    </row>
    <row r="648" spans="1:17" s="39" customFormat="1" ht="11.25">
      <c r="A648" s="40" t="s">
        <v>7</v>
      </c>
      <c r="B648" s="41"/>
      <c r="C648" s="41"/>
      <c r="D648" s="80"/>
      <c r="E648" s="80"/>
      <c r="F648" s="80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78"/>
    </row>
    <row r="649" spans="1:17" s="39" customFormat="1" ht="22.5">
      <c r="A649" s="40" t="s">
        <v>259</v>
      </c>
      <c r="B649" s="41"/>
      <c r="C649" s="41"/>
      <c r="D649" s="80"/>
      <c r="E649" s="87">
        <v>5176470.59</v>
      </c>
      <c r="F649" s="87">
        <v>5176470.59</v>
      </c>
      <c r="G649" s="87"/>
      <c r="H649" s="87">
        <f>SUM(H645)/H647</f>
        <v>8363636.363636363</v>
      </c>
      <c r="I649" s="87"/>
      <c r="J649" s="87">
        <f>SUM(J645)/J647</f>
        <v>8363636.363636363</v>
      </c>
      <c r="K649" s="87"/>
      <c r="L649" s="87"/>
      <c r="M649" s="87"/>
      <c r="N649" s="87"/>
      <c r="O649" s="87">
        <f>SUM(O645)/O647</f>
        <v>11875000</v>
      </c>
      <c r="P649" s="87">
        <f>SUM(P645)/P647</f>
        <v>11875000</v>
      </c>
      <c r="Q649" s="78"/>
    </row>
    <row r="650" spans="1:17" s="52" customFormat="1" ht="11.25">
      <c r="A650" s="34" t="s">
        <v>5</v>
      </c>
      <c r="B650" s="35"/>
      <c r="C650" s="35"/>
      <c r="D650" s="86"/>
      <c r="E650" s="86"/>
      <c r="F650" s="8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75"/>
    </row>
    <row r="651" spans="1:235" ht="33.75">
      <c r="A651" s="88" t="s">
        <v>278</v>
      </c>
      <c r="B651" s="29"/>
      <c r="C651" s="29"/>
      <c r="D651" s="89"/>
      <c r="E651" s="48">
        <v>621600</v>
      </c>
      <c r="F651" s="48">
        <v>621600</v>
      </c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88" t="s">
        <v>360</v>
      </c>
      <c r="B652" s="29"/>
      <c r="C652" s="29"/>
      <c r="D652" s="89"/>
      <c r="E652" s="48">
        <v>1247000</v>
      </c>
      <c r="F652" s="48">
        <f>E652</f>
        <v>1247000</v>
      </c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33.75">
      <c r="A653" s="88" t="s">
        <v>368</v>
      </c>
      <c r="B653" s="29"/>
      <c r="C653" s="29"/>
      <c r="D653" s="89"/>
      <c r="E653" s="48">
        <v>2420000</v>
      </c>
      <c r="F653" s="48">
        <f>E653</f>
        <v>2420000</v>
      </c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91" customFormat="1" ht="13.5" customHeight="1">
      <c r="A654" s="37" t="s">
        <v>333</v>
      </c>
      <c r="B654" s="37"/>
      <c r="C654" s="37"/>
      <c r="D654" s="81">
        <f>SUM(D656)</f>
        <v>0</v>
      </c>
      <c r="E654" s="81"/>
      <c r="F654" s="81">
        <f>SUM(F656)</f>
        <v>0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90"/>
    </row>
    <row r="655" spans="1:17" s="22" customFormat="1" ht="20.25" customHeight="1">
      <c r="A655" s="8" t="s">
        <v>335</v>
      </c>
      <c r="B655" s="6"/>
      <c r="C655" s="6"/>
      <c r="D655" s="84"/>
      <c r="E655" s="84"/>
      <c r="F655" s="84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4"/>
    </row>
    <row r="656" spans="1:17" s="95" customFormat="1" ht="16.5" customHeight="1">
      <c r="A656" s="92" t="s">
        <v>439</v>
      </c>
      <c r="B656" s="93"/>
      <c r="C656" s="93"/>
      <c r="D656" s="94">
        <f>SUM(D658)</f>
        <v>0</v>
      </c>
      <c r="E656" s="94">
        <f>SUM(E658)</f>
        <v>0</v>
      </c>
      <c r="F656" s="94">
        <f>SUM(F658)</f>
        <v>0</v>
      </c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78"/>
    </row>
    <row r="657" spans="1:235" ht="11.25">
      <c r="A657" s="34" t="s">
        <v>4</v>
      </c>
      <c r="B657" s="6"/>
      <c r="C657" s="6"/>
      <c r="D657" s="84"/>
      <c r="E657" s="84"/>
      <c r="F657" s="84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5" customHeight="1">
      <c r="A658" s="40" t="s">
        <v>43</v>
      </c>
      <c r="B658" s="6"/>
      <c r="C658" s="6"/>
      <c r="D658" s="84">
        <v>0</v>
      </c>
      <c r="E658" s="84"/>
      <c r="F658" s="84">
        <f>SUM(D658:E658)</f>
        <v>0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17" s="52" customFormat="1" ht="11.25">
      <c r="A659" s="34" t="s">
        <v>5</v>
      </c>
      <c r="B659" s="37"/>
      <c r="C659" s="37"/>
      <c r="D659" s="81"/>
      <c r="E659" s="81"/>
      <c r="F659" s="81">
        <f>SUM(D659:E659)</f>
        <v>0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75"/>
    </row>
    <row r="660" spans="1:235" ht="13.5" customHeight="1">
      <c r="A660" s="34" t="s">
        <v>336</v>
      </c>
      <c r="B660" s="6"/>
      <c r="C660" s="6"/>
      <c r="D660" s="84">
        <v>0</v>
      </c>
      <c r="E660" s="84"/>
      <c r="F660" s="84">
        <f>SUM(D660:E660)</f>
        <v>0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17" s="52" customFormat="1" ht="16.5" customHeight="1">
      <c r="A661" s="34" t="s">
        <v>7</v>
      </c>
      <c r="B661" s="37"/>
      <c r="C661" s="37"/>
      <c r="D661" s="81"/>
      <c r="E661" s="81"/>
      <c r="F661" s="81"/>
      <c r="G661" s="81"/>
      <c r="H661" s="81"/>
      <c r="I661" s="81"/>
      <c r="J661" s="30"/>
      <c r="K661" s="81"/>
      <c r="L661" s="81"/>
      <c r="M661" s="81"/>
      <c r="N661" s="81"/>
      <c r="O661" s="81"/>
      <c r="P661" s="81"/>
      <c r="Q661" s="75"/>
    </row>
    <row r="662" spans="1:235" ht="11.25">
      <c r="A662" s="34" t="s">
        <v>334</v>
      </c>
      <c r="B662" s="6"/>
      <c r="C662" s="6"/>
      <c r="D662" s="84">
        <v>0</v>
      </c>
      <c r="E662" s="84"/>
      <c r="F662" s="84">
        <f>SUM(D662:E662)</f>
        <v>0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37" t="s">
        <v>258</v>
      </c>
      <c r="B663" s="6"/>
      <c r="C663" s="6"/>
      <c r="D663" s="81">
        <f>D665</f>
        <v>0</v>
      </c>
      <c r="E663" s="81">
        <f>E665</f>
        <v>-20000</v>
      </c>
      <c r="F663" s="81">
        <f>F665</f>
        <v>-20000</v>
      </c>
      <c r="G663" s="81">
        <f aca="true" t="shared" si="68" ref="G663:Q663">G665</f>
        <v>0</v>
      </c>
      <c r="H663" s="81">
        <f t="shared" si="68"/>
        <v>-2054092</v>
      </c>
      <c r="I663" s="81">
        <f t="shared" si="68"/>
        <v>0</v>
      </c>
      <c r="J663" s="81">
        <f t="shared" si="68"/>
        <v>-2054092</v>
      </c>
      <c r="K663" s="81">
        <f t="shared" si="68"/>
        <v>0</v>
      </c>
      <c r="L663" s="81">
        <f t="shared" si="68"/>
        <v>0</v>
      </c>
      <c r="M663" s="81">
        <f t="shared" si="68"/>
        <v>0</v>
      </c>
      <c r="N663" s="81">
        <f t="shared" si="68"/>
        <v>0</v>
      </c>
      <c r="O663" s="81">
        <f t="shared" si="68"/>
        <v>0</v>
      </c>
      <c r="P663" s="81">
        <f t="shared" si="68"/>
        <v>0</v>
      </c>
      <c r="Q663" s="81">
        <f t="shared" si="68"/>
        <v>0</v>
      </c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7.25" customHeight="1">
      <c r="A664" s="8" t="s">
        <v>198</v>
      </c>
      <c r="B664" s="6"/>
      <c r="C664" s="6"/>
      <c r="D664" s="84"/>
      <c r="E664" s="84"/>
      <c r="F664" s="84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17" s="52" customFormat="1" ht="22.5">
      <c r="A665" s="34" t="s">
        <v>441</v>
      </c>
      <c r="B665" s="37"/>
      <c r="C665" s="37"/>
      <c r="D665" s="81"/>
      <c r="E665" s="81">
        <f>E667</f>
        <v>-20000</v>
      </c>
      <c r="F665" s="81">
        <f>D665+E665</f>
        <v>-20000</v>
      </c>
      <c r="G665" s="30"/>
      <c r="H665" s="36">
        <f>H667</f>
        <v>-2054092</v>
      </c>
      <c r="I665" s="36"/>
      <c r="J665" s="36">
        <f>H665</f>
        <v>-2054092</v>
      </c>
      <c r="K665" s="36"/>
      <c r="L665" s="36"/>
      <c r="M665" s="36"/>
      <c r="N665" s="36"/>
      <c r="O665" s="36">
        <f>O667</f>
        <v>0</v>
      </c>
      <c r="P665" s="36">
        <f>O665</f>
        <v>0</v>
      </c>
      <c r="Q665" s="75"/>
    </row>
    <row r="666" spans="1:235" ht="11.25">
      <c r="A666" s="5" t="s">
        <v>4</v>
      </c>
      <c r="B666" s="6"/>
      <c r="C666" s="6"/>
      <c r="D666" s="84"/>
      <c r="E666" s="84"/>
      <c r="F666" s="84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2.5">
      <c r="A667" s="8" t="s">
        <v>200</v>
      </c>
      <c r="B667" s="6"/>
      <c r="C667" s="6"/>
      <c r="D667" s="49"/>
      <c r="E667" s="49">
        <f>E669*E671</f>
        <v>-20000</v>
      </c>
      <c r="F667" s="49">
        <f>F669*F671</f>
        <v>-20000</v>
      </c>
      <c r="G667" s="87"/>
      <c r="H667" s="87">
        <f>H669*H671</f>
        <v>-2054092</v>
      </c>
      <c r="I667" s="87"/>
      <c r="J667" s="87">
        <f>H667</f>
        <v>-2054092</v>
      </c>
      <c r="K667" s="87"/>
      <c r="L667" s="87"/>
      <c r="M667" s="87"/>
      <c r="N667" s="87"/>
      <c r="O667" s="87"/>
      <c r="P667" s="87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5" t="s">
        <v>5</v>
      </c>
      <c r="B668" s="6"/>
      <c r="C668" s="6"/>
      <c r="D668" s="49"/>
      <c r="E668" s="49"/>
      <c r="F668" s="49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22.5">
      <c r="A669" s="8" t="s">
        <v>199</v>
      </c>
      <c r="B669" s="6"/>
      <c r="C669" s="6"/>
      <c r="D669" s="49"/>
      <c r="E669" s="49">
        <v>1</v>
      </c>
      <c r="F669" s="49">
        <f>D669+E669</f>
        <v>1</v>
      </c>
      <c r="G669" s="87"/>
      <c r="H669" s="96">
        <v>1</v>
      </c>
      <c r="I669" s="87"/>
      <c r="J669" s="96">
        <f>H669</f>
        <v>1</v>
      </c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34" t="s">
        <v>7</v>
      </c>
      <c r="B670" s="6"/>
      <c r="C670" s="6"/>
      <c r="D670" s="49"/>
      <c r="E670" s="49"/>
      <c r="F670" s="49"/>
      <c r="G670" s="87"/>
      <c r="H670" s="96"/>
      <c r="I670" s="87"/>
      <c r="J670" s="96"/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22.5">
      <c r="A671" s="40" t="s">
        <v>342</v>
      </c>
      <c r="B671" s="6"/>
      <c r="C671" s="6"/>
      <c r="D671" s="49"/>
      <c r="E671" s="49">
        <v>-20000</v>
      </c>
      <c r="F671" s="49">
        <f>E671</f>
        <v>-20000</v>
      </c>
      <c r="G671" s="87"/>
      <c r="H671" s="87">
        <v>-2054092</v>
      </c>
      <c r="I671" s="87"/>
      <c r="J671" s="87">
        <f>H671</f>
        <v>-2054092</v>
      </c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37" t="s">
        <v>305</v>
      </c>
      <c r="B672" s="6"/>
      <c r="C672" s="6"/>
      <c r="D672" s="49"/>
      <c r="E672" s="49"/>
      <c r="F672" s="49"/>
      <c r="G672" s="81">
        <f>G674</f>
        <v>0</v>
      </c>
      <c r="H672" s="81">
        <f>H674</f>
        <v>-740000</v>
      </c>
      <c r="I672" s="81">
        <f>I674</f>
        <v>0</v>
      </c>
      <c r="J672" s="81">
        <f>J674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8" t="s">
        <v>198</v>
      </c>
      <c r="B673" s="6"/>
      <c r="C673" s="6"/>
      <c r="D673" s="49"/>
      <c r="E673" s="49"/>
      <c r="F673" s="49"/>
      <c r="G673" s="7"/>
      <c r="H673" s="7"/>
      <c r="I673" s="7"/>
      <c r="J673" s="7"/>
      <c r="K673" s="87"/>
      <c r="L673" s="87"/>
      <c r="M673" s="87"/>
      <c r="N673" s="87"/>
      <c r="O673" s="96"/>
      <c r="P673" s="96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2.5">
      <c r="A674" s="34" t="s">
        <v>440</v>
      </c>
      <c r="B674" s="6"/>
      <c r="C674" s="6"/>
      <c r="D674" s="49"/>
      <c r="E674" s="49"/>
      <c r="F674" s="49"/>
      <c r="G674" s="30"/>
      <c r="H674" s="36">
        <f>H676</f>
        <v>-740000</v>
      </c>
      <c r="I674" s="36"/>
      <c r="J674" s="36">
        <f>H674</f>
        <v>-740000</v>
      </c>
      <c r="K674" s="87"/>
      <c r="L674" s="87"/>
      <c r="M674" s="87"/>
      <c r="N674" s="87"/>
      <c r="O674" s="96"/>
      <c r="P674" s="96"/>
      <c r="Q674" s="24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5" t="s">
        <v>4</v>
      </c>
      <c r="B675" s="6"/>
      <c r="C675" s="6"/>
      <c r="D675" s="49"/>
      <c r="E675" s="49"/>
      <c r="F675" s="49"/>
      <c r="G675" s="7"/>
      <c r="H675" s="7"/>
      <c r="I675" s="7"/>
      <c r="J675" s="7"/>
      <c r="K675" s="87"/>
      <c r="L675" s="87"/>
      <c r="M675" s="87"/>
      <c r="N675" s="87"/>
      <c r="O675" s="96"/>
      <c r="P675" s="96"/>
      <c r="Q675" s="24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2.5">
      <c r="A676" s="8" t="s">
        <v>200</v>
      </c>
      <c r="B676" s="6"/>
      <c r="C676" s="6"/>
      <c r="D676" s="49"/>
      <c r="E676" s="49"/>
      <c r="F676" s="49"/>
      <c r="G676" s="87"/>
      <c r="H676" s="87">
        <f>H678*H680</f>
        <v>-740000</v>
      </c>
      <c r="I676" s="87"/>
      <c r="J676" s="87">
        <f>H676</f>
        <v>-740000</v>
      </c>
      <c r="K676" s="87"/>
      <c r="L676" s="87"/>
      <c r="M676" s="87"/>
      <c r="N676" s="87"/>
      <c r="O676" s="96"/>
      <c r="P676" s="96"/>
      <c r="Q676" s="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5" t="s">
        <v>5</v>
      </c>
      <c r="B677" s="6"/>
      <c r="C677" s="6"/>
      <c r="D677" s="49"/>
      <c r="E677" s="49"/>
      <c r="F677" s="49"/>
      <c r="G677" s="87"/>
      <c r="H677" s="87"/>
      <c r="I677" s="87"/>
      <c r="J677" s="87"/>
      <c r="K677" s="87"/>
      <c r="L677" s="87"/>
      <c r="M677" s="87"/>
      <c r="N677" s="87"/>
      <c r="O677" s="96"/>
      <c r="P677" s="96"/>
      <c r="Q677" s="24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2.5">
      <c r="A678" s="8" t="s">
        <v>199</v>
      </c>
      <c r="B678" s="6"/>
      <c r="C678" s="6"/>
      <c r="D678" s="49"/>
      <c r="E678" s="49"/>
      <c r="F678" s="49"/>
      <c r="G678" s="87"/>
      <c r="H678" s="96">
        <v>1</v>
      </c>
      <c r="I678" s="87"/>
      <c r="J678" s="96">
        <f>H678</f>
        <v>1</v>
      </c>
      <c r="K678" s="87"/>
      <c r="L678" s="87"/>
      <c r="M678" s="87"/>
      <c r="N678" s="87"/>
      <c r="O678" s="96"/>
      <c r="P678" s="96"/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34" t="s">
        <v>7</v>
      </c>
      <c r="B679" s="6"/>
      <c r="C679" s="6"/>
      <c r="D679" s="49"/>
      <c r="E679" s="49"/>
      <c r="F679" s="49"/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2.5">
      <c r="A680" s="40" t="s">
        <v>342</v>
      </c>
      <c r="B680" s="6"/>
      <c r="C680" s="6"/>
      <c r="D680" s="49"/>
      <c r="E680" s="49"/>
      <c r="F680" s="49"/>
      <c r="G680" s="87"/>
      <c r="H680" s="87">
        <v>-740000</v>
      </c>
      <c r="I680" s="87"/>
      <c r="J680" s="87">
        <f>H680</f>
        <v>-740000</v>
      </c>
      <c r="K680" s="87"/>
      <c r="L680" s="87"/>
      <c r="M680" s="87"/>
      <c r="N680" s="87"/>
      <c r="O680" s="96"/>
      <c r="P680" s="96"/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3.5" customHeight="1">
      <c r="A681" s="37" t="s">
        <v>265</v>
      </c>
      <c r="B681" s="6"/>
      <c r="C681" s="6"/>
      <c r="D681" s="81">
        <f>D683</f>
        <v>0</v>
      </c>
      <c r="E681" s="81">
        <f aca="true" t="shared" si="69" ref="E681:P681">E683</f>
        <v>74070200</v>
      </c>
      <c r="F681" s="81">
        <f t="shared" si="69"/>
        <v>74070200</v>
      </c>
      <c r="G681" s="81">
        <f t="shared" si="69"/>
        <v>0</v>
      </c>
      <c r="H681" s="81">
        <f t="shared" si="69"/>
        <v>0</v>
      </c>
      <c r="I681" s="81">
        <f t="shared" si="69"/>
        <v>0</v>
      </c>
      <c r="J681" s="81">
        <f t="shared" si="69"/>
        <v>0</v>
      </c>
      <c r="K681" s="81">
        <f t="shared" si="69"/>
        <v>0</v>
      </c>
      <c r="L681" s="81">
        <f t="shared" si="69"/>
        <v>0</v>
      </c>
      <c r="M681" s="81">
        <f t="shared" si="69"/>
        <v>0</v>
      </c>
      <c r="N681" s="81">
        <f t="shared" si="69"/>
        <v>0</v>
      </c>
      <c r="O681" s="81">
        <f t="shared" si="69"/>
        <v>0</v>
      </c>
      <c r="P681" s="81">
        <f t="shared" si="69"/>
        <v>0</v>
      </c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1.75" customHeight="1">
      <c r="A682" s="8" t="s">
        <v>261</v>
      </c>
      <c r="B682" s="6"/>
      <c r="C682" s="6"/>
      <c r="D682" s="84"/>
      <c r="E682" s="84"/>
      <c r="F682" s="84"/>
      <c r="G682" s="7"/>
      <c r="H682" s="7"/>
      <c r="I682" s="7"/>
      <c r="J682" s="7"/>
      <c r="K682" s="7"/>
      <c r="L682" s="7"/>
      <c r="M682" s="7"/>
      <c r="N682" s="7"/>
      <c r="O682" s="7"/>
      <c r="P682" s="7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21.75" customHeight="1">
      <c r="A683" s="34" t="s">
        <v>442</v>
      </c>
      <c r="B683" s="37"/>
      <c r="C683" s="37"/>
      <c r="D683" s="81"/>
      <c r="E683" s="81">
        <f>E685</f>
        <v>74070200</v>
      </c>
      <c r="F683" s="81">
        <f>D683+E683</f>
        <v>74070200</v>
      </c>
      <c r="G683" s="30"/>
      <c r="H683" s="36">
        <f>H685</f>
        <v>0</v>
      </c>
      <c r="I683" s="36"/>
      <c r="J683" s="36">
        <f>H683</f>
        <v>0</v>
      </c>
      <c r="K683" s="36"/>
      <c r="L683" s="36"/>
      <c r="M683" s="36"/>
      <c r="N683" s="36"/>
      <c r="O683" s="36">
        <f>O685</f>
        <v>0</v>
      </c>
      <c r="P683" s="36">
        <f>O683</f>
        <v>0</v>
      </c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21.75" customHeight="1">
      <c r="A684" s="5" t="s">
        <v>4</v>
      </c>
      <c r="B684" s="6"/>
      <c r="C684" s="6"/>
      <c r="D684" s="84"/>
      <c r="E684" s="84"/>
      <c r="F684" s="84"/>
      <c r="G684" s="7"/>
      <c r="H684" s="7"/>
      <c r="I684" s="7"/>
      <c r="J684" s="7"/>
      <c r="K684" s="7"/>
      <c r="L684" s="7"/>
      <c r="M684" s="7"/>
      <c r="N684" s="7"/>
      <c r="O684" s="7"/>
      <c r="P684" s="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21.75" customHeight="1">
      <c r="A685" s="8" t="s">
        <v>264</v>
      </c>
      <c r="B685" s="6"/>
      <c r="C685" s="6"/>
      <c r="D685" s="49"/>
      <c r="E685" s="49">
        <v>74070200</v>
      </c>
      <c r="F685" s="49">
        <f>D685+E685</f>
        <v>74070200</v>
      </c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21.75" customHeight="1">
      <c r="A686" s="5" t="s">
        <v>5</v>
      </c>
      <c r="B686" s="6"/>
      <c r="C686" s="6"/>
      <c r="D686" s="49"/>
      <c r="E686" s="49"/>
      <c r="F686" s="49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1.75" customHeight="1">
      <c r="A687" s="8" t="s">
        <v>262</v>
      </c>
      <c r="B687" s="6"/>
      <c r="C687" s="6"/>
      <c r="D687" s="49"/>
      <c r="E687" s="49">
        <v>1</v>
      </c>
      <c r="F687" s="49">
        <f>D687+E687</f>
        <v>1</v>
      </c>
      <c r="G687" s="87"/>
      <c r="H687" s="96"/>
      <c r="I687" s="87"/>
      <c r="J687" s="96"/>
      <c r="K687" s="87"/>
      <c r="L687" s="87"/>
      <c r="M687" s="87"/>
      <c r="N687" s="87"/>
      <c r="O687" s="96"/>
      <c r="P687" s="96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21.75" customHeight="1">
      <c r="A688" s="5" t="s">
        <v>7</v>
      </c>
      <c r="B688" s="6"/>
      <c r="C688" s="6"/>
      <c r="D688" s="49"/>
      <c r="E688" s="49"/>
      <c r="F688" s="49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21.75" customHeight="1">
      <c r="A689" s="8" t="s">
        <v>263</v>
      </c>
      <c r="B689" s="127"/>
      <c r="C689" s="127"/>
      <c r="D689" s="36"/>
      <c r="E689" s="87">
        <f>E685/E687</f>
        <v>74070200</v>
      </c>
      <c r="F689" s="49">
        <f>D689+E689</f>
        <v>74070200</v>
      </c>
      <c r="G689" s="128"/>
      <c r="H689" s="128"/>
      <c r="I689" s="128"/>
      <c r="J689" s="30"/>
      <c r="K689" s="30"/>
      <c r="L689" s="30"/>
      <c r="M689" s="30"/>
      <c r="N689" s="30"/>
      <c r="O689" s="30"/>
      <c r="P689" s="3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97"/>
      <c r="B690" s="98"/>
      <c r="C690" s="98"/>
      <c r="D690" s="99"/>
      <c r="E690" s="4"/>
      <c r="F690" s="4"/>
      <c r="G690" s="4"/>
      <c r="H690" s="4"/>
      <c r="I690" s="4"/>
      <c r="J690" s="100"/>
      <c r="K690" s="100"/>
      <c r="L690" s="100"/>
      <c r="M690" s="100"/>
      <c r="N690" s="100"/>
      <c r="O690" s="100"/>
      <c r="P690" s="100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0.5" customHeight="1">
      <c r="A691" s="97"/>
      <c r="B691" s="98"/>
      <c r="C691" s="98"/>
      <c r="D691" s="99"/>
      <c r="E691" s="4"/>
      <c r="F691" s="4"/>
      <c r="G691" s="4"/>
      <c r="H691" s="4"/>
      <c r="I691" s="4"/>
      <c r="J691" s="100"/>
      <c r="K691" s="100"/>
      <c r="L691" s="100"/>
      <c r="M691" s="100"/>
      <c r="N691" s="100"/>
      <c r="O691" s="100"/>
      <c r="P691" s="100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9.75" customHeight="1">
      <c r="A692" s="98"/>
      <c r="B692" s="98"/>
      <c r="C692" s="98"/>
      <c r="D692" s="99"/>
      <c r="E692" s="2"/>
      <c r="F692" s="2"/>
      <c r="G692" s="2"/>
      <c r="H692" s="2"/>
      <c r="I692" s="2"/>
      <c r="J692" s="100"/>
      <c r="K692" s="100"/>
      <c r="L692" s="100"/>
      <c r="M692" s="100"/>
      <c r="N692" s="100"/>
      <c r="O692" s="100"/>
      <c r="P692" s="100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6.75" customHeight="1">
      <c r="A693" s="98"/>
      <c r="B693" s="98"/>
      <c r="C693" s="98"/>
      <c r="D693" s="99"/>
      <c r="E693" s="2"/>
      <c r="F693" s="2"/>
      <c r="G693" s="2"/>
      <c r="H693" s="2"/>
      <c r="I693" s="2"/>
      <c r="J693" s="100"/>
      <c r="K693" s="100"/>
      <c r="L693" s="100"/>
      <c r="M693" s="100"/>
      <c r="N693" s="100"/>
      <c r="O693" s="100"/>
      <c r="P693" s="100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0.25" customHeight="1">
      <c r="A694" s="160" t="s">
        <v>448</v>
      </c>
      <c r="B694" s="160"/>
      <c r="C694" s="160"/>
      <c r="D694" s="160"/>
      <c r="E694" s="102"/>
      <c r="F694" s="103"/>
      <c r="G694" s="104"/>
      <c r="H694" s="104"/>
      <c r="I694" s="104"/>
      <c r="J694" s="105"/>
      <c r="K694" s="105"/>
      <c r="L694" s="105"/>
      <c r="M694" s="105"/>
      <c r="N694" s="104"/>
      <c r="O694" s="165" t="s">
        <v>449</v>
      </c>
      <c r="P694" s="165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8.25" customHeight="1">
      <c r="A695" s="101"/>
      <c r="B695" s="101"/>
      <c r="C695" s="101"/>
      <c r="D695" s="102"/>
      <c r="E695" s="102"/>
      <c r="F695" s="103"/>
      <c r="G695" s="104"/>
      <c r="H695" s="104"/>
      <c r="I695" s="104"/>
      <c r="J695" s="105"/>
      <c r="K695" s="105"/>
      <c r="L695" s="105"/>
      <c r="M695" s="105"/>
      <c r="N695" s="104"/>
      <c r="O695" s="106"/>
      <c r="P695" s="106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6.75" customHeight="1">
      <c r="A696" s="101"/>
      <c r="B696" s="101"/>
      <c r="C696" s="101"/>
      <c r="D696" s="102"/>
      <c r="E696" s="102"/>
      <c r="F696" s="103"/>
      <c r="G696" s="104"/>
      <c r="H696" s="104"/>
      <c r="I696" s="104"/>
      <c r="J696" s="105"/>
      <c r="K696" s="105"/>
      <c r="L696" s="105"/>
      <c r="M696" s="105"/>
      <c r="N696" s="104"/>
      <c r="O696" s="106"/>
      <c r="P696" s="106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8.75" customHeight="1">
      <c r="A697" s="174" t="s">
        <v>452</v>
      </c>
      <c r="B697" s="174"/>
      <c r="C697" s="107"/>
      <c r="D697" s="108"/>
      <c r="E697" s="102"/>
      <c r="F697" s="104"/>
      <c r="G697" s="102"/>
      <c r="H697" s="102"/>
      <c r="I697" s="102"/>
      <c r="J697" s="109"/>
      <c r="K697" s="109"/>
      <c r="L697" s="109"/>
      <c r="M697" s="109"/>
      <c r="N697" s="109"/>
      <c r="O697" s="109"/>
      <c r="P697" s="109"/>
      <c r="Q697" s="110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0.75" customHeight="1">
      <c r="A698" s="28" t="s">
        <v>150</v>
      </c>
      <c r="B698" s="28"/>
      <c r="C698" s="111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28.5" customHeight="1">
      <c r="A699" s="112"/>
      <c r="B699" s="113"/>
      <c r="C699" s="114"/>
      <c r="D699" s="115"/>
      <c r="E699" s="115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</sheetData>
  <sheetProtection/>
  <mergeCells count="20">
    <mergeCell ref="A697:B697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  <mergeCell ref="A694:D694"/>
    <mergeCell ref="J8:P8"/>
    <mergeCell ref="F13:G13"/>
    <mergeCell ref="J2:L2"/>
    <mergeCell ref="A12:P12"/>
    <mergeCell ref="O694:P694"/>
    <mergeCell ref="N14:P14"/>
    <mergeCell ref="N15:O15"/>
    <mergeCell ref="P15:P16"/>
    <mergeCell ref="J15:J16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2019-10-18T08:53:35Z</cp:lastPrinted>
  <dcterms:created xsi:type="dcterms:W3CDTF">2014-04-22T08:24:49Z</dcterms:created>
  <dcterms:modified xsi:type="dcterms:W3CDTF">2019-10-18T09:01:58Z</dcterms:modified>
  <cp:category/>
  <cp:version/>
  <cp:contentType/>
  <cp:contentStatus/>
</cp:coreProperties>
</file>