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'Показники'!$A$1:$K$385</definedName>
  </definedNames>
  <calcPr fullCalcOnLoad="1"/>
</workbook>
</file>

<file path=xl/sharedStrings.xml><?xml version="1.0" encoding="utf-8"?>
<sst xmlns="http://schemas.openxmlformats.org/spreadsheetml/2006/main" count="390" uniqueCount="232">
  <si>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</si>
  <si>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</si>
  <si>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</si>
  <si>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</si>
  <si>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</si>
  <si>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</si>
  <si>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</si>
  <si>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</si>
  <si>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</si>
  <si>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</si>
  <si>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</si>
  <si>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</si>
  <si>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</si>
  <si>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</si>
  <si>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</si>
  <si>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</si>
  <si>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</si>
  <si>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</si>
  <si>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</si>
  <si>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</si>
  <si>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</si>
  <si>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</si>
  <si>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</si>
  <si>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</si>
  <si>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</si>
  <si>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</si>
  <si>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</si>
  <si>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</si>
  <si>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</si>
  <si>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</si>
  <si>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</si>
  <si>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</si>
  <si>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</si>
  <si>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</si>
  <si>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</si>
  <si>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</si>
  <si>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</si>
  <si>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</si>
  <si>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</si>
  <si>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</si>
  <si>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</si>
  <si>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</si>
  <si>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</si>
  <si>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</si>
  <si>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</si>
  <si>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</si>
  <si>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</si>
  <si>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</si>
  <si>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</si>
  <si>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</si>
  <si>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</si>
  <si>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</si>
  <si>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</si>
  <si>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</si>
  <si>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</si>
  <si>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</si>
  <si>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</si>
  <si>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</si>
  <si>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</si>
  <si>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</si>
  <si>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</si>
  <si>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</si>
  <si>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</si>
  <si>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</si>
  <si>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</si>
  <si>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</si>
  <si>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</si>
  <si>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</si>
  <si>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</si>
  <si>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</si>
  <si>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</si>
  <si>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</si>
  <si>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</si>
  <si>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</si>
  <si>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</si>
  <si>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</si>
  <si>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</si>
  <si>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</si>
  <si>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</si>
  <si>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</si>
  <si>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</si>
  <si>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</si>
  <si>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</si>
  <si>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</si>
  <si>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</si>
  <si>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</si>
  <si>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</si>
  <si>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</si>
  <si>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</si>
  <si>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</si>
  <si>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</si>
  <si>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</si>
  <si>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</si>
  <si>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</si>
  <si>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</si>
  <si>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</si>
  <si>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</si>
  <si>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</si>
  <si>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</si>
  <si>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</si>
  <si>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</si>
  <si>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</si>
  <si>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</si>
  <si>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</si>
  <si>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</si>
  <si>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</si>
  <si>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</si>
  <si>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</si>
  <si>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</si>
  <si>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</si>
  <si>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</si>
  <si>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</si>
  <si>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</si>
  <si>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</si>
  <si>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</si>
  <si>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</si>
  <si>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</si>
  <si>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</si>
  <si>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</si>
  <si>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</si>
  <si>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</si>
  <si>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</si>
  <si>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</si>
  <si>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</si>
  <si>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</si>
  <si>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</si>
  <si>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</si>
  <si>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</si>
  <si>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</si>
  <si>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</si>
  <si>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</si>
  <si>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</si>
  <si>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</si>
  <si>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</si>
  <si>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</si>
  <si>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</si>
  <si>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</si>
  <si>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</si>
  <si>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</si>
  <si>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</si>
  <si>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</si>
  <si>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</si>
  <si>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</si>
  <si>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</si>
  <si>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</si>
  <si>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</si>
  <si>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</si>
  <si>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</si>
  <si>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</si>
  <si>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</si>
  <si>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</si>
  <si>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</si>
  <si>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</si>
  <si>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</si>
  <si>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</si>
  <si>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</si>
  <si>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</si>
  <si>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</si>
  <si>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</si>
  <si>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</si>
  <si>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</si>
  <si>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</si>
  <si>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</si>
  <si>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</si>
  <si>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</si>
  <si>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</si>
  <si>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</si>
  <si>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</si>
  <si>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</si>
  <si>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</si>
  <si>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</si>
  <si>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</si>
  <si>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</si>
  <si>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</si>
  <si>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</si>
  <si>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</si>
  <si>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</si>
  <si>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</si>
  <si>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</si>
  <si>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</si>
  <si>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</si>
  <si>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</si>
  <si>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</si>
  <si>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</si>
  <si>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</si>
  <si>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</si>
  <si>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</si>
  <si>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</si>
  <si>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</si>
  <si>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</si>
  <si>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</si>
  <si>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</si>
  <si>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</si>
  <si>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</si>
  <si>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</si>
  <si>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</si>
  <si>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</si>
  <si>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</si>
  <si>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</si>
  <si>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</si>
  <si>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</si>
  <si>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</si>
  <si>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</si>
  <si>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</si>
  <si>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</si>
  <si>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</si>
  <si>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___________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</si>
  <si>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</si>
  <si>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</si>
  <si>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</si>
  <si>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</si>
  <si>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 (зі змінами)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</si>
  <si>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ЧАЕС.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</si>
  <si>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</si>
  <si>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</si>
  <si>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</si>
  <si>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</si>
  <si>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</si>
  <si>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</si>
  <si>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</si>
  <si>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Сумський міський голова</t>
  </si>
  <si>
    <t>О.М. Лисенко</t>
  </si>
  <si>
    <t>Виконавець: Масік Т.О.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</si>
  <si>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</si>
  <si>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</si>
  <si>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</si>
  <si>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</si>
  <si>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</si>
  <si>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</si>
  <si>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</si>
  <si>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</si>
  <si>
    <t>від ___ жовтня 2019 року № ______-МР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</si>
</sst>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218" fontId="55" fillId="0" borderId="10" xfId="0" applyNumberFormat="1" applyFont="1" applyFill="1" applyBorder="1" applyAlignment="1">
      <alignment horizontal="center" vertical="center"/>
    </xf>
    <xf numFmtId="218" fontId="5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="80" zoomScaleNormal="80" zoomScaleSheetLayoutView="75" zoomScalePageLayoutView="0" workbookViewId="0" topLeftCell="A7">
      <selection activeCell="C12" sqref="C12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70" t="s">
        <v>225</v>
      </c>
      <c r="I1" s="170"/>
      <c r="J1" s="170"/>
      <c r="K1" s="71"/>
    </row>
    <row r="2" spans="1:12" ht="123" customHeight="1">
      <c r="A2" s="19"/>
      <c r="H2" s="172" t="s">
        <v>211</v>
      </c>
      <c r="I2" s="172"/>
      <c r="J2" s="172"/>
      <c r="K2" s="172"/>
      <c r="L2" s="132"/>
    </row>
    <row r="3" spans="1:11" ht="18.75">
      <c r="A3" s="18"/>
      <c r="H3" s="173" t="s">
        <v>231</v>
      </c>
      <c r="I3" s="173"/>
      <c r="J3" s="173"/>
      <c r="K3" s="173"/>
    </row>
    <row r="4" spans="8:10" ht="15.75">
      <c r="H4" s="133"/>
      <c r="I4" s="133"/>
      <c r="J4" s="133"/>
    </row>
    <row r="5" spans="1:12" ht="30.75" customHeight="1">
      <c r="A5" s="171" t="s">
        <v>192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72"/>
    </row>
    <row r="6" ht="12.75">
      <c r="A6" s="134"/>
    </row>
    <row r="7" spans="1:12" ht="32.25" customHeight="1">
      <c r="A7" s="162" t="s">
        <v>81</v>
      </c>
      <c r="B7" s="162" t="s">
        <v>29</v>
      </c>
      <c r="C7" s="162" t="s">
        <v>145</v>
      </c>
      <c r="D7" s="162"/>
      <c r="E7" s="162"/>
      <c r="F7" s="162" t="s">
        <v>146</v>
      </c>
      <c r="G7" s="162"/>
      <c r="H7" s="162"/>
      <c r="I7" s="162" t="s">
        <v>147</v>
      </c>
      <c r="J7" s="162"/>
      <c r="K7" s="162"/>
      <c r="L7" s="73"/>
    </row>
    <row r="8" spans="1:12" ht="1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73"/>
    </row>
    <row r="9" spans="1:12" ht="18.75" customHeight="1">
      <c r="A9" s="162"/>
      <c r="B9" s="162"/>
      <c r="C9" s="163" t="s">
        <v>0</v>
      </c>
      <c r="D9" s="163" t="s">
        <v>1</v>
      </c>
      <c r="E9" s="163"/>
      <c r="F9" s="163" t="s">
        <v>0</v>
      </c>
      <c r="G9" s="163" t="s">
        <v>1</v>
      </c>
      <c r="H9" s="163"/>
      <c r="I9" s="163" t="s">
        <v>0</v>
      </c>
      <c r="J9" s="163" t="s">
        <v>1</v>
      </c>
      <c r="K9" s="163"/>
      <c r="L9" s="30"/>
    </row>
    <row r="10" spans="1:12" ht="28.5">
      <c r="A10" s="162"/>
      <c r="B10" s="162"/>
      <c r="C10" s="163"/>
      <c r="D10" s="23" t="s">
        <v>2</v>
      </c>
      <c r="E10" s="23" t="s">
        <v>3</v>
      </c>
      <c r="F10" s="163"/>
      <c r="G10" s="23" t="s">
        <v>2</v>
      </c>
      <c r="H10" s="23" t="s">
        <v>3</v>
      </c>
      <c r="I10" s="163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0" t="s">
        <v>4</v>
      </c>
      <c r="B12" s="3"/>
      <c r="C12" s="17">
        <f>D12+E12</f>
        <v>87456893</v>
      </c>
      <c r="D12" s="17">
        <f>+D17+D87+D107+D133+D162+D175+D187+D203+D306+D343+D274+D300</f>
        <v>87414893</v>
      </c>
      <c r="E12" s="17">
        <f>+E17+E87+E107+E133+E162+E175+E187+E203+E289+E306+E343+E274</f>
        <v>42000</v>
      </c>
      <c r="F12" s="17">
        <f>G12+H12</f>
        <v>89060136</v>
      </c>
      <c r="G12" s="17">
        <f>+G17+G87+G107+G133+G162+G175+G187+G203+G306+G343+G274+G300</f>
        <v>89015322</v>
      </c>
      <c r="H12" s="17">
        <f>+H17+H87+H107+H133+H162+H175+H187+H203+H289+H306+H343+H274</f>
        <v>44814</v>
      </c>
      <c r="I12" s="17">
        <f>J12+K12</f>
        <v>93958446</v>
      </c>
      <c r="J12" s="17">
        <f>+J17+J87+J107+J133+J162+J175+J187+J203+J306+J343+J274+J300</f>
        <v>93911167</v>
      </c>
      <c r="K12" s="17">
        <f>+K17+K87+K107+K133+K162+K175+K187+K203+K289+K306+K343+K274</f>
        <v>47279</v>
      </c>
      <c r="L12" s="131"/>
      <c r="O12" s="48"/>
    </row>
    <row r="13" spans="1:12" ht="17.25" customHeight="1">
      <c r="A13" s="36" t="s">
        <v>123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75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4" t="s">
        <v>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35"/>
    </row>
    <row r="16" spans="1:12" ht="17.25" customHeight="1">
      <c r="A16" s="176" t="s">
        <v>26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36"/>
    </row>
    <row r="17" spans="1:14" s="138" customFormat="1" ht="23.25" customHeight="1">
      <c r="A17" s="162" t="s">
        <v>7</v>
      </c>
      <c r="B17" s="38" t="s">
        <v>22</v>
      </c>
      <c r="C17" s="6">
        <f>+D17+E17</f>
        <v>14230525</v>
      </c>
      <c r="D17" s="6">
        <f>+D18+D19</f>
        <v>14188525</v>
      </c>
      <c r="E17" s="6">
        <f>+E18+E19</f>
        <v>42000</v>
      </c>
      <c r="F17" s="6">
        <f>+G17+H17</f>
        <v>13140454</v>
      </c>
      <c r="G17" s="6">
        <f>+G18+G19</f>
        <v>13095640</v>
      </c>
      <c r="H17" s="6">
        <f>+H18+H19</f>
        <v>44814</v>
      </c>
      <c r="I17" s="6">
        <f>J17+K17</f>
        <v>13863182</v>
      </c>
      <c r="J17" s="6">
        <f>+J18+J19</f>
        <v>13815903</v>
      </c>
      <c r="K17" s="6">
        <f>+K18+K19</f>
        <v>47279</v>
      </c>
      <c r="L17" s="137"/>
      <c r="N17" s="139"/>
    </row>
    <row r="18" spans="1:14" s="138" customFormat="1" ht="23.25" customHeight="1">
      <c r="A18" s="162"/>
      <c r="B18" s="74" t="s">
        <v>124</v>
      </c>
      <c r="C18" s="6">
        <f>+D18+E18</f>
        <v>14057855</v>
      </c>
      <c r="D18" s="6">
        <f>+D29+D43+D20+D53+D61+D72</f>
        <v>14015855</v>
      </c>
      <c r="E18" s="6">
        <f>+E29+E43+E20+E53+E61+E72</f>
        <v>42000</v>
      </c>
      <c r="F18" s="6">
        <f>+G18+H18</f>
        <v>12956215</v>
      </c>
      <c r="G18" s="6">
        <f>+G29+G43+G20+G53+G61+G72</f>
        <v>12911401</v>
      </c>
      <c r="H18" s="6">
        <f>+H29+H43+H20+H53+H61+H72</f>
        <v>44814</v>
      </c>
      <c r="I18" s="6">
        <f>J18+K18</f>
        <v>13668810</v>
      </c>
      <c r="J18" s="6">
        <f>+J29+J43+J20+J53+J61+J72</f>
        <v>13621531</v>
      </c>
      <c r="K18" s="6">
        <f>+K29+K43+K20+K53+K61+K72</f>
        <v>47279</v>
      </c>
      <c r="L18" s="137"/>
      <c r="N18" s="139"/>
    </row>
    <row r="19" spans="1:14" s="138" customFormat="1" ht="23.25" customHeight="1">
      <c r="A19" s="162"/>
      <c r="B19" s="74" t="s">
        <v>125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7"/>
      <c r="N19" s="139"/>
    </row>
    <row r="20" spans="1:12" ht="31.5" customHeight="1">
      <c r="A20" s="31" t="s">
        <v>24</v>
      </c>
      <c r="B20" s="74" t="s">
        <v>124</v>
      </c>
      <c r="C20" s="39">
        <f>D20</f>
        <v>12612344</v>
      </c>
      <c r="D20" s="39">
        <v>12612344</v>
      </c>
      <c r="E20" s="39">
        <v>0</v>
      </c>
      <c r="F20" s="6">
        <f>G20</f>
        <v>11520767</v>
      </c>
      <c r="G20" s="6">
        <v>11520767</v>
      </c>
      <c r="H20" s="6">
        <v>0</v>
      </c>
      <c r="I20" s="6">
        <f>J20</f>
        <v>12154411</v>
      </c>
      <c r="J20" s="6">
        <v>12154411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3555</v>
      </c>
      <c r="D23" s="40">
        <v>3555</v>
      </c>
      <c r="E23" s="40">
        <v>0</v>
      </c>
      <c r="F23" s="40">
        <f>G23+H23</f>
        <v>3545</v>
      </c>
      <c r="G23" s="40">
        <v>3545</v>
      </c>
      <c r="H23" s="40">
        <v>0</v>
      </c>
      <c r="I23" s="40">
        <f>J23+K23</f>
        <v>3545</v>
      </c>
      <c r="J23" s="40">
        <f>G23</f>
        <v>3545</v>
      </c>
      <c r="K23" s="40">
        <v>0</v>
      </c>
      <c r="L23" s="78"/>
      <c r="M23" s="164"/>
      <c r="O23" s="151"/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64"/>
    </row>
    <row r="25" spans="1:12" ht="16.5">
      <c r="A25" s="81" t="s">
        <v>14</v>
      </c>
      <c r="B25" s="38"/>
      <c r="C25" s="43">
        <f>D25+E25</f>
        <v>3547.7760900140647</v>
      </c>
      <c r="D25" s="43">
        <f>D20/D23</f>
        <v>3547.7760900140647</v>
      </c>
      <c r="E25" s="43">
        <v>0</v>
      </c>
      <c r="F25" s="43">
        <f>G25+H25</f>
        <v>3249.8637517630464</v>
      </c>
      <c r="G25" s="11">
        <f>G20/G23</f>
        <v>3249.8637517630464</v>
      </c>
      <c r="H25" s="43">
        <v>0</v>
      </c>
      <c r="I25" s="43">
        <f>J25+K25</f>
        <v>3428.6067700987305</v>
      </c>
      <c r="J25" s="11">
        <f>J20/J23</f>
        <v>3428.6067700987305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110.9211135113657</v>
      </c>
      <c r="D27" s="82">
        <f>D20/11370553*100</f>
        <v>110.9211135113657</v>
      </c>
      <c r="E27" s="82">
        <v>0</v>
      </c>
      <c r="F27" s="82">
        <f>G27+H27</f>
        <v>91.34516946255192</v>
      </c>
      <c r="G27" s="12">
        <f>G20/D20*100</f>
        <v>91.34516946255192</v>
      </c>
      <c r="H27" s="82">
        <v>0</v>
      </c>
      <c r="I27" s="82">
        <f>J27+K27</f>
        <v>105.50001575415942</v>
      </c>
      <c r="J27" s="12">
        <f>J20/G20*100</f>
        <v>105.50001575415942</v>
      </c>
      <c r="K27" s="82">
        <v>0</v>
      </c>
      <c r="L27" s="29"/>
    </row>
    <row r="28" spans="1:12" ht="22.5" customHeight="1">
      <c r="A28" s="169" t="s">
        <v>27</v>
      </c>
      <c r="B28" s="38" t="s">
        <v>22</v>
      </c>
      <c r="C28" s="39">
        <f>C29+C30</f>
        <v>888869</v>
      </c>
      <c r="D28" s="39">
        <f>D29+D30</f>
        <v>888869</v>
      </c>
      <c r="E28" s="39">
        <f>E29+E30</f>
        <v>0</v>
      </c>
      <c r="F28" s="39">
        <f aca="true" t="shared" si="0" ref="F28:K28">F29+F30</f>
        <v>948424</v>
      </c>
      <c r="G28" s="39">
        <f t="shared" si="0"/>
        <v>948424</v>
      </c>
      <c r="H28" s="39">
        <f t="shared" si="0"/>
        <v>0</v>
      </c>
      <c r="I28" s="39">
        <f>I29+I30</f>
        <v>1000589</v>
      </c>
      <c r="J28" s="39">
        <f>J29+J30</f>
        <v>1000589</v>
      </c>
      <c r="K28" s="39">
        <f t="shared" si="0"/>
        <v>0</v>
      </c>
      <c r="L28" s="83"/>
    </row>
    <row r="29" spans="1:13" ht="22.5" customHeight="1">
      <c r="A29" s="169"/>
      <c r="B29" s="74" t="s">
        <v>124</v>
      </c>
      <c r="C29" s="39">
        <f>D29+E29</f>
        <v>716199</v>
      </c>
      <c r="D29" s="39">
        <v>716199</v>
      </c>
      <c r="E29" s="39">
        <v>0</v>
      </c>
      <c r="F29" s="39">
        <f>G29+H29</f>
        <v>764185</v>
      </c>
      <c r="G29" s="6">
        <v>764185</v>
      </c>
      <c r="H29" s="6">
        <v>0</v>
      </c>
      <c r="I29" s="39">
        <f>J29+K29</f>
        <v>806217</v>
      </c>
      <c r="J29" s="6">
        <v>806217</v>
      </c>
      <c r="K29" s="6">
        <v>0</v>
      </c>
      <c r="L29" s="25"/>
      <c r="M29" s="164"/>
    </row>
    <row r="30" spans="1:13" ht="22.5" customHeight="1">
      <c r="A30" s="169"/>
      <c r="B30" s="74" t="s">
        <v>125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64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207</v>
      </c>
      <c r="B33" s="38"/>
      <c r="C33" s="84">
        <f>D33+E33</f>
        <v>6</v>
      </c>
      <c r="D33" s="84">
        <v>6</v>
      </c>
      <c r="E33" s="84">
        <v>0</v>
      </c>
      <c r="F33" s="84">
        <f>G33+H33</f>
        <v>6</v>
      </c>
      <c r="G33" s="84">
        <v>6</v>
      </c>
      <c r="H33" s="84">
        <v>0</v>
      </c>
      <c r="I33" s="84">
        <f>J33+K33</f>
        <v>6</v>
      </c>
      <c r="J33" s="84">
        <v>6</v>
      </c>
      <c r="K33" s="84">
        <v>0</v>
      </c>
      <c r="L33" s="78"/>
    </row>
    <row r="34" spans="1:12" ht="17.25" customHeight="1">
      <c r="A34" s="77" t="s">
        <v>208</v>
      </c>
      <c r="B34" s="38"/>
      <c r="C34" s="84">
        <f>D34+E34</f>
        <v>321</v>
      </c>
      <c r="D34" s="84">
        <v>321</v>
      </c>
      <c r="E34" s="84">
        <v>0</v>
      </c>
      <c r="F34" s="84">
        <f>G34+H34</f>
        <v>321</v>
      </c>
      <c r="G34" s="84">
        <v>321</v>
      </c>
      <c r="H34" s="84">
        <v>0</v>
      </c>
      <c r="I34" s="84">
        <f>J34+K34</f>
        <v>321</v>
      </c>
      <c r="J34" s="84">
        <v>321</v>
      </c>
      <c r="K34" s="84">
        <v>0</v>
      </c>
      <c r="L34" s="78"/>
    </row>
    <row r="35" spans="1:12" ht="7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61" t="s">
        <v>230</v>
      </c>
      <c r="J36" s="161"/>
      <c r="K36" s="161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209</v>
      </c>
      <c r="B39" s="38"/>
      <c r="C39" s="43">
        <f>D39+E39</f>
        <v>12519.166666666666</v>
      </c>
      <c r="D39" s="43">
        <f>75115/D33</f>
        <v>12519.166666666666</v>
      </c>
      <c r="E39" s="43">
        <v>0</v>
      </c>
      <c r="F39" s="43">
        <f>G39+H39</f>
        <v>13358</v>
      </c>
      <c r="G39" s="11">
        <f>80148/G33</f>
        <v>13358</v>
      </c>
      <c r="H39" s="11">
        <v>0</v>
      </c>
      <c r="I39" s="43">
        <f>J39+K39</f>
        <v>14092.666666666666</v>
      </c>
      <c r="J39" s="11">
        <f>84556/J33</f>
        <v>14092.666666666666</v>
      </c>
      <c r="K39" s="11">
        <v>0</v>
      </c>
      <c r="L39" s="85"/>
    </row>
    <row r="40" spans="1:12" ht="30.75" customHeight="1">
      <c r="A40" s="35" t="s">
        <v>210</v>
      </c>
      <c r="B40" s="38"/>
      <c r="C40" s="43">
        <f>D40+E40</f>
        <v>211.25493250259606</v>
      </c>
      <c r="D40" s="43">
        <f>813754/D34/12</f>
        <v>211.25493250259606</v>
      </c>
      <c r="E40" s="43">
        <v>0</v>
      </c>
      <c r="F40" s="43">
        <f>G40+H40</f>
        <v>225.4091381100727</v>
      </c>
      <c r="G40" s="11">
        <f>868276/G34/12</f>
        <v>225.4091381100727</v>
      </c>
      <c r="H40" s="11">
        <v>0</v>
      </c>
      <c r="I40" s="43">
        <f>J40+K40</f>
        <v>237.80711318795431</v>
      </c>
      <c r="J40" s="11">
        <f>916033/J34/12</f>
        <v>237.80711318795431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138.1029103768015</v>
      </c>
      <c r="D42" s="82">
        <f>D28/568628*100</f>
        <v>156.31819045140233</v>
      </c>
      <c r="E42" s="82">
        <v>0</v>
      </c>
      <c r="F42" s="82">
        <f>F28/C28*100</f>
        <v>106.7000874144559</v>
      </c>
      <c r="G42" s="12">
        <f>G28/D28*100</f>
        <v>106.7000874144559</v>
      </c>
      <c r="H42" s="12">
        <v>0</v>
      </c>
      <c r="I42" s="82">
        <f>I28/F28*100</f>
        <v>105.5001771359645</v>
      </c>
      <c r="J42" s="12">
        <f>J28/G28*100</f>
        <v>105.5001771359645</v>
      </c>
      <c r="K42" s="12">
        <v>0</v>
      </c>
      <c r="L42" s="85"/>
    </row>
    <row r="43" spans="1:12" ht="46.5" customHeight="1">
      <c r="A43" s="9" t="s">
        <v>212</v>
      </c>
      <c r="B43" s="86" t="s">
        <v>124</v>
      </c>
      <c r="C43" s="39">
        <f>D43+E43</f>
        <v>409600</v>
      </c>
      <c r="D43" s="39">
        <f>185500+123900+100200</f>
        <v>409600</v>
      </c>
      <c r="E43" s="39">
        <v>0</v>
      </c>
      <c r="F43" s="39">
        <f>G43+H43</f>
        <v>330130</v>
      </c>
      <c r="G43" s="6">
        <v>330130</v>
      </c>
      <c r="H43" s="39">
        <v>0</v>
      </c>
      <c r="I43" s="39">
        <f>J43+K43</f>
        <v>348287</v>
      </c>
      <c r="J43" s="6">
        <v>348287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744</v>
      </c>
      <c r="D46" s="84">
        <f>465+279</f>
        <v>744</v>
      </c>
      <c r="E46" s="84">
        <v>0</v>
      </c>
      <c r="F46" s="84">
        <f>G46+H46</f>
        <v>744</v>
      </c>
      <c r="G46" s="84">
        <v>744</v>
      </c>
      <c r="H46" s="84">
        <v>0</v>
      </c>
      <c r="I46" s="84">
        <f>J46+K46</f>
        <v>744</v>
      </c>
      <c r="J46" s="84">
        <v>744</v>
      </c>
      <c r="K46" s="84">
        <v>0</v>
      </c>
      <c r="L46" s="78"/>
    </row>
    <row r="47" spans="1:12" ht="29.25" customHeight="1">
      <c r="A47" s="87" t="s">
        <v>213</v>
      </c>
      <c r="B47" s="38"/>
      <c r="C47" s="84">
        <f>+D47</f>
        <v>241</v>
      </c>
      <c r="D47" s="84">
        <v>241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8"/>
    </row>
    <row r="48" spans="1:12" ht="15">
      <c r="A48" s="79" t="s">
        <v>18</v>
      </c>
      <c r="B48" s="38"/>
      <c r="C48" s="88"/>
      <c r="D48" s="88"/>
      <c r="E48" s="88"/>
      <c r="F48" s="88"/>
      <c r="G48" s="88"/>
      <c r="H48" s="88"/>
      <c r="I48" s="88"/>
      <c r="J48" s="88"/>
      <c r="K48" s="88"/>
      <c r="L48" s="29"/>
    </row>
    <row r="49" spans="1:12" ht="18" customHeight="1">
      <c r="A49" s="81" t="s">
        <v>15</v>
      </c>
      <c r="B49" s="38"/>
      <c r="C49" s="43">
        <f>D49+E49</f>
        <v>415.86021505376345</v>
      </c>
      <c r="D49" s="43">
        <f>309400/D46</f>
        <v>415.86021505376345</v>
      </c>
      <c r="E49" s="43">
        <v>0</v>
      </c>
      <c r="F49" s="43">
        <f>G49+H49</f>
        <v>443.7231182795699</v>
      </c>
      <c r="G49" s="11">
        <f>G43/G46</f>
        <v>443.7231182795699</v>
      </c>
      <c r="H49" s="43">
        <v>0</v>
      </c>
      <c r="I49" s="43">
        <f>J49+K49</f>
        <v>468.127688172043</v>
      </c>
      <c r="J49" s="11">
        <f>J43/J46</f>
        <v>468.127688172043</v>
      </c>
      <c r="K49" s="43">
        <v>0</v>
      </c>
      <c r="L49" s="29"/>
    </row>
    <row r="50" spans="1:12" ht="32.25" customHeight="1">
      <c r="A50" s="81" t="s">
        <v>214</v>
      </c>
      <c r="B50" s="38"/>
      <c r="C50" s="43">
        <f>+D50</f>
        <v>415.76763485477176</v>
      </c>
      <c r="D50" s="43">
        <f>100200/D47</f>
        <v>415.76763485477176</v>
      </c>
      <c r="E50" s="43">
        <v>0</v>
      </c>
      <c r="F50" s="43">
        <v>0</v>
      </c>
      <c r="G50" s="11">
        <v>0</v>
      </c>
      <c r="H50" s="43">
        <v>0</v>
      </c>
      <c r="I50" s="43">
        <v>0</v>
      </c>
      <c r="J50" s="11">
        <v>0</v>
      </c>
      <c r="K50" s="43">
        <v>0</v>
      </c>
      <c r="L50" s="29"/>
    </row>
    <row r="51" spans="1:12" ht="18" customHeight="1">
      <c r="A51" s="4" t="s">
        <v>17</v>
      </c>
      <c r="B51" s="38"/>
      <c r="C51" s="43"/>
      <c r="D51" s="43"/>
      <c r="E51" s="43"/>
      <c r="F51" s="43"/>
      <c r="G51" s="11"/>
      <c r="H51" s="43"/>
      <c r="I51" s="43"/>
      <c r="J51" s="11"/>
      <c r="K51" s="43"/>
      <c r="L51" s="29"/>
    </row>
    <row r="52" spans="1:12" ht="33" customHeight="1">
      <c r="A52" s="35" t="s">
        <v>30</v>
      </c>
      <c r="B52" s="38"/>
      <c r="C52" s="82">
        <f>D52+E52</f>
        <v>235.4022988505747</v>
      </c>
      <c r="D52" s="82">
        <f>D43/174000*100</f>
        <v>235.4022988505747</v>
      </c>
      <c r="E52" s="82">
        <v>0</v>
      </c>
      <c r="F52" s="82">
        <f>F43/C43*100</f>
        <v>80.59814453125</v>
      </c>
      <c r="G52" s="12">
        <f>G43/D43*100</f>
        <v>80.59814453125</v>
      </c>
      <c r="H52" s="82">
        <v>0</v>
      </c>
      <c r="I52" s="82">
        <f>I43/F43*100</f>
        <v>105.49995456335384</v>
      </c>
      <c r="J52" s="12">
        <f>J43/G43*100</f>
        <v>105.49995456335384</v>
      </c>
      <c r="K52" s="82">
        <v>0</v>
      </c>
      <c r="L52" s="29"/>
    </row>
    <row r="53" spans="1:12" ht="48" customHeight="1">
      <c r="A53" s="89" t="s">
        <v>148</v>
      </c>
      <c r="B53" s="86" t="s">
        <v>124</v>
      </c>
      <c r="C53" s="39">
        <f>D53+E53</f>
        <v>68552</v>
      </c>
      <c r="D53" s="39">
        <v>68552</v>
      </c>
      <c r="E53" s="39">
        <v>0</v>
      </c>
      <c r="F53" s="39">
        <f>G53+H53</f>
        <v>73145</v>
      </c>
      <c r="G53" s="6">
        <v>73145</v>
      </c>
      <c r="H53" s="39">
        <v>0</v>
      </c>
      <c r="I53" s="39">
        <f>J53+K53</f>
        <v>77168</v>
      </c>
      <c r="J53" s="6">
        <v>77168</v>
      </c>
      <c r="K53" s="39">
        <v>0</v>
      </c>
      <c r="L53" s="83"/>
    </row>
    <row r="54" spans="1:12" ht="19.5" customHeight="1">
      <c r="A54" s="3" t="s">
        <v>5</v>
      </c>
      <c r="B54" s="38"/>
      <c r="C54" s="88"/>
      <c r="D54" s="88"/>
      <c r="E54" s="88"/>
      <c r="F54" s="88"/>
      <c r="G54" s="88"/>
      <c r="H54" s="88"/>
      <c r="I54" s="88"/>
      <c r="J54" s="88"/>
      <c r="K54" s="88"/>
      <c r="L54" s="29"/>
    </row>
    <row r="55" spans="1:12" ht="16.5">
      <c r="A55" s="4" t="s">
        <v>33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76"/>
    </row>
    <row r="56" spans="1:12" ht="30">
      <c r="A56" s="81" t="s">
        <v>73</v>
      </c>
      <c r="B56" s="38"/>
      <c r="C56" s="84">
        <f>+D56+E56</f>
        <v>2</v>
      </c>
      <c r="D56" s="84">
        <v>2</v>
      </c>
      <c r="E56" s="84">
        <v>0</v>
      </c>
      <c r="F56" s="84">
        <f>G56+H56</f>
        <v>2</v>
      </c>
      <c r="G56" s="84">
        <v>2</v>
      </c>
      <c r="H56" s="84">
        <v>0</v>
      </c>
      <c r="I56" s="84">
        <f>J56+K56</f>
        <v>2</v>
      </c>
      <c r="J56" s="84">
        <v>2</v>
      </c>
      <c r="K56" s="84">
        <v>0</v>
      </c>
      <c r="L56" s="76"/>
    </row>
    <row r="57" spans="1:12" ht="15" customHeight="1">
      <c r="A57" s="79" t="s">
        <v>18</v>
      </c>
      <c r="B57" s="38"/>
      <c r="C57" s="88"/>
      <c r="D57" s="88"/>
      <c r="E57" s="88"/>
      <c r="F57" s="88"/>
      <c r="G57" s="88"/>
      <c r="H57" s="88"/>
      <c r="I57" s="88"/>
      <c r="J57" s="88"/>
      <c r="K57" s="88"/>
      <c r="L57" s="29"/>
    </row>
    <row r="58" spans="1:12" ht="29.25" customHeight="1">
      <c r="A58" s="81" t="s">
        <v>72</v>
      </c>
      <c r="B58" s="38"/>
      <c r="C58" s="43">
        <f>D58+E58</f>
        <v>34276</v>
      </c>
      <c r="D58" s="11">
        <f>+D53/D56</f>
        <v>34276</v>
      </c>
      <c r="E58" s="43">
        <v>0</v>
      </c>
      <c r="F58" s="43">
        <f>G58+H58</f>
        <v>36572.5</v>
      </c>
      <c r="G58" s="11">
        <f>+G53/G56</f>
        <v>36572.5</v>
      </c>
      <c r="H58" s="43">
        <v>0</v>
      </c>
      <c r="I58" s="43">
        <f>J58+K58</f>
        <v>38584</v>
      </c>
      <c r="J58" s="11">
        <f>+J53/J56</f>
        <v>38584</v>
      </c>
      <c r="K58" s="43">
        <v>0</v>
      </c>
      <c r="L58" s="29"/>
    </row>
    <row r="59" spans="1:12" ht="19.5" customHeight="1">
      <c r="A59" s="4" t="s">
        <v>17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29"/>
    </row>
    <row r="60" spans="1:12" ht="29.25" customHeight="1">
      <c r="A60" s="81" t="s">
        <v>30</v>
      </c>
      <c r="B60" s="38"/>
      <c r="C60" s="12">
        <f>C53/16124*100</f>
        <v>425.155048375093</v>
      </c>
      <c r="D60" s="12">
        <f>D53/16124*100</f>
        <v>425.155048375093</v>
      </c>
      <c r="E60" s="82">
        <v>0</v>
      </c>
      <c r="F60" s="12">
        <f>F53/C53*100</f>
        <v>106.70002333994633</v>
      </c>
      <c r="G60" s="12">
        <f>G53/D53*100</f>
        <v>106.70002333994633</v>
      </c>
      <c r="H60" s="82">
        <v>0</v>
      </c>
      <c r="I60" s="82">
        <f>+J60+K60</f>
        <v>105.50003417868616</v>
      </c>
      <c r="J60" s="12">
        <f>J53/G53*100</f>
        <v>105.50003417868616</v>
      </c>
      <c r="K60" s="82">
        <v>0</v>
      </c>
      <c r="L60" s="29"/>
    </row>
    <row r="61" spans="1:12" ht="57.75" customHeight="1">
      <c r="A61" s="9" t="s">
        <v>149</v>
      </c>
      <c r="B61" s="86" t="s">
        <v>124</v>
      </c>
      <c r="C61" s="39">
        <f>D61+E61</f>
        <v>18560</v>
      </c>
      <c r="D61" s="39">
        <v>18560</v>
      </c>
      <c r="E61" s="39">
        <v>0</v>
      </c>
      <c r="F61" s="39">
        <f>G61+H61</f>
        <v>19804</v>
      </c>
      <c r="G61" s="6">
        <v>19804</v>
      </c>
      <c r="H61" s="39">
        <v>0</v>
      </c>
      <c r="I61" s="39">
        <f>J61+K61</f>
        <v>20893</v>
      </c>
      <c r="J61" s="6">
        <v>20893</v>
      </c>
      <c r="K61" s="39">
        <v>0</v>
      </c>
      <c r="L61" s="83"/>
    </row>
    <row r="62" spans="1:12" ht="15">
      <c r="A62" s="3" t="s">
        <v>5</v>
      </c>
      <c r="B62" s="38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15">
      <c r="A63" s="31" t="s">
        <v>6</v>
      </c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45.75" customHeight="1">
      <c r="A64" s="87" t="s">
        <v>90</v>
      </c>
      <c r="B64" s="38"/>
      <c r="C64" s="84">
        <f>D64+E64</f>
        <v>232</v>
      </c>
      <c r="D64" s="84">
        <v>232</v>
      </c>
      <c r="E64" s="84">
        <v>0</v>
      </c>
      <c r="F64" s="84">
        <f>G64+H64</f>
        <v>232</v>
      </c>
      <c r="G64" s="84">
        <v>232</v>
      </c>
      <c r="H64" s="84">
        <v>0</v>
      </c>
      <c r="I64" s="84">
        <f>J64+K64</f>
        <v>232</v>
      </c>
      <c r="J64" s="84">
        <v>232</v>
      </c>
      <c r="K64" s="84">
        <v>0</v>
      </c>
      <c r="L64" s="78"/>
    </row>
    <row r="65" spans="1:12" ht="15">
      <c r="A65" s="79" t="s">
        <v>18</v>
      </c>
      <c r="B65" s="38"/>
      <c r="C65" s="88"/>
      <c r="D65" s="88"/>
      <c r="E65" s="88"/>
      <c r="F65" s="88"/>
      <c r="G65" s="88"/>
      <c r="H65" s="88"/>
      <c r="I65" s="88"/>
      <c r="J65" s="88"/>
      <c r="K65" s="88"/>
      <c r="L65" s="29"/>
    </row>
    <row r="66" spans="1:12" ht="18" customHeight="1">
      <c r="A66" s="81" t="s">
        <v>78</v>
      </c>
      <c r="B66" s="38"/>
      <c r="C66" s="43">
        <f>D66+E66</f>
        <v>80</v>
      </c>
      <c r="D66" s="11">
        <f>D61/D64</f>
        <v>80</v>
      </c>
      <c r="E66" s="43">
        <v>0</v>
      </c>
      <c r="F66" s="43">
        <f>G66+H66</f>
        <v>85.36206896551724</v>
      </c>
      <c r="G66" s="11">
        <f>G61/G64</f>
        <v>85.36206896551724</v>
      </c>
      <c r="H66" s="43">
        <v>0</v>
      </c>
      <c r="I66" s="43">
        <f>J66+K66</f>
        <v>90.05603448275862</v>
      </c>
      <c r="J66" s="11">
        <f>+J61/J64</f>
        <v>90.05603448275862</v>
      </c>
      <c r="K66" s="43">
        <v>0</v>
      </c>
      <c r="L66" s="29"/>
    </row>
    <row r="67" spans="1:12" ht="18" customHeight="1">
      <c r="A67" s="4" t="s">
        <v>17</v>
      </c>
      <c r="B67" s="38"/>
      <c r="C67" s="43"/>
      <c r="D67" s="43"/>
      <c r="E67" s="43"/>
      <c r="F67" s="43"/>
      <c r="G67" s="11"/>
      <c r="H67" s="43"/>
      <c r="I67" s="43"/>
      <c r="J67" s="11"/>
      <c r="K67" s="43"/>
      <c r="L67" s="29"/>
    </row>
    <row r="68" spans="1:12" ht="21" customHeight="1">
      <c r="A68" s="35" t="s">
        <v>44</v>
      </c>
      <c r="B68" s="38"/>
      <c r="C68" s="82">
        <f>D68+E68</f>
        <v>91.42857142857143</v>
      </c>
      <c r="D68" s="82">
        <f>D61/20300*100</f>
        <v>91.42857142857143</v>
      </c>
      <c r="E68" s="82">
        <v>0</v>
      </c>
      <c r="F68" s="82">
        <f>F61/C61*100</f>
        <v>106.70258620689654</v>
      </c>
      <c r="G68" s="12">
        <f>G61/D61*100</f>
        <v>106.70258620689654</v>
      </c>
      <c r="H68" s="82">
        <v>0</v>
      </c>
      <c r="I68" s="82">
        <f>I61/F61*100</f>
        <v>105.49888911331044</v>
      </c>
      <c r="J68" s="12">
        <f>J61/G61*100</f>
        <v>105.49888911331044</v>
      </c>
      <c r="K68" s="82">
        <v>0</v>
      </c>
      <c r="L68" s="29"/>
    </row>
    <row r="69" spans="1:12" ht="7.5" customHeight="1">
      <c r="A69" s="28"/>
      <c r="B69" s="1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9.5" customHeight="1">
      <c r="A70" s="18"/>
      <c r="B70" s="19"/>
      <c r="C70" s="20"/>
      <c r="D70" s="20"/>
      <c r="E70" s="20"/>
      <c r="F70" s="20"/>
      <c r="G70" s="20"/>
      <c r="H70" s="20"/>
      <c r="I70" s="161" t="s">
        <v>230</v>
      </c>
      <c r="J70" s="161"/>
      <c r="K70" s="161"/>
      <c r="L70" s="20"/>
    </row>
    <row r="71" spans="1:12" ht="14.25">
      <c r="A71" s="21">
        <v>1</v>
      </c>
      <c r="B71" s="22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  <c r="J71" s="23">
        <v>10</v>
      </c>
      <c r="K71" s="23">
        <v>11</v>
      </c>
      <c r="L71" s="30"/>
    </row>
    <row r="72" spans="1:11" s="154" customFormat="1" ht="78.75" customHeight="1">
      <c r="A72" s="5" t="s">
        <v>223</v>
      </c>
      <c r="B72" s="86" t="s">
        <v>124</v>
      </c>
      <c r="C72" s="119">
        <f>D72+E72</f>
        <v>232600</v>
      </c>
      <c r="D72" s="119">
        <f>+D74+D75</f>
        <v>190600</v>
      </c>
      <c r="E72" s="119">
        <f>+E74+E75</f>
        <v>42000</v>
      </c>
      <c r="F72" s="121">
        <f>+G72+H72</f>
        <v>248184</v>
      </c>
      <c r="G72" s="119">
        <f>+G74+G75</f>
        <v>203370</v>
      </c>
      <c r="H72" s="119">
        <f>+H74+H75</f>
        <v>44814</v>
      </c>
      <c r="I72" s="119">
        <f>J72+K72</f>
        <v>261834</v>
      </c>
      <c r="J72" s="119">
        <f>+J74+J75</f>
        <v>214555</v>
      </c>
      <c r="K72" s="119">
        <f>+K74+K75</f>
        <v>47279</v>
      </c>
    </row>
    <row r="73" spans="1:11" s="154" customFormat="1" ht="21" customHeight="1">
      <c r="A73" s="4" t="s">
        <v>33</v>
      </c>
      <c r="B73" s="153"/>
      <c r="C73" s="119"/>
      <c r="D73" s="119"/>
      <c r="E73" s="119"/>
      <c r="F73" s="121"/>
      <c r="G73" s="119"/>
      <c r="H73" s="119"/>
      <c r="I73" s="119"/>
      <c r="J73" s="119"/>
      <c r="K73" s="119"/>
    </row>
    <row r="74" spans="1:11" s="154" customFormat="1" ht="21" customHeight="1">
      <c r="A74" s="157" t="s">
        <v>226</v>
      </c>
      <c r="B74" s="153"/>
      <c r="C74" s="65">
        <f>+D74+E74</f>
        <v>190600</v>
      </c>
      <c r="D74" s="65">
        <v>190600</v>
      </c>
      <c r="E74" s="65">
        <v>0</v>
      </c>
      <c r="F74" s="65">
        <f>+G74+H74</f>
        <v>203370</v>
      </c>
      <c r="G74" s="65">
        <v>203370</v>
      </c>
      <c r="H74" s="65">
        <v>0</v>
      </c>
      <c r="I74" s="65">
        <f>+J74+K74</f>
        <v>214555</v>
      </c>
      <c r="J74" s="65">
        <v>214555</v>
      </c>
      <c r="K74" s="65">
        <v>0</v>
      </c>
    </row>
    <row r="75" spans="1:11" s="154" customFormat="1" ht="34.5" customHeight="1">
      <c r="A75" s="35" t="s">
        <v>227</v>
      </c>
      <c r="B75" s="153"/>
      <c r="C75" s="65">
        <f>+D75+E75</f>
        <v>42000</v>
      </c>
      <c r="D75" s="65">
        <v>0</v>
      </c>
      <c r="E75" s="65">
        <v>42000</v>
      </c>
      <c r="F75" s="65">
        <f>+G75+H75</f>
        <v>44814</v>
      </c>
      <c r="G75" s="65">
        <v>0</v>
      </c>
      <c r="H75" s="65">
        <v>44814</v>
      </c>
      <c r="I75" s="65">
        <f>+J75+K75</f>
        <v>47279</v>
      </c>
      <c r="J75" s="65">
        <v>0</v>
      </c>
      <c r="K75" s="65">
        <v>47279</v>
      </c>
    </row>
    <row r="76" spans="1:14" ht="21.75" customHeight="1">
      <c r="A76" s="4" t="s">
        <v>63</v>
      </c>
      <c r="B76" s="38"/>
      <c r="C76" s="82"/>
      <c r="D76" s="82"/>
      <c r="E76" s="82"/>
      <c r="F76" s="82"/>
      <c r="G76" s="12"/>
      <c r="H76" s="82"/>
      <c r="I76" s="82"/>
      <c r="J76" s="12"/>
      <c r="K76" s="82"/>
      <c r="N76" s="26"/>
    </row>
    <row r="77" spans="1:14" ht="20.25" customHeight="1">
      <c r="A77" s="92" t="s">
        <v>224</v>
      </c>
      <c r="B77" s="38"/>
      <c r="C77" s="40">
        <f>+D77</f>
        <v>4</v>
      </c>
      <c r="D77" s="40">
        <v>4</v>
      </c>
      <c r="E77" s="40">
        <v>0</v>
      </c>
      <c r="F77" s="40">
        <f>+G77</f>
        <v>4</v>
      </c>
      <c r="G77" s="24">
        <v>4</v>
      </c>
      <c r="H77" s="40">
        <v>0</v>
      </c>
      <c r="I77" s="40">
        <f>J77+K77</f>
        <v>4</v>
      </c>
      <c r="J77" s="24">
        <v>4</v>
      </c>
      <c r="K77" s="40">
        <v>0</v>
      </c>
      <c r="N77" s="26"/>
    </row>
    <row r="78" spans="1:14" ht="20.25" customHeight="1">
      <c r="A78" s="4" t="s">
        <v>66</v>
      </c>
      <c r="B78" s="38"/>
      <c r="C78" s="82"/>
      <c r="D78" s="82"/>
      <c r="E78" s="82"/>
      <c r="F78" s="82"/>
      <c r="G78" s="12"/>
      <c r="H78" s="82"/>
      <c r="I78" s="82"/>
      <c r="J78" s="12"/>
      <c r="K78" s="82"/>
      <c r="N78" s="26"/>
    </row>
    <row r="79" spans="1:14" ht="32.25" customHeight="1">
      <c r="A79" s="157" t="s">
        <v>228</v>
      </c>
      <c r="B79" s="38"/>
      <c r="C79" s="43">
        <f>+D79+E79</f>
        <v>47650</v>
      </c>
      <c r="D79" s="43">
        <f>+D74/D77</f>
        <v>47650</v>
      </c>
      <c r="E79" s="43">
        <v>0</v>
      </c>
      <c r="F79" s="43">
        <f>+G79+H79</f>
        <v>50842.5</v>
      </c>
      <c r="G79" s="43">
        <f>+G74/G77</f>
        <v>50842.5</v>
      </c>
      <c r="H79" s="43">
        <v>0</v>
      </c>
      <c r="I79" s="43">
        <f>+J79+K79</f>
        <v>53638.75</v>
      </c>
      <c r="J79" s="43">
        <f>+J74/J77</f>
        <v>53638.75</v>
      </c>
      <c r="K79" s="43">
        <v>0</v>
      </c>
      <c r="N79" s="26"/>
    </row>
    <row r="80" spans="1:14" ht="52.5" customHeight="1">
      <c r="A80" s="157" t="s">
        <v>229</v>
      </c>
      <c r="B80" s="38"/>
      <c r="C80" s="82">
        <f>+D80+E80</f>
        <v>10500</v>
      </c>
      <c r="D80" s="82">
        <v>0</v>
      </c>
      <c r="E80" s="82">
        <f>+E75/D77</f>
        <v>10500</v>
      </c>
      <c r="F80" s="82">
        <f>+G80+H80</f>
        <v>11203.5</v>
      </c>
      <c r="G80" s="82">
        <v>0</v>
      </c>
      <c r="H80" s="82">
        <f>+H75/G77</f>
        <v>11203.5</v>
      </c>
      <c r="I80" s="82">
        <f>+J80+K80</f>
        <v>11819.75</v>
      </c>
      <c r="J80" s="82">
        <v>0</v>
      </c>
      <c r="K80" s="82">
        <f>+K75/J77</f>
        <v>11819.75</v>
      </c>
      <c r="N80" s="26"/>
    </row>
    <row r="81" spans="1:11" s="154" customFormat="1" ht="18.75" customHeight="1">
      <c r="A81" s="4" t="s">
        <v>69</v>
      </c>
      <c r="B81" s="153"/>
      <c r="C81" s="155"/>
      <c r="D81" s="155"/>
      <c r="E81" s="155"/>
      <c r="F81" s="155"/>
      <c r="G81" s="156"/>
      <c r="H81" s="155"/>
      <c r="I81" s="155"/>
      <c r="J81" s="156"/>
      <c r="K81" s="155"/>
    </row>
    <row r="82" spans="1:11" s="154" customFormat="1" ht="23.25" customHeight="1">
      <c r="A82" s="35" t="s">
        <v>44</v>
      </c>
      <c r="B82" s="153"/>
      <c r="C82" s="82">
        <f>+E82</f>
        <v>0</v>
      </c>
      <c r="D82" s="82">
        <v>0</v>
      </c>
      <c r="E82" s="82">
        <v>0</v>
      </c>
      <c r="F82" s="12">
        <f aca="true" t="shared" si="1" ref="F82:K82">F72/C72*100</f>
        <v>106.6999140154772</v>
      </c>
      <c r="G82" s="12">
        <f t="shared" si="1"/>
        <v>106.69989506820568</v>
      </c>
      <c r="H82" s="12">
        <f t="shared" si="1"/>
        <v>106.69999999999999</v>
      </c>
      <c r="I82" s="12">
        <f t="shared" si="1"/>
        <v>105.49995164877673</v>
      </c>
      <c r="J82" s="12">
        <f t="shared" si="1"/>
        <v>105.4998278998869</v>
      </c>
      <c r="K82" s="12">
        <f t="shared" si="1"/>
        <v>105.500513232472</v>
      </c>
    </row>
    <row r="83" spans="1:12" ht="15.75" customHeight="1">
      <c r="A83" s="90" t="s">
        <v>126</v>
      </c>
      <c r="B83" s="86" t="s">
        <v>127</v>
      </c>
      <c r="C83" s="88"/>
      <c r="D83" s="88"/>
      <c r="E83" s="88"/>
      <c r="F83" s="88"/>
      <c r="G83" s="88"/>
      <c r="H83" s="88"/>
      <c r="I83" s="88"/>
      <c r="J83" s="88"/>
      <c r="K83" s="88"/>
      <c r="L83" s="29"/>
    </row>
    <row r="84" spans="1:12" ht="18.75" customHeight="1">
      <c r="A84" s="4" t="s">
        <v>76</v>
      </c>
      <c r="B84" s="38"/>
      <c r="C84" s="88"/>
      <c r="D84" s="88"/>
      <c r="E84" s="88"/>
      <c r="F84" s="88"/>
      <c r="G84" s="88"/>
      <c r="H84" s="88"/>
      <c r="I84" s="88"/>
      <c r="J84" s="88"/>
      <c r="K84" s="88"/>
      <c r="L84" s="29"/>
    </row>
    <row r="85" spans="1:12" ht="18.75" customHeight="1">
      <c r="A85" s="166" t="s">
        <v>135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40"/>
    </row>
    <row r="86" spans="1:12" ht="21.75" customHeight="1">
      <c r="A86" s="167" t="s">
        <v>136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49"/>
    </row>
    <row r="87" spans="1:12" ht="45.75" customHeight="1">
      <c r="A87" s="31" t="s">
        <v>137</v>
      </c>
      <c r="B87" s="38"/>
      <c r="C87" s="39">
        <f>E87+D87</f>
        <v>1385920</v>
      </c>
      <c r="D87" s="39">
        <v>1385920</v>
      </c>
      <c r="E87" s="39">
        <v>0</v>
      </c>
      <c r="F87" s="39">
        <f>H87+G87</f>
        <v>1478776</v>
      </c>
      <c r="G87" s="6">
        <v>1478776</v>
      </c>
      <c r="H87" s="6">
        <f>E87*1.05</f>
        <v>0</v>
      </c>
      <c r="I87" s="39">
        <f>K87+J87</f>
        <v>1560109</v>
      </c>
      <c r="J87" s="6">
        <v>1560109</v>
      </c>
      <c r="K87" s="6">
        <f>H87*1.043</f>
        <v>0</v>
      </c>
      <c r="L87" s="103"/>
    </row>
    <row r="88" spans="1:12" ht="16.5">
      <c r="A88" s="81" t="s">
        <v>5</v>
      </c>
      <c r="B88" s="38"/>
      <c r="C88" s="80"/>
      <c r="D88" s="80"/>
      <c r="E88" s="80"/>
      <c r="F88" s="80"/>
      <c r="G88" s="80"/>
      <c r="H88" s="80"/>
      <c r="I88" s="80"/>
      <c r="J88" s="80"/>
      <c r="K88" s="80"/>
      <c r="L88" s="76"/>
    </row>
    <row r="89" spans="1:12" ht="16.5">
      <c r="A89" s="4" t="s">
        <v>33</v>
      </c>
      <c r="B89" s="38"/>
      <c r="C89" s="80"/>
      <c r="D89" s="80"/>
      <c r="E89" s="80"/>
      <c r="F89" s="80"/>
      <c r="G89" s="80"/>
      <c r="H89" s="80"/>
      <c r="I89" s="80"/>
      <c r="J89" s="80"/>
      <c r="K89" s="80"/>
      <c r="L89" s="76"/>
    </row>
    <row r="90" spans="1:12" ht="30">
      <c r="A90" s="35" t="s">
        <v>170</v>
      </c>
      <c r="B90" s="38"/>
      <c r="C90" s="84">
        <f>D90+E90</f>
        <v>3</v>
      </c>
      <c r="D90" s="84">
        <v>3</v>
      </c>
      <c r="E90" s="84">
        <v>0</v>
      </c>
      <c r="F90" s="84">
        <f>G90+H90</f>
        <v>3</v>
      </c>
      <c r="G90" s="84">
        <v>3</v>
      </c>
      <c r="H90" s="84">
        <v>0</v>
      </c>
      <c r="I90" s="84">
        <f>J90+K90</f>
        <v>3</v>
      </c>
      <c r="J90" s="84">
        <v>3</v>
      </c>
      <c r="K90" s="84">
        <v>0</v>
      </c>
      <c r="L90" s="76"/>
    </row>
    <row r="91" spans="1:12" ht="30">
      <c r="A91" s="35" t="s">
        <v>171</v>
      </c>
      <c r="B91" s="38"/>
      <c r="C91" s="84">
        <f>+D91</f>
        <v>1</v>
      </c>
      <c r="D91" s="84">
        <v>1</v>
      </c>
      <c r="E91" s="84">
        <v>0</v>
      </c>
      <c r="F91" s="84">
        <f>+G91</f>
        <v>1</v>
      </c>
      <c r="G91" s="84">
        <v>1</v>
      </c>
      <c r="H91" s="84">
        <v>0</v>
      </c>
      <c r="I91" s="84">
        <f>+J91</f>
        <v>1</v>
      </c>
      <c r="J91" s="84">
        <v>1</v>
      </c>
      <c r="K91" s="84">
        <v>0</v>
      </c>
      <c r="L91" s="76"/>
    </row>
    <row r="92" spans="1:12" ht="15.75" customHeight="1">
      <c r="A92" s="35" t="s">
        <v>172</v>
      </c>
      <c r="B92" s="38"/>
      <c r="C92" s="84">
        <f>+D92+E92</f>
        <v>1176</v>
      </c>
      <c r="D92" s="84">
        <f>1143+33</f>
        <v>1176</v>
      </c>
      <c r="E92" s="84">
        <v>0</v>
      </c>
      <c r="F92" s="84">
        <f>+G92+H92</f>
        <v>1176</v>
      </c>
      <c r="G92" s="84">
        <f>1143+33</f>
        <v>1176</v>
      </c>
      <c r="H92" s="84">
        <v>0</v>
      </c>
      <c r="I92" s="84">
        <f>+J92+K92</f>
        <v>1176</v>
      </c>
      <c r="J92" s="84">
        <f>1143+33</f>
        <v>1176</v>
      </c>
      <c r="K92" s="84">
        <v>0</v>
      </c>
      <c r="L92" s="76"/>
    </row>
    <row r="93" spans="1:12" ht="16.5">
      <c r="A93" s="91" t="s">
        <v>6</v>
      </c>
      <c r="B93" s="38"/>
      <c r="C93" s="80"/>
      <c r="D93" s="80"/>
      <c r="E93" s="80"/>
      <c r="F93" s="80"/>
      <c r="G93" s="80"/>
      <c r="H93" s="80"/>
      <c r="I93" s="80"/>
      <c r="J93" s="80"/>
      <c r="K93" s="80"/>
      <c r="L93" s="76"/>
    </row>
    <row r="94" spans="1:12" ht="30" customHeight="1">
      <c r="A94" s="92" t="s">
        <v>174</v>
      </c>
      <c r="B94" s="38"/>
      <c r="C94" s="40">
        <f>D94+E94</f>
        <v>73916</v>
      </c>
      <c r="D94" s="40">
        <f>886992/1/12</f>
        <v>73916</v>
      </c>
      <c r="E94" s="84">
        <v>0</v>
      </c>
      <c r="F94" s="40">
        <f>G94+H94</f>
        <v>78868.33333333333</v>
      </c>
      <c r="G94" s="40">
        <f>946420/12</f>
        <v>78868.33333333333</v>
      </c>
      <c r="H94" s="40">
        <v>0</v>
      </c>
      <c r="I94" s="40">
        <f>J94+K94</f>
        <v>83206.08333333333</v>
      </c>
      <c r="J94" s="40">
        <f>998473/12</f>
        <v>83206.08333333333</v>
      </c>
      <c r="K94" s="84">
        <v>0</v>
      </c>
      <c r="L94" s="78"/>
    </row>
    <row r="95" spans="1:12" ht="30">
      <c r="A95" s="92" t="s">
        <v>173</v>
      </c>
      <c r="B95" s="38"/>
      <c r="C95" s="40">
        <f>+D95</f>
        <v>13859.111111111111</v>
      </c>
      <c r="D95" s="40">
        <f>498928/3/12</f>
        <v>13859.111111111111</v>
      </c>
      <c r="E95" s="40">
        <v>0</v>
      </c>
      <c r="F95" s="40">
        <f>+G95</f>
        <v>14787.666666666666</v>
      </c>
      <c r="G95" s="40">
        <f>532356/3/12</f>
        <v>14787.666666666666</v>
      </c>
      <c r="H95" s="40">
        <v>0</v>
      </c>
      <c r="I95" s="40">
        <f>+J95</f>
        <v>15601</v>
      </c>
      <c r="J95" s="40">
        <f>561636/3/12</f>
        <v>15601</v>
      </c>
      <c r="K95" s="40">
        <v>0</v>
      </c>
      <c r="L95" s="76"/>
    </row>
    <row r="96" spans="1:12" ht="16.5">
      <c r="A96" s="4" t="s">
        <v>18</v>
      </c>
      <c r="B96" s="38"/>
      <c r="C96" s="80"/>
      <c r="D96" s="80"/>
      <c r="E96" s="80"/>
      <c r="F96" s="80"/>
      <c r="G96" s="80"/>
      <c r="H96" s="80"/>
      <c r="I96" s="80"/>
      <c r="J96" s="80"/>
      <c r="K96" s="80"/>
      <c r="L96" s="76"/>
    </row>
    <row r="97" spans="1:12" ht="6.75" customHeight="1">
      <c r="A97" s="28"/>
      <c r="B97" s="1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26.25" customHeight="1">
      <c r="A98" s="18"/>
      <c r="B98" s="19"/>
      <c r="C98" s="20"/>
      <c r="D98" s="20"/>
      <c r="E98" s="20"/>
      <c r="F98" s="20"/>
      <c r="G98" s="20"/>
      <c r="H98" s="20"/>
      <c r="I98" s="161" t="s">
        <v>230</v>
      </c>
      <c r="J98" s="161"/>
      <c r="K98" s="161"/>
      <c r="L98" s="20"/>
    </row>
    <row r="99" spans="1:12" ht="14.25">
      <c r="A99" s="21">
        <v>1</v>
      </c>
      <c r="B99" s="22">
        <v>2</v>
      </c>
      <c r="C99" s="23">
        <v>3</v>
      </c>
      <c r="D99" s="23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J99" s="23">
        <v>10</v>
      </c>
      <c r="K99" s="23">
        <v>11</v>
      </c>
      <c r="L99" s="30"/>
    </row>
    <row r="100" spans="1:12" ht="64.5" customHeight="1">
      <c r="A100" s="7" t="s">
        <v>175</v>
      </c>
      <c r="B100" s="38"/>
      <c r="C100" s="43">
        <f>D100+E100</f>
        <v>100</v>
      </c>
      <c r="D100" s="43">
        <v>100</v>
      </c>
      <c r="E100" s="43">
        <v>0</v>
      </c>
      <c r="F100" s="43">
        <f>G100+H100</f>
        <v>100</v>
      </c>
      <c r="G100" s="11">
        <v>100</v>
      </c>
      <c r="H100" s="43">
        <v>0</v>
      </c>
      <c r="I100" s="43">
        <f>J100+K100</f>
        <v>100</v>
      </c>
      <c r="J100" s="11">
        <v>100</v>
      </c>
      <c r="K100" s="43">
        <v>0</v>
      </c>
      <c r="L100" s="25"/>
    </row>
    <row r="101" spans="1:12" ht="17.25" customHeight="1">
      <c r="A101" s="4" t="s">
        <v>17</v>
      </c>
      <c r="B101" s="38"/>
      <c r="C101" s="80"/>
      <c r="D101" s="80"/>
      <c r="E101" s="80"/>
      <c r="F101" s="80"/>
      <c r="G101" s="80"/>
      <c r="H101" s="80"/>
      <c r="I101" s="80"/>
      <c r="J101" s="80"/>
      <c r="K101" s="80"/>
      <c r="L101" s="76"/>
    </row>
    <row r="102" spans="1:13" ht="49.5" customHeight="1">
      <c r="A102" s="35" t="s">
        <v>138</v>
      </c>
      <c r="B102" s="38"/>
      <c r="C102" s="82">
        <f>D102+E102</f>
        <v>100</v>
      </c>
      <c r="D102" s="82">
        <v>100</v>
      </c>
      <c r="E102" s="82">
        <v>0</v>
      </c>
      <c r="F102" s="82">
        <f>G102+H102</f>
        <v>100</v>
      </c>
      <c r="G102" s="82">
        <v>100</v>
      </c>
      <c r="H102" s="82">
        <v>0</v>
      </c>
      <c r="I102" s="82">
        <f>J102+K102</f>
        <v>100</v>
      </c>
      <c r="J102" s="82">
        <v>100</v>
      </c>
      <c r="K102" s="82">
        <v>0</v>
      </c>
      <c r="L102" s="29"/>
      <c r="M102" s="100"/>
    </row>
    <row r="103" spans="1:12" ht="18.75" customHeight="1">
      <c r="A103" s="36" t="s">
        <v>128</v>
      </c>
      <c r="B103" s="74" t="s">
        <v>129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6"/>
    </row>
    <row r="104" spans="1:12" ht="15">
      <c r="A104" s="4" t="s">
        <v>77</v>
      </c>
      <c r="B104" s="38"/>
      <c r="C104" s="75"/>
      <c r="D104" s="75"/>
      <c r="E104" s="75"/>
      <c r="F104" s="75"/>
      <c r="G104" s="75"/>
      <c r="H104" s="75"/>
      <c r="I104" s="75"/>
      <c r="J104" s="75"/>
      <c r="K104" s="75"/>
      <c r="L104" s="76"/>
    </row>
    <row r="105" spans="1:15" ht="39.75" customHeight="1">
      <c r="A105" s="178" t="s">
        <v>91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25"/>
      <c r="M105" s="141"/>
      <c r="N105" s="142"/>
      <c r="O105" s="27"/>
    </row>
    <row r="106" spans="1:12" ht="30.75" customHeight="1">
      <c r="A106" s="179" t="s">
        <v>92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43"/>
    </row>
    <row r="107" spans="1:12" ht="31.5" customHeight="1">
      <c r="A107" s="93" t="s">
        <v>94</v>
      </c>
      <c r="B107" s="38"/>
      <c r="C107" s="39">
        <f>E107+D107</f>
        <v>1717214</v>
      </c>
      <c r="D107" s="39">
        <v>1717214</v>
      </c>
      <c r="E107" s="39">
        <v>0</v>
      </c>
      <c r="F107" s="39">
        <f>H107+G107</f>
        <v>1832267</v>
      </c>
      <c r="G107" s="6">
        <v>1832267</v>
      </c>
      <c r="H107" s="6">
        <f>E107*1.05</f>
        <v>0</v>
      </c>
      <c r="I107" s="39">
        <f>K107+J107</f>
        <v>1933042</v>
      </c>
      <c r="J107" s="6">
        <v>1933042</v>
      </c>
      <c r="K107" s="6">
        <f>H107*1.043</f>
        <v>0</v>
      </c>
      <c r="L107" s="103"/>
    </row>
    <row r="108" spans="1:12" ht="22.5" customHeight="1">
      <c r="A108" s="81" t="s">
        <v>5</v>
      </c>
      <c r="B108" s="38"/>
      <c r="C108" s="80"/>
      <c r="D108" s="80"/>
      <c r="E108" s="80"/>
      <c r="F108" s="80"/>
      <c r="G108" s="80"/>
      <c r="H108" s="80"/>
      <c r="I108" s="80"/>
      <c r="J108" s="80"/>
      <c r="K108" s="80"/>
      <c r="L108" s="76"/>
    </row>
    <row r="109" spans="1:12" ht="19.5" customHeight="1">
      <c r="A109" s="4" t="s">
        <v>6</v>
      </c>
      <c r="B109" s="38"/>
      <c r="C109" s="80"/>
      <c r="D109" s="80"/>
      <c r="E109" s="80"/>
      <c r="F109" s="80"/>
      <c r="G109" s="80"/>
      <c r="H109" s="80"/>
      <c r="I109" s="80"/>
      <c r="J109" s="80"/>
      <c r="K109" s="80"/>
      <c r="L109" s="76"/>
    </row>
    <row r="110" spans="1:12" ht="22.5" customHeight="1">
      <c r="A110" s="81" t="s">
        <v>19</v>
      </c>
      <c r="B110" s="96"/>
      <c r="C110" s="40">
        <f aca="true" t="shared" si="2" ref="C110:C115">D110+E110</f>
        <v>1014</v>
      </c>
      <c r="D110" s="40">
        <f>+D111+D112+D113+D114+D115</f>
        <v>1014</v>
      </c>
      <c r="E110" s="40">
        <v>0</v>
      </c>
      <c r="F110" s="40">
        <f aca="true" t="shared" si="3" ref="F110:F115">G110+H110</f>
        <v>1014</v>
      </c>
      <c r="G110" s="40">
        <f>G111+G112+G113+G114+G115</f>
        <v>1014</v>
      </c>
      <c r="H110" s="40">
        <v>0</v>
      </c>
      <c r="I110" s="40">
        <f aca="true" t="shared" si="4" ref="I110:I115">J110+K110</f>
        <v>1014</v>
      </c>
      <c r="J110" s="40">
        <f>J111+J112+J113+J114+J115</f>
        <v>1014</v>
      </c>
      <c r="K110" s="40">
        <v>0</v>
      </c>
      <c r="L110" s="78"/>
    </row>
    <row r="111" spans="1:12" ht="22.5" customHeight="1">
      <c r="A111" s="81" t="s">
        <v>23</v>
      </c>
      <c r="B111" s="38"/>
      <c r="C111" s="94">
        <f t="shared" si="2"/>
        <v>1</v>
      </c>
      <c r="D111" s="94">
        <v>1</v>
      </c>
      <c r="E111" s="94">
        <v>0</v>
      </c>
      <c r="F111" s="94">
        <f t="shared" si="3"/>
        <v>1</v>
      </c>
      <c r="G111" s="94">
        <v>1</v>
      </c>
      <c r="H111" s="94">
        <v>0</v>
      </c>
      <c r="I111" s="94">
        <f t="shared" si="4"/>
        <v>1</v>
      </c>
      <c r="J111" s="94">
        <v>1</v>
      </c>
      <c r="K111" s="94">
        <v>0</v>
      </c>
      <c r="L111" s="95"/>
    </row>
    <row r="112" spans="1:12" ht="20.25" customHeight="1">
      <c r="A112" s="81" t="s">
        <v>193</v>
      </c>
      <c r="B112" s="38"/>
      <c r="C112" s="94">
        <f t="shared" si="2"/>
        <v>620</v>
      </c>
      <c r="D112" s="94">
        <v>620</v>
      </c>
      <c r="E112" s="94">
        <v>0</v>
      </c>
      <c r="F112" s="94">
        <f t="shared" si="3"/>
        <v>620</v>
      </c>
      <c r="G112" s="94">
        <v>620</v>
      </c>
      <c r="H112" s="94">
        <v>0</v>
      </c>
      <c r="I112" s="94">
        <f t="shared" si="4"/>
        <v>620</v>
      </c>
      <c r="J112" s="94">
        <v>620</v>
      </c>
      <c r="K112" s="94">
        <v>0</v>
      </c>
      <c r="L112" s="95"/>
    </row>
    <row r="113" spans="1:12" ht="30.75" customHeight="1">
      <c r="A113" s="35" t="s">
        <v>93</v>
      </c>
      <c r="B113" s="38"/>
      <c r="C113" s="94">
        <f t="shared" si="2"/>
        <v>90</v>
      </c>
      <c r="D113" s="94">
        <v>90</v>
      </c>
      <c r="E113" s="94">
        <v>0</v>
      </c>
      <c r="F113" s="94">
        <f t="shared" si="3"/>
        <v>90</v>
      </c>
      <c r="G113" s="94">
        <v>90</v>
      </c>
      <c r="H113" s="94">
        <v>0</v>
      </c>
      <c r="I113" s="94">
        <f t="shared" si="4"/>
        <v>90</v>
      </c>
      <c r="J113" s="94">
        <v>90</v>
      </c>
      <c r="K113" s="94">
        <v>0</v>
      </c>
      <c r="L113" s="95"/>
    </row>
    <row r="114" spans="1:12" ht="31.5" customHeight="1">
      <c r="A114" s="35" t="s">
        <v>194</v>
      </c>
      <c r="B114" s="38"/>
      <c r="C114" s="94">
        <f t="shared" si="2"/>
        <v>100</v>
      </c>
      <c r="D114" s="94">
        <v>100</v>
      </c>
      <c r="E114" s="94">
        <v>0</v>
      </c>
      <c r="F114" s="94">
        <f t="shared" si="3"/>
        <v>100</v>
      </c>
      <c r="G114" s="94">
        <v>100</v>
      </c>
      <c r="H114" s="94">
        <v>0</v>
      </c>
      <c r="I114" s="94">
        <f t="shared" si="4"/>
        <v>100</v>
      </c>
      <c r="J114" s="94">
        <v>100</v>
      </c>
      <c r="K114" s="94">
        <v>0</v>
      </c>
      <c r="L114" s="95"/>
    </row>
    <row r="115" spans="1:14" ht="75.75" customHeight="1">
      <c r="A115" s="35" t="s">
        <v>122</v>
      </c>
      <c r="B115" s="38"/>
      <c r="C115" s="94">
        <f t="shared" si="2"/>
        <v>203</v>
      </c>
      <c r="D115" s="94">
        <v>203</v>
      </c>
      <c r="E115" s="94">
        <v>0</v>
      </c>
      <c r="F115" s="94">
        <f t="shared" si="3"/>
        <v>203</v>
      </c>
      <c r="G115" s="94">
        <v>203</v>
      </c>
      <c r="H115" s="94">
        <v>0</v>
      </c>
      <c r="I115" s="94">
        <f t="shared" si="4"/>
        <v>203</v>
      </c>
      <c r="J115" s="94">
        <v>203</v>
      </c>
      <c r="K115" s="94">
        <v>0</v>
      </c>
      <c r="L115" s="95"/>
      <c r="N115" s="144"/>
    </row>
    <row r="116" spans="1:12" ht="15">
      <c r="A116" s="4" t="s">
        <v>18</v>
      </c>
      <c r="B116" s="38"/>
      <c r="C116" s="88"/>
      <c r="D116" s="88"/>
      <c r="E116" s="88"/>
      <c r="F116" s="88"/>
      <c r="G116" s="88"/>
      <c r="H116" s="88"/>
      <c r="I116" s="88"/>
      <c r="J116" s="88"/>
      <c r="K116" s="88"/>
      <c r="L116" s="29"/>
    </row>
    <row r="117" spans="1:12" ht="36.75" customHeight="1">
      <c r="A117" s="35" t="s">
        <v>96</v>
      </c>
      <c r="B117" s="38"/>
      <c r="C117" s="43">
        <f aca="true" t="shared" si="5" ref="C117:C122">D117+E117</f>
        <v>1693.5049309664694</v>
      </c>
      <c r="D117" s="43">
        <f>D107/D110</f>
        <v>1693.5049309664694</v>
      </c>
      <c r="E117" s="43">
        <v>0</v>
      </c>
      <c r="F117" s="43">
        <f aca="true" t="shared" si="6" ref="F117:F122">G117+H117</f>
        <v>1806.9694280078895</v>
      </c>
      <c r="G117" s="43">
        <f>G107/G110</f>
        <v>1806.9694280078895</v>
      </c>
      <c r="H117" s="43">
        <v>0</v>
      </c>
      <c r="I117" s="43">
        <f aca="true" t="shared" si="7" ref="I117:I122">J117+K117</f>
        <v>1906.353057199211</v>
      </c>
      <c r="J117" s="43">
        <f>J107/J110</f>
        <v>1906.353057199211</v>
      </c>
      <c r="K117" s="43">
        <v>0</v>
      </c>
      <c r="L117" s="29"/>
    </row>
    <row r="118" spans="1:12" ht="20.25" customHeight="1">
      <c r="A118" s="35" t="s">
        <v>45</v>
      </c>
      <c r="B118" s="38"/>
      <c r="C118" s="43">
        <f t="shared" si="5"/>
        <v>18824</v>
      </c>
      <c r="D118" s="43">
        <f>18824/D111</f>
        <v>18824</v>
      </c>
      <c r="E118" s="43">
        <v>0</v>
      </c>
      <c r="F118" s="43">
        <f t="shared" si="6"/>
        <v>20085</v>
      </c>
      <c r="G118" s="43">
        <f>20085/G111</f>
        <v>20085</v>
      </c>
      <c r="H118" s="43">
        <v>0</v>
      </c>
      <c r="I118" s="43">
        <f t="shared" si="7"/>
        <v>21190</v>
      </c>
      <c r="J118" s="43">
        <f>21190/J111</f>
        <v>21190</v>
      </c>
      <c r="K118" s="43">
        <v>0</v>
      </c>
      <c r="L118" s="97"/>
    </row>
    <row r="119" spans="1:12" ht="18.75" customHeight="1">
      <c r="A119" s="35" t="s">
        <v>46</v>
      </c>
      <c r="B119" s="38"/>
      <c r="C119" s="43">
        <f t="shared" si="5"/>
        <v>1163.1935483870968</v>
      </c>
      <c r="D119" s="43">
        <f>721180/D112</f>
        <v>1163.1935483870968</v>
      </c>
      <c r="E119" s="43">
        <v>0</v>
      </c>
      <c r="F119" s="43">
        <f t="shared" si="6"/>
        <v>1241.1274193548388</v>
      </c>
      <c r="G119" s="43">
        <f>769499/G112</f>
        <v>1241.1274193548388</v>
      </c>
      <c r="H119" s="43">
        <v>0</v>
      </c>
      <c r="I119" s="43">
        <f t="shared" si="7"/>
        <v>1309.3887096774195</v>
      </c>
      <c r="J119" s="43">
        <f>811821/J112</f>
        <v>1309.3887096774195</v>
      </c>
      <c r="K119" s="43">
        <v>0</v>
      </c>
      <c r="L119" s="97"/>
    </row>
    <row r="120" spans="1:12" ht="33" customHeight="1">
      <c r="A120" s="81" t="s">
        <v>95</v>
      </c>
      <c r="B120" s="38"/>
      <c r="C120" s="43">
        <f t="shared" si="5"/>
        <v>2840.366666666667</v>
      </c>
      <c r="D120" s="43">
        <f>255633/D113</f>
        <v>2840.366666666667</v>
      </c>
      <c r="E120" s="43">
        <v>0</v>
      </c>
      <c r="F120" s="43">
        <f t="shared" si="6"/>
        <v>3030.6666666666665</v>
      </c>
      <c r="G120" s="43">
        <f>272760/G113</f>
        <v>3030.6666666666665</v>
      </c>
      <c r="H120" s="43">
        <v>0</v>
      </c>
      <c r="I120" s="43">
        <f t="shared" si="7"/>
        <v>3197.3555555555554</v>
      </c>
      <c r="J120" s="43">
        <f>287762/J113</f>
        <v>3197.3555555555554</v>
      </c>
      <c r="K120" s="43">
        <v>0</v>
      </c>
      <c r="L120" s="97"/>
    </row>
    <row r="121" spans="1:12" ht="33.75" customHeight="1">
      <c r="A121" s="35" t="s">
        <v>195</v>
      </c>
      <c r="B121" s="38"/>
      <c r="C121" s="43">
        <f t="shared" si="5"/>
        <v>2197.42</v>
      </c>
      <c r="D121" s="43">
        <f>219742/D114</f>
        <v>2197.42</v>
      </c>
      <c r="E121" s="43">
        <v>0</v>
      </c>
      <c r="F121" s="43">
        <f t="shared" si="6"/>
        <v>2344.65</v>
      </c>
      <c r="G121" s="43">
        <f>234465/G114</f>
        <v>2344.65</v>
      </c>
      <c r="H121" s="43">
        <v>0</v>
      </c>
      <c r="I121" s="43">
        <f t="shared" si="7"/>
        <v>2473.61</v>
      </c>
      <c r="J121" s="43">
        <f>247361/J114</f>
        <v>2473.61</v>
      </c>
      <c r="K121" s="43">
        <v>0</v>
      </c>
      <c r="L121" s="97"/>
    </row>
    <row r="122" spans="1:12" ht="36.75" customHeight="1">
      <c r="A122" s="35" t="s">
        <v>97</v>
      </c>
      <c r="B122" s="38"/>
      <c r="C122" s="43">
        <f t="shared" si="5"/>
        <v>2472.093596059113</v>
      </c>
      <c r="D122" s="43">
        <f>501835/D115</f>
        <v>2472.093596059113</v>
      </c>
      <c r="E122" s="43">
        <v>0</v>
      </c>
      <c r="F122" s="43">
        <f t="shared" si="6"/>
        <v>2637.7241379310344</v>
      </c>
      <c r="G122" s="43">
        <f>535458/G115</f>
        <v>2637.7241379310344</v>
      </c>
      <c r="H122" s="43">
        <v>0</v>
      </c>
      <c r="I122" s="43">
        <f t="shared" si="7"/>
        <v>2782.7980295566504</v>
      </c>
      <c r="J122" s="43">
        <f>564908/J115</f>
        <v>2782.7980295566504</v>
      </c>
      <c r="K122" s="43">
        <v>0</v>
      </c>
      <c r="L122" s="97"/>
    </row>
    <row r="123" spans="1:12" ht="17.25" customHeight="1">
      <c r="A123" s="4" t="s">
        <v>196</v>
      </c>
      <c r="B123" s="38"/>
      <c r="C123" s="43"/>
      <c r="D123" s="43"/>
      <c r="E123" s="43"/>
      <c r="F123" s="43"/>
      <c r="G123" s="43"/>
      <c r="H123" s="43"/>
      <c r="I123" s="43"/>
      <c r="J123" s="43"/>
      <c r="K123" s="43"/>
      <c r="L123" s="29"/>
    </row>
    <row r="124" spans="1:12" ht="19.5" customHeight="1">
      <c r="A124" s="98" t="s">
        <v>25</v>
      </c>
      <c r="B124" s="38"/>
      <c r="C124" s="43">
        <f>D124+E124</f>
        <v>100</v>
      </c>
      <c r="D124" s="43">
        <v>100</v>
      </c>
      <c r="E124" s="43">
        <v>0</v>
      </c>
      <c r="F124" s="43">
        <f>G124+H124</f>
        <v>100</v>
      </c>
      <c r="G124" s="43">
        <v>100</v>
      </c>
      <c r="H124" s="43">
        <v>0</v>
      </c>
      <c r="I124" s="43">
        <f>J124+K124</f>
        <v>100</v>
      </c>
      <c r="J124" s="43">
        <v>100</v>
      </c>
      <c r="K124" s="43">
        <v>0</v>
      </c>
      <c r="L124" s="29"/>
    </row>
    <row r="125" spans="1:12" ht="27.75" customHeight="1">
      <c r="A125" s="92" t="s">
        <v>31</v>
      </c>
      <c r="B125" s="38"/>
      <c r="C125" s="99">
        <f>D125+E125</f>
        <v>124.83644973614594</v>
      </c>
      <c r="D125" s="8">
        <f>D107/1375571*100</f>
        <v>124.83644973614594</v>
      </c>
      <c r="E125" s="99">
        <v>0</v>
      </c>
      <c r="F125" s="12">
        <f>F107/C107*100</f>
        <v>106.69998031695525</v>
      </c>
      <c r="G125" s="12">
        <f>G107/D107*100</f>
        <v>106.69998031695525</v>
      </c>
      <c r="H125" s="82">
        <v>0</v>
      </c>
      <c r="I125" s="12">
        <f>+I107/F107*100</f>
        <v>105.50001719181756</v>
      </c>
      <c r="J125" s="12">
        <f>+J107/G107*100</f>
        <v>105.50001719181756</v>
      </c>
      <c r="K125" s="99">
        <v>0</v>
      </c>
      <c r="L125" s="97"/>
    </row>
    <row r="126" spans="1:12" ht="19.5" customHeight="1">
      <c r="A126" s="28"/>
      <c r="B126" s="1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26.25" customHeight="1">
      <c r="A127" s="18"/>
      <c r="B127" s="19"/>
      <c r="C127" s="20"/>
      <c r="D127" s="20"/>
      <c r="E127" s="20"/>
      <c r="F127" s="20"/>
      <c r="G127" s="20"/>
      <c r="H127" s="20"/>
      <c r="I127" s="161" t="s">
        <v>230</v>
      </c>
      <c r="J127" s="161"/>
      <c r="K127" s="161"/>
      <c r="L127" s="20"/>
    </row>
    <row r="128" spans="1:12" ht="14.25">
      <c r="A128" s="21">
        <v>1</v>
      </c>
      <c r="B128" s="22">
        <v>2</v>
      </c>
      <c r="C128" s="23">
        <v>3</v>
      </c>
      <c r="D128" s="23">
        <v>4</v>
      </c>
      <c r="E128" s="23">
        <v>5</v>
      </c>
      <c r="F128" s="23">
        <v>6</v>
      </c>
      <c r="G128" s="23">
        <v>7</v>
      </c>
      <c r="H128" s="23">
        <v>8</v>
      </c>
      <c r="I128" s="23">
        <v>9</v>
      </c>
      <c r="J128" s="23">
        <v>10</v>
      </c>
      <c r="K128" s="23">
        <v>11</v>
      </c>
      <c r="L128" s="30"/>
    </row>
    <row r="129" spans="1:12" ht="15.75">
      <c r="A129" s="36" t="s">
        <v>130</v>
      </c>
      <c r="B129" s="74" t="s">
        <v>131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6"/>
    </row>
    <row r="130" spans="1:13" ht="22.5" customHeight="1">
      <c r="A130" s="4" t="s">
        <v>77</v>
      </c>
      <c r="B130" s="38"/>
      <c r="C130" s="75"/>
      <c r="D130" s="75"/>
      <c r="E130" s="75"/>
      <c r="F130" s="75"/>
      <c r="G130" s="75"/>
      <c r="H130" s="75"/>
      <c r="I130" s="75"/>
      <c r="J130" s="75"/>
      <c r="K130" s="75"/>
      <c r="L130" s="76"/>
      <c r="M130" s="100"/>
    </row>
    <row r="131" spans="1:12" ht="20.25" customHeight="1">
      <c r="A131" s="165" t="s">
        <v>134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25"/>
    </row>
    <row r="132" spans="1:12" ht="21" customHeight="1">
      <c r="A132" s="175" t="s">
        <v>9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02"/>
    </row>
    <row r="133" spans="1:12" ht="19.5" customHeight="1">
      <c r="A133" s="127" t="s">
        <v>7</v>
      </c>
      <c r="B133" s="101"/>
      <c r="C133" s="6">
        <f>D133+E133</f>
        <v>1004430</v>
      </c>
      <c r="D133" s="6">
        <f>+D134+D147</f>
        <v>1004430</v>
      </c>
      <c r="E133" s="6">
        <f>E134+0</f>
        <v>0</v>
      </c>
      <c r="F133" s="128">
        <f aca="true" t="shared" si="8" ref="F133:K133">F134+F147</f>
        <v>1071727</v>
      </c>
      <c r="G133" s="128">
        <f t="shared" si="8"/>
        <v>1071727</v>
      </c>
      <c r="H133" s="128">
        <f t="shared" si="8"/>
        <v>0</v>
      </c>
      <c r="I133" s="128">
        <f t="shared" si="8"/>
        <v>1130672</v>
      </c>
      <c r="J133" s="128">
        <f t="shared" si="8"/>
        <v>1130672</v>
      </c>
      <c r="K133" s="128">
        <f t="shared" si="8"/>
        <v>0</v>
      </c>
      <c r="L133" s="129"/>
    </row>
    <row r="134" spans="1:13" ht="33" customHeight="1">
      <c r="A134" s="4" t="s">
        <v>34</v>
      </c>
      <c r="B134" s="38"/>
      <c r="C134" s="39">
        <f>E134+D134</f>
        <v>134475</v>
      </c>
      <c r="D134" s="39">
        <v>134475</v>
      </c>
      <c r="E134" s="39">
        <v>0</v>
      </c>
      <c r="F134" s="39">
        <f>H134+G134</f>
        <v>143485</v>
      </c>
      <c r="G134" s="6">
        <v>143485</v>
      </c>
      <c r="H134" s="6">
        <f>E134*1.05</f>
        <v>0</v>
      </c>
      <c r="I134" s="39">
        <f>K134+J134</f>
        <v>151376</v>
      </c>
      <c r="J134" s="6">
        <v>151376</v>
      </c>
      <c r="K134" s="6">
        <f>H134*1.043</f>
        <v>0</v>
      </c>
      <c r="L134" s="103"/>
      <c r="M134" s="104"/>
    </row>
    <row r="135" spans="1:12" ht="18" customHeight="1">
      <c r="A135" s="81" t="s">
        <v>10</v>
      </c>
      <c r="B135" s="38"/>
      <c r="C135" s="80"/>
      <c r="D135" s="80"/>
      <c r="E135" s="80"/>
      <c r="F135" s="80"/>
      <c r="G135" s="80"/>
      <c r="H135" s="80"/>
      <c r="I135" s="80"/>
      <c r="J135" s="80"/>
      <c r="K135" s="80"/>
      <c r="L135" s="76"/>
    </row>
    <row r="136" spans="1:12" ht="16.5">
      <c r="A136" s="4" t="s">
        <v>11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25"/>
    </row>
    <row r="137" spans="1:15" ht="19.5" customHeight="1">
      <c r="A137" s="81" t="s">
        <v>19</v>
      </c>
      <c r="B137" s="38"/>
      <c r="C137" s="84">
        <f>D137+E137</f>
        <v>19</v>
      </c>
      <c r="D137" s="40">
        <f>D138+D139</f>
        <v>19</v>
      </c>
      <c r="E137" s="84">
        <v>0</v>
      </c>
      <c r="F137" s="84">
        <f>G137+H137</f>
        <v>19</v>
      </c>
      <c r="G137" s="40">
        <f>G138+G139</f>
        <v>19</v>
      </c>
      <c r="H137" s="84">
        <v>0</v>
      </c>
      <c r="I137" s="84">
        <f>J137+K137</f>
        <v>19</v>
      </c>
      <c r="J137" s="40">
        <f>J138+J139</f>
        <v>19</v>
      </c>
      <c r="K137" s="84">
        <v>0</v>
      </c>
      <c r="L137" s="25"/>
      <c r="M137" s="78"/>
      <c r="N137" s="26"/>
      <c r="O137" s="27"/>
    </row>
    <row r="138" spans="1:12" ht="45" customHeight="1">
      <c r="A138" s="14" t="s">
        <v>89</v>
      </c>
      <c r="B138" s="38"/>
      <c r="C138" s="84">
        <f>D138+E138</f>
        <v>16</v>
      </c>
      <c r="D138" s="84">
        <v>16</v>
      </c>
      <c r="E138" s="84">
        <v>0</v>
      </c>
      <c r="F138" s="84">
        <f>G138+H138</f>
        <v>16</v>
      </c>
      <c r="G138" s="84">
        <v>16</v>
      </c>
      <c r="H138" s="84">
        <v>0</v>
      </c>
      <c r="I138" s="84">
        <f>J138+K138</f>
        <v>16</v>
      </c>
      <c r="J138" s="84">
        <v>16</v>
      </c>
      <c r="K138" s="84">
        <v>0</v>
      </c>
      <c r="L138" s="78"/>
    </row>
    <row r="139" spans="1:12" ht="34.5" customHeight="1">
      <c r="A139" s="14" t="s">
        <v>49</v>
      </c>
      <c r="B139" s="38"/>
      <c r="C139" s="84">
        <f>D139+E139</f>
        <v>3</v>
      </c>
      <c r="D139" s="84">
        <v>3</v>
      </c>
      <c r="E139" s="84">
        <v>0</v>
      </c>
      <c r="F139" s="84">
        <f>G139+H139</f>
        <v>3</v>
      </c>
      <c r="G139" s="84">
        <v>3</v>
      </c>
      <c r="H139" s="84">
        <v>0</v>
      </c>
      <c r="I139" s="84">
        <f>J139+K139</f>
        <v>3</v>
      </c>
      <c r="J139" s="84">
        <v>3</v>
      </c>
      <c r="K139" s="84">
        <v>0</v>
      </c>
      <c r="L139" s="78"/>
    </row>
    <row r="140" spans="1:12" ht="16.5">
      <c r="A140" s="4" t="s">
        <v>18</v>
      </c>
      <c r="B140" s="38"/>
      <c r="C140" s="80"/>
      <c r="D140" s="80"/>
      <c r="E140" s="80"/>
      <c r="F140" s="80"/>
      <c r="G140" s="80"/>
      <c r="H140" s="80"/>
      <c r="I140" s="80"/>
      <c r="J140" s="80"/>
      <c r="K140" s="80"/>
      <c r="L140" s="76"/>
    </row>
    <row r="141" spans="1:12" ht="30.75" customHeight="1">
      <c r="A141" s="35" t="s">
        <v>40</v>
      </c>
      <c r="B141" s="38"/>
      <c r="C141" s="43">
        <f>D141+E141</f>
        <v>7077.631578947368</v>
      </c>
      <c r="D141" s="43">
        <f>D134/D137</f>
        <v>7077.631578947368</v>
      </c>
      <c r="E141" s="43">
        <v>0</v>
      </c>
      <c r="F141" s="43">
        <f>G141+H141</f>
        <v>7551.8421052631575</v>
      </c>
      <c r="G141" s="11">
        <f>G134/G137</f>
        <v>7551.8421052631575</v>
      </c>
      <c r="H141" s="43">
        <v>0</v>
      </c>
      <c r="I141" s="43">
        <f>J141+K141</f>
        <v>7967.1578947368425</v>
      </c>
      <c r="J141" s="11">
        <f>J134/J137</f>
        <v>7967.1578947368425</v>
      </c>
      <c r="K141" s="43">
        <v>0</v>
      </c>
      <c r="L141" s="25"/>
    </row>
    <row r="142" spans="1:12" ht="39.75" customHeight="1">
      <c r="A142" s="35" t="s">
        <v>41</v>
      </c>
      <c r="B142" s="38"/>
      <c r="C142" s="43">
        <f>D142+E142</f>
        <v>7658.75</v>
      </c>
      <c r="D142" s="43">
        <f>122540/D138</f>
        <v>7658.75</v>
      </c>
      <c r="E142" s="43">
        <v>0</v>
      </c>
      <c r="F142" s="43">
        <f>G142+H142</f>
        <v>8171.875</v>
      </c>
      <c r="G142" s="11">
        <f>130750/G138</f>
        <v>8171.875</v>
      </c>
      <c r="H142" s="43">
        <v>0</v>
      </c>
      <c r="I142" s="43">
        <f>J142+K142</f>
        <v>8621.3125</v>
      </c>
      <c r="J142" s="11">
        <f>137941/J138</f>
        <v>8621.3125</v>
      </c>
      <c r="K142" s="43">
        <v>0</v>
      </c>
      <c r="L142" s="29"/>
    </row>
    <row r="143" spans="1:12" ht="34.5" customHeight="1">
      <c r="A143" s="14" t="s">
        <v>50</v>
      </c>
      <c r="B143" s="38"/>
      <c r="C143" s="43">
        <f>D143+E143</f>
        <v>3978.3333333333335</v>
      </c>
      <c r="D143" s="43">
        <f>11935/D139</f>
        <v>3978.3333333333335</v>
      </c>
      <c r="E143" s="43">
        <v>0</v>
      </c>
      <c r="F143" s="43">
        <f>G143+H143</f>
        <v>4245</v>
      </c>
      <c r="G143" s="11">
        <f>12735/G139</f>
        <v>4245</v>
      </c>
      <c r="H143" s="43">
        <v>0</v>
      </c>
      <c r="I143" s="43">
        <f>J143+K143</f>
        <v>4478.333333333333</v>
      </c>
      <c r="J143" s="11">
        <f>13435/J139</f>
        <v>4478.333333333333</v>
      </c>
      <c r="K143" s="43">
        <v>0</v>
      </c>
      <c r="L143" s="29"/>
    </row>
    <row r="144" spans="1:12" ht="23.25" customHeight="1">
      <c r="A144" s="4" t="s">
        <v>17</v>
      </c>
      <c r="B144" s="38"/>
      <c r="C144" s="80"/>
      <c r="D144" s="80"/>
      <c r="E144" s="80"/>
      <c r="F144" s="80"/>
      <c r="G144" s="80"/>
      <c r="H144" s="80"/>
      <c r="I144" s="80"/>
      <c r="J144" s="80"/>
      <c r="K144" s="80"/>
      <c r="L144" s="76"/>
    </row>
    <row r="145" spans="1:12" ht="26.25" customHeight="1">
      <c r="A145" s="7" t="s">
        <v>25</v>
      </c>
      <c r="B145" s="38"/>
      <c r="C145" s="43">
        <f>D145+E145</f>
        <v>100</v>
      </c>
      <c r="D145" s="43">
        <v>100</v>
      </c>
      <c r="E145" s="43">
        <v>0</v>
      </c>
      <c r="F145" s="43">
        <f>G145+H145</f>
        <v>100</v>
      </c>
      <c r="G145" s="43">
        <v>100</v>
      </c>
      <c r="H145" s="43">
        <v>0</v>
      </c>
      <c r="I145" s="43">
        <f>J145+K145</f>
        <v>100</v>
      </c>
      <c r="J145" s="43">
        <v>100</v>
      </c>
      <c r="K145" s="43">
        <v>0</v>
      </c>
      <c r="L145" s="29"/>
    </row>
    <row r="146" spans="1:12" ht="37.5" customHeight="1">
      <c r="A146" s="7" t="s">
        <v>32</v>
      </c>
      <c r="B146" s="38"/>
      <c r="C146" s="43">
        <f>D146+E146</f>
        <v>94.44596616169065</v>
      </c>
      <c r="D146" s="43">
        <f>D134/142383*100</f>
        <v>94.44596616169065</v>
      </c>
      <c r="E146" s="43">
        <v>0</v>
      </c>
      <c r="F146" s="43">
        <f>G146+H146</f>
        <v>106.70013013571295</v>
      </c>
      <c r="G146" s="43">
        <f>G134/D134*100</f>
        <v>106.70013013571295</v>
      </c>
      <c r="H146" s="43">
        <v>0</v>
      </c>
      <c r="I146" s="43">
        <f>J146+K146</f>
        <v>105.49952956755062</v>
      </c>
      <c r="J146" s="43">
        <f>J134/G134*100</f>
        <v>105.49952956755062</v>
      </c>
      <c r="K146" s="43">
        <v>0</v>
      </c>
      <c r="L146" s="29"/>
    </row>
    <row r="147" spans="1:12" ht="39.75" customHeight="1">
      <c r="A147" s="5" t="s">
        <v>28</v>
      </c>
      <c r="B147" s="38"/>
      <c r="C147" s="39">
        <f>E147+D147</f>
        <v>869955</v>
      </c>
      <c r="D147" s="39">
        <v>869955</v>
      </c>
      <c r="E147" s="39">
        <v>0</v>
      </c>
      <c r="F147" s="39">
        <f>H147+G147</f>
        <v>928242</v>
      </c>
      <c r="G147" s="6">
        <v>928242</v>
      </c>
      <c r="H147" s="6">
        <f>E147*1.05</f>
        <v>0</v>
      </c>
      <c r="I147" s="39">
        <f>K147+J147</f>
        <v>979296</v>
      </c>
      <c r="J147" s="6">
        <v>979296</v>
      </c>
      <c r="K147" s="6">
        <f>H147*1.043</f>
        <v>0</v>
      </c>
      <c r="L147" s="103"/>
    </row>
    <row r="148" spans="1:12" ht="24" customHeight="1">
      <c r="A148" s="81" t="s">
        <v>10</v>
      </c>
      <c r="B148" s="38"/>
      <c r="C148" s="75"/>
      <c r="D148" s="75"/>
      <c r="E148" s="75"/>
      <c r="F148" s="75"/>
      <c r="G148" s="75"/>
      <c r="H148" s="75"/>
      <c r="I148" s="75"/>
      <c r="J148" s="75"/>
      <c r="K148" s="75"/>
      <c r="L148" s="76"/>
    </row>
    <row r="149" spans="1:12" ht="24.75" customHeight="1">
      <c r="A149" s="4" t="s">
        <v>11</v>
      </c>
      <c r="B149" s="38"/>
      <c r="C149" s="75"/>
      <c r="D149" s="75"/>
      <c r="E149" s="75"/>
      <c r="F149" s="75"/>
      <c r="G149" s="75"/>
      <c r="H149" s="75"/>
      <c r="I149" s="75"/>
      <c r="J149" s="75"/>
      <c r="K149" s="75"/>
      <c r="L149" s="76"/>
    </row>
    <row r="150" spans="1:12" ht="26.25" customHeight="1">
      <c r="A150" s="81" t="s">
        <v>20</v>
      </c>
      <c r="B150" s="38"/>
      <c r="C150" s="84">
        <f>D150+E150</f>
        <v>136</v>
      </c>
      <c r="D150" s="84">
        <v>136</v>
      </c>
      <c r="E150" s="84">
        <v>0</v>
      </c>
      <c r="F150" s="84">
        <f>G150+H150</f>
        <v>136</v>
      </c>
      <c r="G150" s="84">
        <f>D150</f>
        <v>136</v>
      </c>
      <c r="H150" s="84">
        <v>0</v>
      </c>
      <c r="I150" s="84">
        <f>J150+K150</f>
        <v>136</v>
      </c>
      <c r="J150" s="84">
        <f>D150</f>
        <v>136</v>
      </c>
      <c r="K150" s="84">
        <v>0</v>
      </c>
      <c r="L150" s="78"/>
    </row>
    <row r="151" spans="1:12" ht="26.25" customHeight="1">
      <c r="A151" s="4" t="s">
        <v>18</v>
      </c>
      <c r="B151" s="38"/>
      <c r="C151" s="80"/>
      <c r="D151" s="80"/>
      <c r="E151" s="80"/>
      <c r="F151" s="80"/>
      <c r="G151" s="80"/>
      <c r="H151" s="80"/>
      <c r="I151" s="80"/>
      <c r="J151" s="80"/>
      <c r="K151" s="80"/>
      <c r="L151" s="76"/>
    </row>
    <row r="152" spans="1:12" ht="23.25" customHeight="1">
      <c r="A152" s="81" t="s">
        <v>21</v>
      </c>
      <c r="B152" s="38"/>
      <c r="C152" s="43">
        <f>D152+E152</f>
        <v>6396.72794117647</v>
      </c>
      <c r="D152" s="43">
        <f>D147/D150</f>
        <v>6396.72794117647</v>
      </c>
      <c r="E152" s="43">
        <v>0</v>
      </c>
      <c r="F152" s="43">
        <f>G152+H152</f>
        <v>6825.308823529412</v>
      </c>
      <c r="G152" s="11">
        <f>G147/G150</f>
        <v>6825.308823529412</v>
      </c>
      <c r="H152" s="43">
        <v>0</v>
      </c>
      <c r="I152" s="43">
        <f>J152+K152</f>
        <v>7200.705882352941</v>
      </c>
      <c r="J152" s="11">
        <f>J147/J150</f>
        <v>7200.705882352941</v>
      </c>
      <c r="K152" s="43">
        <v>0</v>
      </c>
      <c r="L152" s="29"/>
    </row>
    <row r="153" spans="1:12" ht="27.75" customHeight="1">
      <c r="A153" s="4" t="s">
        <v>17</v>
      </c>
      <c r="B153" s="38"/>
      <c r="C153" s="75"/>
      <c r="D153" s="75"/>
      <c r="E153" s="75"/>
      <c r="F153" s="75"/>
      <c r="G153" s="75"/>
      <c r="H153" s="75"/>
      <c r="I153" s="75"/>
      <c r="J153" s="75"/>
      <c r="K153" s="75"/>
      <c r="L153" s="76"/>
    </row>
    <row r="154" spans="1:12" ht="33.75" customHeight="1">
      <c r="A154" s="92" t="s">
        <v>32</v>
      </c>
      <c r="B154" s="38"/>
      <c r="C154" s="82">
        <f>D154+E154</f>
        <v>116.18469781735088</v>
      </c>
      <c r="D154" s="82">
        <f>D147/748769*100</f>
        <v>116.18469781735088</v>
      </c>
      <c r="E154" s="82">
        <v>0</v>
      </c>
      <c r="F154" s="82">
        <f>G154+H154</f>
        <v>106.7000017242271</v>
      </c>
      <c r="G154" s="82">
        <f>G147/D147*100</f>
        <v>106.7000017242271</v>
      </c>
      <c r="H154" s="82">
        <v>0</v>
      </c>
      <c r="I154" s="82">
        <f>J154+K154</f>
        <v>105.50007433406374</v>
      </c>
      <c r="J154" s="82">
        <f>J147/G147*100</f>
        <v>105.50007433406374</v>
      </c>
      <c r="K154" s="82">
        <v>0</v>
      </c>
      <c r="L154" s="29"/>
    </row>
    <row r="155" spans="1:12" ht="18.75" customHeight="1">
      <c r="A155" s="36" t="s">
        <v>98</v>
      </c>
      <c r="B155" s="74" t="s">
        <v>199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19"/>
    </row>
    <row r="156" spans="1:12" ht="21" customHeight="1">
      <c r="A156" s="105" t="s">
        <v>77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19"/>
    </row>
    <row r="157" spans="1:12" ht="19.5" customHeight="1">
      <c r="A157" s="28"/>
      <c r="B157" s="1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26.25" customHeight="1">
      <c r="A158" s="18"/>
      <c r="B158" s="19"/>
      <c r="C158" s="20"/>
      <c r="D158" s="20"/>
      <c r="E158" s="20"/>
      <c r="F158" s="20"/>
      <c r="G158" s="20"/>
      <c r="H158" s="20"/>
      <c r="I158" s="161" t="s">
        <v>230</v>
      </c>
      <c r="J158" s="161"/>
      <c r="K158" s="161"/>
      <c r="L158" s="20"/>
    </row>
    <row r="159" spans="1:12" ht="14.25">
      <c r="A159" s="21">
        <v>1</v>
      </c>
      <c r="B159" s="22">
        <v>2</v>
      </c>
      <c r="C159" s="23">
        <v>3</v>
      </c>
      <c r="D159" s="23">
        <v>4</v>
      </c>
      <c r="E159" s="23">
        <v>5</v>
      </c>
      <c r="F159" s="23">
        <v>6</v>
      </c>
      <c r="G159" s="23">
        <v>7</v>
      </c>
      <c r="H159" s="23">
        <v>8</v>
      </c>
      <c r="I159" s="23">
        <v>9</v>
      </c>
      <c r="J159" s="23">
        <v>10</v>
      </c>
      <c r="K159" s="23">
        <v>11</v>
      </c>
      <c r="L159" s="30"/>
    </row>
    <row r="160" spans="1:12" ht="25.5" customHeight="1">
      <c r="A160" s="165" t="s">
        <v>200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06"/>
    </row>
    <row r="161" spans="1:12" ht="28.5" customHeight="1">
      <c r="A161" s="180" t="s">
        <v>201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2"/>
      <c r="L161" s="107"/>
    </row>
    <row r="162" spans="1:15" ht="49.5" customHeight="1">
      <c r="A162" s="149" t="s">
        <v>202</v>
      </c>
      <c r="B162" s="108" t="s">
        <v>1</v>
      </c>
      <c r="C162" s="39">
        <f>E162+D162</f>
        <v>255150</v>
      </c>
      <c r="D162" s="39">
        <v>255150</v>
      </c>
      <c r="E162" s="39">
        <v>0</v>
      </c>
      <c r="F162" s="39">
        <f>H162+G162</f>
        <v>272245</v>
      </c>
      <c r="G162" s="6">
        <v>272245</v>
      </c>
      <c r="H162" s="6">
        <f>E162*1.05</f>
        <v>0</v>
      </c>
      <c r="I162" s="39">
        <f>K162+J162</f>
        <v>287218</v>
      </c>
      <c r="J162" s="6">
        <v>287218</v>
      </c>
      <c r="K162" s="6">
        <f>H162*1.05</f>
        <v>0</v>
      </c>
      <c r="L162" s="25"/>
      <c r="M162" s="103"/>
      <c r="N162" s="26"/>
      <c r="O162" s="27"/>
    </row>
    <row r="163" spans="1:12" ht="23.25" customHeight="1">
      <c r="A163" s="98" t="s">
        <v>5</v>
      </c>
      <c r="B163" s="38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</row>
    <row r="164" spans="1:12" ht="22.5" customHeight="1">
      <c r="A164" s="4" t="s">
        <v>11</v>
      </c>
      <c r="B164" s="38"/>
      <c r="C164" s="111"/>
      <c r="D164" s="111"/>
      <c r="E164" s="111"/>
      <c r="F164" s="111"/>
      <c r="G164" s="111"/>
      <c r="H164" s="111"/>
      <c r="I164" s="111"/>
      <c r="J164" s="111"/>
      <c r="K164" s="111"/>
      <c r="L164" s="112"/>
    </row>
    <row r="165" spans="1:12" ht="49.5" customHeight="1">
      <c r="A165" s="35" t="s">
        <v>203</v>
      </c>
      <c r="B165" s="38"/>
      <c r="C165" s="84">
        <f>D165+E165</f>
        <v>1</v>
      </c>
      <c r="D165" s="84">
        <v>1</v>
      </c>
      <c r="E165" s="84">
        <v>0</v>
      </c>
      <c r="F165" s="84">
        <f>G165+H165</f>
        <v>1</v>
      </c>
      <c r="G165" s="84">
        <f>D165</f>
        <v>1</v>
      </c>
      <c r="H165" s="84">
        <v>0</v>
      </c>
      <c r="I165" s="84">
        <f>J165+K165</f>
        <v>1</v>
      </c>
      <c r="J165" s="84">
        <f>D165</f>
        <v>1</v>
      </c>
      <c r="K165" s="84">
        <v>0</v>
      </c>
      <c r="L165" s="113"/>
    </row>
    <row r="166" spans="1:12" ht="31.5" customHeight="1">
      <c r="A166" s="35" t="s">
        <v>204</v>
      </c>
      <c r="B166" s="38"/>
      <c r="C166" s="84">
        <f>D166+E166</f>
        <v>189</v>
      </c>
      <c r="D166" s="84">
        <v>189</v>
      </c>
      <c r="E166" s="84">
        <v>0</v>
      </c>
      <c r="F166" s="84">
        <f>G166+H166</f>
        <v>189</v>
      </c>
      <c r="G166" s="84">
        <v>189</v>
      </c>
      <c r="H166" s="84">
        <v>0</v>
      </c>
      <c r="I166" s="84">
        <f>J166+K166</f>
        <v>189</v>
      </c>
      <c r="J166" s="84">
        <v>189</v>
      </c>
      <c r="K166" s="84">
        <v>0</v>
      </c>
      <c r="L166" s="113"/>
    </row>
    <row r="167" spans="1:12" ht="32.25" customHeight="1">
      <c r="A167" s="4" t="s">
        <v>18</v>
      </c>
      <c r="B167" s="38"/>
      <c r="C167" s="43"/>
      <c r="D167" s="43"/>
      <c r="E167" s="43"/>
      <c r="F167" s="43"/>
      <c r="G167" s="43"/>
      <c r="H167" s="43"/>
      <c r="I167" s="43"/>
      <c r="J167" s="43"/>
      <c r="K167" s="43"/>
      <c r="L167" s="112"/>
    </row>
    <row r="168" spans="1:12" ht="30" customHeight="1">
      <c r="A168" s="7" t="s">
        <v>38</v>
      </c>
      <c r="B168" s="38"/>
      <c r="C168" s="43">
        <f>+D168+E168</f>
        <v>112.5</v>
      </c>
      <c r="D168" s="11">
        <f>D162/D166/12</f>
        <v>112.5</v>
      </c>
      <c r="E168" s="43">
        <v>0</v>
      </c>
      <c r="F168" s="43">
        <f>+G168+H168</f>
        <v>120.03747795414462</v>
      </c>
      <c r="G168" s="11">
        <f>G162/G166/12</f>
        <v>120.03747795414462</v>
      </c>
      <c r="H168" s="43">
        <v>0</v>
      </c>
      <c r="I168" s="43">
        <f>+J168+K168</f>
        <v>126.63932980599647</v>
      </c>
      <c r="J168" s="11">
        <f>J162/J166/12</f>
        <v>126.63932980599647</v>
      </c>
      <c r="K168" s="43">
        <v>0</v>
      </c>
      <c r="L168" s="112"/>
    </row>
    <row r="169" spans="1:12" ht="22.5" customHeight="1">
      <c r="A169" s="4" t="s">
        <v>17</v>
      </c>
      <c r="B169" s="38"/>
      <c r="C169" s="43"/>
      <c r="D169" s="43"/>
      <c r="E169" s="43"/>
      <c r="F169" s="43"/>
      <c r="G169" s="43"/>
      <c r="H169" s="43"/>
      <c r="I169" s="43"/>
      <c r="J169" s="43"/>
      <c r="K169" s="43"/>
      <c r="L169" s="112"/>
    </row>
    <row r="170" spans="1:12" ht="18" customHeight="1">
      <c r="A170" s="98" t="s">
        <v>16</v>
      </c>
      <c r="B170" s="38"/>
      <c r="C170" s="82">
        <f>D170+E170</f>
        <v>100</v>
      </c>
      <c r="D170" s="82">
        <v>100</v>
      </c>
      <c r="E170" s="82">
        <v>0</v>
      </c>
      <c r="F170" s="82">
        <f>G170+H170</f>
        <v>100</v>
      </c>
      <c r="G170" s="82">
        <v>100</v>
      </c>
      <c r="H170" s="82">
        <v>0</v>
      </c>
      <c r="I170" s="82">
        <f>J170+K170</f>
        <v>100</v>
      </c>
      <c r="J170" s="82">
        <v>100</v>
      </c>
      <c r="K170" s="82">
        <v>0</v>
      </c>
      <c r="L170" s="112"/>
    </row>
    <row r="171" spans="1:11" ht="20.25" customHeight="1">
      <c r="A171" s="1" t="s">
        <v>109</v>
      </c>
      <c r="B171" s="2" t="s">
        <v>110</v>
      </c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4.25">
      <c r="A172" s="105" t="s">
        <v>77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5" ht="32.25" customHeight="1">
      <c r="A173" s="166" t="s">
        <v>150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N173" s="26"/>
      <c r="O173" s="68"/>
    </row>
    <row r="174" spans="1:11" ht="31.5" customHeight="1">
      <c r="A174" s="167" t="s">
        <v>79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</row>
    <row r="175" spans="1:11" ht="42.75" customHeight="1">
      <c r="A175" s="114" t="s">
        <v>80</v>
      </c>
      <c r="B175" s="38"/>
      <c r="C175" s="39">
        <f>D175+E175</f>
        <v>305300</v>
      </c>
      <c r="D175" s="39">
        <v>305300</v>
      </c>
      <c r="E175" s="39">
        <v>0</v>
      </c>
      <c r="F175" s="39">
        <f>G175+H175</f>
        <v>325755</v>
      </c>
      <c r="G175" s="39">
        <v>325755</v>
      </c>
      <c r="H175" s="39">
        <v>0</v>
      </c>
      <c r="I175" s="39">
        <f>J175+K175</f>
        <v>343672</v>
      </c>
      <c r="J175" s="39">
        <v>343672</v>
      </c>
      <c r="K175" s="39">
        <v>0</v>
      </c>
    </row>
    <row r="176" spans="1:11" ht="15">
      <c r="A176" s="3" t="s">
        <v>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4.25">
      <c r="A177" s="31" t="s">
        <v>6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43.5" customHeight="1">
      <c r="A178" s="92" t="s">
        <v>47</v>
      </c>
      <c r="B178" s="38"/>
      <c r="C178" s="94">
        <f>D178+E178</f>
        <v>135</v>
      </c>
      <c r="D178" s="94">
        <v>135</v>
      </c>
      <c r="E178" s="94">
        <v>0</v>
      </c>
      <c r="F178" s="94">
        <f>G178+H178</f>
        <v>135</v>
      </c>
      <c r="G178" s="94">
        <v>135</v>
      </c>
      <c r="H178" s="94">
        <v>0</v>
      </c>
      <c r="I178" s="94">
        <f>J178+K178</f>
        <v>135</v>
      </c>
      <c r="J178" s="94">
        <v>135</v>
      </c>
      <c r="K178" s="94">
        <v>0</v>
      </c>
    </row>
    <row r="179" spans="1:11" ht="14.25">
      <c r="A179" s="4" t="s">
        <v>18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30">
      <c r="A180" s="92" t="s">
        <v>48</v>
      </c>
      <c r="B180" s="38"/>
      <c r="C180" s="115">
        <f>D180+E180</f>
        <v>2261.4814814814813</v>
      </c>
      <c r="D180" s="115">
        <f>D175/D178</f>
        <v>2261.4814814814813</v>
      </c>
      <c r="E180" s="115"/>
      <c r="F180" s="115">
        <f>G180+H180</f>
        <v>2413</v>
      </c>
      <c r="G180" s="115">
        <f>+G175/G178</f>
        <v>2413</v>
      </c>
      <c r="H180" s="115"/>
      <c r="I180" s="115">
        <f>J180+K180</f>
        <v>2545.7185185185185</v>
      </c>
      <c r="J180" s="115">
        <f>+J175/J178</f>
        <v>2545.7185185185185</v>
      </c>
      <c r="K180" s="115"/>
    </row>
    <row r="181" spans="1:11" ht="14.25">
      <c r="A181" s="4" t="s">
        <v>17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6.5">
      <c r="A182" s="7" t="s">
        <v>44</v>
      </c>
      <c r="B182" s="38"/>
      <c r="C182" s="99">
        <f>+C175/255700*100</f>
        <v>119.39773171685569</v>
      </c>
      <c r="D182" s="99">
        <f>+D175/255700*100</f>
        <v>119.39773171685569</v>
      </c>
      <c r="E182" s="94">
        <v>0</v>
      </c>
      <c r="F182" s="99">
        <f>+F175/C175*100</f>
        <v>106.69996724533246</v>
      </c>
      <c r="G182" s="99">
        <f>+G175/D175*100</f>
        <v>106.69996724533246</v>
      </c>
      <c r="H182" s="99">
        <v>0</v>
      </c>
      <c r="I182" s="99">
        <f>J182+K182</f>
        <v>105.50014581510645</v>
      </c>
      <c r="J182" s="99">
        <f>+J175/G175*100</f>
        <v>105.50014581510645</v>
      </c>
      <c r="K182" s="99">
        <v>0</v>
      </c>
    </row>
    <row r="183" spans="1:11" ht="15.75">
      <c r="A183" s="1" t="s">
        <v>132</v>
      </c>
      <c r="B183" s="74" t="s">
        <v>133</v>
      </c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2" ht="14.25">
      <c r="A184" s="105" t="s">
        <v>77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19"/>
    </row>
    <row r="185" spans="1:12" ht="21" customHeight="1">
      <c r="A185" s="159" t="s">
        <v>151</v>
      </c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54"/>
    </row>
    <row r="186" spans="1:12" ht="22.5" customHeight="1">
      <c r="A186" s="177" t="s">
        <v>82</v>
      </c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55"/>
    </row>
    <row r="187" spans="1:12" ht="22.5" customHeight="1">
      <c r="A187" s="118" t="s">
        <v>7</v>
      </c>
      <c r="B187" s="42"/>
      <c r="C187" s="119">
        <f>D187+E187</f>
        <v>81525</v>
      </c>
      <c r="D187" s="119">
        <f>+D188</f>
        <v>81525</v>
      </c>
      <c r="E187" s="119">
        <v>0</v>
      </c>
      <c r="F187" s="119">
        <f>G187+H187</f>
        <v>86987</v>
      </c>
      <c r="G187" s="119">
        <f>+G188</f>
        <v>86987</v>
      </c>
      <c r="H187" s="119">
        <v>0</v>
      </c>
      <c r="I187" s="119">
        <f>J187+K187</f>
        <v>91771</v>
      </c>
      <c r="J187" s="119">
        <f>+J188</f>
        <v>91771</v>
      </c>
      <c r="K187" s="119">
        <v>0</v>
      </c>
      <c r="L187" s="120"/>
    </row>
    <row r="188" spans="1:11" ht="50.25" customHeight="1">
      <c r="A188" s="9" t="s">
        <v>152</v>
      </c>
      <c r="B188" s="38"/>
      <c r="C188" s="116">
        <f>D188+E188</f>
        <v>81525</v>
      </c>
      <c r="D188" s="116">
        <v>81525</v>
      </c>
      <c r="E188" s="116">
        <v>0</v>
      </c>
      <c r="F188" s="116">
        <f>G188+H188</f>
        <v>86987</v>
      </c>
      <c r="G188" s="116">
        <v>86987</v>
      </c>
      <c r="H188" s="116">
        <v>0</v>
      </c>
      <c r="I188" s="116">
        <f>J188+K188</f>
        <v>91771</v>
      </c>
      <c r="J188" s="116">
        <v>91771</v>
      </c>
      <c r="K188" s="116">
        <v>0</v>
      </c>
    </row>
    <row r="189" spans="1:12" ht="19.5" customHeight="1">
      <c r="A189" s="28"/>
      <c r="B189" s="1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26.25" customHeight="1">
      <c r="A190" s="18"/>
      <c r="B190" s="19"/>
      <c r="C190" s="20"/>
      <c r="D190" s="20"/>
      <c r="E190" s="20"/>
      <c r="F190" s="20"/>
      <c r="G190" s="20"/>
      <c r="H190" s="20"/>
      <c r="I190" s="161" t="s">
        <v>230</v>
      </c>
      <c r="J190" s="161"/>
      <c r="K190" s="161"/>
      <c r="L190" s="20"/>
    </row>
    <row r="191" spans="1:12" ht="14.25">
      <c r="A191" s="21">
        <v>1</v>
      </c>
      <c r="B191" s="22">
        <v>2</v>
      </c>
      <c r="C191" s="23">
        <v>3</v>
      </c>
      <c r="D191" s="23">
        <v>4</v>
      </c>
      <c r="E191" s="23">
        <v>5</v>
      </c>
      <c r="F191" s="23">
        <v>6</v>
      </c>
      <c r="G191" s="23">
        <v>7</v>
      </c>
      <c r="H191" s="23">
        <v>8</v>
      </c>
      <c r="I191" s="23">
        <v>9</v>
      </c>
      <c r="J191" s="23">
        <v>10</v>
      </c>
      <c r="K191" s="23">
        <v>11</v>
      </c>
      <c r="L191" s="30"/>
    </row>
    <row r="192" spans="1:11" ht="21" customHeight="1">
      <c r="A192" s="3" t="s">
        <v>5</v>
      </c>
      <c r="B192" s="38"/>
      <c r="C192" s="99"/>
      <c r="D192" s="82"/>
      <c r="E192" s="82"/>
      <c r="F192" s="82"/>
      <c r="G192" s="82"/>
      <c r="H192" s="82"/>
      <c r="I192" s="82"/>
      <c r="J192" s="82"/>
      <c r="K192" s="82"/>
    </row>
    <row r="193" spans="1:11" ht="19.5" customHeight="1">
      <c r="A193" s="31" t="s">
        <v>83</v>
      </c>
      <c r="B193" s="38"/>
      <c r="C193" s="99"/>
      <c r="D193" s="82"/>
      <c r="E193" s="82"/>
      <c r="F193" s="82"/>
      <c r="G193" s="82"/>
      <c r="H193" s="82"/>
      <c r="I193" s="82"/>
      <c r="J193" s="82"/>
      <c r="K193" s="82"/>
    </row>
    <row r="194" spans="1:11" ht="53.25" customHeight="1">
      <c r="A194" s="7" t="s">
        <v>84</v>
      </c>
      <c r="B194" s="38"/>
      <c r="C194" s="99">
        <f>D194+E194</f>
        <v>81.5</v>
      </c>
      <c r="D194" s="82">
        <v>81.5</v>
      </c>
      <c r="E194" s="82">
        <v>0</v>
      </c>
      <c r="F194" s="82">
        <f>G194+H194</f>
        <v>87</v>
      </c>
      <c r="G194" s="82">
        <v>87</v>
      </c>
      <c r="H194" s="82">
        <v>0</v>
      </c>
      <c r="I194" s="82">
        <f>J194+K194</f>
        <v>91.8</v>
      </c>
      <c r="J194" s="82">
        <v>91.8</v>
      </c>
      <c r="K194" s="82">
        <v>0</v>
      </c>
    </row>
    <row r="195" spans="1:11" ht="24.75" customHeight="1">
      <c r="A195" s="31" t="s">
        <v>6</v>
      </c>
      <c r="B195" s="38"/>
      <c r="C195" s="99"/>
      <c r="D195" s="82"/>
      <c r="E195" s="82"/>
      <c r="F195" s="82"/>
      <c r="G195" s="82"/>
      <c r="H195" s="82"/>
      <c r="I195" s="82"/>
      <c r="J195" s="82"/>
      <c r="K195" s="82"/>
    </row>
    <row r="196" spans="1:11" ht="24.75" customHeight="1">
      <c r="A196" s="3" t="s">
        <v>85</v>
      </c>
      <c r="B196" s="38"/>
      <c r="C196" s="84">
        <f>D196+E196</f>
        <v>190028</v>
      </c>
      <c r="D196" s="84">
        <v>190028</v>
      </c>
      <c r="E196" s="84">
        <v>0</v>
      </c>
      <c r="F196" s="40">
        <f>G196+H196</f>
        <v>190028</v>
      </c>
      <c r="G196" s="84">
        <v>190028</v>
      </c>
      <c r="H196" s="40">
        <v>0</v>
      </c>
      <c r="I196" s="40">
        <f>J196+K196</f>
        <v>190028</v>
      </c>
      <c r="J196" s="84">
        <v>190028</v>
      </c>
      <c r="K196" s="40">
        <v>0</v>
      </c>
    </row>
    <row r="197" spans="1:11" ht="16.5">
      <c r="A197" s="4" t="s">
        <v>18</v>
      </c>
      <c r="B197" s="38"/>
      <c r="C197" s="99"/>
      <c r="D197" s="82"/>
      <c r="E197" s="82"/>
      <c r="F197" s="82"/>
      <c r="G197" s="82"/>
      <c r="H197" s="82"/>
      <c r="I197" s="82"/>
      <c r="J197" s="82"/>
      <c r="K197" s="82"/>
    </row>
    <row r="198" spans="1:11" ht="26.25" customHeight="1">
      <c r="A198" s="7" t="s">
        <v>86</v>
      </c>
      <c r="B198" s="38"/>
      <c r="C198" s="115">
        <f>D198+E198</f>
        <v>0.4288841644389248</v>
      </c>
      <c r="D198" s="115">
        <f>+D194/D196*1000</f>
        <v>0.4288841644389248</v>
      </c>
      <c r="E198" s="82">
        <v>0</v>
      </c>
      <c r="F198" s="43">
        <f>G198+H198</f>
        <v>0.45782726756057</v>
      </c>
      <c r="G198" s="115">
        <f>+G194/G196*1000</f>
        <v>0.45782726756057</v>
      </c>
      <c r="H198" s="43">
        <v>0</v>
      </c>
      <c r="I198" s="43">
        <f>J198+K198</f>
        <v>0.48308670301218765</v>
      </c>
      <c r="J198" s="115">
        <f>+J194/J196*1000</f>
        <v>0.48308670301218765</v>
      </c>
      <c r="K198" s="43">
        <v>0</v>
      </c>
    </row>
    <row r="199" spans="1:11" ht="16.5">
      <c r="A199" s="4" t="s">
        <v>17</v>
      </c>
      <c r="B199" s="38"/>
      <c r="C199" s="99"/>
      <c r="D199" s="82"/>
      <c r="E199" s="82"/>
      <c r="F199" s="82"/>
      <c r="G199" s="82"/>
      <c r="H199" s="82"/>
      <c r="I199" s="82"/>
      <c r="J199" s="82"/>
      <c r="K199" s="82"/>
    </row>
    <row r="200" spans="1:11" ht="25.5" customHeight="1">
      <c r="A200" s="7" t="s">
        <v>87</v>
      </c>
      <c r="B200" s="38"/>
      <c r="C200" s="99">
        <f>D200+E200</f>
        <v>100</v>
      </c>
      <c r="D200" s="82">
        <v>100</v>
      </c>
      <c r="E200" s="82">
        <v>0</v>
      </c>
      <c r="F200" s="82">
        <f>G200+H200</f>
        <v>100</v>
      </c>
      <c r="G200" s="82">
        <v>100</v>
      </c>
      <c r="H200" s="82">
        <v>0</v>
      </c>
      <c r="I200" s="82">
        <f>J200+K200</f>
        <v>100</v>
      </c>
      <c r="J200" s="82">
        <v>100</v>
      </c>
      <c r="K200" s="82">
        <v>0</v>
      </c>
    </row>
    <row r="201" spans="1:11" ht="18" customHeight="1">
      <c r="A201" s="168" t="s">
        <v>153</v>
      </c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</row>
    <row r="202" spans="1:11" ht="33" customHeight="1">
      <c r="A202" s="160" t="s">
        <v>111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</row>
    <row r="203" spans="1:11" ht="16.5">
      <c r="A203" s="125" t="s">
        <v>7</v>
      </c>
      <c r="B203" s="126" t="s">
        <v>112</v>
      </c>
      <c r="C203" s="6">
        <f>D203+E203</f>
        <v>66404123</v>
      </c>
      <c r="D203" s="6">
        <f>+D205+D226+D237++D247+D260</f>
        <v>66404123</v>
      </c>
      <c r="E203" s="6">
        <f>+E205+E226+E237++E247</f>
        <v>0</v>
      </c>
      <c r="F203" s="6">
        <f>G203+H203</f>
        <v>68719199</v>
      </c>
      <c r="G203" s="6">
        <f>+G205+G226+G237++G247</f>
        <v>68719199</v>
      </c>
      <c r="H203" s="6">
        <f>+H205+H226+H237++H247</f>
        <v>0</v>
      </c>
      <c r="I203" s="39">
        <f>J203+K203</f>
        <v>72498755</v>
      </c>
      <c r="J203" s="6">
        <f>+J205+J226+J237++J247</f>
        <v>72498755</v>
      </c>
      <c r="K203" s="6">
        <f>+K205+K226+K237++K247</f>
        <v>0</v>
      </c>
    </row>
    <row r="204" spans="1:14" ht="21.75" customHeight="1">
      <c r="A204" s="51" t="s">
        <v>115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N204" s="26"/>
    </row>
    <row r="205" spans="1:14" ht="45.75" customHeight="1">
      <c r="A205" s="5" t="s">
        <v>154</v>
      </c>
      <c r="B205" s="38"/>
      <c r="C205" s="119">
        <f>D205+E205</f>
        <v>563976</v>
      </c>
      <c r="D205" s="119">
        <f>D207+D208++D209</f>
        <v>563976</v>
      </c>
      <c r="E205" s="119">
        <f>E207+E208</f>
        <v>0</v>
      </c>
      <c r="F205" s="121">
        <f>+G205+H205</f>
        <v>601762</v>
      </c>
      <c r="G205" s="119">
        <f>G207+G208++G209</f>
        <v>601762</v>
      </c>
      <c r="H205" s="119">
        <f>H207+H208</f>
        <v>0</v>
      </c>
      <c r="I205" s="119">
        <f>J205+K205</f>
        <v>634859</v>
      </c>
      <c r="J205" s="119">
        <f>J207+J208++J209</f>
        <v>634859</v>
      </c>
      <c r="K205" s="119">
        <f>K207+K208</f>
        <v>0</v>
      </c>
      <c r="N205" s="26"/>
    </row>
    <row r="206" spans="1:14" ht="16.5" customHeight="1">
      <c r="A206" s="31" t="s">
        <v>62</v>
      </c>
      <c r="B206" s="38"/>
      <c r="C206" s="122"/>
      <c r="D206" s="82"/>
      <c r="E206" s="82"/>
      <c r="F206" s="121"/>
      <c r="G206" s="11"/>
      <c r="H206" s="43"/>
      <c r="I206" s="121"/>
      <c r="J206" s="11"/>
      <c r="K206" s="43"/>
      <c r="N206" s="26"/>
    </row>
    <row r="207" spans="1:14" ht="20.25" customHeight="1">
      <c r="A207" s="34" t="s">
        <v>139</v>
      </c>
      <c r="B207" s="38"/>
      <c r="C207" s="82">
        <f>D207</f>
        <v>38400</v>
      </c>
      <c r="D207" s="43">
        <v>38400</v>
      </c>
      <c r="E207" s="43">
        <v>0</v>
      </c>
      <c r="F207" s="66">
        <f>G207+H207</f>
        <v>40973</v>
      </c>
      <c r="G207" s="11">
        <v>40973</v>
      </c>
      <c r="H207" s="43">
        <v>0</v>
      </c>
      <c r="I207" s="66">
        <f>J207+K207</f>
        <v>43227</v>
      </c>
      <c r="J207" s="11">
        <v>43227</v>
      </c>
      <c r="K207" s="43">
        <v>0</v>
      </c>
      <c r="N207" s="26"/>
    </row>
    <row r="208" spans="1:14" ht="30.75" customHeight="1">
      <c r="A208" s="32" t="s">
        <v>71</v>
      </c>
      <c r="B208" s="38"/>
      <c r="C208" s="82">
        <f>D208</f>
        <v>392300</v>
      </c>
      <c r="D208" s="43">
        <v>392300</v>
      </c>
      <c r="E208" s="43">
        <v>0</v>
      </c>
      <c r="F208" s="66">
        <f>G208+H208</f>
        <v>418584</v>
      </c>
      <c r="G208" s="11">
        <v>418584</v>
      </c>
      <c r="H208" s="43">
        <v>0</v>
      </c>
      <c r="I208" s="66">
        <f>J208+K208</f>
        <v>441606</v>
      </c>
      <c r="J208" s="11">
        <v>441606</v>
      </c>
      <c r="K208" s="43">
        <v>0</v>
      </c>
      <c r="N208" s="26"/>
    </row>
    <row r="209" spans="1:14" ht="43.5" customHeight="1">
      <c r="A209" s="92" t="s">
        <v>116</v>
      </c>
      <c r="B209" s="38"/>
      <c r="C209" s="82">
        <f>+D209</f>
        <v>133276</v>
      </c>
      <c r="D209" s="43">
        <f>79436+53840</f>
        <v>133276</v>
      </c>
      <c r="E209" s="43">
        <v>0</v>
      </c>
      <c r="F209" s="66">
        <f>+G209</f>
        <v>142205</v>
      </c>
      <c r="G209" s="11">
        <v>142205</v>
      </c>
      <c r="H209" s="43">
        <v>0</v>
      </c>
      <c r="I209" s="66">
        <f>+J209</f>
        <v>150026</v>
      </c>
      <c r="J209" s="11">
        <v>150026</v>
      </c>
      <c r="K209" s="43">
        <v>0</v>
      </c>
      <c r="N209" s="26"/>
    </row>
    <row r="210" spans="1:14" ht="21.75" customHeight="1">
      <c r="A210" s="4" t="s">
        <v>63</v>
      </c>
      <c r="B210" s="38"/>
      <c r="C210" s="82"/>
      <c r="D210" s="82"/>
      <c r="E210" s="82"/>
      <c r="F210" s="82"/>
      <c r="G210" s="12"/>
      <c r="H210" s="82"/>
      <c r="I210" s="82"/>
      <c r="J210" s="12"/>
      <c r="K210" s="82"/>
      <c r="N210" s="26"/>
    </row>
    <row r="211" spans="1:14" ht="21.75" customHeight="1">
      <c r="A211" s="32" t="s">
        <v>64</v>
      </c>
      <c r="B211" s="38"/>
      <c r="C211" s="40">
        <f>D211</f>
        <v>2</v>
      </c>
      <c r="D211" s="40">
        <v>2</v>
      </c>
      <c r="E211" s="40">
        <v>0</v>
      </c>
      <c r="F211" s="40">
        <f>G211</f>
        <v>2</v>
      </c>
      <c r="G211" s="24">
        <v>2</v>
      </c>
      <c r="H211" s="40">
        <v>0</v>
      </c>
      <c r="I211" s="40">
        <f>J211</f>
        <v>2</v>
      </c>
      <c r="J211" s="24">
        <v>2</v>
      </c>
      <c r="K211" s="40">
        <v>0</v>
      </c>
      <c r="N211" s="26"/>
    </row>
    <row r="212" spans="1:14" ht="39" customHeight="1">
      <c r="A212" s="32" t="s">
        <v>65</v>
      </c>
      <c r="B212" s="38"/>
      <c r="C212" s="40">
        <f>D212</f>
        <v>3270</v>
      </c>
      <c r="D212" s="40">
        <v>3270</v>
      </c>
      <c r="E212" s="40">
        <v>0</v>
      </c>
      <c r="F212" s="40">
        <f>G212</f>
        <v>3270</v>
      </c>
      <c r="G212" s="24">
        <v>3270</v>
      </c>
      <c r="H212" s="40">
        <v>0</v>
      </c>
      <c r="I212" s="40">
        <f>J212</f>
        <v>3270</v>
      </c>
      <c r="J212" s="24">
        <v>3270</v>
      </c>
      <c r="K212" s="40">
        <v>0</v>
      </c>
      <c r="N212" s="26"/>
    </row>
    <row r="213" spans="1:14" ht="33" customHeight="1">
      <c r="A213" s="7" t="s">
        <v>117</v>
      </c>
      <c r="B213" s="38"/>
      <c r="C213" s="40">
        <f>+D213</f>
        <v>190</v>
      </c>
      <c r="D213" s="40">
        <f>182+8</f>
        <v>190</v>
      </c>
      <c r="E213" s="40">
        <v>0</v>
      </c>
      <c r="F213" s="40">
        <f>+G213</f>
        <v>190</v>
      </c>
      <c r="G213" s="24">
        <v>190</v>
      </c>
      <c r="H213" s="40">
        <v>0</v>
      </c>
      <c r="I213" s="40">
        <f>+J213</f>
        <v>190</v>
      </c>
      <c r="J213" s="24">
        <v>190</v>
      </c>
      <c r="K213" s="40">
        <v>0</v>
      </c>
      <c r="N213" s="26"/>
    </row>
    <row r="214" spans="1:14" ht="21.75" customHeight="1">
      <c r="A214" s="4" t="s">
        <v>66</v>
      </c>
      <c r="B214" s="38"/>
      <c r="C214" s="82"/>
      <c r="D214" s="82"/>
      <c r="E214" s="82"/>
      <c r="F214" s="82"/>
      <c r="G214" s="12"/>
      <c r="H214" s="82"/>
      <c r="I214" s="82"/>
      <c r="J214" s="12"/>
      <c r="K214" s="82"/>
      <c r="N214" s="26"/>
    </row>
    <row r="215" spans="1:14" ht="21.75" customHeight="1">
      <c r="A215" s="117" t="s">
        <v>67</v>
      </c>
      <c r="B215" s="38"/>
      <c r="C215" s="43">
        <f>D215</f>
        <v>1600</v>
      </c>
      <c r="D215" s="43">
        <f>D207/D211/12</f>
        <v>1600</v>
      </c>
      <c r="E215" s="43">
        <v>0</v>
      </c>
      <c r="F215" s="43">
        <f>G215</f>
        <v>1707.2083333333333</v>
      </c>
      <c r="G215" s="11">
        <f>+G207/G211/12</f>
        <v>1707.2083333333333</v>
      </c>
      <c r="H215" s="43">
        <v>0</v>
      </c>
      <c r="I215" s="43">
        <f>J215</f>
        <v>1801.125</v>
      </c>
      <c r="J215" s="11">
        <f>J207/J211/12</f>
        <v>1801.125</v>
      </c>
      <c r="K215" s="43">
        <v>0</v>
      </c>
      <c r="N215" s="26"/>
    </row>
    <row r="216" spans="1:14" ht="50.25" customHeight="1">
      <c r="A216" s="32" t="s">
        <v>68</v>
      </c>
      <c r="B216" s="38"/>
      <c r="C216" s="43">
        <f>D216</f>
        <v>119.96941896024465</v>
      </c>
      <c r="D216" s="43">
        <f>D208/D212</f>
        <v>119.96941896024465</v>
      </c>
      <c r="E216" s="43">
        <v>0</v>
      </c>
      <c r="F216" s="43">
        <f>G216</f>
        <v>128.0073394495413</v>
      </c>
      <c r="G216" s="11">
        <f>+G208/G212</f>
        <v>128.0073394495413</v>
      </c>
      <c r="H216" s="43">
        <v>0</v>
      </c>
      <c r="I216" s="43">
        <f>J216</f>
        <v>135.04770642201834</v>
      </c>
      <c r="J216" s="11">
        <f>J208/J212</f>
        <v>135.04770642201834</v>
      </c>
      <c r="K216" s="43">
        <v>0</v>
      </c>
      <c r="N216" s="26"/>
    </row>
    <row r="217" spans="1:14" ht="31.5" customHeight="1">
      <c r="A217" s="7" t="s">
        <v>118</v>
      </c>
      <c r="B217" s="38"/>
      <c r="C217" s="43">
        <f>+D217</f>
        <v>701.4526315789474</v>
      </c>
      <c r="D217" s="43">
        <f>+D209/D213</f>
        <v>701.4526315789474</v>
      </c>
      <c r="E217" s="43">
        <v>0</v>
      </c>
      <c r="F217" s="43">
        <f>+G217</f>
        <v>748.4473684210526</v>
      </c>
      <c r="G217" s="11">
        <f>+G209/G213</f>
        <v>748.4473684210526</v>
      </c>
      <c r="H217" s="43">
        <v>0</v>
      </c>
      <c r="I217" s="43">
        <f>+J217</f>
        <v>789.6105263157895</v>
      </c>
      <c r="J217" s="11">
        <f>J209/J213</f>
        <v>789.6105263157895</v>
      </c>
      <c r="K217" s="43">
        <v>0</v>
      </c>
      <c r="N217" s="26"/>
    </row>
    <row r="218" spans="1:14" ht="18.75" customHeight="1">
      <c r="A218" s="4" t="s">
        <v>69</v>
      </c>
      <c r="B218" s="38"/>
      <c r="C218" s="82"/>
      <c r="D218" s="82"/>
      <c r="E218" s="82"/>
      <c r="F218" s="82"/>
      <c r="G218" s="12"/>
      <c r="H218" s="82"/>
      <c r="I218" s="82"/>
      <c r="J218" s="12"/>
      <c r="K218" s="82"/>
      <c r="N218" s="26"/>
    </row>
    <row r="219" spans="1:14" ht="34.5" customHeight="1">
      <c r="A219" s="7" t="s">
        <v>70</v>
      </c>
      <c r="B219" s="38"/>
      <c r="C219" s="82">
        <f>D219</f>
        <v>100</v>
      </c>
      <c r="D219" s="82">
        <v>100</v>
      </c>
      <c r="E219" s="82">
        <v>0</v>
      </c>
      <c r="F219" s="82">
        <f>G219</f>
        <v>100</v>
      </c>
      <c r="G219" s="12">
        <v>100</v>
      </c>
      <c r="H219" s="82">
        <v>0</v>
      </c>
      <c r="I219" s="82">
        <f>J219</f>
        <v>100</v>
      </c>
      <c r="J219" s="12">
        <v>100</v>
      </c>
      <c r="K219" s="82">
        <v>0</v>
      </c>
      <c r="N219" s="26"/>
    </row>
    <row r="220" spans="1:12" ht="5.25" customHeight="1">
      <c r="A220" s="28"/>
      <c r="B220" s="1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26.25" customHeight="1">
      <c r="A221" s="18"/>
      <c r="B221" s="19"/>
      <c r="C221" s="20"/>
      <c r="D221" s="20"/>
      <c r="E221" s="20"/>
      <c r="F221" s="20"/>
      <c r="G221" s="20"/>
      <c r="H221" s="20"/>
      <c r="I221" s="161" t="s">
        <v>230</v>
      </c>
      <c r="J221" s="161"/>
      <c r="K221" s="161"/>
      <c r="L221" s="20"/>
    </row>
    <row r="222" spans="1:12" ht="14.25">
      <c r="A222" s="21">
        <v>1</v>
      </c>
      <c r="B222" s="22">
        <v>2</v>
      </c>
      <c r="C222" s="23">
        <v>3</v>
      </c>
      <c r="D222" s="23">
        <v>4</v>
      </c>
      <c r="E222" s="23">
        <v>5</v>
      </c>
      <c r="F222" s="23">
        <v>6</v>
      </c>
      <c r="G222" s="23">
        <v>7</v>
      </c>
      <c r="H222" s="23">
        <v>8</v>
      </c>
      <c r="I222" s="23">
        <v>9</v>
      </c>
      <c r="J222" s="23">
        <v>10</v>
      </c>
      <c r="K222" s="23">
        <v>11</v>
      </c>
      <c r="L222" s="30"/>
    </row>
    <row r="223" spans="1:14" ht="36" customHeight="1">
      <c r="A223" s="7" t="s">
        <v>74</v>
      </c>
      <c r="B223" s="38"/>
      <c r="C223" s="82">
        <f>D223</f>
        <v>100</v>
      </c>
      <c r="D223" s="82">
        <v>100</v>
      </c>
      <c r="E223" s="82">
        <v>0</v>
      </c>
      <c r="F223" s="82">
        <f>G223</f>
        <v>100</v>
      </c>
      <c r="G223" s="12">
        <v>100</v>
      </c>
      <c r="H223" s="82">
        <v>0</v>
      </c>
      <c r="I223" s="82">
        <f>J223</f>
        <v>100</v>
      </c>
      <c r="J223" s="12">
        <v>100</v>
      </c>
      <c r="K223" s="82">
        <v>0</v>
      </c>
      <c r="N223" s="26"/>
    </row>
    <row r="224" spans="1:14" ht="30" customHeight="1">
      <c r="A224" s="42" t="s">
        <v>119</v>
      </c>
      <c r="B224" s="38"/>
      <c r="C224" s="82">
        <v>100</v>
      </c>
      <c r="D224" s="82">
        <v>100</v>
      </c>
      <c r="E224" s="82">
        <v>0</v>
      </c>
      <c r="F224" s="82">
        <v>100</v>
      </c>
      <c r="G224" s="12">
        <v>100</v>
      </c>
      <c r="H224" s="82">
        <v>0</v>
      </c>
      <c r="I224" s="82">
        <v>100</v>
      </c>
      <c r="J224" s="12">
        <v>100</v>
      </c>
      <c r="K224" s="82">
        <v>0</v>
      </c>
      <c r="N224" s="26"/>
    </row>
    <row r="225" spans="1:11" ht="21" customHeight="1">
      <c r="A225" s="51" t="s">
        <v>114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</row>
    <row r="226" spans="1:11" ht="30.75" customHeight="1">
      <c r="A226" s="5" t="s">
        <v>155</v>
      </c>
      <c r="B226" s="70"/>
      <c r="C226" s="39">
        <f>D226+E226</f>
        <v>1342557</v>
      </c>
      <c r="D226" s="39">
        <f>1436397-53840-40000</f>
        <v>1342557</v>
      </c>
      <c r="E226" s="39">
        <v>0</v>
      </c>
      <c r="F226" s="6">
        <f>G226+H226</f>
        <v>1432508</v>
      </c>
      <c r="G226" s="6">
        <v>1432508</v>
      </c>
      <c r="H226" s="6">
        <v>0</v>
      </c>
      <c r="I226" s="39">
        <f>J226+K226</f>
        <v>1511296</v>
      </c>
      <c r="J226" s="6">
        <v>1511296</v>
      </c>
      <c r="K226" s="39">
        <v>0</v>
      </c>
    </row>
    <row r="227" spans="1:14" ht="18" customHeight="1">
      <c r="A227" s="3" t="s">
        <v>5</v>
      </c>
      <c r="B227" s="38"/>
      <c r="C227" s="123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3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34.5" customHeight="1">
      <c r="A229" s="87" t="s">
        <v>58</v>
      </c>
      <c r="B229" s="38"/>
      <c r="C229" s="40">
        <f>+D229</f>
        <v>3504</v>
      </c>
      <c r="D229" s="40">
        <f>4105-601</f>
        <v>3504</v>
      </c>
      <c r="E229" s="40">
        <v>0</v>
      </c>
      <c r="F229" s="40">
        <f>+G229</f>
        <v>3504</v>
      </c>
      <c r="G229" s="40">
        <v>3504</v>
      </c>
      <c r="H229" s="84">
        <v>0</v>
      </c>
      <c r="I229" s="40">
        <f>+J229</f>
        <v>3504</v>
      </c>
      <c r="J229" s="40">
        <v>3504</v>
      </c>
      <c r="K229" s="84">
        <v>0</v>
      </c>
      <c r="N229" s="26"/>
    </row>
    <row r="230" spans="1:14" ht="34.5" customHeight="1">
      <c r="A230" s="87" t="s">
        <v>59</v>
      </c>
      <c r="B230" s="38"/>
      <c r="C230" s="40">
        <f>+D230</f>
        <v>24</v>
      </c>
      <c r="D230" s="84">
        <v>24</v>
      </c>
      <c r="E230" s="84">
        <v>0</v>
      </c>
      <c r="F230" s="84">
        <f>+G230</f>
        <v>24</v>
      </c>
      <c r="G230" s="84">
        <v>24</v>
      </c>
      <c r="H230" s="84">
        <v>0</v>
      </c>
      <c r="I230" s="84">
        <f>J230+K230</f>
        <v>24</v>
      </c>
      <c r="J230" s="84">
        <v>24</v>
      </c>
      <c r="K230" s="84">
        <v>0</v>
      </c>
      <c r="N230" s="26"/>
    </row>
    <row r="231" spans="1:14" ht="17.25" customHeight="1">
      <c r="A231" s="79" t="s">
        <v>18</v>
      </c>
      <c r="B231" s="38"/>
      <c r="C231" s="80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2.25" customHeight="1">
      <c r="A232" s="87" t="s">
        <v>60</v>
      </c>
      <c r="B232" s="38"/>
      <c r="C232" s="43">
        <f>D232</f>
        <v>111489.75</v>
      </c>
      <c r="D232" s="43">
        <f>1337877/12</f>
        <v>111489.75</v>
      </c>
      <c r="E232" s="43">
        <v>0</v>
      </c>
      <c r="F232" s="43">
        <f>+G232</f>
        <v>118959.5</v>
      </c>
      <c r="G232" s="43">
        <f>1427514/12</f>
        <v>118959.5</v>
      </c>
      <c r="H232" s="43">
        <v>0</v>
      </c>
      <c r="I232" s="43">
        <f>+J232</f>
        <v>125502.25</v>
      </c>
      <c r="J232" s="11">
        <f>1506027/12</f>
        <v>125502.25</v>
      </c>
      <c r="K232" s="43">
        <v>0</v>
      </c>
      <c r="N232" s="26"/>
    </row>
    <row r="233" spans="1:14" ht="30" customHeight="1">
      <c r="A233" s="7" t="s">
        <v>61</v>
      </c>
      <c r="B233" s="38"/>
      <c r="C233" s="43">
        <f>+D233</f>
        <v>195</v>
      </c>
      <c r="D233" s="43">
        <f>4680/D230</f>
        <v>195</v>
      </c>
      <c r="E233" s="43">
        <v>0</v>
      </c>
      <c r="F233" s="43">
        <f>+G233</f>
        <v>208.08333333333334</v>
      </c>
      <c r="G233" s="11">
        <f>4994/G230</f>
        <v>208.08333333333334</v>
      </c>
      <c r="H233" s="43">
        <v>0</v>
      </c>
      <c r="I233" s="43">
        <f>+J233</f>
        <v>219.54166666666666</v>
      </c>
      <c r="J233" s="11">
        <f>5269/J230</f>
        <v>219.54166666666666</v>
      </c>
      <c r="K233" s="43">
        <v>0</v>
      </c>
      <c r="N233" s="26"/>
    </row>
    <row r="234" spans="1:14" ht="16.5">
      <c r="A234" s="4" t="s">
        <v>140</v>
      </c>
      <c r="B234" s="38"/>
      <c r="C234" s="43"/>
      <c r="D234" s="43"/>
      <c r="E234" s="43"/>
      <c r="F234" s="43"/>
      <c r="G234" s="11"/>
      <c r="H234" s="43"/>
      <c r="I234" s="43"/>
      <c r="J234" s="11"/>
      <c r="K234" s="43"/>
      <c r="N234" s="26"/>
    </row>
    <row r="235" spans="1:14" ht="21.75" customHeight="1">
      <c r="A235" s="81" t="s">
        <v>57</v>
      </c>
      <c r="B235" s="38"/>
      <c r="C235" s="82">
        <f>+D235</f>
        <v>100</v>
      </c>
      <c r="D235" s="82">
        <v>100</v>
      </c>
      <c r="E235" s="82">
        <v>0</v>
      </c>
      <c r="F235" s="82">
        <f>G235+H235</f>
        <v>100</v>
      </c>
      <c r="G235" s="12">
        <v>100</v>
      </c>
      <c r="H235" s="82">
        <v>0</v>
      </c>
      <c r="I235" s="82">
        <f>J235+K235</f>
        <v>100</v>
      </c>
      <c r="J235" s="12">
        <v>100</v>
      </c>
      <c r="K235" s="82">
        <v>0</v>
      </c>
      <c r="N235" s="26"/>
    </row>
    <row r="236" spans="1:11" ht="21.75" customHeight="1">
      <c r="A236" s="51" t="s">
        <v>113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45.75" customHeight="1">
      <c r="A237" s="31" t="s">
        <v>156</v>
      </c>
      <c r="B237" s="32"/>
      <c r="C237" s="39">
        <f>D237+E237</f>
        <v>24508500</v>
      </c>
      <c r="D237" s="11">
        <v>24508500</v>
      </c>
      <c r="E237" s="6">
        <v>0</v>
      </c>
      <c r="F237" s="6">
        <f>+G237</f>
        <v>26150570</v>
      </c>
      <c r="G237" s="11">
        <v>26150570</v>
      </c>
      <c r="H237" s="6">
        <v>0</v>
      </c>
      <c r="I237" s="39">
        <f>J237+K237</f>
        <v>27588851</v>
      </c>
      <c r="J237" s="11">
        <v>27588851</v>
      </c>
      <c r="K237" s="43">
        <v>0</v>
      </c>
    </row>
    <row r="238" spans="1:14" ht="18" customHeight="1">
      <c r="A238" s="3" t="s">
        <v>5</v>
      </c>
      <c r="B238" s="38"/>
      <c r="C238" s="123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15">
      <c r="A239" s="31" t="s">
        <v>6</v>
      </c>
      <c r="B239" s="38"/>
      <c r="C239" s="123"/>
      <c r="D239" s="75"/>
      <c r="E239" s="75"/>
      <c r="F239" s="75"/>
      <c r="G239" s="75"/>
      <c r="H239" s="75"/>
      <c r="I239" s="75"/>
      <c r="J239" s="75"/>
      <c r="K239" s="75"/>
      <c r="N239" s="26"/>
    </row>
    <row r="240" spans="1:14" ht="27.75" customHeight="1">
      <c r="A240" s="77" t="s">
        <v>53</v>
      </c>
      <c r="B240" s="38"/>
      <c r="C240" s="40">
        <f>+D240</f>
        <v>59320</v>
      </c>
      <c r="D240" s="40">
        <v>59320</v>
      </c>
      <c r="E240" s="40">
        <v>0</v>
      </c>
      <c r="F240" s="40">
        <f>+G240</f>
        <v>59320</v>
      </c>
      <c r="G240" s="40">
        <v>59320</v>
      </c>
      <c r="H240" s="84">
        <v>0</v>
      </c>
      <c r="I240" s="84">
        <f>+J240</f>
        <v>59320</v>
      </c>
      <c r="J240" s="84">
        <v>59320</v>
      </c>
      <c r="K240" s="84">
        <v>0</v>
      </c>
      <c r="N240" s="26"/>
    </row>
    <row r="241" spans="1:14" ht="27.75" customHeight="1">
      <c r="A241" s="77" t="s">
        <v>54</v>
      </c>
      <c r="B241" s="38"/>
      <c r="C241" s="84">
        <v>1</v>
      </c>
      <c r="D241" s="84">
        <v>1</v>
      </c>
      <c r="E241" s="84">
        <v>0</v>
      </c>
      <c r="F241" s="84">
        <f>+G241</f>
        <v>1</v>
      </c>
      <c r="G241" s="84">
        <v>1</v>
      </c>
      <c r="H241" s="84">
        <v>0</v>
      </c>
      <c r="I241" s="84">
        <f>+J241</f>
        <v>1</v>
      </c>
      <c r="J241" s="84">
        <v>1</v>
      </c>
      <c r="K241" s="84">
        <v>0</v>
      </c>
      <c r="N241" s="26"/>
    </row>
    <row r="242" spans="1:14" ht="17.25" customHeight="1">
      <c r="A242" s="79" t="s">
        <v>18</v>
      </c>
      <c r="B242" s="38"/>
      <c r="C242" s="124"/>
      <c r="D242" s="80"/>
      <c r="E242" s="80"/>
      <c r="F242" s="80"/>
      <c r="G242" s="80"/>
      <c r="H242" s="80"/>
      <c r="I242" s="80"/>
      <c r="J242" s="80"/>
      <c r="K242" s="80"/>
      <c r="N242" s="26"/>
    </row>
    <row r="243" spans="1:14" ht="30">
      <c r="A243" s="81" t="s">
        <v>55</v>
      </c>
      <c r="B243" s="38"/>
      <c r="C243" s="43">
        <f>D243+E243</f>
        <v>2042375</v>
      </c>
      <c r="D243" s="43">
        <f>+D237/12</f>
        <v>2042375</v>
      </c>
      <c r="E243" s="43">
        <v>0</v>
      </c>
      <c r="F243" s="43">
        <f>G243+H243</f>
        <v>2179214.1666666665</v>
      </c>
      <c r="G243" s="43">
        <f>+G237/12</f>
        <v>2179214.1666666665</v>
      </c>
      <c r="H243" s="43">
        <v>0</v>
      </c>
      <c r="I243" s="43">
        <f>J243+K243</f>
        <v>2299070.9166666665</v>
      </c>
      <c r="J243" s="43">
        <f>+J237/12</f>
        <v>2299070.9166666665</v>
      </c>
      <c r="K243" s="43">
        <v>0</v>
      </c>
      <c r="N243" s="26"/>
    </row>
    <row r="244" spans="1:14" ht="16.5">
      <c r="A244" s="4" t="s">
        <v>17</v>
      </c>
      <c r="B244" s="38"/>
      <c r="C244" s="43"/>
      <c r="D244" s="43"/>
      <c r="E244" s="43"/>
      <c r="F244" s="43"/>
      <c r="G244" s="11"/>
      <c r="H244" s="43"/>
      <c r="I244" s="43"/>
      <c r="J244" s="11"/>
      <c r="K244" s="43"/>
      <c r="N244" s="26"/>
    </row>
    <row r="245" spans="1:14" ht="21.75" customHeight="1">
      <c r="A245" s="81" t="s">
        <v>16</v>
      </c>
      <c r="B245" s="38"/>
      <c r="C245" s="82">
        <f>+D245</f>
        <v>100</v>
      </c>
      <c r="D245" s="82">
        <v>100</v>
      </c>
      <c r="E245" s="82">
        <v>0</v>
      </c>
      <c r="F245" s="82">
        <f>G245+H245</f>
        <v>100</v>
      </c>
      <c r="G245" s="12">
        <v>100</v>
      </c>
      <c r="H245" s="82">
        <v>0</v>
      </c>
      <c r="I245" s="82">
        <f>J245+K245</f>
        <v>100</v>
      </c>
      <c r="J245" s="12">
        <v>100</v>
      </c>
      <c r="K245" s="82">
        <v>0</v>
      </c>
      <c r="N245" s="26"/>
    </row>
    <row r="246" spans="1:11" ht="21.75" customHeight="1">
      <c r="A246" s="51" t="s">
        <v>98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1:11" ht="30.75" customHeight="1">
      <c r="A247" s="31" t="s">
        <v>197</v>
      </c>
      <c r="B247" s="70"/>
      <c r="C247" s="39">
        <f>D247+E247</f>
        <v>37989090</v>
      </c>
      <c r="D247" s="39">
        <v>37989090</v>
      </c>
      <c r="E247" s="39">
        <v>0</v>
      </c>
      <c r="F247" s="121">
        <f>G247+H247</f>
        <v>40534359</v>
      </c>
      <c r="G247" s="121">
        <v>40534359</v>
      </c>
      <c r="H247" s="6">
        <v>0</v>
      </c>
      <c r="I247" s="6">
        <f>J247+K247</f>
        <v>42763749</v>
      </c>
      <c r="J247" s="6">
        <v>42763749</v>
      </c>
      <c r="K247" s="6">
        <v>0</v>
      </c>
    </row>
    <row r="248" spans="1:14" ht="18" customHeight="1">
      <c r="A248" s="3" t="s">
        <v>5</v>
      </c>
      <c r="B248" s="38"/>
      <c r="C248" s="123"/>
      <c r="D248" s="75"/>
      <c r="E248" s="75"/>
      <c r="F248" s="75"/>
      <c r="G248" s="75"/>
      <c r="H248" s="75"/>
      <c r="I248" s="75"/>
      <c r="J248" s="75"/>
      <c r="K248" s="75"/>
      <c r="N248" s="26"/>
    </row>
    <row r="249" spans="1:14" ht="15">
      <c r="A249" s="31" t="s">
        <v>6</v>
      </c>
      <c r="B249" s="38"/>
      <c r="C249" s="123"/>
      <c r="D249" s="75"/>
      <c r="E249" s="75"/>
      <c r="F249" s="75"/>
      <c r="G249" s="75"/>
      <c r="H249" s="75"/>
      <c r="I249" s="75"/>
      <c r="J249" s="75"/>
      <c r="K249" s="75"/>
      <c r="N249" s="26"/>
    </row>
    <row r="250" spans="1:14" ht="27.75" customHeight="1">
      <c r="A250" s="77" t="s">
        <v>56</v>
      </c>
      <c r="B250" s="38"/>
      <c r="C250" s="40">
        <f>+D250</f>
        <v>59320</v>
      </c>
      <c r="D250" s="40">
        <v>59320</v>
      </c>
      <c r="E250" s="40">
        <v>0</v>
      </c>
      <c r="F250" s="40">
        <f>+G250</f>
        <v>59320</v>
      </c>
      <c r="G250" s="40">
        <v>59320</v>
      </c>
      <c r="H250" s="84">
        <v>0</v>
      </c>
      <c r="I250" s="40">
        <f>J250+K250</f>
        <v>59320</v>
      </c>
      <c r="J250" s="40">
        <v>59320</v>
      </c>
      <c r="K250" s="84">
        <v>0</v>
      </c>
      <c r="N250" s="26"/>
    </row>
    <row r="251" spans="1:14" ht="30.75" customHeight="1">
      <c r="A251" s="77" t="s">
        <v>54</v>
      </c>
      <c r="B251" s="38"/>
      <c r="C251" s="84">
        <v>1</v>
      </c>
      <c r="D251" s="84">
        <v>1</v>
      </c>
      <c r="E251" s="84">
        <v>0</v>
      </c>
      <c r="F251" s="84">
        <f>+G251</f>
        <v>1</v>
      </c>
      <c r="G251" s="84">
        <v>1</v>
      </c>
      <c r="H251" s="84">
        <v>0</v>
      </c>
      <c r="I251" s="84">
        <f>+J251</f>
        <v>1</v>
      </c>
      <c r="J251" s="84">
        <v>1</v>
      </c>
      <c r="K251" s="84">
        <v>0</v>
      </c>
      <c r="N251" s="26"/>
    </row>
    <row r="252" spans="1:14" ht="17.25" customHeight="1">
      <c r="A252" s="79" t="s">
        <v>18</v>
      </c>
      <c r="B252" s="38"/>
      <c r="C252" s="124"/>
      <c r="D252" s="80"/>
      <c r="E252" s="80"/>
      <c r="F252" s="124"/>
      <c r="G252" s="80"/>
      <c r="H252" s="80"/>
      <c r="I252" s="124"/>
      <c r="J252" s="80"/>
      <c r="K252" s="80"/>
      <c r="N252" s="26"/>
    </row>
    <row r="253" spans="1:14" ht="30">
      <c r="A253" s="81" t="s">
        <v>217</v>
      </c>
      <c r="B253" s="38"/>
      <c r="C253" s="43">
        <f>D253+E253</f>
        <v>3165757.5</v>
      </c>
      <c r="D253" s="43">
        <f>D247/12</f>
        <v>3165757.5</v>
      </c>
      <c r="E253" s="43">
        <v>0</v>
      </c>
      <c r="F253" s="43">
        <f>G253+H253</f>
        <v>3377863.25</v>
      </c>
      <c r="G253" s="43">
        <f>G247/12</f>
        <v>3377863.25</v>
      </c>
      <c r="H253" s="43">
        <v>0</v>
      </c>
      <c r="I253" s="43">
        <f>J253+K253</f>
        <v>3563645.75</v>
      </c>
      <c r="J253" s="11">
        <f>J247/12</f>
        <v>3563645.75</v>
      </c>
      <c r="K253" s="43">
        <v>0</v>
      </c>
      <c r="N253" s="26"/>
    </row>
    <row r="254" spans="1:12" ht="8.25" customHeight="1">
      <c r="A254" s="28"/>
      <c r="B254" s="1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26.25" customHeight="1">
      <c r="A255" s="18"/>
      <c r="B255" s="19"/>
      <c r="C255" s="20"/>
      <c r="D255" s="20"/>
      <c r="E255" s="20"/>
      <c r="F255" s="20"/>
      <c r="G255" s="20"/>
      <c r="H255" s="20"/>
      <c r="I255" s="161" t="s">
        <v>230</v>
      </c>
      <c r="J255" s="161"/>
      <c r="K255" s="161"/>
      <c r="L255" s="20"/>
    </row>
    <row r="256" spans="1:12" ht="14.25">
      <c r="A256" s="21">
        <v>1</v>
      </c>
      <c r="B256" s="22">
        <v>2</v>
      </c>
      <c r="C256" s="23">
        <v>3</v>
      </c>
      <c r="D256" s="23">
        <v>4</v>
      </c>
      <c r="E256" s="23">
        <v>5</v>
      </c>
      <c r="F256" s="23">
        <v>6</v>
      </c>
      <c r="G256" s="23">
        <v>7</v>
      </c>
      <c r="H256" s="23">
        <v>8</v>
      </c>
      <c r="I256" s="23">
        <v>9</v>
      </c>
      <c r="J256" s="23">
        <v>10</v>
      </c>
      <c r="K256" s="23">
        <v>11</v>
      </c>
      <c r="L256" s="30"/>
    </row>
    <row r="257" spans="1:14" ht="16.5">
      <c r="A257" s="4" t="s">
        <v>17</v>
      </c>
      <c r="B257" s="38"/>
      <c r="C257" s="43"/>
      <c r="D257" s="43"/>
      <c r="E257" s="43"/>
      <c r="F257" s="43"/>
      <c r="G257" s="11"/>
      <c r="H257" s="43"/>
      <c r="I257" s="43"/>
      <c r="J257" s="11"/>
      <c r="K257" s="43"/>
      <c r="N257" s="26"/>
    </row>
    <row r="258" spans="1:14" ht="18" customHeight="1">
      <c r="A258" s="81" t="s">
        <v>16</v>
      </c>
      <c r="B258" s="38"/>
      <c r="C258" s="82">
        <f>+D258</f>
        <v>100</v>
      </c>
      <c r="D258" s="82">
        <v>100</v>
      </c>
      <c r="E258" s="82">
        <v>0</v>
      </c>
      <c r="F258" s="82">
        <f>G258+H258</f>
        <v>100</v>
      </c>
      <c r="G258" s="12">
        <v>100</v>
      </c>
      <c r="H258" s="82">
        <v>0</v>
      </c>
      <c r="I258" s="82">
        <f>J258+K258</f>
        <v>100</v>
      </c>
      <c r="J258" s="12">
        <v>100</v>
      </c>
      <c r="K258" s="82">
        <v>0</v>
      </c>
      <c r="N258" s="26"/>
    </row>
    <row r="259" spans="1:11" ht="21.75" customHeight="1">
      <c r="A259" s="51" t="s">
        <v>215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</row>
    <row r="260" spans="1:11" ht="45" customHeight="1">
      <c r="A260" s="31" t="s">
        <v>216</v>
      </c>
      <c r="B260" s="70"/>
      <c r="C260" s="39">
        <f>D260+E260</f>
        <v>2000000</v>
      </c>
      <c r="D260" s="39">
        <v>2000000</v>
      </c>
      <c r="E260" s="39">
        <v>0</v>
      </c>
      <c r="F260" s="121">
        <f>G260+H260</f>
        <v>0</v>
      </c>
      <c r="G260" s="121">
        <v>0</v>
      </c>
      <c r="H260" s="6">
        <v>0</v>
      </c>
      <c r="I260" s="6">
        <f>J260+K260</f>
        <v>0</v>
      </c>
      <c r="J260" s="6">
        <v>0</v>
      </c>
      <c r="K260" s="6">
        <v>0</v>
      </c>
    </row>
    <row r="261" spans="1:14" ht="18" customHeight="1">
      <c r="A261" s="3" t="s">
        <v>5</v>
      </c>
      <c r="B261" s="38"/>
      <c r="C261" s="123"/>
      <c r="D261" s="75"/>
      <c r="E261" s="75"/>
      <c r="F261" s="75"/>
      <c r="G261" s="75"/>
      <c r="H261" s="75"/>
      <c r="I261" s="75"/>
      <c r="J261" s="75"/>
      <c r="K261" s="75"/>
      <c r="N261" s="26"/>
    </row>
    <row r="262" spans="1:14" ht="15">
      <c r="A262" s="31" t="s">
        <v>6</v>
      </c>
      <c r="B262" s="38"/>
      <c r="C262" s="123"/>
      <c r="D262" s="75"/>
      <c r="E262" s="75"/>
      <c r="F262" s="75"/>
      <c r="G262" s="75"/>
      <c r="H262" s="75"/>
      <c r="I262" s="75"/>
      <c r="J262" s="75"/>
      <c r="K262" s="75"/>
      <c r="N262" s="26"/>
    </row>
    <row r="263" spans="1:14" ht="27.75" customHeight="1">
      <c r="A263" s="87" t="s">
        <v>218</v>
      </c>
      <c r="B263" s="38"/>
      <c r="C263" s="40">
        <f>+D263</f>
        <v>59320</v>
      </c>
      <c r="D263" s="40">
        <v>59320</v>
      </c>
      <c r="E263" s="40">
        <v>0</v>
      </c>
      <c r="F263" s="40">
        <f>+G263</f>
        <v>0</v>
      </c>
      <c r="G263" s="40">
        <v>0</v>
      </c>
      <c r="H263" s="84">
        <v>0</v>
      </c>
      <c r="I263" s="40">
        <v>0</v>
      </c>
      <c r="J263" s="40">
        <v>0</v>
      </c>
      <c r="K263" s="84">
        <v>0</v>
      </c>
      <c r="N263" s="26"/>
    </row>
    <row r="264" spans="1:14" ht="30.75" customHeight="1">
      <c r="A264" s="87" t="s">
        <v>54</v>
      </c>
      <c r="B264" s="38"/>
      <c r="C264" s="84">
        <v>1</v>
      </c>
      <c r="D264" s="84">
        <v>1</v>
      </c>
      <c r="E264" s="84">
        <v>0</v>
      </c>
      <c r="F264" s="84">
        <f>+G264</f>
        <v>0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N264" s="26"/>
    </row>
    <row r="265" spans="1:14" ht="17.25" customHeight="1">
      <c r="A265" s="79" t="s">
        <v>18</v>
      </c>
      <c r="B265" s="38"/>
      <c r="C265" s="124"/>
      <c r="D265" s="80"/>
      <c r="E265" s="80"/>
      <c r="F265" s="124"/>
      <c r="G265" s="80"/>
      <c r="H265" s="80"/>
      <c r="I265" s="124"/>
      <c r="J265" s="80"/>
      <c r="K265" s="80"/>
      <c r="N265" s="26"/>
    </row>
    <row r="266" spans="1:14" ht="30">
      <c r="A266" s="81" t="s">
        <v>219</v>
      </c>
      <c r="B266" s="38"/>
      <c r="C266" s="43">
        <f>D266+E266</f>
        <v>166666.66666666666</v>
      </c>
      <c r="D266" s="43">
        <f>D260/12</f>
        <v>166666.66666666666</v>
      </c>
      <c r="E266" s="43">
        <v>0</v>
      </c>
      <c r="F266" s="43">
        <f>G266+H266</f>
        <v>0</v>
      </c>
      <c r="G266" s="43">
        <f>G260/12</f>
        <v>0</v>
      </c>
      <c r="H266" s="43">
        <v>0</v>
      </c>
      <c r="I266" s="43">
        <f>J266+K266</f>
        <v>0</v>
      </c>
      <c r="J266" s="11">
        <f>J260/12</f>
        <v>0</v>
      </c>
      <c r="K266" s="43">
        <v>0</v>
      </c>
      <c r="N266" s="26"/>
    </row>
    <row r="267" spans="1:14" ht="16.5">
      <c r="A267" s="4" t="s">
        <v>17</v>
      </c>
      <c r="B267" s="38"/>
      <c r="C267" s="43"/>
      <c r="D267" s="43"/>
      <c r="E267" s="43"/>
      <c r="F267" s="43"/>
      <c r="G267" s="11"/>
      <c r="H267" s="43"/>
      <c r="I267" s="43"/>
      <c r="J267" s="11"/>
      <c r="K267" s="43"/>
      <c r="N267" s="26"/>
    </row>
    <row r="268" spans="1:14" ht="18" customHeight="1">
      <c r="A268" s="81" t="s">
        <v>16</v>
      </c>
      <c r="B268" s="38"/>
      <c r="C268" s="82">
        <f>+D268</f>
        <v>100</v>
      </c>
      <c r="D268" s="82">
        <v>100</v>
      </c>
      <c r="E268" s="82">
        <v>0</v>
      </c>
      <c r="F268" s="82">
        <f>G268+H268</f>
        <v>0</v>
      </c>
      <c r="G268" s="12">
        <v>0</v>
      </c>
      <c r="H268" s="82">
        <v>0</v>
      </c>
      <c r="I268" s="82">
        <f>J268+K268</f>
        <v>0</v>
      </c>
      <c r="J268" s="12">
        <v>0</v>
      </c>
      <c r="K268" s="82">
        <v>0</v>
      </c>
      <c r="N268" s="26"/>
    </row>
    <row r="269" spans="1:14" ht="18" customHeight="1">
      <c r="A269" s="51" t="s">
        <v>179</v>
      </c>
      <c r="B269" s="52" t="s">
        <v>180</v>
      </c>
      <c r="C269" s="82"/>
      <c r="D269" s="82"/>
      <c r="E269" s="82"/>
      <c r="F269" s="82"/>
      <c r="G269" s="12"/>
      <c r="H269" s="82"/>
      <c r="I269" s="82"/>
      <c r="J269" s="12"/>
      <c r="K269" s="82"/>
      <c r="N269" s="26"/>
    </row>
    <row r="270" spans="1:14" ht="18" customHeight="1">
      <c r="A270" s="4" t="s">
        <v>51</v>
      </c>
      <c r="B270" s="38"/>
      <c r="C270" s="82"/>
      <c r="D270" s="82"/>
      <c r="E270" s="82"/>
      <c r="F270" s="82"/>
      <c r="G270" s="12"/>
      <c r="H270" s="82"/>
      <c r="I270" s="82"/>
      <c r="J270" s="12"/>
      <c r="K270" s="82"/>
      <c r="N270" s="26"/>
    </row>
    <row r="271" spans="1:14" ht="32.25" customHeight="1">
      <c r="A271" s="159" t="s">
        <v>181</v>
      </c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54"/>
      <c r="N271" s="26"/>
    </row>
    <row r="272" spans="1:14" ht="26.25" customHeight="1">
      <c r="A272" s="158" t="s">
        <v>182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55"/>
      <c r="N272" s="26"/>
    </row>
    <row r="273" spans="1:14" ht="18" customHeight="1">
      <c r="A273" s="33" t="s">
        <v>7</v>
      </c>
      <c r="B273" s="38"/>
      <c r="C273" s="82"/>
      <c r="D273" s="82"/>
      <c r="E273" s="82"/>
      <c r="F273" s="82"/>
      <c r="G273" s="12"/>
      <c r="H273" s="82"/>
      <c r="I273" s="82"/>
      <c r="J273" s="12"/>
      <c r="K273" s="82"/>
      <c r="N273" s="26"/>
    </row>
    <row r="274" spans="1:14" ht="66" customHeight="1">
      <c r="A274" s="56" t="s">
        <v>183</v>
      </c>
      <c r="B274" s="38"/>
      <c r="C274" s="57">
        <f>+D274+E274</f>
        <v>1743118</v>
      </c>
      <c r="D274" s="58">
        <v>1743118</v>
      </c>
      <c r="E274" s="58">
        <v>0</v>
      </c>
      <c r="F274" s="57">
        <f>G274+H274</f>
        <v>1859907</v>
      </c>
      <c r="G274" s="59">
        <f>+ROUND(D274*1.067,0)</f>
        <v>1859907</v>
      </c>
      <c r="H274" s="59">
        <v>0</v>
      </c>
      <c r="I274" s="57">
        <f>J274+K274</f>
        <v>1962202</v>
      </c>
      <c r="J274" s="59">
        <f>+ROUND(G274*1.055,0)</f>
        <v>1962202</v>
      </c>
      <c r="K274" s="59">
        <v>0</v>
      </c>
      <c r="N274" s="26"/>
    </row>
    <row r="275" spans="1:14" ht="18" customHeight="1">
      <c r="A275" s="3" t="s">
        <v>5</v>
      </c>
      <c r="B275" s="38"/>
      <c r="C275" s="57"/>
      <c r="D275" s="82"/>
      <c r="E275" s="82"/>
      <c r="F275" s="57"/>
      <c r="G275" s="12"/>
      <c r="H275" s="82"/>
      <c r="I275" s="57"/>
      <c r="J275" s="12"/>
      <c r="K275" s="82"/>
      <c r="N275" s="26"/>
    </row>
    <row r="276" spans="1:14" ht="18" customHeight="1">
      <c r="A276" s="31" t="s">
        <v>6</v>
      </c>
      <c r="B276" s="38"/>
      <c r="C276" s="57"/>
      <c r="D276" s="82"/>
      <c r="E276" s="82"/>
      <c r="F276" s="57"/>
      <c r="G276" s="12"/>
      <c r="H276" s="82"/>
      <c r="I276" s="57"/>
      <c r="J276" s="12"/>
      <c r="K276" s="82"/>
      <c r="N276" s="26"/>
    </row>
    <row r="277" spans="1:14" ht="18" customHeight="1">
      <c r="A277" s="145" t="s">
        <v>189</v>
      </c>
      <c r="B277" s="38"/>
      <c r="C277" s="63">
        <f aca="true" t="shared" si="9" ref="C277:C295">+D277+E277</f>
        <v>250</v>
      </c>
      <c r="D277" s="63">
        <v>250</v>
      </c>
      <c r="E277" s="63">
        <v>0</v>
      </c>
      <c r="F277" s="63">
        <f aca="true" t="shared" si="10" ref="F277:F295">G277+H277</f>
        <v>250</v>
      </c>
      <c r="G277" s="64">
        <v>250</v>
      </c>
      <c r="H277" s="63">
        <v>0</v>
      </c>
      <c r="I277" s="63">
        <f aca="true" t="shared" si="11" ref="I277:I295">J277+K277</f>
        <v>250</v>
      </c>
      <c r="J277" s="64">
        <v>250</v>
      </c>
      <c r="K277" s="63">
        <v>0</v>
      </c>
      <c r="N277" s="26"/>
    </row>
    <row r="278" spans="1:14" ht="28.5" customHeight="1">
      <c r="A278" s="61" t="s">
        <v>184</v>
      </c>
      <c r="B278" s="38"/>
      <c r="C278" s="63">
        <f t="shared" si="9"/>
        <v>679</v>
      </c>
      <c r="D278" s="63">
        <f>+D279+D280+D281+D282+D283</f>
        <v>679</v>
      </c>
      <c r="E278" s="63">
        <v>0</v>
      </c>
      <c r="F278" s="63">
        <f t="shared" si="10"/>
        <v>679</v>
      </c>
      <c r="G278" s="63">
        <f>+G279+G280+G281+G282+G283</f>
        <v>679</v>
      </c>
      <c r="H278" s="63">
        <v>0</v>
      </c>
      <c r="I278" s="63">
        <f t="shared" si="11"/>
        <v>679</v>
      </c>
      <c r="J278" s="63">
        <f>+J279+J280+J281+J282+J283</f>
        <v>679</v>
      </c>
      <c r="K278" s="63">
        <v>0</v>
      </c>
      <c r="N278" s="26"/>
    </row>
    <row r="279" spans="1:14" ht="15.75" customHeight="1">
      <c r="A279" s="60" t="s">
        <v>185</v>
      </c>
      <c r="B279" s="38"/>
      <c r="C279" s="63">
        <f t="shared" si="9"/>
        <v>309</v>
      </c>
      <c r="D279" s="63">
        <f>125+184</f>
        <v>309</v>
      </c>
      <c r="E279" s="63">
        <v>0</v>
      </c>
      <c r="F279" s="63">
        <f t="shared" si="10"/>
        <v>309</v>
      </c>
      <c r="G279" s="64">
        <v>309</v>
      </c>
      <c r="H279" s="63">
        <v>0</v>
      </c>
      <c r="I279" s="63">
        <f t="shared" si="11"/>
        <v>309</v>
      </c>
      <c r="J279" s="64">
        <v>309</v>
      </c>
      <c r="K279" s="63">
        <v>0</v>
      </c>
      <c r="N279" s="26"/>
    </row>
    <row r="280" spans="1:14" ht="15.75" customHeight="1">
      <c r="A280" s="60" t="s">
        <v>186</v>
      </c>
      <c r="B280" s="38"/>
      <c r="C280" s="63">
        <f t="shared" si="9"/>
        <v>332</v>
      </c>
      <c r="D280" s="63">
        <f>186+146</f>
        <v>332</v>
      </c>
      <c r="E280" s="63">
        <v>0</v>
      </c>
      <c r="F280" s="63">
        <f t="shared" si="10"/>
        <v>332</v>
      </c>
      <c r="G280" s="64">
        <v>332</v>
      </c>
      <c r="H280" s="63">
        <v>0</v>
      </c>
      <c r="I280" s="63">
        <f t="shared" si="11"/>
        <v>332</v>
      </c>
      <c r="J280" s="64">
        <v>332</v>
      </c>
      <c r="K280" s="63">
        <v>0</v>
      </c>
      <c r="N280" s="26"/>
    </row>
    <row r="281" spans="1:14" ht="15.75" customHeight="1">
      <c r="A281" s="60" t="s">
        <v>187</v>
      </c>
      <c r="B281" s="38"/>
      <c r="C281" s="63">
        <f t="shared" si="9"/>
        <v>2</v>
      </c>
      <c r="D281" s="63">
        <v>2</v>
      </c>
      <c r="E281" s="63">
        <v>0</v>
      </c>
      <c r="F281" s="63">
        <f t="shared" si="10"/>
        <v>2</v>
      </c>
      <c r="G281" s="64">
        <v>2</v>
      </c>
      <c r="H281" s="63">
        <v>0</v>
      </c>
      <c r="I281" s="63">
        <f t="shared" si="11"/>
        <v>2</v>
      </c>
      <c r="J281" s="64">
        <v>2</v>
      </c>
      <c r="K281" s="63">
        <v>0</v>
      </c>
      <c r="N281" s="26"/>
    </row>
    <row r="282" spans="1:14" ht="15.75" customHeight="1">
      <c r="A282" s="60" t="s">
        <v>188</v>
      </c>
      <c r="B282" s="38"/>
      <c r="C282" s="63">
        <f t="shared" si="9"/>
        <v>35</v>
      </c>
      <c r="D282" s="63">
        <f>15+20</f>
        <v>35</v>
      </c>
      <c r="E282" s="63">
        <v>0</v>
      </c>
      <c r="F282" s="63">
        <f t="shared" si="10"/>
        <v>35</v>
      </c>
      <c r="G282" s="64">
        <f>15+20</f>
        <v>35</v>
      </c>
      <c r="H282" s="63">
        <v>0</v>
      </c>
      <c r="I282" s="63">
        <f t="shared" si="11"/>
        <v>35</v>
      </c>
      <c r="J282" s="64">
        <f>20+15</f>
        <v>35</v>
      </c>
      <c r="K282" s="63">
        <v>0</v>
      </c>
      <c r="N282" s="26"/>
    </row>
    <row r="283" spans="1:14" ht="48.75" customHeight="1">
      <c r="A283" s="61" t="s">
        <v>198</v>
      </c>
      <c r="B283" s="38"/>
      <c r="C283" s="63">
        <f t="shared" si="9"/>
        <v>1</v>
      </c>
      <c r="D283" s="63">
        <v>1</v>
      </c>
      <c r="E283" s="63">
        <v>0</v>
      </c>
      <c r="F283" s="63">
        <f t="shared" si="10"/>
        <v>1</v>
      </c>
      <c r="G283" s="64">
        <v>1</v>
      </c>
      <c r="H283" s="63">
        <v>0</v>
      </c>
      <c r="I283" s="63">
        <f t="shared" si="11"/>
        <v>1</v>
      </c>
      <c r="J283" s="64">
        <v>1</v>
      </c>
      <c r="K283" s="63">
        <v>0</v>
      </c>
      <c r="N283" s="26"/>
    </row>
    <row r="284" spans="1:14" ht="18" customHeight="1">
      <c r="A284" s="31" t="s">
        <v>18</v>
      </c>
      <c r="B284" s="38"/>
      <c r="C284" s="191"/>
      <c r="D284" s="155"/>
      <c r="E284" s="155"/>
      <c r="F284" s="191"/>
      <c r="G284" s="156"/>
      <c r="H284" s="155"/>
      <c r="I284" s="191"/>
      <c r="J284" s="156"/>
      <c r="K284" s="155"/>
      <c r="N284" s="26"/>
    </row>
    <row r="285" spans="1:14" ht="30.75" customHeight="1">
      <c r="A285" s="61" t="s">
        <v>205</v>
      </c>
      <c r="B285" s="38"/>
      <c r="C285" s="65">
        <f t="shared" si="9"/>
        <v>213.9320078546883</v>
      </c>
      <c r="D285" s="65">
        <f>+D274/D278/12</f>
        <v>213.9320078546883</v>
      </c>
      <c r="E285" s="65">
        <v>0</v>
      </c>
      <c r="F285" s="65">
        <f t="shared" si="10"/>
        <v>228.26546391752575</v>
      </c>
      <c r="G285" s="65">
        <f>+G274/G278/12</f>
        <v>228.26546391752575</v>
      </c>
      <c r="H285" s="65">
        <v>0</v>
      </c>
      <c r="I285" s="65">
        <f t="shared" si="11"/>
        <v>240.82007854688266</v>
      </c>
      <c r="J285" s="65">
        <f>+J274/J278/12</f>
        <v>240.82007854688266</v>
      </c>
      <c r="K285" s="65">
        <v>0</v>
      </c>
      <c r="N285" s="26"/>
    </row>
    <row r="286" spans="1:14" ht="16.5" customHeight="1">
      <c r="A286" s="60" t="s">
        <v>185</v>
      </c>
      <c r="B286" s="38"/>
      <c r="C286" s="65">
        <f t="shared" si="9"/>
        <v>256.9118122977346</v>
      </c>
      <c r="D286" s="65">
        <f>+(443685+508944)/12/D279</f>
        <v>256.9118122977346</v>
      </c>
      <c r="E286" s="65">
        <v>0</v>
      </c>
      <c r="F286" s="65">
        <f t="shared" si="10"/>
        <v>274.12490372168287</v>
      </c>
      <c r="G286" s="65">
        <f>+(443685+508944)*1.067/12/G279</f>
        <v>274.12490372168287</v>
      </c>
      <c r="H286" s="65">
        <v>0</v>
      </c>
      <c r="I286" s="65">
        <f>J286+K286</f>
        <v>289.2017734263754</v>
      </c>
      <c r="J286" s="65">
        <f>+(443685+508944)*1.067*1.055/12/J279</f>
        <v>289.2017734263754</v>
      </c>
      <c r="K286" s="65">
        <v>0</v>
      </c>
      <c r="N286" s="26"/>
    </row>
    <row r="287" spans="1:14" ht="16.5" customHeight="1">
      <c r="A287" s="60" t="s">
        <v>186</v>
      </c>
      <c r="B287" s="38"/>
      <c r="C287" s="65">
        <f t="shared" si="9"/>
        <v>178.05170682730923</v>
      </c>
      <c r="D287" s="65">
        <f>+(440128+269230)/12/D280</f>
        <v>178.05170682730923</v>
      </c>
      <c r="E287" s="65">
        <v>0</v>
      </c>
      <c r="F287" s="65">
        <f t="shared" si="10"/>
        <v>189.98117118473894</v>
      </c>
      <c r="G287" s="65">
        <f>+(440128+269230)*1.067/12/G280</f>
        <v>189.98117118473894</v>
      </c>
      <c r="H287" s="65">
        <v>0</v>
      </c>
      <c r="I287" s="65">
        <f t="shared" si="11"/>
        <v>200.43013559989956</v>
      </c>
      <c r="J287" s="65">
        <f>+(440128+269230)*1.067*1.055/12/J280</f>
        <v>200.43013559989956</v>
      </c>
      <c r="K287" s="65">
        <v>0</v>
      </c>
      <c r="N287" s="26"/>
    </row>
    <row r="288" spans="1:14" ht="16.5" customHeight="1">
      <c r="A288" s="60" t="s">
        <v>187</v>
      </c>
      <c r="B288" s="38"/>
      <c r="C288" s="65">
        <f t="shared" si="9"/>
        <v>197.19</v>
      </c>
      <c r="D288" s="150">
        <v>197.19</v>
      </c>
      <c r="E288" s="65">
        <v>0</v>
      </c>
      <c r="F288" s="65">
        <f t="shared" si="10"/>
        <v>210.42129166666666</v>
      </c>
      <c r="G288" s="65">
        <f>+(4733)*1.067/12/G281</f>
        <v>210.42129166666666</v>
      </c>
      <c r="H288" s="65">
        <v>0</v>
      </c>
      <c r="I288" s="65">
        <f t="shared" si="11"/>
        <v>221.99446270833332</v>
      </c>
      <c r="J288" s="65">
        <f>+(4733)*1.067*1.055/12/J281</f>
        <v>221.99446270833332</v>
      </c>
      <c r="K288" s="65">
        <v>0</v>
      </c>
      <c r="N288" s="26"/>
    </row>
    <row r="289" spans="1:14" ht="16.5" customHeight="1">
      <c r="A289" s="60" t="s">
        <v>188</v>
      </c>
      <c r="B289" s="38"/>
      <c r="C289" s="65">
        <f t="shared" si="9"/>
        <v>178.5404761904762</v>
      </c>
      <c r="D289" s="150">
        <f>+(47326+27661)/12/D282</f>
        <v>178.5404761904762</v>
      </c>
      <c r="E289" s="65">
        <v>0</v>
      </c>
      <c r="F289" s="65">
        <f t="shared" si="10"/>
        <v>190.50268809523808</v>
      </c>
      <c r="G289" s="65">
        <f>+(47326+27661)*1.067/12/G282</f>
        <v>190.50268809523808</v>
      </c>
      <c r="H289" s="65">
        <v>0</v>
      </c>
      <c r="I289" s="65">
        <f t="shared" si="11"/>
        <v>200.98033594047615</v>
      </c>
      <c r="J289" s="65">
        <f>+(47326+27661)*1.067*1.055/12/J282</f>
        <v>200.98033594047615</v>
      </c>
      <c r="K289" s="65">
        <v>0</v>
      </c>
      <c r="N289" s="26"/>
    </row>
    <row r="290" spans="1:12" ht="19.5" customHeight="1">
      <c r="A290" s="28"/>
      <c r="B290" s="1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26.25" customHeight="1">
      <c r="A291" s="18"/>
      <c r="B291" s="19"/>
      <c r="C291" s="20"/>
      <c r="D291" s="20"/>
      <c r="E291" s="20"/>
      <c r="F291" s="20"/>
      <c r="G291" s="20"/>
      <c r="H291" s="20"/>
      <c r="I291" s="161" t="s">
        <v>230</v>
      </c>
      <c r="J291" s="161"/>
      <c r="K291" s="161"/>
      <c r="L291" s="20"/>
    </row>
    <row r="292" spans="1:12" ht="14.25">
      <c r="A292" s="21">
        <v>1</v>
      </c>
      <c r="B292" s="22">
        <v>2</v>
      </c>
      <c r="C292" s="23">
        <v>3</v>
      </c>
      <c r="D292" s="23">
        <v>4</v>
      </c>
      <c r="E292" s="23">
        <v>5</v>
      </c>
      <c r="F292" s="23">
        <v>6</v>
      </c>
      <c r="G292" s="23">
        <v>7</v>
      </c>
      <c r="H292" s="23">
        <v>8</v>
      </c>
      <c r="I292" s="23">
        <v>9</v>
      </c>
      <c r="J292" s="23">
        <v>10</v>
      </c>
      <c r="K292" s="23">
        <v>11</v>
      </c>
      <c r="L292" s="30"/>
    </row>
    <row r="293" spans="1:14" ht="48.75" customHeight="1">
      <c r="A293" s="61" t="s">
        <v>198</v>
      </c>
      <c r="B293" s="38"/>
      <c r="C293" s="65">
        <f t="shared" si="9"/>
        <v>107.57</v>
      </c>
      <c r="D293" s="150">
        <v>107.57</v>
      </c>
      <c r="E293" s="65">
        <v>0</v>
      </c>
      <c r="F293" s="65">
        <f t="shared" si="10"/>
        <v>114.79141666666665</v>
      </c>
      <c r="G293" s="65">
        <f>+(1291)*1.067/12/G283</f>
        <v>114.79141666666665</v>
      </c>
      <c r="H293" s="65">
        <v>0</v>
      </c>
      <c r="I293" s="65">
        <f t="shared" si="11"/>
        <v>121.1049445833333</v>
      </c>
      <c r="J293" s="65">
        <f>+(1291)*1.067*1.055/12/J283</f>
        <v>121.1049445833333</v>
      </c>
      <c r="K293" s="65">
        <v>0</v>
      </c>
      <c r="N293" s="26"/>
    </row>
    <row r="294" spans="1:14" ht="20.25" customHeight="1">
      <c r="A294" s="62" t="s">
        <v>17</v>
      </c>
      <c r="B294" s="38"/>
      <c r="C294" s="65"/>
      <c r="D294" s="65"/>
      <c r="E294" s="65"/>
      <c r="F294" s="65"/>
      <c r="G294" s="66"/>
      <c r="H294" s="65"/>
      <c r="I294" s="65"/>
      <c r="J294" s="66"/>
      <c r="K294" s="65"/>
      <c r="N294" s="26"/>
    </row>
    <row r="295" spans="1:14" ht="33" customHeight="1">
      <c r="A295" s="152" t="s">
        <v>190</v>
      </c>
      <c r="B295" s="38"/>
      <c r="C295" s="65">
        <f t="shared" si="9"/>
        <v>100</v>
      </c>
      <c r="D295" s="65">
        <v>100</v>
      </c>
      <c r="E295" s="65">
        <v>0</v>
      </c>
      <c r="F295" s="65">
        <f t="shared" si="10"/>
        <v>100</v>
      </c>
      <c r="G295" s="66">
        <v>100</v>
      </c>
      <c r="H295" s="65">
        <v>0</v>
      </c>
      <c r="I295" s="65">
        <f t="shared" si="11"/>
        <v>100</v>
      </c>
      <c r="J295" s="66">
        <v>100</v>
      </c>
      <c r="K295" s="65">
        <v>0</v>
      </c>
      <c r="N295" s="26"/>
    </row>
    <row r="296" spans="1:12" ht="21.75" customHeight="1">
      <c r="A296" s="51" t="s">
        <v>120</v>
      </c>
      <c r="B296" s="52" t="s">
        <v>121</v>
      </c>
      <c r="C296" s="67"/>
      <c r="D296" s="67"/>
      <c r="E296" s="67"/>
      <c r="F296" s="67"/>
      <c r="G296" s="67"/>
      <c r="H296" s="67"/>
      <c r="I296" s="67"/>
      <c r="J296" s="67"/>
      <c r="K296" s="67"/>
      <c r="L296" s="68"/>
    </row>
    <row r="297" spans="1:14" ht="21.75" customHeight="1">
      <c r="A297" s="4" t="s">
        <v>51</v>
      </c>
      <c r="B297" s="38"/>
      <c r="C297" s="53"/>
      <c r="D297" s="53"/>
      <c r="E297" s="53"/>
      <c r="F297" s="53"/>
      <c r="G297" s="53"/>
      <c r="H297" s="53"/>
      <c r="I297" s="53"/>
      <c r="J297" s="53"/>
      <c r="K297" s="53"/>
      <c r="N297" s="26"/>
    </row>
    <row r="298" spans="1:12" ht="35.25" customHeight="1">
      <c r="A298" s="159" t="s">
        <v>176</v>
      </c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54"/>
    </row>
    <row r="299" spans="1:12" ht="21.75" customHeight="1">
      <c r="A299" s="160" t="s">
        <v>52</v>
      </c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55"/>
    </row>
    <row r="300" spans="1:12" ht="21.75" customHeight="1">
      <c r="A300" s="33" t="s">
        <v>7</v>
      </c>
      <c r="B300" s="42"/>
      <c r="C300" s="39">
        <f>+D300+E300</f>
        <v>73900</v>
      </c>
      <c r="D300" s="39">
        <f>+D301</f>
        <v>73900</v>
      </c>
      <c r="E300" s="39">
        <v>0</v>
      </c>
      <c r="F300" s="39">
        <f>+H300+G300</f>
        <v>0</v>
      </c>
      <c r="G300" s="39">
        <f>+G301</f>
        <v>0</v>
      </c>
      <c r="H300" s="39">
        <v>0</v>
      </c>
      <c r="I300" s="39">
        <f>+K300+J300</f>
        <v>0</v>
      </c>
      <c r="J300" s="39">
        <f>+J301</f>
        <v>0</v>
      </c>
      <c r="K300" s="39">
        <v>0</v>
      </c>
      <c r="L300" s="69"/>
    </row>
    <row r="301" spans="1:12" ht="55.5" customHeight="1">
      <c r="A301" s="56" t="s">
        <v>191</v>
      </c>
      <c r="B301" s="70"/>
      <c r="C301" s="43">
        <f>D301+E301</f>
        <v>73900</v>
      </c>
      <c r="D301" s="43">
        <v>73900</v>
      </c>
      <c r="E301" s="43">
        <v>0</v>
      </c>
      <c r="F301" s="43">
        <f>G301+H301</f>
        <v>0</v>
      </c>
      <c r="G301" s="43">
        <v>0</v>
      </c>
      <c r="H301" s="43">
        <v>0</v>
      </c>
      <c r="I301" s="43">
        <f>J301+K301</f>
        <v>0</v>
      </c>
      <c r="J301" s="43">
        <v>0</v>
      </c>
      <c r="K301" s="43">
        <v>0</v>
      </c>
      <c r="L301" s="68"/>
    </row>
    <row r="302" spans="1:12" ht="21.75" customHeight="1">
      <c r="A302" s="1" t="s">
        <v>99</v>
      </c>
      <c r="B302" s="2" t="s">
        <v>100</v>
      </c>
      <c r="C302" s="3"/>
      <c r="D302" s="3"/>
      <c r="E302" s="3"/>
      <c r="F302" s="3"/>
      <c r="G302" s="3"/>
      <c r="H302" s="3"/>
      <c r="I302" s="3"/>
      <c r="J302" s="3"/>
      <c r="K302" s="3"/>
      <c r="L302" s="28"/>
    </row>
    <row r="303" spans="1:13" ht="27.75" customHeight="1">
      <c r="A303" s="4" t="s">
        <v>35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28"/>
      <c r="M303" s="100"/>
    </row>
    <row r="304" spans="1:12" ht="35.25" customHeight="1">
      <c r="A304" s="185" t="s">
        <v>177</v>
      </c>
      <c r="B304" s="186"/>
      <c r="C304" s="186"/>
      <c r="D304" s="186"/>
      <c r="E304" s="186"/>
      <c r="F304" s="186"/>
      <c r="G304" s="186"/>
      <c r="H304" s="186"/>
      <c r="I304" s="186"/>
      <c r="J304" s="186"/>
      <c r="K304" s="187"/>
      <c r="L304" s="142"/>
    </row>
    <row r="305" spans="1:12" ht="21.75" customHeight="1">
      <c r="A305" s="188" t="s">
        <v>143</v>
      </c>
      <c r="B305" s="189"/>
      <c r="C305" s="189"/>
      <c r="D305" s="189"/>
      <c r="E305" s="189"/>
      <c r="F305" s="189"/>
      <c r="G305" s="189"/>
      <c r="H305" s="189"/>
      <c r="I305" s="189"/>
      <c r="J305" s="189"/>
      <c r="K305" s="190"/>
      <c r="L305" s="146"/>
    </row>
    <row r="306" spans="1:12" ht="21.75" customHeight="1">
      <c r="A306" s="15" t="s">
        <v>7</v>
      </c>
      <c r="B306" s="16"/>
      <c r="C306" s="17">
        <f>+D306</f>
        <v>46448</v>
      </c>
      <c r="D306" s="17">
        <f>+D307+D317+D330</f>
        <v>46448</v>
      </c>
      <c r="E306" s="17">
        <v>0</v>
      </c>
      <c r="F306" s="17">
        <f>+G306</f>
        <v>49561</v>
      </c>
      <c r="G306" s="17">
        <f>+G307+G317+G330</f>
        <v>49561</v>
      </c>
      <c r="H306" s="17">
        <v>0</v>
      </c>
      <c r="I306" s="17">
        <f>+J306</f>
        <v>52286</v>
      </c>
      <c r="J306" s="17">
        <f>+J307+J317+J330</f>
        <v>52286</v>
      </c>
      <c r="K306" s="17">
        <v>0</v>
      </c>
      <c r="L306" s="50"/>
    </row>
    <row r="307" spans="1:12" ht="55.5" customHeight="1">
      <c r="A307" s="5" t="s">
        <v>157</v>
      </c>
      <c r="B307" s="3"/>
      <c r="C307" s="6">
        <f>D307+E307</f>
        <v>5184</v>
      </c>
      <c r="D307" s="6">
        <v>5184</v>
      </c>
      <c r="E307" s="6">
        <v>0</v>
      </c>
      <c r="F307" s="6">
        <f>G307+H307</f>
        <v>5532</v>
      </c>
      <c r="G307" s="6">
        <v>5532</v>
      </c>
      <c r="H307" s="6">
        <v>0</v>
      </c>
      <c r="I307" s="6">
        <f>J307+K307</f>
        <v>5836</v>
      </c>
      <c r="J307" s="6">
        <v>5836</v>
      </c>
      <c r="K307" s="6">
        <v>0</v>
      </c>
      <c r="L307" s="37"/>
    </row>
    <row r="308" spans="1:12" ht="17.25" customHeight="1">
      <c r="A308" s="7" t="s">
        <v>5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17.25" customHeight="1">
      <c r="A309" s="9" t="s">
        <v>6</v>
      </c>
      <c r="B309" s="3"/>
      <c r="C309" s="8"/>
      <c r="D309" s="8"/>
      <c r="E309" s="8"/>
      <c r="F309" s="8"/>
      <c r="G309" s="8"/>
      <c r="H309" s="8"/>
      <c r="I309" s="8"/>
      <c r="J309" s="8"/>
      <c r="K309" s="8"/>
      <c r="L309" s="37"/>
    </row>
    <row r="310" spans="1:12" ht="30" customHeight="1">
      <c r="A310" s="7" t="s">
        <v>141</v>
      </c>
      <c r="B310" s="3"/>
      <c r="C310" s="10">
        <f>D310+E310</f>
        <v>2</v>
      </c>
      <c r="D310" s="10">
        <v>2</v>
      </c>
      <c r="E310" s="10">
        <v>0</v>
      </c>
      <c r="F310" s="10">
        <f>G310+H310</f>
        <v>2</v>
      </c>
      <c r="G310" s="10">
        <v>2</v>
      </c>
      <c r="H310" s="10">
        <v>0</v>
      </c>
      <c r="I310" s="10">
        <f>J310+K310</f>
        <v>2</v>
      </c>
      <c r="J310" s="10">
        <v>2</v>
      </c>
      <c r="K310" s="10">
        <v>0</v>
      </c>
      <c r="L310" s="37"/>
    </row>
    <row r="311" spans="1:12" ht="47.25" customHeight="1">
      <c r="A311" s="7" t="s">
        <v>101</v>
      </c>
      <c r="B311" s="3"/>
      <c r="C311" s="10">
        <f>+D311</f>
        <v>1</v>
      </c>
      <c r="D311" s="10">
        <v>1</v>
      </c>
      <c r="E311" s="10">
        <v>0</v>
      </c>
      <c r="F311" s="10">
        <f>+G311</f>
        <v>1</v>
      </c>
      <c r="G311" s="10">
        <v>1</v>
      </c>
      <c r="H311" s="10">
        <v>0</v>
      </c>
      <c r="I311" s="10">
        <f>J311+K311</f>
        <v>1</v>
      </c>
      <c r="J311" s="10">
        <v>1</v>
      </c>
      <c r="K311" s="10">
        <v>0</v>
      </c>
      <c r="L311" s="37"/>
    </row>
    <row r="312" spans="1:12" ht="20.25" customHeight="1">
      <c r="A312" s="7" t="s">
        <v>36</v>
      </c>
      <c r="B312" s="3"/>
      <c r="C312" s="10">
        <f>D312+E312</f>
        <v>160</v>
      </c>
      <c r="D312" s="10">
        <v>160</v>
      </c>
      <c r="E312" s="10">
        <v>0</v>
      </c>
      <c r="F312" s="10">
        <f>G312+H312</f>
        <v>160</v>
      </c>
      <c r="G312" s="10">
        <v>160</v>
      </c>
      <c r="H312" s="10">
        <v>0</v>
      </c>
      <c r="I312" s="10">
        <f>J312+K312</f>
        <v>160</v>
      </c>
      <c r="J312" s="10">
        <v>160</v>
      </c>
      <c r="K312" s="10">
        <v>0</v>
      </c>
      <c r="L312" s="37"/>
    </row>
    <row r="313" spans="1:12" ht="17.25" customHeight="1">
      <c r="A313" s="9" t="s">
        <v>18</v>
      </c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37"/>
    </row>
    <row r="314" spans="1:12" ht="17.25" customHeight="1">
      <c r="A314" s="7" t="s">
        <v>42</v>
      </c>
      <c r="B314" s="3"/>
      <c r="C314" s="11">
        <f>D314+E314</f>
        <v>10.8</v>
      </c>
      <c r="D314" s="11">
        <f>+D307/3/D312</f>
        <v>10.8</v>
      </c>
      <c r="E314" s="11">
        <v>0</v>
      </c>
      <c r="F314" s="11">
        <f>G314+H314</f>
        <v>11.525</v>
      </c>
      <c r="G314" s="11">
        <f>+G307/3/G312</f>
        <v>11.525</v>
      </c>
      <c r="H314" s="11">
        <v>0</v>
      </c>
      <c r="I314" s="11">
        <f>J314+K314</f>
        <v>12.158333333333333</v>
      </c>
      <c r="J314" s="11">
        <f>+J307/3/J312</f>
        <v>12.158333333333333</v>
      </c>
      <c r="K314" s="11">
        <v>0</v>
      </c>
      <c r="L314" s="37"/>
    </row>
    <row r="315" spans="1:12" ht="17.25" customHeight="1">
      <c r="A315" s="5" t="s">
        <v>17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44</v>
      </c>
      <c r="B316" s="3"/>
      <c r="C316" s="8">
        <f>D316+E316</f>
        <v>63.49050826699326</v>
      </c>
      <c r="D316" s="8">
        <f>+D307/8165*100</f>
        <v>63.49050826699326</v>
      </c>
      <c r="E316" s="8">
        <v>0</v>
      </c>
      <c r="F316" s="8">
        <f>G316+H316</f>
        <v>106.71296296296295</v>
      </c>
      <c r="G316" s="8">
        <f>+G307/D307*100</f>
        <v>106.71296296296295</v>
      </c>
      <c r="H316" s="8">
        <v>0</v>
      </c>
      <c r="I316" s="8">
        <f>J316+K316</f>
        <v>105.49530007230659</v>
      </c>
      <c r="J316" s="8">
        <f>J307/G307*100</f>
        <v>105.49530007230659</v>
      </c>
      <c r="K316" s="8">
        <v>0</v>
      </c>
      <c r="L316" s="37"/>
    </row>
    <row r="317" spans="1:12" ht="35.25" customHeight="1">
      <c r="A317" s="5" t="s">
        <v>158</v>
      </c>
      <c r="B317" s="3"/>
      <c r="C317" s="6">
        <f>D317+E317</f>
        <v>35904</v>
      </c>
      <c r="D317" s="6">
        <v>35904</v>
      </c>
      <c r="E317" s="6">
        <v>0</v>
      </c>
      <c r="F317" s="6">
        <f>G317+H317</f>
        <v>38310</v>
      </c>
      <c r="G317" s="6">
        <v>38310</v>
      </c>
      <c r="H317" s="6">
        <v>0</v>
      </c>
      <c r="I317" s="6">
        <f>J317+K317</f>
        <v>40417</v>
      </c>
      <c r="J317" s="6">
        <v>40417</v>
      </c>
      <c r="K317" s="6">
        <v>0</v>
      </c>
      <c r="L317" s="37"/>
    </row>
    <row r="318" spans="1:12" ht="17.25" customHeight="1">
      <c r="A318" s="7" t="s">
        <v>5</v>
      </c>
      <c r="B318" s="3"/>
      <c r="C318" s="8"/>
      <c r="D318" s="8"/>
      <c r="E318" s="8"/>
      <c r="F318" s="8"/>
      <c r="G318" s="8"/>
      <c r="H318" s="8"/>
      <c r="I318" s="8"/>
      <c r="J318" s="8"/>
      <c r="K318" s="8"/>
      <c r="L318" s="37"/>
    </row>
    <row r="319" spans="1:12" ht="10.5" customHeight="1">
      <c r="A319" s="28"/>
      <c r="B319" s="1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6.25" customHeight="1">
      <c r="A320" s="18"/>
      <c r="B320" s="19"/>
      <c r="C320" s="20"/>
      <c r="D320" s="20"/>
      <c r="E320" s="20"/>
      <c r="F320" s="20"/>
      <c r="G320" s="20"/>
      <c r="H320" s="20"/>
      <c r="I320" s="161" t="s">
        <v>230</v>
      </c>
      <c r="J320" s="161"/>
      <c r="K320" s="161"/>
      <c r="L320" s="20"/>
    </row>
    <row r="321" spans="1:12" ht="14.25">
      <c r="A321" s="21">
        <v>1</v>
      </c>
      <c r="B321" s="22">
        <v>2</v>
      </c>
      <c r="C321" s="23">
        <v>3</v>
      </c>
      <c r="D321" s="23">
        <v>4</v>
      </c>
      <c r="E321" s="23">
        <v>5</v>
      </c>
      <c r="F321" s="23">
        <v>6</v>
      </c>
      <c r="G321" s="23">
        <v>7</v>
      </c>
      <c r="H321" s="23">
        <v>8</v>
      </c>
      <c r="I321" s="23">
        <v>9</v>
      </c>
      <c r="J321" s="23">
        <v>10</v>
      </c>
      <c r="K321" s="23">
        <v>11</v>
      </c>
      <c r="L321" s="30"/>
    </row>
    <row r="322" spans="1:12" ht="17.25" customHeight="1">
      <c r="A322" s="9" t="s">
        <v>6</v>
      </c>
      <c r="B322" s="3"/>
      <c r="C322" s="8"/>
      <c r="D322" s="8"/>
      <c r="E322" s="8"/>
      <c r="F322" s="8"/>
      <c r="G322" s="8"/>
      <c r="H322" s="8"/>
      <c r="I322" s="8"/>
      <c r="J322" s="8"/>
      <c r="K322" s="8"/>
      <c r="L322" s="37"/>
    </row>
    <row r="323" spans="1:12" ht="27" customHeight="1">
      <c r="A323" s="7" t="s">
        <v>141</v>
      </c>
      <c r="B323" s="3"/>
      <c r="C323" s="10">
        <f>D323+E323</f>
        <v>16</v>
      </c>
      <c r="D323" s="10">
        <v>16</v>
      </c>
      <c r="E323" s="10">
        <v>0</v>
      </c>
      <c r="F323" s="10">
        <f>G323+H323</f>
        <v>16</v>
      </c>
      <c r="G323" s="10">
        <v>16</v>
      </c>
      <c r="H323" s="10">
        <v>0</v>
      </c>
      <c r="I323" s="10">
        <f>J323+K323</f>
        <v>16</v>
      </c>
      <c r="J323" s="10">
        <v>16</v>
      </c>
      <c r="K323" s="10">
        <v>0</v>
      </c>
      <c r="L323" s="37"/>
    </row>
    <row r="324" spans="1:12" ht="46.5" customHeight="1">
      <c r="A324" s="7" t="s">
        <v>101</v>
      </c>
      <c r="B324" s="3"/>
      <c r="C324" s="10">
        <f>+D324</f>
        <v>1</v>
      </c>
      <c r="D324" s="10">
        <v>1</v>
      </c>
      <c r="E324" s="10">
        <v>0</v>
      </c>
      <c r="F324" s="10">
        <v>1</v>
      </c>
      <c r="G324" s="10">
        <v>1</v>
      </c>
      <c r="H324" s="10">
        <v>0</v>
      </c>
      <c r="I324" s="10">
        <f>+J324</f>
        <v>1</v>
      </c>
      <c r="J324" s="10">
        <v>1</v>
      </c>
      <c r="K324" s="10">
        <v>0</v>
      </c>
      <c r="L324" s="37"/>
    </row>
    <row r="325" spans="1:12" ht="17.25" customHeight="1">
      <c r="A325" s="7" t="s">
        <v>36</v>
      </c>
      <c r="B325" s="3"/>
      <c r="C325" s="10">
        <f>D325+E325</f>
        <v>160</v>
      </c>
      <c r="D325" s="10">
        <v>160</v>
      </c>
      <c r="E325" s="10">
        <v>0</v>
      </c>
      <c r="F325" s="10">
        <f>G325+H325</f>
        <v>160</v>
      </c>
      <c r="G325" s="10">
        <v>160</v>
      </c>
      <c r="H325" s="10">
        <v>0</v>
      </c>
      <c r="I325" s="10">
        <f>J325+K325</f>
        <v>160</v>
      </c>
      <c r="J325" s="10">
        <v>160</v>
      </c>
      <c r="K325" s="10">
        <v>0</v>
      </c>
      <c r="L325" s="37"/>
    </row>
    <row r="326" spans="1:12" ht="17.25" customHeight="1">
      <c r="A326" s="9" t="s">
        <v>18</v>
      </c>
      <c r="B326" s="3"/>
      <c r="C326" s="8"/>
      <c r="D326" s="8"/>
      <c r="E326" s="8"/>
      <c r="F326" s="8"/>
      <c r="G326" s="8"/>
      <c r="H326" s="8"/>
      <c r="I326" s="8"/>
      <c r="J326" s="8"/>
      <c r="K326" s="8"/>
      <c r="L326" s="37"/>
    </row>
    <row r="327" spans="1:12" ht="17.25" customHeight="1">
      <c r="A327" s="7" t="s">
        <v>42</v>
      </c>
      <c r="B327" s="3"/>
      <c r="C327" s="11">
        <f>D327+E327</f>
        <v>13.2</v>
      </c>
      <c r="D327" s="11">
        <f>+D317/(D323+D324)/D325</f>
        <v>13.2</v>
      </c>
      <c r="E327" s="11">
        <v>0</v>
      </c>
      <c r="F327" s="11">
        <f>G327+H327</f>
        <v>14.084558823529411</v>
      </c>
      <c r="G327" s="11">
        <f>+G317/(G323+G324)/G325</f>
        <v>14.084558823529411</v>
      </c>
      <c r="H327" s="11">
        <v>0</v>
      </c>
      <c r="I327" s="11">
        <f>J327+K327</f>
        <v>14.859191176470588</v>
      </c>
      <c r="J327" s="11">
        <f>+J317/(J323+J324)/J325</f>
        <v>14.859191176470588</v>
      </c>
      <c r="K327" s="11">
        <v>0</v>
      </c>
      <c r="L327" s="37"/>
    </row>
    <row r="328" spans="1:12" ht="17.25" customHeight="1">
      <c r="A328" s="5" t="s">
        <v>17</v>
      </c>
      <c r="B328" s="3"/>
      <c r="C328" s="8"/>
      <c r="D328" s="8"/>
      <c r="E328" s="8"/>
      <c r="F328" s="8"/>
      <c r="G328" s="8"/>
      <c r="H328" s="8"/>
      <c r="I328" s="8"/>
      <c r="J328" s="8"/>
      <c r="K328" s="8"/>
      <c r="L328" s="37"/>
    </row>
    <row r="329" spans="1:12" ht="17.25" customHeight="1">
      <c r="A329" s="7" t="s">
        <v>44</v>
      </c>
      <c r="B329" s="3"/>
      <c r="C329" s="8">
        <f>D329+E329</f>
        <v>70.30212840946916</v>
      </c>
      <c r="D329" s="12">
        <f>+D317/51071*100</f>
        <v>70.30212840946916</v>
      </c>
      <c r="E329" s="8">
        <v>0</v>
      </c>
      <c r="F329" s="11">
        <f>G329+H329</f>
        <v>106.70120320855614</v>
      </c>
      <c r="G329" s="11">
        <f>+G317/D317*100</f>
        <v>106.70120320855614</v>
      </c>
      <c r="H329" s="8">
        <v>0</v>
      </c>
      <c r="I329" s="8">
        <f>J329+K329</f>
        <v>105.49986948577394</v>
      </c>
      <c r="J329" s="8">
        <f>J317/G317*100</f>
        <v>105.49986948577394</v>
      </c>
      <c r="K329" s="8">
        <v>0</v>
      </c>
      <c r="L329" s="37"/>
    </row>
    <row r="330" spans="1:12" ht="32.25" customHeight="1">
      <c r="A330" s="13" t="s">
        <v>160</v>
      </c>
      <c r="B330" s="3"/>
      <c r="C330" s="6">
        <f>D330+E330</f>
        <v>5360</v>
      </c>
      <c r="D330" s="6">
        <v>5360</v>
      </c>
      <c r="E330" s="6">
        <v>0</v>
      </c>
      <c r="F330" s="6">
        <f>G330+H330</f>
        <v>5719</v>
      </c>
      <c r="G330" s="6">
        <v>5719</v>
      </c>
      <c r="H330" s="6">
        <v>0</v>
      </c>
      <c r="I330" s="6">
        <f>J330+K330</f>
        <v>6033</v>
      </c>
      <c r="J330" s="6">
        <v>6033</v>
      </c>
      <c r="K330" s="6">
        <v>0</v>
      </c>
      <c r="L330" s="37"/>
    </row>
    <row r="331" spans="1:12" ht="17.25" customHeight="1">
      <c r="A331" s="7" t="s">
        <v>5</v>
      </c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37"/>
    </row>
    <row r="332" spans="1:12" ht="17.25" customHeight="1">
      <c r="A332" s="9" t="s">
        <v>6</v>
      </c>
      <c r="B332" s="3"/>
      <c r="C332" s="8"/>
      <c r="D332" s="8"/>
      <c r="E332" s="8"/>
      <c r="F332" s="8"/>
      <c r="G332" s="8"/>
      <c r="H332" s="8"/>
      <c r="I332" s="8"/>
      <c r="J332" s="8"/>
      <c r="K332" s="8"/>
      <c r="L332" s="37"/>
    </row>
    <row r="333" spans="1:12" ht="32.25" customHeight="1">
      <c r="A333" s="14" t="s">
        <v>159</v>
      </c>
      <c r="B333" s="3"/>
      <c r="C333" s="10">
        <v>20</v>
      </c>
      <c r="D333" s="10">
        <v>20</v>
      </c>
      <c r="E333" s="10">
        <v>0</v>
      </c>
      <c r="F333" s="10">
        <f>+G333</f>
        <v>20</v>
      </c>
      <c r="G333" s="10">
        <v>20</v>
      </c>
      <c r="H333" s="10">
        <v>0</v>
      </c>
      <c r="I333" s="10">
        <f>+J333</f>
        <v>20</v>
      </c>
      <c r="J333" s="10">
        <v>20</v>
      </c>
      <c r="K333" s="10">
        <v>0</v>
      </c>
      <c r="L333" s="37"/>
    </row>
    <row r="334" spans="1:12" ht="45" customHeight="1">
      <c r="A334" s="14" t="s">
        <v>102</v>
      </c>
      <c r="B334" s="3"/>
      <c r="C334" s="10">
        <f>+D334</f>
        <v>2</v>
      </c>
      <c r="D334" s="10">
        <v>2</v>
      </c>
      <c r="E334" s="10">
        <v>0</v>
      </c>
      <c r="F334" s="10">
        <f>+G334</f>
        <v>2</v>
      </c>
      <c r="G334" s="10">
        <v>2</v>
      </c>
      <c r="H334" s="10">
        <v>0</v>
      </c>
      <c r="I334" s="10">
        <f>+J334</f>
        <v>2</v>
      </c>
      <c r="J334" s="10">
        <v>2</v>
      </c>
      <c r="K334" s="10">
        <v>0</v>
      </c>
      <c r="L334" s="37"/>
    </row>
    <row r="335" spans="1:12" ht="28.5" customHeight="1">
      <c r="A335" s="14" t="s">
        <v>103</v>
      </c>
      <c r="B335" s="3"/>
      <c r="C335" s="10">
        <f>+D335</f>
        <v>45</v>
      </c>
      <c r="D335" s="10">
        <v>45</v>
      </c>
      <c r="E335" s="10">
        <v>0</v>
      </c>
      <c r="F335" s="10">
        <f>+G335</f>
        <v>45</v>
      </c>
      <c r="G335" s="10">
        <v>45</v>
      </c>
      <c r="H335" s="10">
        <v>0</v>
      </c>
      <c r="I335" s="10">
        <f>+J335</f>
        <v>45</v>
      </c>
      <c r="J335" s="10">
        <v>45</v>
      </c>
      <c r="K335" s="10">
        <v>0</v>
      </c>
      <c r="L335" s="37"/>
    </row>
    <row r="336" spans="1:12" ht="17.25" customHeight="1">
      <c r="A336" s="9" t="s">
        <v>18</v>
      </c>
      <c r="B336" s="3"/>
      <c r="C336" s="8"/>
      <c r="D336" s="8"/>
      <c r="E336" s="8"/>
      <c r="F336" s="8"/>
      <c r="G336" s="8"/>
      <c r="H336" s="8"/>
      <c r="I336" s="8"/>
      <c r="J336" s="8"/>
      <c r="K336" s="8"/>
      <c r="L336" s="37"/>
    </row>
    <row r="337" spans="1:12" ht="17.25" customHeight="1">
      <c r="A337" s="7" t="s">
        <v>78</v>
      </c>
      <c r="B337" s="3"/>
      <c r="C337" s="8">
        <f>D337+E337</f>
        <v>80</v>
      </c>
      <c r="D337" s="8">
        <f>+D330/(D333+D334+D335)</f>
        <v>80</v>
      </c>
      <c r="E337" s="8">
        <v>0</v>
      </c>
      <c r="F337" s="8">
        <f>G337+H337</f>
        <v>85.35820895522389</v>
      </c>
      <c r="G337" s="8">
        <f>+G330/(G333+G334+G335)</f>
        <v>85.35820895522389</v>
      </c>
      <c r="H337" s="8">
        <v>0</v>
      </c>
      <c r="I337" s="8">
        <f>J337+K337</f>
        <v>90.04477611940298</v>
      </c>
      <c r="J337" s="8">
        <f>+J330/(J333+J334+J335)</f>
        <v>90.04477611940298</v>
      </c>
      <c r="K337" s="8">
        <v>0</v>
      </c>
      <c r="L337" s="37"/>
    </row>
    <row r="338" spans="1:12" ht="17.25" customHeight="1">
      <c r="A338" s="5" t="s">
        <v>17</v>
      </c>
      <c r="B338" s="3"/>
      <c r="C338" s="8"/>
      <c r="D338" s="8"/>
      <c r="E338" s="8"/>
      <c r="F338" s="8"/>
      <c r="G338" s="8"/>
      <c r="H338" s="8"/>
      <c r="I338" s="8"/>
      <c r="J338" s="8"/>
      <c r="K338" s="8"/>
      <c r="L338" s="37"/>
    </row>
    <row r="339" spans="1:12" ht="21" customHeight="1">
      <c r="A339" s="7" t="s">
        <v>44</v>
      </c>
      <c r="B339" s="3"/>
      <c r="C339" s="8">
        <f>+D339</f>
        <v>121.54195011337869</v>
      </c>
      <c r="D339" s="8">
        <f>+D330/4410*100</f>
        <v>121.54195011337869</v>
      </c>
      <c r="E339" s="8">
        <v>0</v>
      </c>
      <c r="F339" s="8">
        <f>+G339</f>
        <v>106.69776119402985</v>
      </c>
      <c r="G339" s="8">
        <f>+G330/D330*100</f>
        <v>106.69776119402985</v>
      </c>
      <c r="H339" s="8">
        <v>0</v>
      </c>
      <c r="I339" s="8">
        <f>+J339</f>
        <v>105.49047036195138</v>
      </c>
      <c r="J339" s="8">
        <f>+J330/G330*100</f>
        <v>105.49047036195138</v>
      </c>
      <c r="K339" s="8">
        <v>0</v>
      </c>
      <c r="L339" s="37"/>
    </row>
    <row r="340" spans="1:12" ht="30.75" customHeight="1">
      <c r="A340" s="5" t="s">
        <v>37</v>
      </c>
      <c r="B340" s="38"/>
      <c r="C340" s="53"/>
      <c r="D340" s="53"/>
      <c r="E340" s="53"/>
      <c r="F340" s="53"/>
      <c r="G340" s="53"/>
      <c r="H340" s="53"/>
      <c r="I340" s="53"/>
      <c r="J340" s="53"/>
      <c r="K340" s="53"/>
      <c r="L340" s="95"/>
    </row>
    <row r="341" spans="1:12" ht="30" customHeight="1">
      <c r="A341" s="184" t="s">
        <v>178</v>
      </c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47"/>
    </row>
    <row r="342" spans="1:12" ht="24.75" customHeight="1">
      <c r="A342" s="183" t="s">
        <v>144</v>
      </c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49"/>
    </row>
    <row r="343" spans="1:12" ht="18.75" customHeight="1">
      <c r="A343" s="15" t="s">
        <v>7</v>
      </c>
      <c r="B343" s="16"/>
      <c r="C343" s="17">
        <f>D343+E343</f>
        <v>209240</v>
      </c>
      <c r="D343" s="17">
        <f>+D345+D358+D369</f>
        <v>209240</v>
      </c>
      <c r="E343" s="17">
        <f>+E345+E358+E369</f>
        <v>0</v>
      </c>
      <c r="F343" s="17">
        <f>G343+H343</f>
        <v>223258</v>
      </c>
      <c r="G343" s="17">
        <f>+G345+G358+G369</f>
        <v>223258</v>
      </c>
      <c r="H343" s="17">
        <f>+H345+H358+H369</f>
        <v>0</v>
      </c>
      <c r="I343" s="17">
        <f>J343+K343</f>
        <v>235537</v>
      </c>
      <c r="J343" s="17">
        <f>+J345+J358+J369</f>
        <v>235537</v>
      </c>
      <c r="K343" s="17">
        <f>+K345+K358+K369</f>
        <v>0</v>
      </c>
      <c r="L343" s="50"/>
    </row>
    <row r="344" spans="1:12" ht="18.75" customHeight="1">
      <c r="A344" s="1" t="s">
        <v>104</v>
      </c>
      <c r="B344" s="2" t="s">
        <v>105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50"/>
    </row>
    <row r="345" spans="1:12" ht="30" customHeight="1">
      <c r="A345" s="5" t="s">
        <v>161</v>
      </c>
      <c r="B345" s="3"/>
      <c r="C345" s="6">
        <f>D345+E345</f>
        <v>90160</v>
      </c>
      <c r="D345" s="6">
        <v>90160</v>
      </c>
      <c r="E345" s="6">
        <v>0</v>
      </c>
      <c r="F345" s="6">
        <f>G345+H345</f>
        <v>96200</v>
      </c>
      <c r="G345" s="6">
        <v>96200</v>
      </c>
      <c r="H345" s="6">
        <v>0</v>
      </c>
      <c r="I345" s="6">
        <f>J345+K345</f>
        <v>101491</v>
      </c>
      <c r="J345" s="6">
        <v>101491</v>
      </c>
      <c r="K345" s="6">
        <v>0</v>
      </c>
      <c r="L345" s="25"/>
    </row>
    <row r="346" spans="1:12" ht="16.5" customHeight="1">
      <c r="A346" s="3" t="s">
        <v>5</v>
      </c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25"/>
    </row>
    <row r="347" spans="1:12" ht="16.5" customHeight="1">
      <c r="A347" s="31" t="s">
        <v>6</v>
      </c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25"/>
    </row>
    <row r="348" spans="1:12" ht="48" customHeight="1">
      <c r="A348" s="7" t="s">
        <v>142</v>
      </c>
      <c r="B348" s="3"/>
      <c r="C348" s="24">
        <f>D348+E348</f>
        <v>45</v>
      </c>
      <c r="D348" s="24">
        <v>45</v>
      </c>
      <c r="E348" s="24">
        <v>0</v>
      </c>
      <c r="F348" s="24">
        <f>G348+H348</f>
        <v>45</v>
      </c>
      <c r="G348" s="24">
        <v>45</v>
      </c>
      <c r="H348" s="24">
        <v>0</v>
      </c>
      <c r="I348" s="24">
        <f>J348+K348</f>
        <v>45</v>
      </c>
      <c r="J348" s="24">
        <v>45</v>
      </c>
      <c r="K348" s="24">
        <v>0</v>
      </c>
      <c r="L348" s="25"/>
    </row>
    <row r="349" spans="1:12" ht="45.75" customHeight="1">
      <c r="A349" s="7" t="s">
        <v>162</v>
      </c>
      <c r="B349" s="3"/>
      <c r="C349" s="24">
        <f>+D349</f>
        <v>1</v>
      </c>
      <c r="D349" s="24">
        <v>1</v>
      </c>
      <c r="E349" s="24">
        <v>0</v>
      </c>
      <c r="F349" s="24">
        <f>+G349</f>
        <v>1</v>
      </c>
      <c r="G349" s="24">
        <v>1</v>
      </c>
      <c r="H349" s="24">
        <v>0</v>
      </c>
      <c r="I349" s="24">
        <f>+J349</f>
        <v>1</v>
      </c>
      <c r="J349" s="24">
        <v>1</v>
      </c>
      <c r="K349" s="24">
        <v>0</v>
      </c>
      <c r="L349" s="25"/>
    </row>
    <row r="350" spans="1:12" ht="29.25" customHeight="1">
      <c r="A350" s="32" t="s">
        <v>163</v>
      </c>
      <c r="B350" s="3"/>
      <c r="C350" s="10">
        <f>D350+E350</f>
        <v>140</v>
      </c>
      <c r="D350" s="10">
        <v>140</v>
      </c>
      <c r="E350" s="10">
        <v>0</v>
      </c>
      <c r="F350" s="10">
        <f>G350+H350</f>
        <v>140</v>
      </c>
      <c r="G350" s="10">
        <v>140</v>
      </c>
      <c r="H350" s="10">
        <v>0</v>
      </c>
      <c r="I350" s="10">
        <f>J350+K350</f>
        <v>140</v>
      </c>
      <c r="J350" s="10">
        <v>140</v>
      </c>
      <c r="K350" s="10">
        <v>0</v>
      </c>
      <c r="L350" s="25"/>
    </row>
    <row r="351" spans="1:12" ht="19.5" customHeight="1">
      <c r="A351" s="28"/>
      <c r="B351" s="1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26.25" customHeight="1">
      <c r="A352" s="18"/>
      <c r="B352" s="19"/>
      <c r="C352" s="20"/>
      <c r="D352" s="20"/>
      <c r="E352" s="20"/>
      <c r="F352" s="20"/>
      <c r="G352" s="20"/>
      <c r="H352" s="20"/>
      <c r="I352" s="161" t="s">
        <v>230</v>
      </c>
      <c r="J352" s="161"/>
      <c r="K352" s="161"/>
      <c r="L352" s="20"/>
    </row>
    <row r="353" spans="1:12" ht="14.25">
      <c r="A353" s="21">
        <v>1</v>
      </c>
      <c r="B353" s="22">
        <v>2</v>
      </c>
      <c r="C353" s="23">
        <v>3</v>
      </c>
      <c r="D353" s="23">
        <v>4</v>
      </c>
      <c r="E353" s="23">
        <v>5</v>
      </c>
      <c r="F353" s="23">
        <v>6</v>
      </c>
      <c r="G353" s="23">
        <v>7</v>
      </c>
      <c r="H353" s="23">
        <v>8</v>
      </c>
      <c r="I353" s="23">
        <v>9</v>
      </c>
      <c r="J353" s="23">
        <v>10</v>
      </c>
      <c r="K353" s="23">
        <v>11</v>
      </c>
      <c r="L353" s="30"/>
    </row>
    <row r="354" spans="1:12" ht="16.5" customHeight="1">
      <c r="A354" s="33" t="s">
        <v>18</v>
      </c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25"/>
    </row>
    <row r="355" spans="1:12" ht="16.5" customHeight="1">
      <c r="A355" s="34" t="s">
        <v>43</v>
      </c>
      <c r="B355" s="3"/>
      <c r="C355" s="11">
        <f>D355+E355</f>
        <v>14</v>
      </c>
      <c r="D355" s="11">
        <f>+D345/(D348+D349)/D350</f>
        <v>14</v>
      </c>
      <c r="E355" s="11">
        <v>0</v>
      </c>
      <c r="F355" s="11">
        <f>G355+H355</f>
        <v>14.937888198757765</v>
      </c>
      <c r="G355" s="11">
        <f>+G345/(G348+G349)/G350</f>
        <v>14.937888198757765</v>
      </c>
      <c r="H355" s="11">
        <v>0</v>
      </c>
      <c r="I355" s="11">
        <f>J355+K355</f>
        <v>15.759472049689439</v>
      </c>
      <c r="J355" s="11">
        <f>+J345/(J348+J349)/J350</f>
        <v>15.759472049689439</v>
      </c>
      <c r="K355" s="11">
        <v>0</v>
      </c>
      <c r="L355" s="25"/>
    </row>
    <row r="356" spans="1:12" ht="16.5" customHeight="1">
      <c r="A356" s="4" t="s">
        <v>17</v>
      </c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25"/>
    </row>
    <row r="357" spans="1:12" ht="16.5" customHeight="1">
      <c r="A357" s="7" t="s">
        <v>44</v>
      </c>
      <c r="B357" s="3"/>
      <c r="C357" s="12">
        <f>D357+E357</f>
        <v>91.34751773049645</v>
      </c>
      <c r="D357" s="12">
        <f>D345/98700*100</f>
        <v>91.34751773049645</v>
      </c>
      <c r="E357" s="12">
        <v>0</v>
      </c>
      <c r="F357" s="12">
        <f>G357+H357</f>
        <v>106.69920141969831</v>
      </c>
      <c r="G357" s="12">
        <f>G345/D345*100</f>
        <v>106.69920141969831</v>
      </c>
      <c r="H357" s="12">
        <v>0</v>
      </c>
      <c r="I357" s="12">
        <f>J357+K357</f>
        <v>105.5</v>
      </c>
      <c r="J357" s="12">
        <f>J345/G345*100</f>
        <v>105.5</v>
      </c>
      <c r="K357" s="12">
        <v>0</v>
      </c>
      <c r="L357" s="25"/>
    </row>
    <row r="358" spans="1:12" ht="43.5" customHeight="1">
      <c r="A358" s="5" t="s">
        <v>166</v>
      </c>
      <c r="B358" s="3"/>
      <c r="C358" s="6">
        <f>D358+E358</f>
        <v>14080</v>
      </c>
      <c r="D358" s="6">
        <v>14080</v>
      </c>
      <c r="E358" s="6">
        <v>0</v>
      </c>
      <c r="F358" s="6">
        <f>G358+H358</f>
        <v>15023</v>
      </c>
      <c r="G358" s="6">
        <v>15023</v>
      </c>
      <c r="H358" s="6">
        <v>0</v>
      </c>
      <c r="I358" s="6">
        <f>J358+K358</f>
        <v>15849</v>
      </c>
      <c r="J358" s="6">
        <v>15849</v>
      </c>
      <c r="K358" s="6">
        <v>0</v>
      </c>
      <c r="L358" s="25"/>
    </row>
    <row r="359" spans="1:12" ht="16.5" customHeight="1">
      <c r="A359" s="3" t="s">
        <v>5</v>
      </c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25"/>
    </row>
    <row r="360" spans="1:12" ht="16.5" customHeight="1">
      <c r="A360" s="31" t="s">
        <v>6</v>
      </c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25"/>
    </row>
    <row r="361" spans="1:12" ht="44.25" customHeight="1">
      <c r="A361" s="35" t="s">
        <v>164</v>
      </c>
      <c r="B361" s="3"/>
      <c r="C361" s="24">
        <f>+D361</f>
        <v>45</v>
      </c>
      <c r="D361" s="24">
        <v>45</v>
      </c>
      <c r="E361" s="24">
        <v>0</v>
      </c>
      <c r="F361" s="24">
        <f>G361+H361</f>
        <v>45</v>
      </c>
      <c r="G361" s="24">
        <v>45</v>
      </c>
      <c r="H361" s="24">
        <v>0</v>
      </c>
      <c r="I361" s="24">
        <f>J361+K361</f>
        <v>45</v>
      </c>
      <c r="J361" s="24">
        <v>45</v>
      </c>
      <c r="K361" s="24">
        <v>0</v>
      </c>
      <c r="L361" s="25"/>
    </row>
    <row r="362" spans="1:12" ht="42.75" customHeight="1">
      <c r="A362" s="35" t="s">
        <v>165</v>
      </c>
      <c r="B362" s="3"/>
      <c r="C362" s="24">
        <f>+D362</f>
        <v>1</v>
      </c>
      <c r="D362" s="24">
        <v>1</v>
      </c>
      <c r="E362" s="24">
        <v>0</v>
      </c>
      <c r="F362" s="24">
        <f>G362+H362</f>
        <v>1</v>
      </c>
      <c r="G362" s="24">
        <v>1</v>
      </c>
      <c r="H362" s="24">
        <v>0</v>
      </c>
      <c r="I362" s="24">
        <f>J362+K362</f>
        <v>1</v>
      </c>
      <c r="J362" s="24">
        <v>1</v>
      </c>
      <c r="K362" s="24">
        <v>0</v>
      </c>
      <c r="L362" s="25"/>
    </row>
    <row r="363" spans="1:12" ht="53.25" customHeight="1">
      <c r="A363" s="35" t="s">
        <v>106</v>
      </c>
      <c r="B363" s="3"/>
      <c r="C363" s="24">
        <f>+D363</f>
        <v>130</v>
      </c>
      <c r="D363" s="24">
        <v>130</v>
      </c>
      <c r="E363" s="24">
        <v>0</v>
      </c>
      <c r="F363" s="24">
        <f>+G363</f>
        <v>130</v>
      </c>
      <c r="G363" s="24">
        <f>102+28</f>
        <v>130</v>
      </c>
      <c r="H363" s="24">
        <v>0</v>
      </c>
      <c r="I363" s="24">
        <f>+J363</f>
        <v>130</v>
      </c>
      <c r="J363" s="24">
        <v>130</v>
      </c>
      <c r="K363" s="24">
        <v>0</v>
      </c>
      <c r="L363" s="25"/>
    </row>
    <row r="364" spans="1:12" ht="17.25" customHeight="1">
      <c r="A364" s="9" t="s">
        <v>18</v>
      </c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25"/>
    </row>
    <row r="365" spans="1:12" ht="17.25" customHeight="1">
      <c r="A365" s="7" t="s">
        <v>78</v>
      </c>
      <c r="B365" s="3"/>
      <c r="C365" s="12">
        <f>D365+E365</f>
        <v>80</v>
      </c>
      <c r="D365" s="12">
        <f>+D358/(D361+D362+D363)</f>
        <v>80</v>
      </c>
      <c r="E365" s="12">
        <v>0</v>
      </c>
      <c r="F365" s="12">
        <f>G365+H365</f>
        <v>85.35795454545455</v>
      </c>
      <c r="G365" s="12">
        <f>+G358/(G361+G362+G363)</f>
        <v>85.35795454545455</v>
      </c>
      <c r="H365" s="12">
        <v>0</v>
      </c>
      <c r="I365" s="12">
        <f>J365+K365</f>
        <v>90.05113636363636</v>
      </c>
      <c r="J365" s="12">
        <f>+J358/(J361+J362+J363)</f>
        <v>90.05113636363636</v>
      </c>
      <c r="K365" s="12">
        <v>0</v>
      </c>
      <c r="L365" s="25"/>
    </row>
    <row r="366" spans="1:12" ht="16.5" customHeight="1">
      <c r="A366" s="5" t="s">
        <v>17</v>
      </c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25"/>
    </row>
    <row r="367" spans="1:12" ht="18.75" customHeight="1">
      <c r="A367" s="7" t="s">
        <v>44</v>
      </c>
      <c r="B367" s="3"/>
      <c r="C367" s="12">
        <f>+D367</f>
        <v>79.5031055900621</v>
      </c>
      <c r="D367" s="12">
        <f>+D358/17710*100</f>
        <v>79.5031055900621</v>
      </c>
      <c r="E367" s="12">
        <v>0</v>
      </c>
      <c r="F367" s="12">
        <f>+G367</f>
        <v>106.69744318181817</v>
      </c>
      <c r="G367" s="12">
        <f>+G358/D358*100</f>
        <v>106.69744318181817</v>
      </c>
      <c r="H367" s="12">
        <v>0</v>
      </c>
      <c r="I367" s="12">
        <f>+J367</f>
        <v>105.49823603807495</v>
      </c>
      <c r="J367" s="12">
        <f>+J358/G358*100</f>
        <v>105.49823603807495</v>
      </c>
      <c r="K367" s="12">
        <v>0</v>
      </c>
      <c r="L367" s="25"/>
    </row>
    <row r="368" spans="1:12" ht="22.5" customHeight="1">
      <c r="A368" s="36" t="s">
        <v>107</v>
      </c>
      <c r="B368" s="2" t="s">
        <v>108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37"/>
    </row>
    <row r="369" spans="1:11" ht="45.75" customHeight="1">
      <c r="A369" s="5" t="s">
        <v>167</v>
      </c>
      <c r="B369" s="38"/>
      <c r="C369" s="39">
        <f>D369+E369</f>
        <v>105000</v>
      </c>
      <c r="D369" s="39">
        <v>105000</v>
      </c>
      <c r="E369" s="39">
        <v>0</v>
      </c>
      <c r="F369" s="39">
        <f>+G369</f>
        <v>112035</v>
      </c>
      <c r="G369" s="39">
        <v>112035</v>
      </c>
      <c r="H369" s="39">
        <v>0</v>
      </c>
      <c r="I369" s="39">
        <f>J369+K369</f>
        <v>118197</v>
      </c>
      <c r="J369" s="39">
        <v>118197</v>
      </c>
      <c r="K369" s="39">
        <v>0</v>
      </c>
    </row>
    <row r="370" spans="1:11" ht="15">
      <c r="A370" s="7" t="s">
        <v>5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ht="14.25">
      <c r="A371" s="9" t="s">
        <v>6</v>
      </c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ht="45" customHeight="1">
      <c r="A372" s="7" t="s">
        <v>168</v>
      </c>
      <c r="B372" s="38"/>
      <c r="C372" s="40">
        <f>D372+E372</f>
        <v>14</v>
      </c>
      <c r="D372" s="40">
        <v>14</v>
      </c>
      <c r="E372" s="40">
        <v>0</v>
      </c>
      <c r="F372" s="40">
        <f>G372+H372</f>
        <v>14</v>
      </c>
      <c r="G372" s="40">
        <v>14</v>
      </c>
      <c r="H372" s="40">
        <v>0</v>
      </c>
      <c r="I372" s="40">
        <f>J372+K372</f>
        <v>14</v>
      </c>
      <c r="J372" s="40">
        <v>14</v>
      </c>
      <c r="K372" s="40">
        <v>0</v>
      </c>
    </row>
    <row r="373" spans="1:11" ht="46.5" customHeight="1">
      <c r="A373" s="7" t="s">
        <v>169</v>
      </c>
      <c r="B373" s="38"/>
      <c r="C373" s="40">
        <f>D373+E373</f>
        <v>1</v>
      </c>
      <c r="D373" s="40">
        <v>1</v>
      </c>
      <c r="E373" s="40">
        <v>0</v>
      </c>
      <c r="F373" s="40">
        <f>G373+H373</f>
        <v>1</v>
      </c>
      <c r="G373" s="40">
        <v>1</v>
      </c>
      <c r="H373" s="40">
        <v>0</v>
      </c>
      <c r="I373" s="40">
        <f>J373+K373</f>
        <v>1</v>
      </c>
      <c r="J373" s="40">
        <v>1</v>
      </c>
      <c r="K373" s="40">
        <v>0</v>
      </c>
    </row>
    <row r="374" spans="1:11" ht="16.5">
      <c r="A374" s="5" t="s">
        <v>18</v>
      </c>
      <c r="B374" s="38"/>
      <c r="C374" s="41"/>
      <c r="D374" s="41"/>
      <c r="E374" s="41"/>
      <c r="F374" s="41"/>
      <c r="G374" s="41" t="s">
        <v>88</v>
      </c>
      <c r="H374" s="41"/>
      <c r="I374" s="41"/>
      <c r="J374" s="41"/>
      <c r="K374" s="41"/>
    </row>
    <row r="375" spans="1:11" ht="20.25" customHeight="1">
      <c r="A375" s="42" t="s">
        <v>39</v>
      </c>
      <c r="B375" s="38"/>
      <c r="C375" s="43">
        <f>D375+E375</f>
        <v>7000</v>
      </c>
      <c r="D375" s="43">
        <f>+D369/(D372+D373)</f>
        <v>7000</v>
      </c>
      <c r="E375" s="43">
        <v>0</v>
      </c>
      <c r="F375" s="43">
        <f>+G375</f>
        <v>7469</v>
      </c>
      <c r="G375" s="43">
        <f>+G369/(G372+G373)</f>
        <v>7469</v>
      </c>
      <c r="H375" s="43">
        <v>0</v>
      </c>
      <c r="I375" s="43">
        <f>J375+K375</f>
        <v>7879.8</v>
      </c>
      <c r="J375" s="43">
        <f>+J369/(J372+J373)</f>
        <v>7879.8</v>
      </c>
      <c r="K375" s="43">
        <v>0</v>
      </c>
    </row>
    <row r="376" spans="1:11" ht="14.25">
      <c r="A376" s="5" t="s">
        <v>17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1:11" ht="16.5">
      <c r="A377" s="7" t="s">
        <v>44</v>
      </c>
      <c r="B377" s="38"/>
      <c r="C377" s="44">
        <f>D377+E377</f>
        <v>119.31818181818181</v>
      </c>
      <c r="D377" s="44">
        <f>D369/88000*100</f>
        <v>119.31818181818181</v>
      </c>
      <c r="E377" s="44">
        <v>0</v>
      </c>
      <c r="F377" s="44">
        <f>G377+H377</f>
        <v>106.69999999999999</v>
      </c>
      <c r="G377" s="44">
        <f>G369/D369*100</f>
        <v>106.69999999999999</v>
      </c>
      <c r="H377" s="44">
        <v>0</v>
      </c>
      <c r="I377" s="44">
        <f>J377+K377</f>
        <v>105.50006694336591</v>
      </c>
      <c r="J377" s="44">
        <f>J369/G369*100</f>
        <v>105.50006694336591</v>
      </c>
      <c r="K377" s="44">
        <v>0</v>
      </c>
    </row>
    <row r="378" spans="1:12" ht="19.5" customHeight="1">
      <c r="A378" s="28"/>
      <c r="B378" s="1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ht="35.25" customHeight="1"/>
    <row r="380" spans="1:14" ht="26.25" customHeight="1">
      <c r="A380" s="45" t="s">
        <v>220</v>
      </c>
      <c r="B380" s="45"/>
      <c r="C380" s="46"/>
      <c r="D380" s="47"/>
      <c r="E380" s="46"/>
      <c r="F380" s="46"/>
      <c r="G380" s="46" t="s">
        <v>221</v>
      </c>
      <c r="H380" s="46"/>
      <c r="I380" s="46"/>
      <c r="N380" s="26"/>
    </row>
    <row r="381" spans="1:14" ht="17.25" customHeight="1">
      <c r="A381" s="45"/>
      <c r="B381" s="45"/>
      <c r="C381" s="46"/>
      <c r="D381" s="46"/>
      <c r="E381" s="46"/>
      <c r="F381" s="46"/>
      <c r="G381" s="46"/>
      <c r="H381" s="46"/>
      <c r="I381" s="48"/>
      <c r="N381" s="26"/>
    </row>
    <row r="382" spans="1:14" ht="19.5" customHeight="1">
      <c r="A382" s="148" t="s">
        <v>222</v>
      </c>
      <c r="B382" s="45"/>
      <c r="C382" s="46"/>
      <c r="D382" s="46"/>
      <c r="E382" s="46"/>
      <c r="F382" s="46"/>
      <c r="G382" s="46"/>
      <c r="H382" s="46"/>
      <c r="I382" s="48"/>
      <c r="N382" s="26"/>
    </row>
    <row r="383" spans="1:14" ht="24" customHeight="1">
      <c r="A383" s="148" t="s">
        <v>206</v>
      </c>
      <c r="B383" s="45"/>
      <c r="C383" s="46"/>
      <c r="D383" s="46"/>
      <c r="E383" s="46"/>
      <c r="F383" s="46"/>
      <c r="G383" s="46"/>
      <c r="H383" s="46"/>
      <c r="N383" s="26"/>
    </row>
    <row r="384" ht="12.75">
      <c r="N384" s="26"/>
    </row>
    <row r="385" spans="1:14" ht="19.5" customHeight="1">
      <c r="A385" s="45"/>
      <c r="B385" s="45"/>
      <c r="C385" s="46"/>
      <c r="D385" s="46"/>
      <c r="E385" s="46"/>
      <c r="F385" s="46"/>
      <c r="G385" s="46"/>
      <c r="H385" s="46"/>
      <c r="N385" s="26"/>
    </row>
    <row r="386" spans="1:8" ht="18.75">
      <c r="A386" s="148"/>
      <c r="B386" s="45"/>
      <c r="C386" s="46"/>
      <c r="D386" s="46"/>
      <c r="E386" s="46"/>
      <c r="F386" s="46"/>
      <c r="G386" s="46"/>
      <c r="H386" s="46"/>
    </row>
    <row r="387" spans="1:8" ht="18.75">
      <c r="A387" s="148"/>
      <c r="B387" s="45"/>
      <c r="C387" s="46"/>
      <c r="D387" s="46"/>
      <c r="E387" s="46"/>
      <c r="F387" s="46"/>
      <c r="G387" s="46"/>
      <c r="H387" s="46"/>
    </row>
  </sheetData>
  <sheetProtection/>
  <mergeCells count="54">
    <mergeCell ref="A342:K342"/>
    <mergeCell ref="A341:K341"/>
    <mergeCell ref="A202:K202"/>
    <mergeCell ref="I158:K158"/>
    <mergeCell ref="I190:K190"/>
    <mergeCell ref="A304:K304"/>
    <mergeCell ref="A173:K173"/>
    <mergeCell ref="A305:K305"/>
    <mergeCell ref="A271:K271"/>
    <mergeCell ref="A174:K174"/>
    <mergeCell ref="I221:K221"/>
    <mergeCell ref="A185:K185"/>
    <mergeCell ref="A186:K186"/>
    <mergeCell ref="I70:K70"/>
    <mergeCell ref="A105:K105"/>
    <mergeCell ref="A106:K106"/>
    <mergeCell ref="I98:K98"/>
    <mergeCell ref="A161:K161"/>
    <mergeCell ref="A15:K15"/>
    <mergeCell ref="A17:A19"/>
    <mergeCell ref="A132:K132"/>
    <mergeCell ref="I36:K36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H3:K3"/>
    <mergeCell ref="I320:K320"/>
    <mergeCell ref="I352:K352"/>
    <mergeCell ref="M23:M24"/>
    <mergeCell ref="M29:M30"/>
    <mergeCell ref="A131:K131"/>
    <mergeCell ref="A160:K160"/>
    <mergeCell ref="A85:K85"/>
    <mergeCell ref="A86:K86"/>
    <mergeCell ref="A201:K201"/>
    <mergeCell ref="A28:A30"/>
    <mergeCell ref="A272:K272"/>
    <mergeCell ref="A298:K298"/>
    <mergeCell ref="A299:K299"/>
    <mergeCell ref="I255:K255"/>
    <mergeCell ref="I291:K291"/>
    <mergeCell ref="C7:E8"/>
    <mergeCell ref="F9:F10"/>
    <mergeCell ref="D9:E9"/>
    <mergeCell ref="I9:I10"/>
    <mergeCell ref="I127:K12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1" manualBreakCount="11">
    <brk id="35" max="10" man="1"/>
    <brk id="69" max="10" man="1"/>
    <brk id="97" max="10" man="1"/>
    <brk id="125" max="10" man="1"/>
    <brk id="156" max="10" man="1"/>
    <brk id="188" max="10" man="1"/>
    <brk id="219" max="10" man="1"/>
    <brk id="254" max="10" man="1"/>
    <brk id="289" max="10" man="1"/>
    <brk id="318" max="10" man="1"/>
    <brk id="3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2019-08-22T11:19:33Z</cp:lastPrinted>
  <dcterms:created xsi:type="dcterms:W3CDTF">1996-10-08T23:32:33Z</dcterms:created>
  <dcterms:modified xsi:type="dcterms:W3CDTF">2019-10-04T12:58:16Z</dcterms:modified>
  <cp:category/>
  <cp:version/>
  <cp:contentType/>
  <cp:contentStatus/>
</cp:coreProperties>
</file>