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<sst xmlns="http://schemas.openxmlformats.org/spreadsheetml/2006/main" count="344" uniqueCount="201">
  <si>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</si>
  <si>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</si>
  <si>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</si>
  <si>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</si>
  <si>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</si>
  <si>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</si>
  <si>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</si>
  <si>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</si>
  <si>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</si>
  <si>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</si>
  <si>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</si>
  <si>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</si>
  <si>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</si>
  <si>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</si>
  <si>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</si>
  <si>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</si>
  <si>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</si>
  <si>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</si>
  <si>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</si>
  <si>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</si>
  <si>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</si>
  <si>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</si>
  <si>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</si>
  <si>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</si>
  <si>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</si>
  <si>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</si>
  <si>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</si>
  <si>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</si>
  <si>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</si>
  <si>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</si>
  <si>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</si>
  <si>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</si>
  <si>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</si>
  <si>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2020 рік (прогноз)</t>
  </si>
  <si>
    <t>2021рік (прогноз)</t>
  </si>
  <si>
    <t xml:space="preserve">Результативні показники виконання завдань комплексної міської програми «Освіта м. Суми на 2019-2021 роки» 
</t>
  </si>
  <si>
    <t>Мета: забезпечення належних умов длля надання дошкільної освіти та виховання дітей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</si>
  <si>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</si>
  <si>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</si>
  <si>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</si>
  <si>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</si>
  <si>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</si>
  <si>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</si>
  <si>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</si>
  <si>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</si>
  <si>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</si>
  <si>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</si>
  <si>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</si>
  <si>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</si>
  <si>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</si>
  <si>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</si>
  <si>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</si>
  <si>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</si>
  <si>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</si>
  <si>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</si>
  <si>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</si>
  <si>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</si>
  <si>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</si>
  <si>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</si>
  <si>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</si>
  <si>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</si>
  <si>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</si>
  <si>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</si>
  <si>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</si>
  <si>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</si>
  <si>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</si>
  <si>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</si>
  <si>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</si>
  <si>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</si>
  <si>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</si>
  <si>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</si>
  <si>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</si>
  <si>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</si>
  <si>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</si>
  <si>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</si>
  <si>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</si>
  <si>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</si>
  <si>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</si>
  <si>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</si>
  <si>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</si>
  <si>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</si>
  <si>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</si>
  <si>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</si>
  <si>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</si>
  <si>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</si>
  <si>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</si>
  <si>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</si>
  <si>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</si>
  <si>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</si>
  <si>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</si>
  <si>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</si>
  <si>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</si>
  <si>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</si>
  <si>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</si>
  <si>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</si>
  <si>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</si>
  <si>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КПКВК 0611070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</si>
  <si>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</si>
  <si>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</si>
  <si>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</si>
  <si>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</si>
  <si>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</si>
  <si>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</si>
  <si>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</si>
  <si>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</si>
  <si>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</si>
  <si>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</si>
  <si>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</si>
  <si>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</si>
  <si>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</si>
  <si>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</si>
  <si>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</si>
  <si>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</si>
  <si>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</si>
  <si>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</si>
  <si>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</si>
  <si>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</si>
  <si>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</si>
  <si>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</si>
  <si>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</si>
  <si>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</si>
  <si>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</si>
  <si>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</si>
  <si>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</si>
  <si>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</si>
  <si>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</si>
  <si>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</si>
  <si>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</si>
  <si>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</si>
  <si>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</si>
  <si>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</si>
  <si>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</si>
  <si>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</si>
  <si>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</si>
  <si>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</si>
  <si>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</si>
  <si>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</si>
  <si>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</si>
  <si>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</si>
  <si>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</si>
  <si>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</si>
  <si>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</si>
  <si>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</si>
  <si>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</si>
  <si>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</si>
  <si>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</si>
  <si>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</si>
  <si>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</si>
  <si>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</si>
  <si>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</si>
  <si>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</si>
  <si>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</si>
  <si>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</si>
  <si>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</si>
  <si>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</si>
  <si>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</si>
  <si>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</si>
  <si>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</si>
  <si>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</si>
  <si>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</si>
  <si>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</si>
  <si>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</si>
  <si>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</si>
  <si>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</si>
  <si>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</si>
  <si>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</si>
  <si>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</si>
  <si>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</si>
  <si>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</si>
  <si>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</si>
  <si>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</si>
  <si>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</si>
  <si>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</si>
  <si>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</si>
  <si>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</si>
  <si>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КПКВК 0611170</t>
  </si>
  <si>
    <t>бюджет розвитку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</si>
  <si>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міської програми "Освіта м. Суми на 2019-2021 роки"                                                                                  </t>
  </si>
  <si>
    <t>Сумський міський голова</t>
  </si>
  <si>
    <t xml:space="preserve">                                О. М. Лисенко</t>
  </si>
  <si>
    <t>від  _____________  2019 року № _____ - МР</t>
  </si>
  <si>
    <t>Підпрограма 14. Забезпечення діяльності інклюзивно - ресурсних центрів</t>
  </si>
  <si>
    <t>_________________ _________2019 р.</t>
  </si>
  <si>
    <t>Додаток 2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</si>
  <si>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</si>
  <si>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</si>
  <si>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</si>
  <si>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</si>
  <si>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</si>
  <si>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</si>
  <si>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</si>
  <si>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</si>
  <si>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</si>
  <si>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Виконавець: Дрига Т.В.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</si>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</sst>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_);_(* \(#,##0.0\);_(* &quot;-&quot;??_);_(@_)"/>
    <numFmt numFmtId="200" formatCode="#,##0.0000"/>
    <numFmt numFmtId="201" formatCode="#,##0.00000"/>
    <numFmt numFmtId="202" formatCode="#,##0.00_ ;\-#,##0.00\ "/>
    <numFmt numFmtId="203" formatCode="_-* #,##0.0_₴_-;\-* #,##0.0_₴_-;_-* &quot;-&quot;?_₴_-;_-@_-"/>
  </numFmts>
  <fonts count="6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5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5" fontId="5" fillId="34" borderId="10" xfId="0" applyNumberFormat="1" applyFont="1" applyFill="1" applyBorder="1" applyAlignment="1">
      <alignment horizontal="center" vertical="top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5" fontId="2" fillId="34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justify" vertical="top" wrapText="1"/>
    </xf>
    <xf numFmtId="185" fontId="15" fillId="0" borderId="10" xfId="0" applyNumberFormat="1" applyFont="1" applyFill="1" applyBorder="1" applyAlignment="1">
      <alignment horizontal="center" vertical="top" wrapText="1"/>
    </xf>
    <xf numFmtId="18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4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4" fontId="61" fillId="0" borderId="10" xfId="0" applyNumberFormat="1" applyFont="1" applyFill="1" applyBorder="1" applyAlignment="1">
      <alignment horizontal="center" vertical="top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5" fontId="11" fillId="33" borderId="10" xfId="0" applyNumberFormat="1" applyFont="1" applyFill="1" applyBorder="1" applyAlignment="1">
      <alignment horizontal="center" vertical="center" wrapText="1"/>
    </xf>
    <xf numFmtId="183" fontId="11" fillId="33" borderId="10" xfId="67" applyFont="1" applyFill="1" applyBorder="1" applyAlignment="1">
      <alignment horizontal="center" vertical="center" wrapText="1"/>
    </xf>
    <xf numFmtId="199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5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5" fontId="3" fillId="34" borderId="10" xfId="0" applyNumberFormat="1" applyFont="1" applyFill="1" applyBorder="1" applyAlignment="1">
      <alignment horizontal="justify" vertical="top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top" wrapText="1"/>
    </xf>
    <xf numFmtId="4" fontId="62" fillId="33" borderId="10" xfId="0" applyNumberFormat="1" applyFont="1" applyFill="1" applyBorder="1" applyAlignment="1">
      <alignment horizontal="justify" vertical="top" wrapText="1"/>
    </xf>
    <xf numFmtId="184" fontId="63" fillId="33" borderId="10" xfId="0" applyNumberFormat="1" applyFont="1" applyFill="1" applyBorder="1" applyAlignment="1">
      <alignment horizontal="center" vertical="center" wrapText="1"/>
    </xf>
    <xf numFmtId="185" fontId="62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4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4" fontId="2" fillId="34" borderId="10" xfId="0" applyNumberFormat="1" applyFont="1" applyFill="1" applyBorder="1" applyAlignment="1">
      <alignment horizontal="center" vertical="top" wrapText="1" shrinkToFit="1"/>
    </xf>
    <xf numFmtId="184" fontId="2" fillId="34" borderId="10" xfId="0" applyNumberFormat="1" applyFont="1" applyFill="1" applyBorder="1" applyAlignment="1">
      <alignment vertical="top" wrapText="1" shrinkToFit="1"/>
    </xf>
    <xf numFmtId="184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3" fontId="11" fillId="35" borderId="1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185" fontId="0" fillId="32" borderId="0" xfId="0" applyNumberFormat="1" applyFont="1" applyFill="1" applyAlignment="1">
      <alignment/>
    </xf>
    <xf numFmtId="0" fontId="18" fillId="33" borderId="11" xfId="55" applyFont="1" applyFill="1" applyBorder="1">
      <alignment/>
      <protection/>
    </xf>
    <xf numFmtId="0" fontId="18" fillId="33" borderId="12" xfId="55" applyFont="1" applyFill="1" applyBorder="1">
      <alignment/>
      <protection/>
    </xf>
    <xf numFmtId="0" fontId="18" fillId="33" borderId="13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4" fontId="2" fillId="34" borderId="15" xfId="55" applyNumberFormat="1" applyFont="1" applyFill="1" applyBorder="1" applyAlignment="1">
      <alignment horizontal="center" vertical="center"/>
      <protection/>
    </xf>
    <xf numFmtId="184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4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6" fillId="0" borderId="10" xfId="0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zoomScale="75" zoomScaleNormal="75" zoomScaleSheetLayoutView="75" zoomScalePageLayoutView="0" workbookViewId="0" topLeftCell="A320">
      <selection activeCell="A342" sqref="A342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8" customWidth="1"/>
    <col min="14" max="14" width="15.7109375" style="118" customWidth="1"/>
    <col min="15" max="16" width="16.57421875" style="118" customWidth="1"/>
    <col min="17" max="17" width="19.421875" style="118" customWidth="1"/>
    <col min="18" max="26" width="9.140625" style="118" customWidth="1"/>
  </cols>
  <sheetData>
    <row r="1" spans="8:11" ht="20.25" customHeight="1">
      <c r="H1" s="164" t="s">
        <v>183</v>
      </c>
      <c r="I1" s="164"/>
      <c r="J1" s="164"/>
      <c r="K1" s="4"/>
    </row>
    <row r="2" spans="1:11" ht="67.5" customHeight="1">
      <c r="A2" s="5"/>
      <c r="H2" s="167" t="s">
        <v>177</v>
      </c>
      <c r="I2" s="167"/>
      <c r="J2" s="167"/>
      <c r="K2" s="167"/>
    </row>
    <row r="3" spans="1:11" ht="25.5" customHeight="1">
      <c r="A3" s="6"/>
      <c r="G3" s="168" t="s">
        <v>180</v>
      </c>
      <c r="H3" s="168"/>
      <c r="I3" s="168"/>
      <c r="J3" s="168"/>
      <c r="K3" s="168"/>
    </row>
    <row r="4" spans="8:10" ht="15.75">
      <c r="H4" s="7"/>
      <c r="I4" s="3"/>
      <c r="J4" s="3"/>
    </row>
    <row r="5" spans="1:11" ht="30.75" customHeight="1">
      <c r="A5" s="165" t="s">
        <v>35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7" ht="15.75">
      <c r="A6" s="1"/>
      <c r="E6" s="128">
        <v>1034867098</v>
      </c>
      <c r="F6" s="128">
        <v>962596798</v>
      </c>
      <c r="G6" s="128">
        <v>72270300</v>
      </c>
      <c r="H6" s="128">
        <v>1108071535</v>
      </c>
      <c r="I6" s="128">
        <v>1031587035</v>
      </c>
      <c r="J6" s="128">
        <v>76484500</v>
      </c>
      <c r="K6" s="10" t="s">
        <v>144</v>
      </c>
      <c r="N6" s="153" t="s">
        <v>176</v>
      </c>
      <c r="O6" s="153"/>
      <c r="P6" s="153"/>
      <c r="Q6" s="153"/>
    </row>
    <row r="7" spans="1:26" s="2" customFormat="1" ht="32.25" customHeight="1">
      <c r="A7" s="160" t="s">
        <v>30</v>
      </c>
      <c r="B7" s="166" t="s">
        <v>18</v>
      </c>
      <c r="C7" s="163" t="s">
        <v>172</v>
      </c>
      <c r="D7" s="163"/>
      <c r="E7" s="163"/>
      <c r="F7" s="163" t="s">
        <v>33</v>
      </c>
      <c r="G7" s="163"/>
      <c r="H7" s="163"/>
      <c r="I7" s="163" t="s">
        <v>34</v>
      </c>
      <c r="J7" s="163"/>
      <c r="K7" s="163"/>
      <c r="L7" s="119"/>
      <c r="M7" s="119"/>
      <c r="N7" s="119">
        <v>2019</v>
      </c>
      <c r="O7" s="119">
        <v>2020</v>
      </c>
      <c r="P7" s="119">
        <v>2021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s="2" customFormat="1" ht="23.25" customHeight="1">
      <c r="A8" s="160"/>
      <c r="B8" s="166"/>
      <c r="C8" s="163"/>
      <c r="D8" s="163"/>
      <c r="E8" s="163"/>
      <c r="F8" s="163"/>
      <c r="G8" s="163"/>
      <c r="H8" s="163"/>
      <c r="I8" s="163"/>
      <c r="J8" s="163"/>
      <c r="K8" s="163"/>
      <c r="L8" s="119"/>
      <c r="M8" s="119"/>
      <c r="N8" s="122">
        <f>E12-E23-E55-E56-E57-E277-E278-E279-E280</f>
        <v>46242000</v>
      </c>
      <c r="O8" s="122">
        <f>H12-H23-H55-H56-H57-H277-H278-H279</f>
        <v>26342100</v>
      </c>
      <c r="P8" s="122">
        <f>K12-K23-K55-K56-K57-K277-K278-K279</f>
        <v>28104000</v>
      </c>
      <c r="Q8" s="122">
        <f>N8+O8+P8</f>
        <v>100688100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s="2" customFormat="1" ht="18.75" customHeight="1">
      <c r="A9" s="160"/>
      <c r="B9" s="166"/>
      <c r="C9" s="158" t="s">
        <v>0</v>
      </c>
      <c r="D9" s="158" t="s">
        <v>1</v>
      </c>
      <c r="E9" s="158"/>
      <c r="F9" s="158" t="s">
        <v>0</v>
      </c>
      <c r="G9" s="158" t="s">
        <v>1</v>
      </c>
      <c r="H9" s="158"/>
      <c r="I9" s="158" t="s">
        <v>0</v>
      </c>
      <c r="J9" s="158" t="s">
        <v>1</v>
      </c>
      <c r="K9" s="15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s="2" customFormat="1" ht="28.5">
      <c r="A10" s="160"/>
      <c r="B10" s="166"/>
      <c r="C10" s="158"/>
      <c r="D10" s="14" t="s">
        <v>2</v>
      </c>
      <c r="E10" s="14" t="s">
        <v>3</v>
      </c>
      <c r="F10" s="158"/>
      <c r="G10" s="14" t="s">
        <v>2</v>
      </c>
      <c r="H10" s="14" t="s">
        <v>3</v>
      </c>
      <c r="I10" s="158"/>
      <c r="J10" s="14" t="s">
        <v>2</v>
      </c>
      <c r="K10" s="14" t="s">
        <v>3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s="8" customFormat="1" ht="29.25" customHeight="1">
      <c r="A12" s="11" t="s">
        <v>194</v>
      </c>
      <c r="B12" s="56">
        <f>C12+F12+I12</f>
        <v>3083767403.996315</v>
      </c>
      <c r="C12" s="57">
        <f>D12+E12</f>
        <v>952674470.9872601</v>
      </c>
      <c r="D12" s="57">
        <f>D21+D54+D89+D105+D132+D156+D176+D193+D211+D231+D254+D276+D299+D313</f>
        <v>863416970.99144</v>
      </c>
      <c r="E12" s="57">
        <f>E21+E54+E89+E105+E132+E156+E176+E193+E211+E231+E254+E276+E299+E313+E328</f>
        <v>89257499.99582</v>
      </c>
      <c r="F12" s="57">
        <f>G12+H12</f>
        <v>1029103197.99954</v>
      </c>
      <c r="G12" s="57">
        <f>G21+G54+G89+G105+G132+G156+G176+G193+G211+G231+G254+G276+G299+G313</f>
        <v>956832898</v>
      </c>
      <c r="H12" s="57">
        <f>H21+H54+H89+H105+H132+H156+H176+H193+H211+H231+H254+H276+H299+H313</f>
        <v>72270299.99953994</v>
      </c>
      <c r="I12" s="57">
        <f>J12+K12</f>
        <v>1101989735.0095146</v>
      </c>
      <c r="J12" s="57">
        <f>J21+J54+J89+J105+J132+J156+J176+J193+J211+J231+J254+J276+J299+J313</f>
        <v>1025505235.005</v>
      </c>
      <c r="K12" s="57">
        <f>K21+K54+K89+K105+K132+K156+K176+K193+K211+K231+K254+K276+K299+K313</f>
        <v>76484500.00451463</v>
      </c>
      <c r="L12" s="120"/>
      <c r="M12" s="120"/>
      <c r="N12" s="129">
        <f>D12+G12+J12</f>
        <v>2845755103.99644</v>
      </c>
      <c r="O12" s="129">
        <f>E12+H12+K12</f>
        <v>238012299.9998746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s="8" customFormat="1" ht="29.25" customHeight="1" hidden="1">
      <c r="A13" s="11" t="s">
        <v>85</v>
      </c>
      <c r="B13" s="56">
        <f>D13+G13+J13</f>
        <v>1030404478</v>
      </c>
      <c r="C13" s="57"/>
      <c r="D13" s="57">
        <f>253235538+55711818+777003+170941+4226822+929901</f>
        <v>315052023</v>
      </c>
      <c r="E13" s="57"/>
      <c r="F13" s="57"/>
      <c r="G13" s="57">
        <f>277149716+60972938+850209+187046+4592467+812077</f>
        <v>344564453</v>
      </c>
      <c r="H13" s="57"/>
      <c r="I13" s="57"/>
      <c r="J13" s="57">
        <f>298243988+65613677+914926+201284+4940241+873886</f>
        <v>370788002</v>
      </c>
      <c r="K13" s="57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s="8" customFormat="1" ht="29.25" customHeight="1" hidden="1">
      <c r="A14" s="11" t="s">
        <v>88</v>
      </c>
      <c r="B14" s="56">
        <f>D14+G14+J14</f>
        <v>1815350625.99644</v>
      </c>
      <c r="C14" s="57"/>
      <c r="D14" s="57">
        <f>D12-D13</f>
        <v>548364947.99144</v>
      </c>
      <c r="E14" s="57"/>
      <c r="F14" s="57"/>
      <c r="G14" s="57">
        <f>G12-G13</f>
        <v>612268445</v>
      </c>
      <c r="H14" s="57"/>
      <c r="I14" s="57"/>
      <c r="J14" s="57">
        <f>J12-J13</f>
        <v>654717233.005</v>
      </c>
      <c r="K14" s="57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s="8" customFormat="1" ht="29.25" customHeight="1" hidden="1">
      <c r="A15" s="11" t="s">
        <v>87</v>
      </c>
      <c r="B15" s="56">
        <f>E12+H12+K12</f>
        <v>238012299.9998746</v>
      </c>
      <c r="C15" s="57"/>
      <c r="D15" s="57"/>
      <c r="E15" s="57"/>
      <c r="F15" s="57"/>
      <c r="G15" s="57"/>
      <c r="H15" s="57"/>
      <c r="I15" s="57"/>
      <c r="J15" s="57"/>
      <c r="K15" s="57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s="8" customFormat="1" ht="29.25" customHeight="1" hidden="1">
      <c r="A16" s="11" t="s">
        <v>86</v>
      </c>
      <c r="B16" s="56">
        <f>D16+G16+J16</f>
        <v>2053362925.9963148</v>
      </c>
      <c r="C16" s="57">
        <f>B16+B13</f>
        <v>3083767403.996315</v>
      </c>
      <c r="D16" s="57">
        <f>D14+E12</f>
        <v>637622447.9872601</v>
      </c>
      <c r="E16" s="57"/>
      <c r="F16" s="57"/>
      <c r="G16" s="57">
        <f>G14+H12</f>
        <v>684538744.99954</v>
      </c>
      <c r="H16" s="57"/>
      <c r="I16" s="57"/>
      <c r="J16" s="57">
        <f>J14+K12</f>
        <v>731201733.0095146</v>
      </c>
      <c r="K16" s="57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s="8" customFormat="1" ht="51" customHeight="1">
      <c r="A17" s="159" t="s">
        <v>17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s="8" customFormat="1" ht="21" customHeight="1">
      <c r="A18" s="161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s="8" customFormat="1" ht="21" customHeight="1">
      <c r="A19" s="146" t="s">
        <v>36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s="8" customFormat="1" ht="19.5" customHeight="1">
      <c r="A20" s="9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s="8" customFormat="1" ht="18.75" customHeight="1">
      <c r="A21" s="48" t="s">
        <v>89</v>
      </c>
      <c r="B21" s="58">
        <f>C21+F21+I21</f>
        <v>794885299.996</v>
      </c>
      <c r="C21" s="55">
        <f aca="true" t="shared" si="0" ref="C21:K21">SUM(C22:C30)</f>
        <v>250609999.996</v>
      </c>
      <c r="D21" s="55">
        <f t="shared" si="0"/>
        <v>226616999.996</v>
      </c>
      <c r="E21" s="55">
        <f t="shared" si="0"/>
        <v>23993000</v>
      </c>
      <c r="F21" s="55">
        <f t="shared" si="0"/>
        <v>268258100</v>
      </c>
      <c r="G21" s="55">
        <f t="shared" si="0"/>
        <v>242572500</v>
      </c>
      <c r="H21" s="55">
        <f t="shared" si="0"/>
        <v>25685600</v>
      </c>
      <c r="I21" s="55">
        <f t="shared" si="0"/>
        <v>276017200</v>
      </c>
      <c r="J21" s="55">
        <f t="shared" si="0"/>
        <v>248876000</v>
      </c>
      <c r="K21" s="55">
        <f t="shared" si="0"/>
        <v>27141200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s="8" customFormat="1" ht="18.75" customHeight="1">
      <c r="A22" s="77" t="s">
        <v>40</v>
      </c>
      <c r="B22" s="25"/>
      <c r="C22" s="35">
        <f>D22+E22</f>
        <v>177938000</v>
      </c>
      <c r="D22" s="35">
        <f>145823755+32081226+19+33000</f>
        <v>177938000</v>
      </c>
      <c r="E22" s="35"/>
      <c r="F22" s="35">
        <f>G22+H22</f>
        <v>189567200</v>
      </c>
      <c r="G22" s="35">
        <f>155382976+34184255-31</f>
        <v>189567200</v>
      </c>
      <c r="H22" s="35"/>
      <c r="I22" s="35">
        <f>J22+K22</f>
        <v>192955400</v>
      </c>
      <c r="J22" s="35">
        <f>158160200+34795244-44</f>
        <v>192955400</v>
      </c>
      <c r="K22" s="35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s="8" customFormat="1" ht="18.75" customHeight="1">
      <c r="A23" s="77" t="s">
        <v>37</v>
      </c>
      <c r="B23" s="25"/>
      <c r="C23" s="35">
        <f aca="true" t="shared" si="1" ref="C23:C30">D23+E23</f>
        <v>31175000</v>
      </c>
      <c r="D23" s="35">
        <f>14925617+383</f>
        <v>14926000</v>
      </c>
      <c r="E23" s="35">
        <f>16249311-311</f>
        <v>16249000</v>
      </c>
      <c r="F23" s="35">
        <f aca="true" t="shared" si="2" ref="F23:F30">G23+H23</f>
        <v>33263600</v>
      </c>
      <c r="G23" s="35">
        <f>D23*1.067-42</f>
        <v>15926000</v>
      </c>
      <c r="H23" s="35">
        <f>E23*1.067-83</f>
        <v>17337600</v>
      </c>
      <c r="I23" s="35">
        <f aca="true" t="shared" si="3" ref="I23:I30">J23+K23</f>
        <v>35093100</v>
      </c>
      <c r="J23" s="35">
        <f>G23*1.055-30</f>
        <v>16801900</v>
      </c>
      <c r="K23" s="35">
        <f>H23*1.055+32</f>
        <v>18291200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s="8" customFormat="1" ht="18.75" customHeight="1">
      <c r="A24" s="77" t="s">
        <v>38</v>
      </c>
      <c r="B24" s="25"/>
      <c r="C24" s="35">
        <f t="shared" si="1"/>
        <v>33278999.996</v>
      </c>
      <c r="D24" s="35">
        <f>(7337.7*1725.6+3984*1205.27+14083*93.83+83387*8.556+95810*7.38+1508000*2.8612+25.6*14579.64+370*1758.6)+(9428234+7728775)*50%+209.5+156000-0.05-1000000</f>
        <v>33278999.996</v>
      </c>
      <c r="E24" s="35"/>
      <c r="F24" s="35">
        <f t="shared" si="2"/>
        <v>36575700</v>
      </c>
      <c r="G24" s="35">
        <v>36575700</v>
      </c>
      <c r="H24" s="35"/>
      <c r="I24" s="35">
        <f t="shared" si="3"/>
        <v>38587400</v>
      </c>
      <c r="J24" s="35">
        <f>G24*1.055+36.4+0.1</f>
        <v>38587400</v>
      </c>
      <c r="K24" s="35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s="8" customFormat="1" ht="18.75" customHeight="1">
      <c r="A25" s="77" t="s">
        <v>39</v>
      </c>
      <c r="B25" s="103">
        <f>C25+F25+I25</f>
        <v>1508900</v>
      </c>
      <c r="C25" s="35">
        <f t="shared" si="1"/>
        <v>474000</v>
      </c>
      <c r="D25" s="35">
        <f>297376+174688-64+2000</f>
        <v>474000</v>
      </c>
      <c r="E25" s="35"/>
      <c r="F25" s="35">
        <f t="shared" si="2"/>
        <v>503600</v>
      </c>
      <c r="G25" s="35">
        <v>503600</v>
      </c>
      <c r="H25" s="35"/>
      <c r="I25" s="35">
        <f t="shared" si="3"/>
        <v>531300</v>
      </c>
      <c r="J25" s="35">
        <f>G25*1.055+2</f>
        <v>531300</v>
      </c>
      <c r="K25" s="35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s="8" customFormat="1" ht="18.75" customHeight="1">
      <c r="A26" s="77" t="s">
        <v>41</v>
      </c>
      <c r="B26" s="25"/>
      <c r="C26" s="35">
        <f t="shared" si="1"/>
        <v>1644000</v>
      </c>
      <c r="D26" s="35"/>
      <c r="E26" s="35">
        <f>1500000+45000+18000+81000</f>
        <v>1644000</v>
      </c>
      <c r="F26" s="35">
        <f t="shared" si="2"/>
        <v>1648000</v>
      </c>
      <c r="G26" s="35"/>
      <c r="H26" s="35">
        <f>1600000+48000</f>
        <v>1648000</v>
      </c>
      <c r="I26" s="35">
        <f t="shared" si="3"/>
        <v>1750000</v>
      </c>
      <c r="J26" s="35"/>
      <c r="K26" s="35">
        <f>1700000+50000</f>
        <v>1750000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s="8" customFormat="1" ht="18.75" customHeight="1">
      <c r="A27" s="77" t="s">
        <v>42</v>
      </c>
      <c r="B27" s="25"/>
      <c r="C27" s="35">
        <f t="shared" si="1"/>
        <v>5500000</v>
      </c>
      <c r="D27" s="35"/>
      <c r="E27" s="35">
        <v>5500000</v>
      </c>
      <c r="F27" s="35">
        <f t="shared" si="2"/>
        <v>6000000</v>
      </c>
      <c r="G27" s="35"/>
      <c r="H27" s="35">
        <v>6000000</v>
      </c>
      <c r="I27" s="35">
        <f t="shared" si="3"/>
        <v>6300000</v>
      </c>
      <c r="J27" s="35"/>
      <c r="K27" s="35">
        <v>6300000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s="8" customFormat="1" ht="18.75" customHeight="1">
      <c r="A28" s="77" t="s">
        <v>43</v>
      </c>
      <c r="B28" s="25"/>
      <c r="C28" s="35">
        <f t="shared" si="1"/>
        <v>600000</v>
      </c>
      <c r="D28" s="35"/>
      <c r="E28" s="35">
        <v>600000</v>
      </c>
      <c r="F28" s="35">
        <f t="shared" si="2"/>
        <v>700000</v>
      </c>
      <c r="G28" s="35"/>
      <c r="H28" s="35">
        <v>700000</v>
      </c>
      <c r="I28" s="35">
        <f t="shared" si="3"/>
        <v>800000</v>
      </c>
      <c r="J28" s="35"/>
      <c r="K28" s="35">
        <v>800000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s="8" customFormat="1" ht="33" customHeight="1" hidden="1">
      <c r="A29" s="32" t="s">
        <v>130</v>
      </c>
      <c r="B29" s="25"/>
      <c r="C29" s="35">
        <f t="shared" si="1"/>
        <v>0</v>
      </c>
      <c r="D29" s="35"/>
      <c r="E29" s="35"/>
      <c r="F29" s="35">
        <f t="shared" si="2"/>
        <v>0</v>
      </c>
      <c r="G29" s="35"/>
      <c r="H29" s="35"/>
      <c r="I29" s="35">
        <f t="shared" si="3"/>
        <v>0</v>
      </c>
      <c r="J29" s="35"/>
      <c r="K29" s="35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s="8" customFormat="1" ht="69.75" customHeight="1" hidden="1">
      <c r="A30" s="32" t="s">
        <v>131</v>
      </c>
      <c r="B30" s="103">
        <f>C30+F30+I30</f>
        <v>0</v>
      </c>
      <c r="C30" s="35">
        <f t="shared" si="1"/>
        <v>0</v>
      </c>
      <c r="D30" s="35"/>
      <c r="E30" s="35"/>
      <c r="F30" s="35">
        <f t="shared" si="2"/>
        <v>0</v>
      </c>
      <c r="G30" s="35"/>
      <c r="H30" s="35"/>
      <c r="I30" s="35">
        <f t="shared" si="3"/>
        <v>0</v>
      </c>
      <c r="J30" s="35"/>
      <c r="K30" s="35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s="8" customFormat="1" ht="17.25" customHeight="1">
      <c r="A31" s="27" t="s">
        <v>4</v>
      </c>
      <c r="B31" s="25"/>
      <c r="C31" s="28"/>
      <c r="D31" s="28"/>
      <c r="E31" s="28"/>
      <c r="F31" s="28"/>
      <c r="G31" s="28"/>
      <c r="H31" s="28"/>
      <c r="I31" s="28"/>
      <c r="J31" s="28"/>
      <c r="K31" s="2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s="8" customFormat="1" ht="17.25" customHeight="1">
      <c r="A32" s="26" t="s">
        <v>19</v>
      </c>
      <c r="B32" s="25"/>
      <c r="C32" s="28"/>
      <c r="D32" s="28"/>
      <c r="E32" s="28"/>
      <c r="F32" s="28"/>
      <c r="G32" s="28"/>
      <c r="H32" s="28"/>
      <c r="I32" s="28"/>
      <c r="J32" s="28"/>
      <c r="K32" s="2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s="8" customFormat="1" ht="17.25" customHeight="1">
      <c r="A33" s="27" t="s">
        <v>44</v>
      </c>
      <c r="B33" s="25"/>
      <c r="C33" s="30">
        <v>35</v>
      </c>
      <c r="D33" s="30"/>
      <c r="E33" s="30"/>
      <c r="F33" s="30">
        <v>35</v>
      </c>
      <c r="G33" s="30"/>
      <c r="H33" s="30"/>
      <c r="I33" s="30">
        <v>36</v>
      </c>
      <c r="J33" s="28"/>
      <c r="K33" s="2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s="8" customFormat="1" ht="17.25" customHeight="1">
      <c r="A34" s="26" t="s">
        <v>5</v>
      </c>
      <c r="B34" s="25"/>
      <c r="C34" s="28"/>
      <c r="D34" s="28"/>
      <c r="E34" s="28"/>
      <c r="F34" s="28"/>
      <c r="G34" s="28"/>
      <c r="H34" s="28"/>
      <c r="I34" s="28"/>
      <c r="J34" s="28"/>
      <c r="K34" s="29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s="8" customFormat="1" ht="17.25" customHeight="1">
      <c r="A35" s="27" t="s">
        <v>45</v>
      </c>
      <c r="B35" s="31"/>
      <c r="C35" s="30">
        <v>392</v>
      </c>
      <c r="D35" s="30"/>
      <c r="E35" s="30"/>
      <c r="F35" s="30">
        <v>392</v>
      </c>
      <c r="G35" s="30"/>
      <c r="H35" s="30"/>
      <c r="I35" s="30">
        <v>404</v>
      </c>
      <c r="J35" s="31"/>
      <c r="K35" s="31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s="8" customFormat="1" ht="17.25" customHeight="1">
      <c r="A36" s="27" t="s">
        <v>46</v>
      </c>
      <c r="B36" s="25"/>
      <c r="C36" s="30">
        <v>10133</v>
      </c>
      <c r="D36" s="30"/>
      <c r="E36" s="30"/>
      <c r="F36" s="30">
        <v>10133</v>
      </c>
      <c r="G36" s="30"/>
      <c r="H36" s="30"/>
      <c r="I36" s="30">
        <v>10133</v>
      </c>
      <c r="J36" s="30"/>
      <c r="K36" s="2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8" customFormat="1" ht="18.75" customHeight="1">
      <c r="A37" s="45" t="s">
        <v>47</v>
      </c>
      <c r="B37" s="25"/>
      <c r="C37" s="30">
        <v>9830</v>
      </c>
      <c r="D37" s="30"/>
      <c r="E37" s="28"/>
      <c r="F37" s="30">
        <v>9830</v>
      </c>
      <c r="G37" s="30"/>
      <c r="H37" s="28"/>
      <c r="I37" s="30">
        <v>9830</v>
      </c>
      <c r="J37" s="30"/>
      <c r="K37" s="2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s="8" customFormat="1" ht="18.75" customHeight="1">
      <c r="A38" s="45" t="s">
        <v>50</v>
      </c>
      <c r="B38" s="25"/>
      <c r="C38" s="30">
        <v>1517431</v>
      </c>
      <c r="D38" s="30"/>
      <c r="E38" s="28"/>
      <c r="F38" s="30">
        <v>1517431</v>
      </c>
      <c r="G38" s="30"/>
      <c r="H38" s="28"/>
      <c r="I38" s="30">
        <v>1517431</v>
      </c>
      <c r="J38" s="30"/>
      <c r="K38" s="29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s="8" customFormat="1" ht="18.75" customHeight="1">
      <c r="A39" s="45" t="s">
        <v>184</v>
      </c>
      <c r="B39" s="25"/>
      <c r="C39" s="127">
        <f>E26/C44</f>
        <v>54.8</v>
      </c>
      <c r="D39" s="30"/>
      <c r="E39" s="28"/>
      <c r="F39" s="30">
        <v>50</v>
      </c>
      <c r="G39" s="30"/>
      <c r="H39" s="28"/>
      <c r="I39" s="30">
        <v>50</v>
      </c>
      <c r="J39" s="30"/>
      <c r="K39" s="29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s="8" customFormat="1" ht="18.75" customHeight="1">
      <c r="A40" s="45" t="s">
        <v>91</v>
      </c>
      <c r="B40" s="25"/>
      <c r="C40" s="30">
        <f>E27/C45</f>
        <v>27.5</v>
      </c>
      <c r="D40" s="30"/>
      <c r="E40" s="28"/>
      <c r="F40" s="30">
        <f>H27/F45</f>
        <v>27.906976744186046</v>
      </c>
      <c r="G40" s="30"/>
      <c r="H40" s="28"/>
      <c r="I40" s="30">
        <v>28</v>
      </c>
      <c r="J40" s="30"/>
      <c r="K40" s="2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s="8" customFormat="1" ht="17.25" customHeight="1">
      <c r="A41" s="33" t="s">
        <v>8</v>
      </c>
      <c r="B41" s="25"/>
      <c r="C41" s="28"/>
      <c r="D41" s="28"/>
      <c r="E41" s="28"/>
      <c r="F41" s="30"/>
      <c r="G41" s="28"/>
      <c r="H41" s="28"/>
      <c r="I41" s="30"/>
      <c r="J41" s="28"/>
      <c r="K41" s="2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s="8" customFormat="1" ht="20.25" customHeight="1">
      <c r="A42" s="32" t="s">
        <v>90</v>
      </c>
      <c r="B42" s="25"/>
      <c r="C42" s="28">
        <f>C21/C36</f>
        <v>24732.063554327444</v>
      </c>
      <c r="D42" s="28"/>
      <c r="E42" s="28"/>
      <c r="F42" s="28">
        <f>F21/F36</f>
        <v>26473.709661502024</v>
      </c>
      <c r="G42" s="28"/>
      <c r="H42" s="28"/>
      <c r="I42" s="28">
        <f>I21/I36</f>
        <v>27239.435507746966</v>
      </c>
      <c r="J42" s="28"/>
      <c r="K42" s="29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s="8" customFormat="1" ht="19.5" customHeight="1">
      <c r="A43" s="32" t="s">
        <v>48</v>
      </c>
      <c r="B43" s="25"/>
      <c r="C43" s="28">
        <f>(C23/C38)</f>
        <v>20.544591483896138</v>
      </c>
      <c r="D43" s="28"/>
      <c r="E43" s="28"/>
      <c r="F43" s="28">
        <f>(F23/F38)</f>
        <v>21.92099673724868</v>
      </c>
      <c r="G43" s="28"/>
      <c r="H43" s="28"/>
      <c r="I43" s="28">
        <f>(I23/I38)</f>
        <v>23.126652875814454</v>
      </c>
      <c r="J43" s="28"/>
      <c r="K43" s="2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s="8" customFormat="1" ht="19.5" customHeight="1">
      <c r="A44" s="32" t="s">
        <v>92</v>
      </c>
      <c r="B44" s="25"/>
      <c r="C44" s="28">
        <v>30000</v>
      </c>
      <c r="D44" s="28"/>
      <c r="E44" s="28"/>
      <c r="F44" s="28">
        <f>H26/F39</f>
        <v>32960</v>
      </c>
      <c r="G44" s="28"/>
      <c r="H44" s="28"/>
      <c r="I44" s="28">
        <f>K26/I39</f>
        <v>35000</v>
      </c>
      <c r="J44" s="28"/>
      <c r="K44" s="29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s="8" customFormat="1" ht="19.5" customHeight="1">
      <c r="A45" s="32" t="s">
        <v>147</v>
      </c>
      <c r="B45" s="25"/>
      <c r="C45" s="28">
        <v>200000</v>
      </c>
      <c r="D45" s="28"/>
      <c r="E45" s="28"/>
      <c r="F45" s="28">
        <v>215000</v>
      </c>
      <c r="G45" s="28"/>
      <c r="H45" s="28"/>
      <c r="I45" s="28">
        <f>K27/I40</f>
        <v>225000</v>
      </c>
      <c r="J45" s="28"/>
      <c r="K45" s="29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s="8" customFormat="1" ht="17.25" customHeight="1">
      <c r="A46" s="85" t="s">
        <v>7</v>
      </c>
      <c r="B46" s="25"/>
      <c r="C46" s="28"/>
      <c r="D46" s="28"/>
      <c r="E46" s="28"/>
      <c r="F46" s="30"/>
      <c r="G46" s="28"/>
      <c r="H46" s="28"/>
      <c r="I46" s="30"/>
      <c r="J46" s="28"/>
      <c r="K46" s="29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s="8" customFormat="1" ht="34.5" customHeight="1">
      <c r="A47" s="88" t="s">
        <v>150</v>
      </c>
      <c r="B47" s="25"/>
      <c r="C47" s="28">
        <v>100</v>
      </c>
      <c r="D47" s="28"/>
      <c r="E47" s="28"/>
      <c r="F47" s="30">
        <v>100</v>
      </c>
      <c r="G47" s="28"/>
      <c r="H47" s="28"/>
      <c r="I47" s="35">
        <v>102.9</v>
      </c>
      <c r="J47" s="28"/>
      <c r="K47" s="29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s="8" customFormat="1" ht="36" customHeight="1">
      <c r="A48" s="87" t="s">
        <v>152</v>
      </c>
      <c r="B48" s="25"/>
      <c r="C48" s="30">
        <v>100</v>
      </c>
      <c r="D48" s="28"/>
      <c r="E48" s="28"/>
      <c r="F48" s="30">
        <v>100</v>
      </c>
      <c r="G48" s="28"/>
      <c r="H48" s="28"/>
      <c r="I48" s="30">
        <v>100</v>
      </c>
      <c r="J48" s="28"/>
      <c r="K48" s="29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s="8" customFormat="1" ht="31.5" customHeight="1">
      <c r="A49" s="88" t="s">
        <v>148</v>
      </c>
      <c r="B49" s="25"/>
      <c r="C49" s="30">
        <v>100</v>
      </c>
      <c r="D49" s="28"/>
      <c r="E49" s="28"/>
      <c r="F49" s="30">
        <v>100</v>
      </c>
      <c r="G49" s="28"/>
      <c r="H49" s="28"/>
      <c r="I49" s="30">
        <v>100</v>
      </c>
      <c r="J49" s="28"/>
      <c r="K49" s="29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s="8" customFormat="1" ht="15" customHeight="1">
      <c r="A50" s="32"/>
      <c r="B50" s="31"/>
      <c r="C50" s="86"/>
      <c r="D50" s="34"/>
      <c r="E50" s="34"/>
      <c r="F50" s="34"/>
      <c r="G50" s="34"/>
      <c r="H50" s="34"/>
      <c r="I50" s="86"/>
      <c r="J50" s="31"/>
      <c r="K50" s="31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s="8" customFormat="1" ht="18" customHeight="1">
      <c r="A51" s="161" t="s">
        <v>51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s="8" customFormat="1" ht="18" customHeight="1">
      <c r="A52" s="146" t="s">
        <v>52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s="8" customFormat="1" ht="18" customHeight="1">
      <c r="A53" s="9" t="s">
        <v>53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s="8" customFormat="1" ht="18" customHeight="1">
      <c r="A54" s="48" t="s">
        <v>21</v>
      </c>
      <c r="B54" s="98">
        <f>C54+F54+I54</f>
        <v>1695063820.0008745</v>
      </c>
      <c r="C54" s="58">
        <f aca="true" t="shared" si="4" ref="C54:K54">SUM(C55:C64)</f>
        <v>513252419.99182</v>
      </c>
      <c r="D54" s="58">
        <f t="shared" si="4"/>
        <v>478043319.996</v>
      </c>
      <c r="E54" s="58">
        <f t="shared" si="4"/>
        <v>35209099.99582</v>
      </c>
      <c r="F54" s="58">
        <f t="shared" si="4"/>
        <v>571218299.99954</v>
      </c>
      <c r="G54" s="58">
        <f t="shared" si="4"/>
        <v>535592700</v>
      </c>
      <c r="H54" s="58">
        <f t="shared" si="4"/>
        <v>35625599.99953994</v>
      </c>
      <c r="I54" s="58">
        <f t="shared" si="4"/>
        <v>610593100.0095146</v>
      </c>
      <c r="J54" s="58">
        <f t="shared" si="4"/>
        <v>572713800.005</v>
      </c>
      <c r="K54" s="58">
        <f t="shared" si="4"/>
        <v>37879300.004514635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s="8" customFormat="1" ht="18" customHeight="1">
      <c r="A55" s="97" t="s">
        <v>40</v>
      </c>
      <c r="B55" s="25"/>
      <c r="C55" s="79">
        <f>D55+E55</f>
        <v>400278420</v>
      </c>
      <c r="D55" s="79">
        <f>300000000+95500000+1064000+2855820-134800-152600</f>
        <v>399132420</v>
      </c>
      <c r="E55" s="79">
        <f>939365+206660-25</f>
        <v>1146000</v>
      </c>
      <c r="F55" s="79">
        <f>G55+H55</f>
        <v>451250900</v>
      </c>
      <c r="G55" s="79">
        <f>367945148+80947933+19+1135000</f>
        <v>450028100</v>
      </c>
      <c r="H55" s="79">
        <f>1002301+220506-7</f>
        <v>1222800</v>
      </c>
      <c r="I55" s="79">
        <f>J55+K55</f>
        <v>483665000</v>
      </c>
      <c r="J55" s="79">
        <f>394463258+86781916+26+1197000</f>
        <v>482442200</v>
      </c>
      <c r="K55" s="79">
        <f>1002301+220506-7</f>
        <v>1222800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s="8" customFormat="1" ht="18" customHeight="1">
      <c r="A56" s="97" t="s">
        <v>37</v>
      </c>
      <c r="B56" s="100"/>
      <c r="C56" s="79">
        <f aca="true" t="shared" si="5" ref="C56:C64">D56+E56</f>
        <v>35199200</v>
      </c>
      <c r="D56" s="79">
        <f>17376899+1</f>
        <v>17376900</v>
      </c>
      <c r="E56" s="79">
        <f>17822289+11</f>
        <v>17822300</v>
      </c>
      <c r="F56" s="79">
        <f aca="true" t="shared" si="6" ref="F56:F64">G56+H56</f>
        <v>37557600</v>
      </c>
      <c r="G56" s="79">
        <f>D56*1.067+47.7</f>
        <v>18541200</v>
      </c>
      <c r="H56" s="79">
        <f>E56*1.067+5.9</f>
        <v>19016399.999999996</v>
      </c>
      <c r="I56" s="79">
        <f aca="true" t="shared" si="7" ref="I56:I64">J56+K56</f>
        <v>39623300</v>
      </c>
      <c r="J56" s="79">
        <f>G56*1.055+34</f>
        <v>19561000</v>
      </c>
      <c r="K56" s="79">
        <f>H56*1.055-2</f>
        <v>20062299.999999996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s="8" customFormat="1" ht="18" customHeight="1">
      <c r="A57" s="97" t="s">
        <v>38</v>
      </c>
      <c r="B57" s="100"/>
      <c r="C57" s="80">
        <f t="shared" si="5"/>
        <v>60734199.99181999</v>
      </c>
      <c r="D57" s="80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</f>
        <v>60685999.99599999</v>
      </c>
      <c r="E57" s="80">
        <f>25.326*1205.27+14.4*8.556+14.4*7.38+6099.5*2.8612-6-0.04</f>
        <v>48199.995820000004</v>
      </c>
      <c r="F57" s="80">
        <f t="shared" si="6"/>
        <v>66196599.99953994</v>
      </c>
      <c r="G57" s="81">
        <v>66145200</v>
      </c>
      <c r="H57" s="81">
        <f>E57*1.067-29.4+0.004</f>
        <v>51399.99953994</v>
      </c>
      <c r="I57" s="81">
        <f>J57+K57</f>
        <v>69837200.00951463</v>
      </c>
      <c r="J57" s="81">
        <f>G57*1.055-186+0.005</f>
        <v>69783000.005</v>
      </c>
      <c r="K57" s="81">
        <f>H57*1.055-7-20+0.005</f>
        <v>54200.00451463669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s="8" customFormat="1" ht="18" customHeight="1">
      <c r="A58" s="97" t="s">
        <v>39</v>
      </c>
      <c r="B58" s="103">
        <f>C58+F58+I58</f>
        <v>2653800</v>
      </c>
      <c r="C58" s="79">
        <f t="shared" si="5"/>
        <v>848000</v>
      </c>
      <c r="D58" s="79">
        <f>66330+758293+16995+382+6000</f>
        <v>848000</v>
      </c>
      <c r="E58" s="79"/>
      <c r="F58" s="79">
        <f t="shared" si="6"/>
        <v>878200</v>
      </c>
      <c r="G58" s="79">
        <v>878200</v>
      </c>
      <c r="H58" s="79"/>
      <c r="I58" s="79">
        <f t="shared" si="7"/>
        <v>927600</v>
      </c>
      <c r="J58" s="79">
        <v>927600</v>
      </c>
      <c r="K58" s="7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s="8" customFormat="1" ht="18" customHeight="1">
      <c r="A59" s="97" t="s">
        <v>41</v>
      </c>
      <c r="B59" s="100"/>
      <c r="C59" s="79">
        <f t="shared" si="5"/>
        <v>5286800</v>
      </c>
      <c r="D59" s="79"/>
      <c r="E59" s="79">
        <f>2800000+30000+134800+240000+739000+1310000+33000</f>
        <v>5286800</v>
      </c>
      <c r="F59" s="79">
        <f t="shared" si="6"/>
        <v>3035000</v>
      </c>
      <c r="G59" s="79"/>
      <c r="H59" s="79">
        <f>3000000+35000</f>
        <v>3035000</v>
      </c>
      <c r="I59" s="79">
        <f t="shared" si="7"/>
        <v>3240000</v>
      </c>
      <c r="J59" s="79"/>
      <c r="K59" s="79">
        <f>3200000+40000</f>
        <v>3240000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s="8" customFormat="1" ht="34.5" customHeight="1">
      <c r="A60" s="97" t="s">
        <v>42</v>
      </c>
      <c r="B60" s="100"/>
      <c r="C60" s="79">
        <f t="shared" si="5"/>
        <v>10005800</v>
      </c>
      <c r="D60" s="79"/>
      <c r="E60" s="79">
        <f>8300000+1705800</f>
        <v>10005800</v>
      </c>
      <c r="F60" s="79">
        <f t="shared" si="6"/>
        <v>8800000</v>
      </c>
      <c r="G60" s="79"/>
      <c r="H60" s="79">
        <v>8800000</v>
      </c>
      <c r="I60" s="79">
        <f t="shared" si="7"/>
        <v>9300000</v>
      </c>
      <c r="J60" s="79"/>
      <c r="K60" s="79">
        <v>9300000</v>
      </c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s="8" customFormat="1" ht="32.25" customHeight="1">
      <c r="A61" s="97" t="s">
        <v>59</v>
      </c>
      <c r="B61" s="100"/>
      <c r="C61" s="79">
        <f t="shared" si="5"/>
        <v>900000</v>
      </c>
      <c r="D61" s="79"/>
      <c r="E61" s="79">
        <f>3000000-2100000</f>
        <v>900000</v>
      </c>
      <c r="F61" s="79">
        <f t="shared" si="6"/>
        <v>3500000</v>
      </c>
      <c r="G61" s="79"/>
      <c r="H61" s="79">
        <v>3500000</v>
      </c>
      <c r="I61" s="79">
        <f t="shared" si="7"/>
        <v>4000000</v>
      </c>
      <c r="J61" s="79"/>
      <c r="K61" s="79">
        <v>4000000</v>
      </c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s="8" customFormat="1" ht="32.25" customHeight="1" hidden="1">
      <c r="A62" s="32" t="s">
        <v>132</v>
      </c>
      <c r="B62" s="100"/>
      <c r="C62" s="79">
        <f t="shared" si="5"/>
        <v>0</v>
      </c>
      <c r="D62" s="79"/>
      <c r="E62" s="79"/>
      <c r="F62" s="79">
        <f t="shared" si="6"/>
        <v>0</v>
      </c>
      <c r="G62" s="79"/>
      <c r="H62" s="79"/>
      <c r="I62" s="79">
        <f t="shared" si="7"/>
        <v>0</v>
      </c>
      <c r="J62" s="79"/>
      <c r="K62" s="79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s="8" customFormat="1" ht="66.75" customHeight="1" hidden="1">
      <c r="A63" s="32" t="s">
        <v>134</v>
      </c>
      <c r="B63" s="103">
        <f>C63+F63+I63</f>
        <v>0</v>
      </c>
      <c r="C63" s="79">
        <f t="shared" si="5"/>
        <v>0</v>
      </c>
      <c r="D63" s="79"/>
      <c r="E63" s="79"/>
      <c r="F63" s="79">
        <f t="shared" si="6"/>
        <v>0</v>
      </c>
      <c r="G63" s="79"/>
      <c r="H63" s="79"/>
      <c r="I63" s="79">
        <f t="shared" si="7"/>
        <v>0</v>
      </c>
      <c r="J63" s="79"/>
      <c r="K63" s="79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s="8" customFormat="1" ht="32.25" customHeight="1" hidden="1">
      <c r="A64" s="32" t="s">
        <v>133</v>
      </c>
      <c r="B64" s="25"/>
      <c r="C64" s="35">
        <f t="shared" si="5"/>
        <v>0</v>
      </c>
      <c r="D64" s="35"/>
      <c r="E64" s="35"/>
      <c r="F64" s="35">
        <f t="shared" si="6"/>
        <v>0</v>
      </c>
      <c r="G64" s="35"/>
      <c r="H64" s="35"/>
      <c r="I64" s="35">
        <f t="shared" si="7"/>
        <v>0</v>
      </c>
      <c r="J64" s="35"/>
      <c r="K64" s="35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s="8" customFormat="1" ht="18" customHeight="1">
      <c r="A65" s="45" t="s">
        <v>4</v>
      </c>
      <c r="B65" s="25"/>
      <c r="C65" s="28"/>
      <c r="D65" s="28"/>
      <c r="E65" s="28"/>
      <c r="F65" s="28"/>
      <c r="G65" s="28"/>
      <c r="H65" s="28"/>
      <c r="I65" s="28"/>
      <c r="J65" s="28"/>
      <c r="K65" s="29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s="8" customFormat="1" ht="18" customHeight="1">
      <c r="A66" s="46" t="s">
        <v>19</v>
      </c>
      <c r="B66" s="25"/>
      <c r="C66" s="28"/>
      <c r="D66" s="28"/>
      <c r="E66" s="28"/>
      <c r="F66" s="28"/>
      <c r="G66" s="28"/>
      <c r="H66" s="28"/>
      <c r="I66" s="28"/>
      <c r="J66" s="28"/>
      <c r="K66" s="29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s="8" customFormat="1" ht="18" customHeight="1">
      <c r="A67" s="45" t="s">
        <v>66</v>
      </c>
      <c r="B67" s="25"/>
      <c r="C67" s="30">
        <v>30</v>
      </c>
      <c r="D67" s="30"/>
      <c r="E67" s="30"/>
      <c r="F67" s="30">
        <v>30</v>
      </c>
      <c r="G67" s="30"/>
      <c r="H67" s="30"/>
      <c r="I67" s="30">
        <v>30</v>
      </c>
      <c r="J67" s="28"/>
      <c r="K67" s="29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s="8" customFormat="1" ht="18" customHeight="1">
      <c r="A68" s="45" t="s">
        <v>54</v>
      </c>
      <c r="B68" s="25"/>
      <c r="C68" s="30">
        <v>7</v>
      </c>
      <c r="D68" s="30"/>
      <c r="E68" s="30"/>
      <c r="F68" s="30">
        <v>7</v>
      </c>
      <c r="G68" s="30"/>
      <c r="H68" s="30"/>
      <c r="I68" s="30">
        <v>7</v>
      </c>
      <c r="J68" s="28"/>
      <c r="K68" s="29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s="8" customFormat="1" ht="18" customHeight="1">
      <c r="A69" s="46" t="s">
        <v>5</v>
      </c>
      <c r="B69" s="25"/>
      <c r="C69" s="28"/>
      <c r="D69" s="28"/>
      <c r="E69" s="28"/>
      <c r="F69" s="28"/>
      <c r="G69" s="28"/>
      <c r="H69" s="28"/>
      <c r="I69" s="28"/>
      <c r="J69" s="28"/>
      <c r="K69" s="2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s="8" customFormat="1" ht="18" customHeight="1">
      <c r="A70" s="45" t="s">
        <v>55</v>
      </c>
      <c r="B70" s="25"/>
      <c r="C70" s="30">
        <v>1022</v>
      </c>
      <c r="D70" s="30"/>
      <c r="E70" s="30"/>
      <c r="F70" s="30">
        <v>1048</v>
      </c>
      <c r="G70" s="30"/>
      <c r="H70" s="30"/>
      <c r="I70" s="30">
        <v>1082</v>
      </c>
      <c r="J70" s="30"/>
      <c r="K70" s="3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s="8" customFormat="1" ht="18" customHeight="1">
      <c r="A71" s="45" t="s">
        <v>56</v>
      </c>
      <c r="B71" s="25"/>
      <c r="C71" s="30">
        <v>28667</v>
      </c>
      <c r="D71" s="30"/>
      <c r="E71" s="30"/>
      <c r="F71" s="30">
        <v>29512</v>
      </c>
      <c r="G71" s="30"/>
      <c r="H71" s="30"/>
      <c r="I71" s="30">
        <v>30050</v>
      </c>
      <c r="J71" s="30"/>
      <c r="K71" s="3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s="8" customFormat="1" ht="18" customHeight="1">
      <c r="A72" s="45" t="s">
        <v>57</v>
      </c>
      <c r="B72" s="25"/>
      <c r="C72" s="30">
        <v>56</v>
      </c>
      <c r="D72" s="30"/>
      <c r="E72" s="30"/>
      <c r="F72" s="30">
        <v>56</v>
      </c>
      <c r="G72" s="30"/>
      <c r="H72" s="30"/>
      <c r="I72" s="30">
        <v>56</v>
      </c>
      <c r="J72" s="30"/>
      <c r="K72" s="3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s="8" customFormat="1" ht="18" customHeight="1">
      <c r="A73" s="45" t="s">
        <v>58</v>
      </c>
      <c r="B73" s="25"/>
      <c r="C73" s="30">
        <v>1264</v>
      </c>
      <c r="D73" s="30"/>
      <c r="E73" s="30"/>
      <c r="F73" s="30">
        <v>1264</v>
      </c>
      <c r="G73" s="30"/>
      <c r="H73" s="30"/>
      <c r="I73" s="30">
        <v>1264</v>
      </c>
      <c r="J73" s="30"/>
      <c r="K73" s="3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s="8" customFormat="1" ht="24" customHeight="1">
      <c r="A74" s="45" t="s">
        <v>95</v>
      </c>
      <c r="B74" s="25"/>
      <c r="C74" s="30">
        <v>13760</v>
      </c>
      <c r="D74" s="30"/>
      <c r="E74" s="28"/>
      <c r="F74" s="30">
        <v>13760</v>
      </c>
      <c r="G74" s="30"/>
      <c r="H74" s="28"/>
      <c r="I74" s="30">
        <v>13760</v>
      </c>
      <c r="J74" s="30"/>
      <c r="K74" s="2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s="8" customFormat="1" ht="18" customHeight="1">
      <c r="A75" s="45" t="s">
        <v>50</v>
      </c>
      <c r="B75" s="25"/>
      <c r="C75" s="30">
        <v>1940528</v>
      </c>
      <c r="D75" s="30"/>
      <c r="E75" s="28"/>
      <c r="F75" s="30">
        <v>1940528</v>
      </c>
      <c r="G75" s="30"/>
      <c r="H75" s="28"/>
      <c r="I75" s="30">
        <v>1940528</v>
      </c>
      <c r="J75" s="30"/>
      <c r="K75" s="2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s="8" customFormat="1" ht="18" customHeight="1">
      <c r="A76" s="45" t="s">
        <v>184</v>
      </c>
      <c r="B76" s="25"/>
      <c r="C76" s="127">
        <f>E59/C81</f>
        <v>335.8831003811944</v>
      </c>
      <c r="D76" s="30"/>
      <c r="E76" s="28"/>
      <c r="F76" s="30">
        <v>190</v>
      </c>
      <c r="G76" s="30"/>
      <c r="H76" s="28"/>
      <c r="I76" s="30">
        <v>195</v>
      </c>
      <c r="J76" s="30"/>
      <c r="K76" s="2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s="8" customFormat="1" ht="18" customHeight="1">
      <c r="A77" s="45" t="s">
        <v>91</v>
      </c>
      <c r="B77" s="25"/>
      <c r="C77" s="30">
        <f>E60/C82</f>
        <v>33.352666666666664</v>
      </c>
      <c r="D77" s="30"/>
      <c r="E77" s="28"/>
      <c r="F77" s="30">
        <v>28</v>
      </c>
      <c r="G77" s="30"/>
      <c r="H77" s="28"/>
      <c r="I77" s="30">
        <v>28</v>
      </c>
      <c r="J77" s="30"/>
      <c r="K77" s="29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s="8" customFormat="1" ht="18" customHeight="1">
      <c r="A78" s="33" t="s">
        <v>8</v>
      </c>
      <c r="B78" s="25"/>
      <c r="C78" s="28"/>
      <c r="D78" s="28"/>
      <c r="E78" s="28"/>
      <c r="F78" s="30"/>
      <c r="G78" s="28"/>
      <c r="H78" s="28"/>
      <c r="I78" s="30"/>
      <c r="J78" s="28"/>
      <c r="K78" s="29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s="8" customFormat="1" ht="18" customHeight="1">
      <c r="A79" s="32" t="s">
        <v>126</v>
      </c>
      <c r="B79" s="25"/>
      <c r="C79" s="28">
        <f>C54/(C71+C73)</f>
        <v>17147.854064074705</v>
      </c>
      <c r="D79" s="28"/>
      <c r="E79" s="28"/>
      <c r="F79" s="28">
        <f>F54/(F71+F73)</f>
        <v>18560.511437468806</v>
      </c>
      <c r="G79" s="28"/>
      <c r="H79" s="28"/>
      <c r="I79" s="28">
        <f>I54/(I71+I73)</f>
        <v>19499.045155825337</v>
      </c>
      <c r="J79" s="28"/>
      <c r="K79" s="29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s="8" customFormat="1" ht="18" customHeight="1">
      <c r="A80" s="32" t="s">
        <v>48</v>
      </c>
      <c r="B80" s="25"/>
      <c r="C80" s="28"/>
      <c r="D80" s="28">
        <f>(D56/C75)</f>
        <v>8.95472778542747</v>
      </c>
      <c r="E80" s="28"/>
      <c r="F80" s="28"/>
      <c r="G80" s="28">
        <f>(G56/F75)</f>
        <v>9.554719127989907</v>
      </c>
      <c r="H80" s="28"/>
      <c r="I80" s="28"/>
      <c r="J80" s="28">
        <f>(J56/I75)</f>
        <v>10.080246201033946</v>
      </c>
      <c r="K80" s="2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s="8" customFormat="1" ht="18" customHeight="1">
      <c r="A81" s="32" t="s">
        <v>92</v>
      </c>
      <c r="B81" s="25"/>
      <c r="C81" s="28">
        <v>15740</v>
      </c>
      <c r="D81" s="28"/>
      <c r="E81" s="28"/>
      <c r="F81" s="30">
        <f>H59/F76</f>
        <v>15973.684210526315</v>
      </c>
      <c r="G81" s="28"/>
      <c r="H81" s="28"/>
      <c r="I81" s="30">
        <f>K59/I76</f>
        <v>16615.384615384617</v>
      </c>
      <c r="J81" s="28"/>
      <c r="K81" s="2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s="8" customFormat="1" ht="18" customHeight="1">
      <c r="A82" s="32" t="s">
        <v>93</v>
      </c>
      <c r="B82" s="25"/>
      <c r="C82" s="28">
        <v>300000</v>
      </c>
      <c r="D82" s="28"/>
      <c r="E82" s="28"/>
      <c r="F82" s="30">
        <f>H60/F77</f>
        <v>314285.71428571426</v>
      </c>
      <c r="G82" s="28"/>
      <c r="H82" s="28"/>
      <c r="I82" s="30">
        <f>K60/I77</f>
        <v>332142.85714285716</v>
      </c>
      <c r="J82" s="28"/>
      <c r="K82" s="29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s="93" customFormat="1" ht="18" customHeight="1">
      <c r="A83" s="85" t="s">
        <v>7</v>
      </c>
      <c r="B83" s="25"/>
      <c r="C83" s="28"/>
      <c r="D83" s="28"/>
      <c r="E83" s="28"/>
      <c r="F83" s="30"/>
      <c r="G83" s="28"/>
      <c r="H83" s="28"/>
      <c r="I83" s="30"/>
      <c r="J83" s="28"/>
      <c r="K83" s="29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s="8" customFormat="1" ht="34.5" customHeight="1">
      <c r="A84" s="87" t="s">
        <v>151</v>
      </c>
      <c r="B84" s="25"/>
      <c r="C84" s="30">
        <v>100</v>
      </c>
      <c r="D84" s="28"/>
      <c r="E84" s="28"/>
      <c r="F84" s="30">
        <f>F71/C71*100</f>
        <v>102.94764014371927</v>
      </c>
      <c r="G84" s="28"/>
      <c r="H84" s="28"/>
      <c r="I84" s="30">
        <f>I71/F71*100</f>
        <v>101.82298725941989</v>
      </c>
      <c r="J84" s="28"/>
      <c r="K84" s="29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s="8" customFormat="1" ht="32.25" customHeight="1">
      <c r="A85" s="78" t="s">
        <v>149</v>
      </c>
      <c r="B85" s="31"/>
      <c r="C85" s="86">
        <v>80</v>
      </c>
      <c r="D85" s="34"/>
      <c r="E85" s="34"/>
      <c r="F85" s="34">
        <v>81</v>
      </c>
      <c r="G85" s="34"/>
      <c r="H85" s="34"/>
      <c r="I85" s="86">
        <v>82</v>
      </c>
      <c r="J85" s="31"/>
      <c r="K85" s="31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s="8" customFormat="1" ht="18" customHeight="1">
      <c r="A86" s="161" t="s">
        <v>60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s="8" customFormat="1" ht="18" customHeight="1">
      <c r="A87" s="146" t="s">
        <v>61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s="8" customFormat="1" ht="18" customHeight="1">
      <c r="A88" s="9" t="s">
        <v>62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s="8" customFormat="1" ht="18" customHeight="1">
      <c r="A89" s="48" t="s">
        <v>89</v>
      </c>
      <c r="B89" s="98">
        <f>C89+F89+I89</f>
        <v>3105900</v>
      </c>
      <c r="C89" s="49">
        <f>C90+C91</f>
        <v>949300</v>
      </c>
      <c r="D89" s="49">
        <f aca="true" t="shared" si="8" ref="D89:K89">SUM(D90:D97)</f>
        <v>949300</v>
      </c>
      <c r="E89" s="49">
        <f t="shared" si="8"/>
        <v>0</v>
      </c>
      <c r="F89" s="49">
        <f>F90+F91</f>
        <v>1038800</v>
      </c>
      <c r="G89" s="49">
        <f>SUM(G90:G97)</f>
        <v>1038800</v>
      </c>
      <c r="H89" s="49">
        <f t="shared" si="8"/>
        <v>0</v>
      </c>
      <c r="I89" s="49">
        <f>I90+I91</f>
        <v>1117800</v>
      </c>
      <c r="J89" s="49">
        <f t="shared" si="8"/>
        <v>1117800</v>
      </c>
      <c r="K89" s="49">
        <f t="shared" si="8"/>
        <v>0</v>
      </c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s="8" customFormat="1" ht="18" customHeight="1">
      <c r="A90" s="44" t="s">
        <v>40</v>
      </c>
      <c r="B90" s="25"/>
      <c r="C90" s="35">
        <f>D90+E90</f>
        <v>947900</v>
      </c>
      <c r="D90" s="35">
        <f>777003+170941-44</f>
        <v>947900</v>
      </c>
      <c r="E90" s="35"/>
      <c r="F90" s="35">
        <f>G90+H90</f>
        <v>1037300</v>
      </c>
      <c r="G90" s="35">
        <f>850209+187046+45</f>
        <v>1037300</v>
      </c>
      <c r="H90" s="35"/>
      <c r="I90" s="35">
        <f>J90+K90</f>
        <v>1116200</v>
      </c>
      <c r="J90" s="35">
        <f>914926+201284-10</f>
        <v>1116200</v>
      </c>
      <c r="K90" s="35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s="8" customFormat="1" ht="18" customHeight="1">
      <c r="A91" s="52" t="s">
        <v>38</v>
      </c>
      <c r="B91" s="25"/>
      <c r="C91" s="35">
        <f>D91+E91</f>
        <v>1400</v>
      </c>
      <c r="D91" s="35">
        <f>1350+50</f>
        <v>1400</v>
      </c>
      <c r="E91" s="35"/>
      <c r="F91" s="35">
        <f>G91+H91</f>
        <v>1500</v>
      </c>
      <c r="G91" s="35">
        <v>1500</v>
      </c>
      <c r="H91" s="35"/>
      <c r="I91" s="35">
        <f>J91+K91</f>
        <v>1600</v>
      </c>
      <c r="J91" s="35">
        <v>1600</v>
      </c>
      <c r="K91" s="35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s="8" customFormat="1" ht="18" customHeight="1">
      <c r="A92" s="45" t="s">
        <v>4</v>
      </c>
      <c r="B92" s="25"/>
      <c r="C92" s="28"/>
      <c r="D92" s="28"/>
      <c r="E92" s="28"/>
      <c r="F92" s="28"/>
      <c r="G92" s="28"/>
      <c r="H92" s="28"/>
      <c r="I92" s="28"/>
      <c r="J92" s="28"/>
      <c r="K92" s="29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s="8" customFormat="1" ht="18" customHeight="1">
      <c r="A93" s="46" t="s">
        <v>19</v>
      </c>
      <c r="B93" s="25"/>
      <c r="C93" s="28"/>
      <c r="D93" s="28"/>
      <c r="E93" s="28"/>
      <c r="F93" s="28"/>
      <c r="G93" s="28"/>
      <c r="H93" s="28"/>
      <c r="I93" s="28"/>
      <c r="J93" s="28"/>
      <c r="K93" s="29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s="8" customFormat="1" ht="18" customHeight="1">
      <c r="A94" s="45" t="s">
        <v>63</v>
      </c>
      <c r="B94" s="25"/>
      <c r="C94" s="30">
        <v>1</v>
      </c>
      <c r="D94" s="30"/>
      <c r="E94" s="30"/>
      <c r="F94" s="30">
        <v>1</v>
      </c>
      <c r="G94" s="30"/>
      <c r="H94" s="30"/>
      <c r="I94" s="30">
        <v>1</v>
      </c>
      <c r="J94" s="28"/>
      <c r="K94" s="29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s="8" customFormat="1" ht="18" customHeight="1">
      <c r="A95" s="46" t="s">
        <v>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s="8" customFormat="1" ht="18" customHeight="1">
      <c r="A96" s="45" t="s">
        <v>55</v>
      </c>
      <c r="B96" s="47"/>
      <c r="C96" s="42">
        <v>5</v>
      </c>
      <c r="D96" s="42"/>
      <c r="E96" s="42"/>
      <c r="F96" s="42">
        <v>5</v>
      </c>
      <c r="G96" s="42"/>
      <c r="H96" s="42"/>
      <c r="I96" s="42">
        <v>5</v>
      </c>
      <c r="J96" s="42"/>
      <c r="K96" s="42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s="8" customFormat="1" ht="18" customHeight="1">
      <c r="A97" s="45" t="s">
        <v>56</v>
      </c>
      <c r="B97" s="47"/>
      <c r="C97" s="42">
        <v>63</v>
      </c>
      <c r="D97" s="42"/>
      <c r="E97" s="42"/>
      <c r="F97" s="42">
        <v>63</v>
      </c>
      <c r="G97" s="42"/>
      <c r="H97" s="42"/>
      <c r="I97" s="42">
        <v>63</v>
      </c>
      <c r="J97" s="42"/>
      <c r="K97" s="42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s="8" customFormat="1" ht="18" customHeight="1">
      <c r="A98" s="33" t="s">
        <v>8</v>
      </c>
      <c r="B98" s="47"/>
      <c r="C98" s="42"/>
      <c r="D98" s="42"/>
      <c r="E98" s="42"/>
      <c r="F98" s="42"/>
      <c r="G98" s="42"/>
      <c r="H98" s="42"/>
      <c r="I98" s="42"/>
      <c r="J98" s="42"/>
      <c r="K98" s="42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s="8" customFormat="1" ht="18" customHeight="1">
      <c r="A99" s="32" t="s">
        <v>49</v>
      </c>
      <c r="B99" s="47"/>
      <c r="C99" s="37">
        <f>C89/C97</f>
        <v>15068.253968253968</v>
      </c>
      <c r="D99" s="42"/>
      <c r="E99" s="42"/>
      <c r="F99" s="37">
        <f>F89/F97</f>
        <v>16488.88888888889</v>
      </c>
      <c r="G99" s="42"/>
      <c r="H99" s="42"/>
      <c r="I99" s="37">
        <f>I89/I97</f>
        <v>17742.85714285714</v>
      </c>
      <c r="J99" s="42"/>
      <c r="K99" s="42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s="8" customFormat="1" ht="18" customHeight="1">
      <c r="A100" s="85" t="s">
        <v>7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s="8" customFormat="1" ht="34.5" customHeight="1">
      <c r="A101" s="87" t="s">
        <v>151</v>
      </c>
      <c r="B101" s="47"/>
      <c r="C101" s="42">
        <v>100</v>
      </c>
      <c r="D101" s="42"/>
      <c r="E101" s="42"/>
      <c r="F101" s="42">
        <v>100</v>
      </c>
      <c r="G101" s="42"/>
      <c r="H101" s="42"/>
      <c r="I101" s="42">
        <v>100</v>
      </c>
      <c r="J101" s="42"/>
      <c r="K101" s="42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s="8" customFormat="1" ht="18" customHeight="1">
      <c r="A102" s="147" t="s">
        <v>64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9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s="8" customFormat="1" ht="18" customHeight="1">
      <c r="A103" s="146" t="s">
        <v>65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s="8" customFormat="1" ht="18" customHeight="1">
      <c r="A104" s="9" t="s">
        <v>96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s="8" customFormat="1" ht="18" customHeight="1">
      <c r="A105" s="48" t="s">
        <v>89</v>
      </c>
      <c r="B105" s="98">
        <f>C105+F105+I105</f>
        <v>30814800</v>
      </c>
      <c r="C105" s="89">
        <f>SUM(C106:C112)</f>
        <v>9679800</v>
      </c>
      <c r="D105" s="89">
        <f aca="true" t="shared" si="9" ref="D105:K105">SUM(D106:D112)</f>
        <v>9154900</v>
      </c>
      <c r="E105" s="89">
        <f t="shared" si="9"/>
        <v>524900</v>
      </c>
      <c r="F105" s="89">
        <f t="shared" si="9"/>
        <v>10216600</v>
      </c>
      <c r="G105" s="89">
        <f t="shared" si="9"/>
        <v>9923200</v>
      </c>
      <c r="H105" s="89">
        <f t="shared" si="9"/>
        <v>293400</v>
      </c>
      <c r="I105" s="89">
        <f t="shared" si="9"/>
        <v>10918400</v>
      </c>
      <c r="J105" s="89">
        <f t="shared" si="9"/>
        <v>10609000</v>
      </c>
      <c r="K105" s="89">
        <f t="shared" si="9"/>
        <v>309400</v>
      </c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s="8" customFormat="1" ht="18" customHeight="1">
      <c r="A106" s="44" t="s">
        <v>40</v>
      </c>
      <c r="B106" s="25"/>
      <c r="C106" s="79">
        <f>D106+E106</f>
        <v>7698300</v>
      </c>
      <c r="D106" s="79">
        <f>7698300</f>
        <v>7698300</v>
      </c>
      <c r="E106" s="79"/>
      <c r="F106" s="79">
        <f>G106+H106</f>
        <v>8337400</v>
      </c>
      <c r="G106" s="79">
        <f>8337354+46</f>
        <v>8337400</v>
      </c>
      <c r="H106" s="79"/>
      <c r="I106" s="79">
        <f>J106+K106</f>
        <v>8936000</v>
      </c>
      <c r="J106" s="79">
        <f>8935971+29</f>
        <v>8936000</v>
      </c>
      <c r="K106" s="79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s="8" customFormat="1" ht="18" customHeight="1">
      <c r="A107" s="44" t="s">
        <v>37</v>
      </c>
      <c r="B107" s="25"/>
      <c r="C107" s="79">
        <f aca="true" t="shared" si="10" ref="C107:C112">D107+E107</f>
        <v>303000</v>
      </c>
      <c r="D107" s="79">
        <f>108*140*22-40-29600</f>
        <v>303000</v>
      </c>
      <c r="E107" s="79"/>
      <c r="F107" s="79">
        <f aca="true" t="shared" si="11" ref="F107:F112">G107+H107</f>
        <v>354900</v>
      </c>
      <c r="G107" s="79">
        <v>354900</v>
      </c>
      <c r="H107" s="79"/>
      <c r="I107" s="79">
        <f aca="true" t="shared" si="12" ref="I107:I112">J107+K107</f>
        <v>374400</v>
      </c>
      <c r="J107" s="79">
        <v>374400</v>
      </c>
      <c r="K107" s="79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s="8" customFormat="1" ht="18" customHeight="1">
      <c r="A108" s="44" t="s">
        <v>38</v>
      </c>
      <c r="B108" s="103">
        <f>C108+F108+I108</f>
        <v>3668400</v>
      </c>
      <c r="C108" s="79">
        <f t="shared" si="10"/>
        <v>1149000</v>
      </c>
      <c r="D108" s="79">
        <f>390.2*1758.6+535*93.83+810*8.88+1345*7.38+25700*2.8612+321873+70.5-0.01</f>
        <v>1149000</v>
      </c>
      <c r="E108" s="79"/>
      <c r="F108" s="79">
        <f t="shared" si="11"/>
        <v>1226000</v>
      </c>
      <c r="G108" s="79">
        <v>1226000</v>
      </c>
      <c r="H108" s="79"/>
      <c r="I108" s="79">
        <f t="shared" si="12"/>
        <v>1293400</v>
      </c>
      <c r="J108" s="79">
        <v>1293400</v>
      </c>
      <c r="K108" s="79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s="8" customFormat="1" ht="18" customHeight="1">
      <c r="A109" s="44" t="s">
        <v>39</v>
      </c>
      <c r="B109" s="25"/>
      <c r="C109" s="79">
        <f t="shared" si="10"/>
        <v>4600</v>
      </c>
      <c r="D109" s="79">
        <f>1800+2040+720+40</f>
        <v>4600</v>
      </c>
      <c r="E109" s="79"/>
      <c r="F109" s="79">
        <f t="shared" si="11"/>
        <v>4900</v>
      </c>
      <c r="G109" s="79">
        <f>D109*1.067-8.2</f>
        <v>4900</v>
      </c>
      <c r="H109" s="79"/>
      <c r="I109" s="79">
        <f t="shared" si="12"/>
        <v>5200</v>
      </c>
      <c r="J109" s="79">
        <f>G109*1.055+0.3+30.2</f>
        <v>5200</v>
      </c>
      <c r="K109" s="79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s="8" customFormat="1" ht="18" customHeight="1">
      <c r="A110" s="44" t="s">
        <v>41</v>
      </c>
      <c r="B110" s="25"/>
      <c r="C110" s="79">
        <f t="shared" si="10"/>
        <v>149900</v>
      </c>
      <c r="D110" s="79"/>
      <c r="E110" s="79">
        <f>108400+26500+15000</f>
        <v>149900</v>
      </c>
      <c r="F110" s="79">
        <f t="shared" si="11"/>
        <v>80000</v>
      </c>
      <c r="G110" s="79"/>
      <c r="H110" s="79">
        <v>80000</v>
      </c>
      <c r="I110" s="79">
        <f t="shared" si="12"/>
        <v>84400</v>
      </c>
      <c r="J110" s="79"/>
      <c r="K110" s="79">
        <f>H110*1.055</f>
        <v>84400</v>
      </c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s="8" customFormat="1" ht="24.75" customHeight="1">
      <c r="A111" s="44" t="s">
        <v>42</v>
      </c>
      <c r="B111" s="25"/>
      <c r="C111" s="79">
        <f t="shared" si="10"/>
        <v>75000</v>
      </c>
      <c r="D111" s="79"/>
      <c r="E111" s="79">
        <v>75000</v>
      </c>
      <c r="F111" s="79">
        <f t="shared" si="11"/>
        <v>213400</v>
      </c>
      <c r="G111" s="79"/>
      <c r="H111" s="79">
        <v>213400</v>
      </c>
      <c r="I111" s="79">
        <f t="shared" si="12"/>
        <v>225000</v>
      </c>
      <c r="J111" s="79"/>
      <c r="K111" s="79">
        <f>H111*1.055-137</f>
        <v>225000</v>
      </c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s="8" customFormat="1" ht="18" customHeight="1">
      <c r="A112" s="44" t="s">
        <v>94</v>
      </c>
      <c r="B112" s="25"/>
      <c r="C112" s="35">
        <f t="shared" si="10"/>
        <v>300000</v>
      </c>
      <c r="D112" s="35"/>
      <c r="E112" s="35">
        <v>300000</v>
      </c>
      <c r="F112" s="35">
        <f t="shared" si="11"/>
        <v>0</v>
      </c>
      <c r="G112" s="35"/>
      <c r="H112" s="35"/>
      <c r="I112" s="35">
        <f t="shared" si="12"/>
        <v>0</v>
      </c>
      <c r="J112" s="35"/>
      <c r="K112" s="35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s="8" customFormat="1" ht="18" customHeight="1">
      <c r="A113" s="45" t="s">
        <v>4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9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s="8" customFormat="1" ht="18" customHeight="1">
      <c r="A114" s="46" t="s">
        <v>19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9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s="8" customFormat="1" ht="18" customHeight="1">
      <c r="A115" s="45" t="s">
        <v>67</v>
      </c>
      <c r="B115" s="25"/>
      <c r="C115" s="30">
        <v>1</v>
      </c>
      <c r="D115" s="30"/>
      <c r="E115" s="30"/>
      <c r="F115" s="30">
        <v>1</v>
      </c>
      <c r="G115" s="30"/>
      <c r="H115" s="30"/>
      <c r="I115" s="30">
        <v>1</v>
      </c>
      <c r="J115" s="28"/>
      <c r="K115" s="29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s="8" customFormat="1" ht="18" customHeight="1">
      <c r="A116" s="53" t="s">
        <v>5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9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s="8" customFormat="1" ht="18" customHeight="1">
      <c r="A117" s="45" t="s">
        <v>55</v>
      </c>
      <c r="B117" s="25"/>
      <c r="C117" s="30">
        <v>11</v>
      </c>
      <c r="D117" s="30"/>
      <c r="E117" s="30"/>
      <c r="F117" s="30">
        <v>11</v>
      </c>
      <c r="G117" s="30"/>
      <c r="H117" s="30"/>
      <c r="I117" s="30">
        <v>11</v>
      </c>
      <c r="J117" s="30"/>
      <c r="K117" s="3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s="8" customFormat="1" ht="18" customHeight="1">
      <c r="A118" s="45" t="s">
        <v>56</v>
      </c>
      <c r="B118" s="25"/>
      <c r="C118" s="30">
        <v>108</v>
      </c>
      <c r="D118" s="30"/>
      <c r="E118" s="30"/>
      <c r="F118" s="30">
        <v>108</v>
      </c>
      <c r="G118" s="30"/>
      <c r="H118" s="30"/>
      <c r="I118" s="30">
        <v>108</v>
      </c>
      <c r="J118" s="30"/>
      <c r="K118" s="3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s="8" customFormat="1" ht="18" customHeight="1">
      <c r="A119" s="45" t="s">
        <v>95</v>
      </c>
      <c r="B119" s="25"/>
      <c r="C119" s="30">
        <v>108</v>
      </c>
      <c r="D119" s="30"/>
      <c r="E119" s="28"/>
      <c r="F119" s="30">
        <v>108</v>
      </c>
      <c r="G119" s="30"/>
      <c r="H119" s="28"/>
      <c r="I119" s="30">
        <v>108</v>
      </c>
      <c r="J119" s="30"/>
      <c r="K119" s="29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s="8" customFormat="1" ht="18" customHeight="1">
      <c r="A120" s="45" t="s">
        <v>50</v>
      </c>
      <c r="B120" s="25"/>
      <c r="C120" s="30">
        <v>13174</v>
      </c>
      <c r="D120" s="30"/>
      <c r="E120" s="28"/>
      <c r="F120" s="30">
        <f>F119*140</f>
        <v>15120</v>
      </c>
      <c r="G120" s="30"/>
      <c r="H120" s="28"/>
      <c r="I120" s="30">
        <f>I119*140</f>
        <v>15120</v>
      </c>
      <c r="J120" s="30"/>
      <c r="K120" s="29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s="8" customFormat="1" ht="18" customHeight="1">
      <c r="A121" s="45" t="s">
        <v>184</v>
      </c>
      <c r="B121" s="25"/>
      <c r="C121" s="127">
        <v>8</v>
      </c>
      <c r="D121" s="30"/>
      <c r="E121" s="28"/>
      <c r="F121" s="30">
        <v>5</v>
      </c>
      <c r="G121" s="30"/>
      <c r="H121" s="28"/>
      <c r="I121" s="30">
        <v>5</v>
      </c>
      <c r="J121" s="30"/>
      <c r="K121" s="29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s="8" customFormat="1" ht="18" customHeight="1">
      <c r="A122" s="45" t="s">
        <v>91</v>
      </c>
      <c r="B122" s="25"/>
      <c r="C122" s="30">
        <v>1</v>
      </c>
      <c r="D122" s="30"/>
      <c r="E122" s="28"/>
      <c r="F122" s="30">
        <v>1</v>
      </c>
      <c r="G122" s="30"/>
      <c r="H122" s="28"/>
      <c r="I122" s="30">
        <v>1</v>
      </c>
      <c r="J122" s="30"/>
      <c r="K122" s="29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s="8" customFormat="1" ht="18" customHeight="1">
      <c r="A123" s="33" t="s">
        <v>8</v>
      </c>
      <c r="B123" s="25"/>
      <c r="C123" s="28"/>
      <c r="D123" s="28"/>
      <c r="E123" s="28"/>
      <c r="F123" s="30"/>
      <c r="G123" s="28"/>
      <c r="H123" s="28"/>
      <c r="I123" s="30"/>
      <c r="J123" s="28"/>
      <c r="K123" s="29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s="8" customFormat="1" ht="18" customHeight="1">
      <c r="A124" s="32" t="s">
        <v>126</v>
      </c>
      <c r="B124" s="25"/>
      <c r="C124" s="28">
        <f>C105/C118</f>
        <v>89627.77777777778</v>
      </c>
      <c r="D124" s="28"/>
      <c r="E124" s="28"/>
      <c r="F124" s="28">
        <f>F105/F118</f>
        <v>94598.14814814815</v>
      </c>
      <c r="G124" s="28"/>
      <c r="H124" s="28"/>
      <c r="I124" s="28">
        <f>I105/I118</f>
        <v>101096.29629629629</v>
      </c>
      <c r="J124" s="28"/>
      <c r="K124" s="29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s="8" customFormat="1" ht="18" customHeight="1">
      <c r="A125" s="32" t="s">
        <v>48</v>
      </c>
      <c r="B125" s="25"/>
      <c r="C125" s="28"/>
      <c r="D125" s="28">
        <f>(D107/C120)</f>
        <v>22.999848185820557</v>
      </c>
      <c r="E125" s="28"/>
      <c r="F125" s="28"/>
      <c r="G125" s="28">
        <f>(G107/F120)</f>
        <v>23.47222222222222</v>
      </c>
      <c r="H125" s="28"/>
      <c r="I125" s="28"/>
      <c r="J125" s="28">
        <f>(J107/I120)</f>
        <v>24.761904761904763</v>
      </c>
      <c r="K125" s="29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s="8" customFormat="1" ht="18" customHeight="1">
      <c r="A126" s="32" t="s">
        <v>92</v>
      </c>
      <c r="B126" s="25"/>
      <c r="C126" s="28">
        <f>E110/C121</f>
        <v>18737.5</v>
      </c>
      <c r="D126" s="28"/>
      <c r="E126" s="28"/>
      <c r="F126" s="28">
        <f>F110/F121</f>
        <v>16000</v>
      </c>
      <c r="G126" s="28"/>
      <c r="H126" s="28"/>
      <c r="I126" s="28">
        <f>I110/I121</f>
        <v>16880</v>
      </c>
      <c r="J126" s="28"/>
      <c r="K126" s="29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s="8" customFormat="1" ht="18" customHeight="1">
      <c r="A127" s="32" t="s">
        <v>93</v>
      </c>
      <c r="B127" s="25"/>
      <c r="C127" s="28">
        <f>E111/C122</f>
        <v>75000</v>
      </c>
      <c r="D127" s="28"/>
      <c r="E127" s="28"/>
      <c r="F127" s="28">
        <f>F111/F122</f>
        <v>213400</v>
      </c>
      <c r="G127" s="28"/>
      <c r="H127" s="28"/>
      <c r="I127" s="28">
        <f>I111/I115</f>
        <v>225000</v>
      </c>
      <c r="J127" s="28"/>
      <c r="K127" s="29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s="8" customFormat="1" ht="18" customHeight="1">
      <c r="A128" s="85" t="s">
        <v>7</v>
      </c>
      <c r="B128" s="25"/>
      <c r="C128" s="28"/>
      <c r="D128" s="28"/>
      <c r="E128" s="28"/>
      <c r="F128" s="30"/>
      <c r="G128" s="28"/>
      <c r="H128" s="28"/>
      <c r="I128" s="30"/>
      <c r="J128" s="28"/>
      <c r="K128" s="29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s="8" customFormat="1" ht="18" customHeight="1">
      <c r="A129" s="147" t="s">
        <v>68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9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s="8" customFormat="1" ht="18" customHeight="1">
      <c r="A130" s="146" t="s">
        <v>69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s="8" customFormat="1" ht="18" customHeight="1">
      <c r="A131" s="9" t="s">
        <v>70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s="8" customFormat="1" ht="18" customHeight="1">
      <c r="A132" s="48" t="s">
        <v>89</v>
      </c>
      <c r="B132" s="98">
        <f>C132+F132+I132</f>
        <v>92739600</v>
      </c>
      <c r="C132" s="55">
        <f aca="true" t="shared" si="13" ref="C132:K132">SUM(C133:C138)</f>
        <v>27904500</v>
      </c>
      <c r="D132" s="55">
        <f t="shared" si="13"/>
        <v>26892500</v>
      </c>
      <c r="E132" s="55">
        <f t="shared" si="13"/>
        <v>1012000</v>
      </c>
      <c r="F132" s="55">
        <f t="shared" si="13"/>
        <v>31306500</v>
      </c>
      <c r="G132" s="55">
        <f t="shared" si="13"/>
        <v>29980300</v>
      </c>
      <c r="H132" s="55">
        <f t="shared" si="13"/>
        <v>1326200</v>
      </c>
      <c r="I132" s="55">
        <f t="shared" si="13"/>
        <v>33528600</v>
      </c>
      <c r="J132" s="55">
        <f t="shared" si="13"/>
        <v>31890000</v>
      </c>
      <c r="K132" s="55">
        <f t="shared" si="13"/>
        <v>1638600</v>
      </c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s="8" customFormat="1" ht="18" customHeight="1">
      <c r="A133" s="44" t="s">
        <v>40</v>
      </c>
      <c r="B133" s="25"/>
      <c r="C133" s="35">
        <f aca="true" t="shared" si="14" ref="C133:C138">D133+E133</f>
        <v>22834200</v>
      </c>
      <c r="D133" s="35">
        <f>18716566+4117645-11</f>
        <v>22834200</v>
      </c>
      <c r="E133" s="35"/>
      <c r="F133" s="35">
        <f aca="true" t="shared" si="15" ref="F133:F138">G133+H133</f>
        <v>25650100</v>
      </c>
      <c r="G133" s="35">
        <f>21024700+4625434-34</f>
        <v>25650100</v>
      </c>
      <c r="H133" s="35"/>
      <c r="I133" s="35">
        <f aca="true" t="shared" si="16" ref="I133:I138">J133+K133</f>
        <v>27321600</v>
      </c>
      <c r="J133" s="35">
        <f>22394754+4926846</f>
        <v>27321600</v>
      </c>
      <c r="K133" s="35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s="8" customFormat="1" ht="18" customHeight="1">
      <c r="A134" s="44" t="s">
        <v>38</v>
      </c>
      <c r="B134" s="25"/>
      <c r="C134" s="35">
        <f t="shared" si="14"/>
        <v>3965300</v>
      </c>
      <c r="D134" s="35">
        <f>1123.8*1758.6+95.8*1205.27+2792*8.556+2792*7.38+198000*2.8612+76.1*1758.6+1128652+28.1-0.002-0.016</f>
        <v>3965300</v>
      </c>
      <c r="E134" s="35"/>
      <c r="F134" s="35">
        <f t="shared" si="15"/>
        <v>4231000</v>
      </c>
      <c r="G134" s="35">
        <f>D134*1.067+24.9</f>
        <v>4231000</v>
      </c>
      <c r="H134" s="35"/>
      <c r="I134" s="35">
        <f t="shared" si="16"/>
        <v>4463700</v>
      </c>
      <c r="J134" s="35">
        <f>G134*1.055-5</f>
        <v>4463700</v>
      </c>
      <c r="K134" s="35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s="8" customFormat="1" ht="18" customHeight="1">
      <c r="A135" s="44" t="s">
        <v>39</v>
      </c>
      <c r="B135" s="25"/>
      <c r="C135" s="35">
        <f t="shared" si="14"/>
        <v>93000</v>
      </c>
      <c r="D135" s="28">
        <f>92980+20</f>
        <v>93000</v>
      </c>
      <c r="E135" s="28"/>
      <c r="F135" s="28">
        <f t="shared" si="15"/>
        <v>99200</v>
      </c>
      <c r="G135" s="28">
        <f>D135*1.067-31</f>
        <v>99200</v>
      </c>
      <c r="H135" s="28"/>
      <c r="I135" s="28">
        <f t="shared" si="16"/>
        <v>104700</v>
      </c>
      <c r="J135" s="28">
        <f>G135*1.055+44</f>
        <v>104700</v>
      </c>
      <c r="K135" s="35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s="8" customFormat="1" ht="18" customHeight="1">
      <c r="A136" s="44" t="s">
        <v>41</v>
      </c>
      <c r="B136" s="25"/>
      <c r="C136" s="35">
        <f t="shared" si="14"/>
        <v>212000</v>
      </c>
      <c r="D136" s="35"/>
      <c r="E136" s="35">
        <v>212000</v>
      </c>
      <c r="F136" s="35">
        <f t="shared" si="15"/>
        <v>226200</v>
      </c>
      <c r="G136" s="35"/>
      <c r="H136" s="35">
        <f>E136*1.067-4</f>
        <v>226200</v>
      </c>
      <c r="I136" s="35">
        <f t="shared" si="16"/>
        <v>238600</v>
      </c>
      <c r="J136" s="35"/>
      <c r="K136" s="35">
        <f>H136*1.055-41</f>
        <v>238600</v>
      </c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s="8" customFormat="1" ht="18" customHeight="1">
      <c r="A137" s="44" t="s">
        <v>42</v>
      </c>
      <c r="B137" s="25"/>
      <c r="C137" s="35">
        <f t="shared" si="14"/>
        <v>400000</v>
      </c>
      <c r="D137" s="35"/>
      <c r="E137" s="35">
        <v>400000</v>
      </c>
      <c r="F137" s="35">
        <f t="shared" si="15"/>
        <v>600000</v>
      </c>
      <c r="G137" s="35"/>
      <c r="H137" s="35">
        <v>600000</v>
      </c>
      <c r="I137" s="35">
        <f t="shared" si="16"/>
        <v>800000</v>
      </c>
      <c r="J137" s="35"/>
      <c r="K137" s="35">
        <v>800000</v>
      </c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s="8" customFormat="1" ht="18" customHeight="1">
      <c r="A138" s="44" t="s">
        <v>119</v>
      </c>
      <c r="B138" s="25"/>
      <c r="C138" s="35">
        <f t="shared" si="14"/>
        <v>400000</v>
      </c>
      <c r="D138" s="35"/>
      <c r="E138" s="35">
        <v>400000</v>
      </c>
      <c r="F138" s="35">
        <f t="shared" si="15"/>
        <v>500000</v>
      </c>
      <c r="G138" s="35"/>
      <c r="H138" s="35">
        <v>500000</v>
      </c>
      <c r="I138" s="35">
        <f t="shared" si="16"/>
        <v>600000</v>
      </c>
      <c r="J138" s="35"/>
      <c r="K138" s="35">
        <v>600000</v>
      </c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s="8" customFormat="1" ht="18" customHeight="1">
      <c r="A139" s="45" t="s">
        <v>4</v>
      </c>
      <c r="B139" s="25"/>
      <c r="C139" s="28"/>
      <c r="D139" s="28"/>
      <c r="E139" s="28"/>
      <c r="F139" s="28"/>
      <c r="G139" s="28"/>
      <c r="H139" s="28"/>
      <c r="I139" s="28"/>
      <c r="J139" s="28"/>
      <c r="K139" s="2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s="8" customFormat="1" ht="18" customHeight="1">
      <c r="A140" s="46" t="s">
        <v>19</v>
      </c>
      <c r="B140" s="25"/>
      <c r="C140" s="28"/>
      <c r="D140" s="28"/>
      <c r="E140" s="28"/>
      <c r="F140" s="28"/>
      <c r="G140" s="28"/>
      <c r="H140" s="28"/>
      <c r="I140" s="28"/>
      <c r="J140" s="28"/>
      <c r="K140" s="29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s="8" customFormat="1" ht="18" customHeight="1">
      <c r="A141" s="45" t="s">
        <v>71</v>
      </c>
      <c r="B141" s="25"/>
      <c r="C141" s="30">
        <v>4</v>
      </c>
      <c r="D141" s="30"/>
      <c r="E141" s="30"/>
      <c r="F141" s="30">
        <v>4</v>
      </c>
      <c r="G141" s="30"/>
      <c r="H141" s="30"/>
      <c r="I141" s="30">
        <v>4</v>
      </c>
      <c r="J141" s="28"/>
      <c r="K141" s="29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s="8" customFormat="1" ht="18" customHeight="1">
      <c r="A142" s="53" t="s">
        <v>5</v>
      </c>
      <c r="B142" s="25"/>
      <c r="C142" s="28"/>
      <c r="D142" s="28"/>
      <c r="E142" s="28"/>
      <c r="F142" s="28"/>
      <c r="G142" s="28"/>
      <c r="H142" s="28"/>
      <c r="I142" s="28"/>
      <c r="J142" s="28"/>
      <c r="K142" s="29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s="8" customFormat="1" ht="18" customHeight="1">
      <c r="A143" s="45" t="s">
        <v>72</v>
      </c>
      <c r="B143" s="25"/>
      <c r="C143" s="30">
        <v>562</v>
      </c>
      <c r="D143" s="30"/>
      <c r="E143" s="30"/>
      <c r="F143" s="30">
        <v>562</v>
      </c>
      <c r="G143" s="30"/>
      <c r="H143" s="30"/>
      <c r="I143" s="30">
        <v>562</v>
      </c>
      <c r="J143" s="30"/>
      <c r="K143" s="3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s="8" customFormat="1" ht="18" customHeight="1">
      <c r="A144" s="45" t="s">
        <v>73</v>
      </c>
      <c r="B144" s="25"/>
      <c r="C144" s="30">
        <v>10710</v>
      </c>
      <c r="D144" s="30"/>
      <c r="E144" s="30"/>
      <c r="F144" s="30">
        <v>10710</v>
      </c>
      <c r="G144" s="30"/>
      <c r="H144" s="30"/>
      <c r="I144" s="30">
        <v>10710</v>
      </c>
      <c r="J144" s="30"/>
      <c r="K144" s="3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s="8" customFormat="1" ht="18" customHeight="1">
      <c r="A145" s="45" t="s">
        <v>184</v>
      </c>
      <c r="B145" s="25"/>
      <c r="C145" s="30">
        <v>15</v>
      </c>
      <c r="D145" s="30"/>
      <c r="E145" s="30"/>
      <c r="F145" s="30">
        <v>15</v>
      </c>
      <c r="G145" s="30"/>
      <c r="H145" s="30"/>
      <c r="I145" s="30">
        <v>15</v>
      </c>
      <c r="J145" s="30"/>
      <c r="K145" s="3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s="8" customFormat="1" ht="18" customHeight="1">
      <c r="A146" s="45" t="s">
        <v>91</v>
      </c>
      <c r="B146" s="25"/>
      <c r="C146" s="30">
        <v>4</v>
      </c>
      <c r="D146" s="30"/>
      <c r="E146" s="30"/>
      <c r="F146" s="30">
        <v>4</v>
      </c>
      <c r="G146" s="30"/>
      <c r="H146" s="30"/>
      <c r="I146" s="30">
        <v>4</v>
      </c>
      <c r="J146" s="30"/>
      <c r="K146" s="3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s="8" customFormat="1" ht="18" customHeight="1">
      <c r="A147" s="33" t="s">
        <v>8</v>
      </c>
      <c r="B147" s="25"/>
      <c r="C147" s="28"/>
      <c r="D147" s="28"/>
      <c r="E147" s="28"/>
      <c r="F147" s="30"/>
      <c r="G147" s="28"/>
      <c r="H147" s="28"/>
      <c r="I147" s="30"/>
      <c r="J147" s="28"/>
      <c r="K147" s="29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s="8" customFormat="1" ht="18" customHeight="1">
      <c r="A148" s="32" t="s">
        <v>49</v>
      </c>
      <c r="B148" s="25"/>
      <c r="C148" s="28">
        <f>C132/C144</f>
        <v>2605.4621848739494</v>
      </c>
      <c r="D148" s="28"/>
      <c r="E148" s="28"/>
      <c r="F148" s="28">
        <f>F132/F144</f>
        <v>2923.109243697479</v>
      </c>
      <c r="G148" s="28"/>
      <c r="H148" s="28"/>
      <c r="I148" s="28">
        <f>I132/I144</f>
        <v>3130.5882352941176</v>
      </c>
      <c r="J148" s="28"/>
      <c r="K148" s="29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s="8" customFormat="1" ht="18" customHeight="1">
      <c r="A149" s="32" t="s">
        <v>92</v>
      </c>
      <c r="B149" s="25"/>
      <c r="C149" s="28">
        <f>E136/C145</f>
        <v>14133.333333333334</v>
      </c>
      <c r="D149" s="28"/>
      <c r="E149" s="28"/>
      <c r="F149" s="28">
        <f>H136/F145</f>
        <v>15080</v>
      </c>
      <c r="G149" s="28"/>
      <c r="H149" s="28"/>
      <c r="I149" s="28">
        <f>K136/I145</f>
        <v>15906.666666666666</v>
      </c>
      <c r="J149" s="28"/>
      <c r="K149" s="29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s="8" customFormat="1" ht="18" customHeight="1">
      <c r="A150" s="32" t="s">
        <v>93</v>
      </c>
      <c r="B150" s="25"/>
      <c r="C150" s="28">
        <f>E138/C146</f>
        <v>100000</v>
      </c>
      <c r="D150" s="28"/>
      <c r="E150" s="28"/>
      <c r="F150" s="28">
        <f>H138/F146</f>
        <v>125000</v>
      </c>
      <c r="G150" s="28"/>
      <c r="H150" s="28"/>
      <c r="I150" s="28">
        <f>K137/I146</f>
        <v>200000</v>
      </c>
      <c r="J150" s="28"/>
      <c r="K150" s="29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s="8" customFormat="1" ht="18" customHeight="1">
      <c r="A151" s="85" t="s">
        <v>7</v>
      </c>
      <c r="B151" s="25"/>
      <c r="C151" s="28"/>
      <c r="D151" s="28"/>
      <c r="E151" s="28"/>
      <c r="F151" s="30"/>
      <c r="G151" s="28"/>
      <c r="H151" s="28"/>
      <c r="I151" s="30"/>
      <c r="J151" s="28"/>
      <c r="K151" s="29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s="8" customFormat="1" ht="51" customHeight="1">
      <c r="A152" s="87" t="s">
        <v>153</v>
      </c>
      <c r="B152" s="47"/>
      <c r="C152" s="42">
        <v>100</v>
      </c>
      <c r="D152" s="42"/>
      <c r="E152" s="42"/>
      <c r="F152" s="42">
        <v>100</v>
      </c>
      <c r="G152" s="42"/>
      <c r="H152" s="42"/>
      <c r="I152" s="42">
        <v>100</v>
      </c>
      <c r="J152" s="42"/>
      <c r="K152" s="42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s="8" customFormat="1" ht="18" customHeight="1">
      <c r="A153" s="147" t="s">
        <v>78</v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9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s="8" customFormat="1" ht="18" customHeight="1">
      <c r="A154" s="146" t="s">
        <v>97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s="8" customFormat="1" ht="18" customHeight="1">
      <c r="A155" s="9" t="s">
        <v>74</v>
      </c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s="8" customFormat="1" ht="18" customHeight="1">
      <c r="A156" s="48" t="s">
        <v>89</v>
      </c>
      <c r="B156" s="98">
        <f>C156+F156+I156</f>
        <v>10524999.99968</v>
      </c>
      <c r="C156" s="49">
        <f aca="true" t="shared" si="17" ref="C156:K156">SUM(C157:C158)</f>
        <v>3219799.99968</v>
      </c>
      <c r="D156" s="49">
        <f t="shared" si="17"/>
        <v>3199799.99968</v>
      </c>
      <c r="E156" s="49">
        <f t="shared" si="17"/>
        <v>20000</v>
      </c>
      <c r="F156" s="49">
        <f t="shared" si="17"/>
        <v>3520700</v>
      </c>
      <c r="G156" s="49">
        <f t="shared" si="17"/>
        <v>3499700</v>
      </c>
      <c r="H156" s="49">
        <f t="shared" si="17"/>
        <v>21000</v>
      </c>
      <c r="I156" s="49">
        <f t="shared" si="17"/>
        <v>3784500</v>
      </c>
      <c r="J156" s="49">
        <f t="shared" si="17"/>
        <v>3762500</v>
      </c>
      <c r="K156" s="49">
        <f t="shared" si="17"/>
        <v>22000</v>
      </c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s="8" customFormat="1" ht="18" customHeight="1">
      <c r="A157" s="44" t="s">
        <v>76</v>
      </c>
      <c r="B157" s="25"/>
      <c r="C157" s="35">
        <f>D157+E157</f>
        <v>3199799.99968</v>
      </c>
      <c r="D157" s="35">
        <f>2399215+527828+46600+100751+5000+32.736*1758.6+188.54*8.556+188.54*7.38+20897.2*2.8612+40.8+0.03-0.002</f>
        <v>3199799.99968</v>
      </c>
      <c r="E157" s="35"/>
      <c r="F157" s="35">
        <f>G157+H157</f>
        <v>3499700</v>
      </c>
      <c r="G157" s="35">
        <f>2630106+578623+128430+49722+107501+5335-17</f>
        <v>3499700</v>
      </c>
      <c r="H157" s="35"/>
      <c r="I157" s="35">
        <f>J157+K157</f>
        <v>3762500</v>
      </c>
      <c r="J157" s="35">
        <f>2832388+623125+135493+52457+113414+5628-5</f>
        <v>3762500</v>
      </c>
      <c r="K157" s="83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s="8" customFormat="1" ht="18" customHeight="1">
      <c r="A158" s="44" t="s">
        <v>41</v>
      </c>
      <c r="B158" s="25"/>
      <c r="C158" s="35">
        <f>D158+E158</f>
        <v>20000</v>
      </c>
      <c r="D158" s="35"/>
      <c r="E158" s="35">
        <v>20000</v>
      </c>
      <c r="F158" s="35">
        <f>G158+H158</f>
        <v>21000</v>
      </c>
      <c r="G158" s="35"/>
      <c r="H158" s="35">
        <v>21000</v>
      </c>
      <c r="I158" s="35">
        <f>J158+K158</f>
        <v>22000</v>
      </c>
      <c r="J158" s="35"/>
      <c r="K158" s="35">
        <v>22000</v>
      </c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s="8" customFormat="1" ht="18" customHeight="1">
      <c r="A159" s="45" t="s">
        <v>4</v>
      </c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s="8" customFormat="1" ht="18" customHeight="1">
      <c r="A160" s="46" t="s">
        <v>19</v>
      </c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s="8" customFormat="1" ht="18" customHeight="1">
      <c r="A161" s="45" t="s">
        <v>75</v>
      </c>
      <c r="B161" s="25"/>
      <c r="C161" s="30">
        <v>1</v>
      </c>
      <c r="D161" s="30"/>
      <c r="E161" s="30"/>
      <c r="F161" s="30">
        <v>1</v>
      </c>
      <c r="G161" s="30"/>
      <c r="H161" s="30"/>
      <c r="I161" s="30">
        <v>1</v>
      </c>
      <c r="J161" s="28"/>
      <c r="K161" s="29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s="8" customFormat="1" ht="18" customHeight="1">
      <c r="A162" s="45" t="s">
        <v>199</v>
      </c>
      <c r="B162" s="25"/>
      <c r="C162" s="30">
        <v>22</v>
      </c>
      <c r="D162" s="30"/>
      <c r="E162" s="30"/>
      <c r="F162" s="30">
        <v>22</v>
      </c>
      <c r="G162" s="30"/>
      <c r="H162" s="30"/>
      <c r="I162" s="30">
        <v>22</v>
      </c>
      <c r="J162" s="28"/>
      <c r="K162" s="29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s="8" customFormat="1" ht="18" customHeight="1">
      <c r="A163" s="54" t="s">
        <v>5</v>
      </c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s="8" customFormat="1" ht="35.25" customHeight="1">
      <c r="A164" s="45" t="s">
        <v>98</v>
      </c>
      <c r="B164" s="25"/>
      <c r="C164" s="30">
        <v>22</v>
      </c>
      <c r="D164" s="30"/>
      <c r="E164" s="30"/>
      <c r="F164" s="30">
        <v>22</v>
      </c>
      <c r="G164" s="30"/>
      <c r="H164" s="30"/>
      <c r="I164" s="30">
        <v>22</v>
      </c>
      <c r="J164" s="30"/>
      <c r="K164" s="3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s="8" customFormat="1" ht="35.25" customHeight="1">
      <c r="A165" s="45" t="s">
        <v>146</v>
      </c>
      <c r="B165" s="25"/>
      <c r="C165" s="30">
        <v>66</v>
      </c>
      <c r="D165" s="30"/>
      <c r="E165" s="30"/>
      <c r="F165" s="30">
        <v>66</v>
      </c>
      <c r="G165" s="30"/>
      <c r="H165" s="30"/>
      <c r="I165" s="30">
        <v>66</v>
      </c>
      <c r="J165" s="30"/>
      <c r="K165" s="3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s="8" customFormat="1" ht="18" customHeight="1">
      <c r="A166" s="45" t="s">
        <v>99</v>
      </c>
      <c r="B166" s="25"/>
      <c r="C166" s="30">
        <v>344</v>
      </c>
      <c r="D166" s="30"/>
      <c r="E166" s="30"/>
      <c r="F166" s="30">
        <v>344</v>
      </c>
      <c r="G166" s="30"/>
      <c r="H166" s="30"/>
      <c r="I166" s="30">
        <v>344</v>
      </c>
      <c r="J166" s="30"/>
      <c r="K166" s="3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s="8" customFormat="1" ht="18" customHeight="1">
      <c r="A167" s="45" t="s">
        <v>100</v>
      </c>
      <c r="B167" s="25"/>
      <c r="C167" s="30">
        <v>104</v>
      </c>
      <c r="D167" s="30"/>
      <c r="E167" s="30"/>
      <c r="F167" s="30">
        <v>104</v>
      </c>
      <c r="G167" s="30"/>
      <c r="H167" s="30"/>
      <c r="I167" s="30">
        <v>104</v>
      </c>
      <c r="J167" s="30"/>
      <c r="K167" s="3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s="8" customFormat="1" ht="18" customHeight="1">
      <c r="A168" s="45" t="s">
        <v>184</v>
      </c>
      <c r="B168" s="25"/>
      <c r="C168" s="30">
        <v>2</v>
      </c>
      <c r="D168" s="30"/>
      <c r="E168" s="30"/>
      <c r="F168" s="30">
        <v>2</v>
      </c>
      <c r="G168" s="30"/>
      <c r="H168" s="30"/>
      <c r="I168" s="30">
        <v>2</v>
      </c>
      <c r="J168" s="30"/>
      <c r="K168" s="3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s="8" customFormat="1" ht="18" customHeight="1">
      <c r="A169" s="33" t="s">
        <v>8</v>
      </c>
      <c r="B169" s="25"/>
      <c r="C169" s="28"/>
      <c r="D169" s="28"/>
      <c r="E169" s="28"/>
      <c r="F169" s="30"/>
      <c r="G169" s="28"/>
      <c r="H169" s="28"/>
      <c r="I169" s="30"/>
      <c r="J169" s="28"/>
      <c r="K169" s="29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s="8" customFormat="1" ht="18" customHeight="1">
      <c r="A170" s="32" t="s">
        <v>101</v>
      </c>
      <c r="B170" s="25"/>
      <c r="C170" s="30">
        <f>C166/C162</f>
        <v>15.636363636363637</v>
      </c>
      <c r="D170" s="30"/>
      <c r="E170" s="30"/>
      <c r="F170" s="30">
        <f>F166/F162</f>
        <v>15.636363636363637</v>
      </c>
      <c r="G170" s="30"/>
      <c r="H170" s="30"/>
      <c r="I170" s="30">
        <f>I166/I162</f>
        <v>15.636363636363637</v>
      </c>
      <c r="J170" s="28"/>
      <c r="K170" s="29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s="8" customFormat="1" ht="18" customHeight="1">
      <c r="A171" s="32" t="s">
        <v>102</v>
      </c>
      <c r="B171" s="25"/>
      <c r="C171" s="30">
        <f>C167/C162</f>
        <v>4.7272727272727275</v>
      </c>
      <c r="D171" s="30"/>
      <c r="E171" s="30"/>
      <c r="F171" s="30">
        <f>F167/F162</f>
        <v>4.7272727272727275</v>
      </c>
      <c r="G171" s="30"/>
      <c r="H171" s="30"/>
      <c r="I171" s="30">
        <f>I167/I162</f>
        <v>4.7272727272727275</v>
      </c>
      <c r="J171" s="28"/>
      <c r="K171" s="29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s="8" customFormat="1" ht="18" customHeight="1">
      <c r="A172" s="32" t="s">
        <v>92</v>
      </c>
      <c r="B172" s="32"/>
      <c r="C172" s="17">
        <f>C158/C168</f>
        <v>10000</v>
      </c>
      <c r="D172" s="32"/>
      <c r="E172" s="32"/>
      <c r="F172" s="17">
        <f>F158/F168</f>
        <v>10500</v>
      </c>
      <c r="G172" s="32"/>
      <c r="H172" s="32"/>
      <c r="I172" s="17">
        <f>I158/I168</f>
        <v>11000</v>
      </c>
      <c r="J172" s="32"/>
      <c r="K172" s="32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s="8" customFormat="1" ht="18" customHeight="1">
      <c r="A173" s="147" t="s">
        <v>79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9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s="8" customFormat="1" ht="18" customHeight="1">
      <c r="A174" s="146" t="s">
        <v>124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s="8" customFormat="1" ht="18" customHeight="1">
      <c r="A175" s="9" t="s">
        <v>74</v>
      </c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s="8" customFormat="1" ht="18" customHeight="1">
      <c r="A176" s="48" t="s">
        <v>89</v>
      </c>
      <c r="B176" s="98">
        <f>C176+F176+I176</f>
        <v>1781599.9999600002</v>
      </c>
      <c r="C176" s="49">
        <f>SUM(C177:C178)</f>
        <v>543099.99996</v>
      </c>
      <c r="D176" s="49">
        <f aca="true" t="shared" si="18" ref="D176:K176">SUM(D177:D178)</f>
        <v>495099.99996000004</v>
      </c>
      <c r="E176" s="49">
        <f t="shared" si="18"/>
        <v>48000</v>
      </c>
      <c r="F176" s="49">
        <f t="shared" si="18"/>
        <v>597300</v>
      </c>
      <c r="G176" s="49">
        <f t="shared" si="18"/>
        <v>573800</v>
      </c>
      <c r="H176" s="49">
        <f t="shared" si="18"/>
        <v>23500</v>
      </c>
      <c r="I176" s="49">
        <f t="shared" si="18"/>
        <v>641200</v>
      </c>
      <c r="J176" s="49">
        <f t="shared" si="18"/>
        <v>616400</v>
      </c>
      <c r="K176" s="49">
        <f t="shared" si="18"/>
        <v>24800</v>
      </c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s="8" customFormat="1" ht="18" customHeight="1">
      <c r="A177" s="44" t="s">
        <v>76</v>
      </c>
      <c r="B177" s="25"/>
      <c r="C177" s="35">
        <f>D177+E177</f>
        <v>495099.99996000004</v>
      </c>
      <c r="D177" s="35">
        <f>2.208*1758.6+26.84*8.556+26.84*7.38+1459.6*2.8612+0.1+365056+80312+5500+24705+1060+10000-20-0.019+0.0004</f>
        <v>495099.99996000004</v>
      </c>
      <c r="E177" s="35"/>
      <c r="F177" s="35">
        <f>G177+H177</f>
        <v>573800</v>
      </c>
      <c r="G177" s="35">
        <f>9056+426810+93898+5868+26360+10670+1131+7</f>
        <v>573800</v>
      </c>
      <c r="H177" s="35"/>
      <c r="I177" s="35">
        <f>J177+K177</f>
        <v>616400</v>
      </c>
      <c r="J177" s="35">
        <f>9554+459300+101046+6191+27810+11257+1193+49</f>
        <v>616400</v>
      </c>
      <c r="K177" s="35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s="8" customFormat="1" ht="18" customHeight="1">
      <c r="A178" s="44" t="s">
        <v>41</v>
      </c>
      <c r="B178" s="25"/>
      <c r="C178" s="35">
        <f>D178+E178</f>
        <v>48000</v>
      </c>
      <c r="D178" s="35"/>
      <c r="E178" s="35">
        <f>22000+26000</f>
        <v>48000</v>
      </c>
      <c r="F178" s="35">
        <f>G178+H178</f>
        <v>23500</v>
      </c>
      <c r="G178" s="35"/>
      <c r="H178" s="35">
        <v>23500</v>
      </c>
      <c r="I178" s="35">
        <f>J178+K178</f>
        <v>24800</v>
      </c>
      <c r="J178" s="35"/>
      <c r="K178" s="35">
        <v>24800</v>
      </c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s="8" customFormat="1" ht="18" customHeight="1">
      <c r="A179" s="45" t="s">
        <v>4</v>
      </c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s="8" customFormat="1" ht="18" customHeight="1">
      <c r="A180" s="46" t="s">
        <v>19</v>
      </c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s="8" customFormat="1" ht="18" customHeight="1">
      <c r="A181" s="45" t="s">
        <v>75</v>
      </c>
      <c r="B181" s="25"/>
      <c r="C181" s="30">
        <v>1</v>
      </c>
      <c r="D181" s="30"/>
      <c r="E181" s="30"/>
      <c r="F181" s="30">
        <v>1</v>
      </c>
      <c r="G181" s="30"/>
      <c r="H181" s="30"/>
      <c r="I181" s="30">
        <v>1</v>
      </c>
      <c r="J181" s="28"/>
      <c r="K181" s="29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8" customFormat="1" ht="18" customHeight="1">
      <c r="A182" s="45" t="s">
        <v>77</v>
      </c>
      <c r="B182" s="25"/>
      <c r="C182" s="30">
        <v>4</v>
      </c>
      <c r="D182" s="30"/>
      <c r="E182" s="30"/>
      <c r="F182" s="30">
        <v>4</v>
      </c>
      <c r="G182" s="30"/>
      <c r="H182" s="30"/>
      <c r="I182" s="30">
        <v>4</v>
      </c>
      <c r="J182" s="28"/>
      <c r="K182" s="29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s="8" customFormat="1" ht="18" customHeight="1">
      <c r="A183" s="53" t="s">
        <v>5</v>
      </c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s="8" customFormat="1" ht="18" customHeight="1">
      <c r="A184" s="45" t="s">
        <v>103</v>
      </c>
      <c r="B184" s="25"/>
      <c r="C184" s="30">
        <v>86</v>
      </c>
      <c r="D184" s="30"/>
      <c r="E184" s="30"/>
      <c r="F184" s="30">
        <v>86</v>
      </c>
      <c r="G184" s="30"/>
      <c r="H184" s="30"/>
      <c r="I184" s="30">
        <v>86</v>
      </c>
      <c r="J184" s="30"/>
      <c r="K184" s="3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s="8" customFormat="1" ht="18" customHeight="1">
      <c r="A185" s="45" t="s">
        <v>99</v>
      </c>
      <c r="B185" s="25"/>
      <c r="C185" s="30">
        <v>92</v>
      </c>
      <c r="D185" s="30"/>
      <c r="E185" s="30"/>
      <c r="F185" s="30">
        <v>96</v>
      </c>
      <c r="G185" s="30"/>
      <c r="H185" s="30"/>
      <c r="I185" s="30">
        <v>100</v>
      </c>
      <c r="J185" s="30"/>
      <c r="K185" s="3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8" customFormat="1" ht="18" customHeight="1">
      <c r="A186" s="45" t="s">
        <v>184</v>
      </c>
      <c r="B186" s="25"/>
      <c r="C186" s="30">
        <v>2</v>
      </c>
      <c r="D186" s="30"/>
      <c r="E186" s="30"/>
      <c r="F186" s="30">
        <v>2</v>
      </c>
      <c r="G186" s="30"/>
      <c r="H186" s="30"/>
      <c r="I186" s="30">
        <v>2</v>
      </c>
      <c r="J186" s="30"/>
      <c r="K186" s="3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s="8" customFormat="1" ht="18" customHeight="1">
      <c r="A187" s="33" t="s">
        <v>8</v>
      </c>
      <c r="B187" s="25"/>
      <c r="C187" s="28"/>
      <c r="D187" s="28"/>
      <c r="E187" s="28"/>
      <c r="F187" s="30"/>
      <c r="G187" s="28"/>
      <c r="H187" s="28"/>
      <c r="I187" s="30"/>
      <c r="J187" s="28"/>
      <c r="K187" s="29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s="8" customFormat="1" ht="18" customHeight="1">
      <c r="A188" s="32" t="s">
        <v>101</v>
      </c>
      <c r="B188" s="25"/>
      <c r="C188" s="30">
        <f>C185/C182</f>
        <v>23</v>
      </c>
      <c r="D188" s="30"/>
      <c r="E188" s="30"/>
      <c r="F188" s="30">
        <f>F185/F182</f>
        <v>24</v>
      </c>
      <c r="G188" s="30"/>
      <c r="H188" s="30"/>
      <c r="I188" s="30">
        <f>I185/I182</f>
        <v>25</v>
      </c>
      <c r="J188" s="28"/>
      <c r="K188" s="29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s="8" customFormat="1" ht="18" customHeight="1">
      <c r="A189" s="32" t="s">
        <v>92</v>
      </c>
      <c r="B189" s="25"/>
      <c r="C189" s="28">
        <f>E178/C186</f>
        <v>24000</v>
      </c>
      <c r="D189" s="28"/>
      <c r="E189" s="28"/>
      <c r="F189" s="28">
        <f>H178/F186</f>
        <v>11750</v>
      </c>
      <c r="G189" s="28"/>
      <c r="H189" s="28"/>
      <c r="I189" s="28">
        <f>K178/I186</f>
        <v>12400</v>
      </c>
      <c r="J189" s="28"/>
      <c r="K189" s="29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s="8" customFormat="1" ht="18" customHeight="1">
      <c r="A190" s="147" t="s">
        <v>162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9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s="8" customFormat="1" ht="18" customHeight="1">
      <c r="A191" s="172" t="s">
        <v>125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s="8" customFormat="1" ht="18" customHeight="1">
      <c r="A192" s="74" t="s">
        <v>80</v>
      </c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s="8" customFormat="1" ht="18" customHeight="1">
      <c r="A193" s="48" t="s">
        <v>89</v>
      </c>
      <c r="B193" s="98">
        <f>C193+F193+I193</f>
        <v>10139800.0002</v>
      </c>
      <c r="C193" s="49">
        <f aca="true" t="shared" si="19" ref="C193:K193">SUM(C194:C195)</f>
        <v>3094000.0001999997</v>
      </c>
      <c r="D193" s="49">
        <f t="shared" si="19"/>
        <v>3094000.0001999997</v>
      </c>
      <c r="E193" s="49">
        <f t="shared" si="19"/>
        <v>0</v>
      </c>
      <c r="F193" s="49">
        <f t="shared" si="19"/>
        <v>3399600</v>
      </c>
      <c r="G193" s="49">
        <f t="shared" si="19"/>
        <v>3371600</v>
      </c>
      <c r="H193" s="49">
        <f t="shared" si="19"/>
        <v>28000</v>
      </c>
      <c r="I193" s="49">
        <f t="shared" si="19"/>
        <v>3646200</v>
      </c>
      <c r="J193" s="49">
        <f t="shared" si="19"/>
        <v>3616800</v>
      </c>
      <c r="K193" s="49">
        <f t="shared" si="19"/>
        <v>29400</v>
      </c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s="8" customFormat="1" ht="18" customHeight="1">
      <c r="A194" s="44" t="s">
        <v>76</v>
      </c>
      <c r="B194" s="25"/>
      <c r="C194" s="35">
        <f>D194+E194</f>
        <v>3094000.0001999997</v>
      </c>
      <c r="D194" s="35">
        <f>60.1*1758.6+193.2*8.556+193.2*7.38+7700*2.8612+0.1+2346171+516157+65140+25756+10000-26-0.035</f>
        <v>3094000.0001999997</v>
      </c>
      <c r="E194" s="35"/>
      <c r="F194" s="35">
        <f>G194+H194</f>
        <v>3371600</v>
      </c>
      <c r="G194" s="35">
        <f>139566+2560968+563413+69504+27482+10670-3</f>
        <v>3371600</v>
      </c>
      <c r="H194" s="35"/>
      <c r="I194" s="35">
        <f>J194+K194</f>
        <v>3616800</v>
      </c>
      <c r="J194" s="35">
        <f>147242+2750842+605185+73327+28994+11257-47</f>
        <v>3616800</v>
      </c>
      <c r="K194" s="35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s="8" customFormat="1" ht="18" customHeight="1">
      <c r="A195" s="44" t="s">
        <v>41</v>
      </c>
      <c r="B195" s="25"/>
      <c r="C195" s="35">
        <f>D195+E195</f>
        <v>0</v>
      </c>
      <c r="D195" s="35"/>
      <c r="E195" s="35">
        <f>26000-26000</f>
        <v>0</v>
      </c>
      <c r="F195" s="35">
        <f>G195+H195</f>
        <v>28000</v>
      </c>
      <c r="G195" s="35"/>
      <c r="H195" s="35">
        <v>28000</v>
      </c>
      <c r="I195" s="35">
        <f>J195+K195</f>
        <v>29400</v>
      </c>
      <c r="J195" s="35"/>
      <c r="K195" s="35">
        <v>29400</v>
      </c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s="8" customFormat="1" ht="18" customHeight="1">
      <c r="A196" s="45" t="s">
        <v>4</v>
      </c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s="8" customFormat="1" ht="18" customHeight="1">
      <c r="A197" s="46" t="s">
        <v>19</v>
      </c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s="8" customFormat="1" ht="18" customHeight="1">
      <c r="A198" s="45" t="s">
        <v>75</v>
      </c>
      <c r="B198" s="25"/>
      <c r="C198" s="30">
        <v>1</v>
      </c>
      <c r="D198" s="30"/>
      <c r="E198" s="30"/>
      <c r="F198" s="30">
        <v>1</v>
      </c>
      <c r="G198" s="30"/>
      <c r="H198" s="30"/>
      <c r="I198" s="30">
        <v>1</v>
      </c>
      <c r="J198" s="28"/>
      <c r="K198" s="29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s="8" customFormat="1" ht="18" customHeight="1">
      <c r="A199" s="45" t="s">
        <v>200</v>
      </c>
      <c r="B199" s="25"/>
      <c r="C199" s="28">
        <v>22.75</v>
      </c>
      <c r="D199" s="28"/>
      <c r="E199" s="28"/>
      <c r="F199" s="28">
        <v>22.75</v>
      </c>
      <c r="G199" s="28"/>
      <c r="H199" s="28"/>
      <c r="I199" s="28">
        <v>22.75</v>
      </c>
      <c r="J199" s="28"/>
      <c r="K199" s="29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s="8" customFormat="1" ht="18" customHeight="1">
      <c r="A200" s="92" t="s">
        <v>5</v>
      </c>
      <c r="B200" s="25"/>
      <c r="C200" s="28"/>
      <c r="D200" s="28"/>
      <c r="E200" s="28"/>
      <c r="F200" s="28"/>
      <c r="G200" s="28"/>
      <c r="H200" s="28"/>
      <c r="I200" s="28"/>
      <c r="J200" s="28"/>
      <c r="K200" s="29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s="8" customFormat="1" ht="35.25" customHeight="1">
      <c r="A201" s="45" t="s">
        <v>155</v>
      </c>
      <c r="B201" s="25"/>
      <c r="C201" s="30">
        <v>22</v>
      </c>
      <c r="D201" s="30"/>
      <c r="E201" s="30"/>
      <c r="F201" s="30">
        <v>24</v>
      </c>
      <c r="G201" s="30"/>
      <c r="H201" s="30"/>
      <c r="I201" s="30">
        <v>27</v>
      </c>
      <c r="J201" s="30"/>
      <c r="K201" s="3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s="8" customFormat="1" ht="20.25" customHeight="1">
      <c r="A202" s="45" t="s">
        <v>160</v>
      </c>
      <c r="B202" s="25"/>
      <c r="C202" s="30">
        <v>1632</v>
      </c>
      <c r="D202" s="30"/>
      <c r="E202" s="30"/>
      <c r="F202" s="30">
        <v>1665</v>
      </c>
      <c r="G202" s="30"/>
      <c r="H202" s="30"/>
      <c r="I202" s="30">
        <v>1700</v>
      </c>
      <c r="J202" s="30"/>
      <c r="K202" s="3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s="8" customFormat="1" ht="18" customHeight="1">
      <c r="A203" s="45" t="s">
        <v>184</v>
      </c>
      <c r="B203" s="25"/>
      <c r="C203" s="30">
        <v>2</v>
      </c>
      <c r="D203" s="30"/>
      <c r="E203" s="30"/>
      <c r="F203" s="30">
        <v>2</v>
      </c>
      <c r="G203" s="30"/>
      <c r="H203" s="30"/>
      <c r="I203" s="30">
        <v>2</v>
      </c>
      <c r="J203" s="30"/>
      <c r="K203" s="3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s="8" customFormat="1" ht="18" customHeight="1">
      <c r="A204" s="33" t="s">
        <v>8</v>
      </c>
      <c r="B204" s="25"/>
      <c r="C204" s="28"/>
      <c r="D204" s="28"/>
      <c r="E204" s="28"/>
      <c r="F204" s="30"/>
      <c r="G204" s="28"/>
      <c r="H204" s="28"/>
      <c r="I204" s="30"/>
      <c r="J204" s="28"/>
      <c r="K204" s="29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s="8" customFormat="1" ht="35.25" customHeight="1">
      <c r="A205" s="72" t="s">
        <v>154</v>
      </c>
      <c r="B205" s="25"/>
      <c r="C205" s="30">
        <v>100</v>
      </c>
      <c r="D205" s="28"/>
      <c r="E205" s="28"/>
      <c r="F205" s="30">
        <f>F201/C201*100</f>
        <v>109.09090909090908</v>
      </c>
      <c r="G205" s="28"/>
      <c r="H205" s="28"/>
      <c r="I205" s="30">
        <f>I201/F201*100</f>
        <v>112.5</v>
      </c>
      <c r="J205" s="28"/>
      <c r="K205" s="29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s="8" customFormat="1" ht="37.5" customHeight="1">
      <c r="A206" s="72" t="s">
        <v>159</v>
      </c>
      <c r="B206" s="25"/>
      <c r="C206" s="30">
        <v>100</v>
      </c>
      <c r="D206" s="28"/>
      <c r="E206" s="28"/>
      <c r="F206" s="30">
        <f>F202/C202*100</f>
        <v>102.02205882352942</v>
      </c>
      <c r="G206" s="28"/>
      <c r="H206" s="28"/>
      <c r="I206" s="30">
        <f>I202/F202*100</f>
        <v>102.10210210210211</v>
      </c>
      <c r="J206" s="28"/>
      <c r="K206" s="29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s="8" customFormat="1" ht="18" customHeight="1">
      <c r="A207" s="32" t="s">
        <v>92</v>
      </c>
      <c r="B207" s="25"/>
      <c r="C207" s="28">
        <f>E195/C203</f>
        <v>0</v>
      </c>
      <c r="D207" s="28"/>
      <c r="E207" s="28"/>
      <c r="F207" s="28">
        <f>H195/F203</f>
        <v>14000</v>
      </c>
      <c r="G207" s="28"/>
      <c r="H207" s="28"/>
      <c r="I207" s="28">
        <f>K195/I203</f>
        <v>14700</v>
      </c>
      <c r="J207" s="28"/>
      <c r="K207" s="29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s="8" customFormat="1" ht="21" customHeight="1">
      <c r="A208" s="157" t="s">
        <v>164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s="8" customFormat="1" ht="18" customHeight="1">
      <c r="A209" s="151" t="s">
        <v>13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s="8" customFormat="1" ht="17.25" customHeight="1">
      <c r="A210" s="71" t="s">
        <v>106</v>
      </c>
      <c r="B210" s="36"/>
      <c r="C210" s="90"/>
      <c r="D210" s="90"/>
      <c r="E210" s="90"/>
      <c r="F210" s="90"/>
      <c r="G210" s="90"/>
      <c r="H210" s="90"/>
      <c r="I210" s="90"/>
      <c r="J210" s="90"/>
      <c r="K210" s="9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s="8" customFormat="1" ht="21" customHeight="1">
      <c r="A211" s="48" t="s">
        <v>89</v>
      </c>
      <c r="B211" s="98">
        <f>C211+F211+I211</f>
        <v>320600</v>
      </c>
      <c r="C211" s="49">
        <f aca="true" t="shared" si="20" ref="C211:K211">SUM(C212:C213)</f>
        <v>100400</v>
      </c>
      <c r="D211" s="49">
        <f t="shared" si="20"/>
        <v>100400</v>
      </c>
      <c r="E211" s="49">
        <f t="shared" si="20"/>
        <v>0</v>
      </c>
      <c r="F211" s="49">
        <f t="shared" si="20"/>
        <v>107200</v>
      </c>
      <c r="G211" s="49">
        <f t="shared" si="20"/>
        <v>107200</v>
      </c>
      <c r="H211" s="49">
        <f t="shared" si="20"/>
        <v>0</v>
      </c>
      <c r="I211" s="49">
        <f t="shared" si="20"/>
        <v>113000</v>
      </c>
      <c r="J211" s="49">
        <f t="shared" si="20"/>
        <v>113000</v>
      </c>
      <c r="K211" s="49">
        <f t="shared" si="20"/>
        <v>0</v>
      </c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s="8" customFormat="1" ht="21" customHeight="1">
      <c r="A212" s="44" t="s">
        <v>81</v>
      </c>
      <c r="B212" s="40"/>
      <c r="C212" s="35">
        <f>D212+E212</f>
        <v>80000</v>
      </c>
      <c r="D212" s="35">
        <v>80000</v>
      </c>
      <c r="E212" s="35"/>
      <c r="F212" s="35">
        <f>G212+H212</f>
        <v>85400</v>
      </c>
      <c r="G212" s="35">
        <v>85400</v>
      </c>
      <c r="H212" s="35"/>
      <c r="I212" s="35">
        <f>J212+K212</f>
        <v>90000</v>
      </c>
      <c r="J212" s="35">
        <v>90000</v>
      </c>
      <c r="K212" s="35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s="8" customFormat="1" ht="21" customHeight="1">
      <c r="A213" s="44" t="s">
        <v>82</v>
      </c>
      <c r="B213" s="40"/>
      <c r="C213" s="35">
        <f>D213+E213</f>
        <v>20400</v>
      </c>
      <c r="D213" s="35">
        <v>20400</v>
      </c>
      <c r="E213" s="35"/>
      <c r="F213" s="35">
        <f>G213+H213</f>
        <v>21800</v>
      </c>
      <c r="G213" s="35">
        <v>21800</v>
      </c>
      <c r="H213" s="35"/>
      <c r="I213" s="35">
        <f>J213+K213</f>
        <v>23000</v>
      </c>
      <c r="J213" s="35">
        <v>23000</v>
      </c>
      <c r="K213" s="35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s="8" customFormat="1" ht="17.25" customHeight="1">
      <c r="A214" s="38" t="s">
        <v>4</v>
      </c>
      <c r="B214" s="41"/>
      <c r="C214" s="43"/>
      <c r="D214" s="42"/>
      <c r="E214" s="42"/>
      <c r="F214" s="42"/>
      <c r="G214" s="42"/>
      <c r="H214" s="42"/>
      <c r="I214" s="42"/>
      <c r="J214" s="42"/>
      <c r="K214" s="42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s="8" customFormat="1" ht="17.25" customHeight="1">
      <c r="A215" s="69" t="s">
        <v>20</v>
      </c>
      <c r="B215" s="41"/>
      <c r="C215" s="43"/>
      <c r="D215" s="42"/>
      <c r="E215" s="42"/>
      <c r="F215" s="42"/>
      <c r="G215" s="42"/>
      <c r="H215" s="42"/>
      <c r="I215" s="42"/>
      <c r="J215" s="42"/>
      <c r="K215" s="42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s="8" customFormat="1" ht="17.25" customHeight="1">
      <c r="A216" s="38" t="s">
        <v>12</v>
      </c>
      <c r="B216" s="41"/>
      <c r="C216" s="84">
        <v>2</v>
      </c>
      <c r="D216" s="84"/>
      <c r="E216" s="84"/>
      <c r="F216" s="84">
        <v>2</v>
      </c>
      <c r="G216" s="84"/>
      <c r="H216" s="84"/>
      <c r="I216" s="84">
        <v>2</v>
      </c>
      <c r="J216" s="84"/>
      <c r="K216" s="42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s="8" customFormat="1" ht="38.25" customHeight="1">
      <c r="A217" s="38" t="s">
        <v>10</v>
      </c>
      <c r="B217" s="41"/>
      <c r="C217" s="59">
        <v>20</v>
      </c>
      <c r="D217" s="59"/>
      <c r="E217" s="59"/>
      <c r="F217" s="59">
        <v>20</v>
      </c>
      <c r="G217" s="59"/>
      <c r="H217" s="59"/>
      <c r="I217" s="59">
        <v>20</v>
      </c>
      <c r="J217" s="59"/>
      <c r="K217" s="6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s="8" customFormat="1" ht="16.5" customHeight="1">
      <c r="A218" s="69" t="s">
        <v>11</v>
      </c>
      <c r="B218" s="41"/>
      <c r="C218" s="59"/>
      <c r="D218" s="59"/>
      <c r="E218" s="59"/>
      <c r="F218" s="59"/>
      <c r="G218" s="59"/>
      <c r="H218" s="59"/>
      <c r="I218" s="59"/>
      <c r="J218" s="59"/>
      <c r="K218" s="6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s="8" customFormat="1" ht="21" customHeight="1">
      <c r="A219" s="61" t="s">
        <v>14</v>
      </c>
      <c r="B219" s="62"/>
      <c r="C219" s="34">
        <v>10</v>
      </c>
      <c r="D219" s="34"/>
      <c r="E219" s="34"/>
      <c r="F219" s="34">
        <v>10</v>
      </c>
      <c r="G219" s="34"/>
      <c r="H219" s="34"/>
      <c r="I219" s="34">
        <v>10</v>
      </c>
      <c r="J219" s="34"/>
      <c r="K219" s="6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s="8" customFormat="1" ht="21.75" customHeight="1">
      <c r="A220" s="61" t="s">
        <v>15</v>
      </c>
      <c r="B220" s="62"/>
      <c r="C220" s="34">
        <v>170</v>
      </c>
      <c r="D220" s="34"/>
      <c r="E220" s="34"/>
      <c r="F220" s="34">
        <v>170</v>
      </c>
      <c r="G220" s="34"/>
      <c r="H220" s="34"/>
      <c r="I220" s="34">
        <v>170</v>
      </c>
      <c r="J220" s="34"/>
      <c r="K220" s="6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s="8" customFormat="1" ht="31.5" customHeight="1">
      <c r="A221" s="38" t="s">
        <v>157</v>
      </c>
      <c r="B221" s="62"/>
      <c r="C221" s="34">
        <v>1037</v>
      </c>
      <c r="D221" s="34"/>
      <c r="E221" s="34"/>
      <c r="F221" s="34">
        <v>1099</v>
      </c>
      <c r="G221" s="34"/>
      <c r="H221" s="34"/>
      <c r="I221" s="34">
        <v>1160</v>
      </c>
      <c r="J221" s="34"/>
      <c r="K221" s="6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s="8" customFormat="1" ht="18" customHeight="1">
      <c r="A222" s="69" t="s">
        <v>8</v>
      </c>
      <c r="B222" s="41"/>
      <c r="C222" s="43"/>
      <c r="D222" s="42"/>
      <c r="E222" s="42"/>
      <c r="F222" s="42"/>
      <c r="G222" s="42"/>
      <c r="H222" s="42"/>
      <c r="I222" s="42"/>
      <c r="J222" s="42"/>
      <c r="K222" s="42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s="8" customFormat="1" ht="18" customHeight="1">
      <c r="A223" s="38" t="s">
        <v>104</v>
      </c>
      <c r="B223" s="41"/>
      <c r="C223" s="39">
        <f>D212/C217/10</f>
        <v>400</v>
      </c>
      <c r="D223" s="39"/>
      <c r="E223" s="39"/>
      <c r="F223" s="39">
        <f>F212/F217/F219</f>
        <v>427</v>
      </c>
      <c r="G223" s="39"/>
      <c r="H223" s="63"/>
      <c r="I223" s="64">
        <f>I212/I217/I219</f>
        <v>450</v>
      </c>
      <c r="J223" s="64"/>
      <c r="K223" s="6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s="8" customFormat="1" ht="23.25" customHeight="1">
      <c r="A224" s="38" t="s">
        <v>105</v>
      </c>
      <c r="B224" s="41"/>
      <c r="C224" s="65">
        <f>C213/C220</f>
        <v>120</v>
      </c>
      <c r="D224" s="65"/>
      <c r="E224" s="66"/>
      <c r="F224" s="65">
        <f>F213/F220</f>
        <v>128.23529411764707</v>
      </c>
      <c r="G224" s="67"/>
      <c r="H224" s="66"/>
      <c r="I224" s="65">
        <f>I213/I220</f>
        <v>135.2941176470588</v>
      </c>
      <c r="J224" s="67"/>
      <c r="K224" s="68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s="8" customFormat="1" ht="51" customHeight="1">
      <c r="A225" s="38" t="s">
        <v>16</v>
      </c>
      <c r="B225" s="41"/>
      <c r="C225" s="42">
        <v>19</v>
      </c>
      <c r="D225" s="42"/>
      <c r="E225" s="42"/>
      <c r="F225" s="42">
        <v>19</v>
      </c>
      <c r="G225" s="42"/>
      <c r="H225" s="42"/>
      <c r="I225" s="42">
        <v>19</v>
      </c>
      <c r="J225" s="42"/>
      <c r="K225" s="42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s="8" customFormat="1" ht="18" customHeight="1">
      <c r="A226" s="69" t="s">
        <v>9</v>
      </c>
      <c r="B226" s="41"/>
      <c r="C226" s="43"/>
      <c r="D226" s="42"/>
      <c r="E226" s="42"/>
      <c r="F226" s="42"/>
      <c r="G226" s="42"/>
      <c r="H226" s="42"/>
      <c r="I226" s="42"/>
      <c r="J226" s="42"/>
      <c r="K226" s="42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s="8" customFormat="1" ht="39.75" customHeight="1">
      <c r="A227" s="38" t="s">
        <v>156</v>
      </c>
      <c r="B227" s="41"/>
      <c r="C227" s="94">
        <f>100</f>
        <v>100</v>
      </c>
      <c r="D227" s="94"/>
      <c r="E227" s="42"/>
      <c r="F227" s="94">
        <f>F221/C221*100</f>
        <v>105.9787849566056</v>
      </c>
      <c r="G227" s="94"/>
      <c r="H227" s="42"/>
      <c r="I227" s="94">
        <f>I221/F221*100</f>
        <v>105.55050045495906</v>
      </c>
      <c r="J227" s="94"/>
      <c r="K227" s="42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s="8" customFormat="1" ht="20.25" customHeight="1">
      <c r="A228" s="150" t="s">
        <v>165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s="8" customFormat="1" ht="20.25" customHeight="1">
      <c r="A229" s="151" t="s">
        <v>174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s="8" customFormat="1" ht="20.25" customHeight="1">
      <c r="A230" s="71" t="s">
        <v>74</v>
      </c>
      <c r="B230" s="36"/>
      <c r="C230" s="151"/>
      <c r="D230" s="152"/>
      <c r="E230" s="152"/>
      <c r="F230" s="152"/>
      <c r="G230" s="152"/>
      <c r="H230" s="152"/>
      <c r="I230" s="152"/>
      <c r="J230" s="152"/>
      <c r="K230" s="152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s="8" customFormat="1" ht="19.5" customHeight="1">
      <c r="A231" s="48" t="s">
        <v>83</v>
      </c>
      <c r="B231" s="99">
        <f>C231+F231+I231</f>
        <v>17934899.9996</v>
      </c>
      <c r="C231" s="51">
        <f aca="true" t="shared" si="21" ref="C231:K231">SUM(C232:C238)</f>
        <v>5550199.9996</v>
      </c>
      <c r="D231" s="51">
        <f t="shared" si="21"/>
        <v>5035099.9996</v>
      </c>
      <c r="E231" s="51">
        <f t="shared" si="21"/>
        <v>515100</v>
      </c>
      <c r="F231" s="51">
        <f t="shared" si="21"/>
        <v>6155400</v>
      </c>
      <c r="G231" s="51">
        <f t="shared" si="21"/>
        <v>5400400</v>
      </c>
      <c r="H231" s="51">
        <f t="shared" si="21"/>
        <v>755000</v>
      </c>
      <c r="I231" s="51">
        <f t="shared" si="21"/>
        <v>6229300</v>
      </c>
      <c r="J231" s="51">
        <f t="shared" si="21"/>
        <v>5763300</v>
      </c>
      <c r="K231" s="51">
        <f t="shared" si="21"/>
        <v>466000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s="8" customFormat="1" ht="19.5" customHeight="1">
      <c r="A232" s="90" t="s">
        <v>107</v>
      </c>
      <c r="B232" s="102">
        <f>C232+F232+I232</f>
        <v>8078600</v>
      </c>
      <c r="C232" s="50">
        <f aca="true" t="shared" si="22" ref="C232:C238">D232+E232</f>
        <v>2500000</v>
      </c>
      <c r="D232" s="50">
        <f>2049251+450835-86</f>
        <v>2500000</v>
      </c>
      <c r="E232" s="50"/>
      <c r="F232" s="50">
        <f aca="true" t="shared" si="23" ref="F232:F238">G232+H232</f>
        <v>2700400</v>
      </c>
      <c r="G232" s="50">
        <f>2213470+486963-33</f>
        <v>2700400</v>
      </c>
      <c r="H232" s="50"/>
      <c r="I232" s="50">
        <f>J232+K232</f>
        <v>2878200</v>
      </c>
      <c r="J232" s="50">
        <f>2359218+519028-46</f>
        <v>2878200</v>
      </c>
      <c r="K232" s="39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s="8" customFormat="1" ht="19.5" customHeight="1">
      <c r="A233" s="90" t="s">
        <v>110</v>
      </c>
      <c r="B233" s="19"/>
      <c r="C233" s="50">
        <f t="shared" si="22"/>
        <v>875799.9996</v>
      </c>
      <c r="D233" s="50">
        <f>471352+156.7*1205.27+191*8.556+154*7.38+9723*2.8612+160000+0.5-7.5-0.973+25000</f>
        <v>875799.9996</v>
      </c>
      <c r="E233" s="50"/>
      <c r="F233" s="50">
        <f t="shared" si="23"/>
        <v>907800</v>
      </c>
      <c r="G233" s="50">
        <f>502933+404880-13</f>
        <v>907800</v>
      </c>
      <c r="H233" s="50"/>
      <c r="I233" s="50">
        <f>J233+K233</f>
        <v>957700</v>
      </c>
      <c r="J233" s="50">
        <f>530594+427148-42</f>
        <v>957700</v>
      </c>
      <c r="K233" s="39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s="8" customFormat="1" ht="19.5" customHeight="1">
      <c r="A234" s="90" t="s">
        <v>113</v>
      </c>
      <c r="B234" s="19"/>
      <c r="C234" s="50">
        <f t="shared" si="22"/>
        <v>77700</v>
      </c>
      <c r="D234" s="50">
        <f>77746-46</f>
        <v>77700</v>
      </c>
      <c r="E234" s="50"/>
      <c r="F234" s="50">
        <f t="shared" si="23"/>
        <v>61599.99999999999</v>
      </c>
      <c r="G234" s="50">
        <f>(D234-20000)*1.067+34.1</f>
        <v>61599.99999999999</v>
      </c>
      <c r="H234" s="50"/>
      <c r="I234" s="50">
        <f>J234+K234</f>
        <v>64999.999999999985</v>
      </c>
      <c r="J234" s="50">
        <f>G234*1.055+12</f>
        <v>64999.999999999985</v>
      </c>
      <c r="K234" s="39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s="8" customFormat="1" ht="19.5" customHeight="1">
      <c r="A235" s="90" t="s">
        <v>111</v>
      </c>
      <c r="B235" s="19"/>
      <c r="C235" s="50">
        <f t="shared" si="22"/>
        <v>115100</v>
      </c>
      <c r="D235" s="50"/>
      <c r="E235" s="50">
        <v>115100</v>
      </c>
      <c r="F235" s="50">
        <f t="shared" si="23"/>
        <v>240000</v>
      </c>
      <c r="G235" s="50"/>
      <c r="H235" s="50">
        <v>240000</v>
      </c>
      <c r="I235" s="50">
        <f>J235+K235</f>
        <v>240000</v>
      </c>
      <c r="J235" s="50"/>
      <c r="K235" s="50">
        <v>240000</v>
      </c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s="8" customFormat="1" ht="16.5" customHeight="1">
      <c r="A236" s="90" t="s">
        <v>42</v>
      </c>
      <c r="B236" s="19"/>
      <c r="C236" s="50">
        <f t="shared" si="22"/>
        <v>200000</v>
      </c>
      <c r="D236" s="50"/>
      <c r="E236" s="50">
        <v>200000</v>
      </c>
      <c r="F236" s="50">
        <f t="shared" si="23"/>
        <v>215000</v>
      </c>
      <c r="G236" s="50"/>
      <c r="H236" s="50">
        <v>215000</v>
      </c>
      <c r="I236" s="50">
        <f>J236+K236</f>
        <v>226000</v>
      </c>
      <c r="J236" s="50"/>
      <c r="K236" s="50">
        <v>226000</v>
      </c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s="8" customFormat="1" ht="19.5" customHeight="1">
      <c r="A237" s="90" t="s">
        <v>120</v>
      </c>
      <c r="B237" s="19"/>
      <c r="C237" s="50">
        <f t="shared" si="22"/>
        <v>200000</v>
      </c>
      <c r="D237" s="50"/>
      <c r="E237" s="50">
        <v>200000</v>
      </c>
      <c r="F237" s="50">
        <f t="shared" si="23"/>
        <v>300000</v>
      </c>
      <c r="G237" s="50"/>
      <c r="H237" s="50">
        <v>300000</v>
      </c>
      <c r="I237" s="50"/>
      <c r="J237" s="50"/>
      <c r="K237" s="39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s="8" customFormat="1" ht="19.5" customHeight="1">
      <c r="A238" s="90" t="s">
        <v>108</v>
      </c>
      <c r="B238" s="19"/>
      <c r="C238" s="50">
        <f t="shared" si="22"/>
        <v>1581600</v>
      </c>
      <c r="D238" s="50">
        <f>1296407+285210-17</f>
        <v>1581600</v>
      </c>
      <c r="E238" s="50"/>
      <c r="F238" s="50">
        <f t="shared" si="23"/>
        <v>1730600</v>
      </c>
      <c r="G238" s="50">
        <f>1418564+312084-48</f>
        <v>1730600</v>
      </c>
      <c r="H238" s="50"/>
      <c r="I238" s="50">
        <f>J238+K238</f>
        <v>1862400</v>
      </c>
      <c r="J238" s="50">
        <f>1526530+335837+33</f>
        <v>1862400</v>
      </c>
      <c r="K238" s="39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s="8" customFormat="1" ht="20.25" customHeight="1">
      <c r="A239" s="91" t="s">
        <v>4</v>
      </c>
      <c r="B239" s="19"/>
      <c r="C239" s="50"/>
      <c r="D239" s="50"/>
      <c r="E239" s="50"/>
      <c r="F239" s="50"/>
      <c r="G239" s="50"/>
      <c r="H239" s="50"/>
      <c r="I239" s="50"/>
      <c r="J239" s="50"/>
      <c r="K239" s="39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s="8" customFormat="1" ht="20.25" customHeight="1">
      <c r="A240" s="92" t="s">
        <v>19</v>
      </c>
      <c r="B240" s="25"/>
      <c r="C240" s="28"/>
      <c r="D240" s="28"/>
      <c r="E240" s="28"/>
      <c r="F240" s="28"/>
      <c r="G240" s="28"/>
      <c r="H240" s="28"/>
      <c r="I240" s="28"/>
      <c r="J240" s="28"/>
      <c r="K240" s="29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s="8" customFormat="1" ht="20.25" customHeight="1">
      <c r="A241" s="45" t="s">
        <v>115</v>
      </c>
      <c r="B241" s="25"/>
      <c r="C241" s="30">
        <v>1</v>
      </c>
      <c r="D241" s="30"/>
      <c r="E241" s="30"/>
      <c r="F241" s="30">
        <v>1</v>
      </c>
      <c r="G241" s="30"/>
      <c r="H241" s="30"/>
      <c r="I241" s="30">
        <v>1</v>
      </c>
      <c r="J241" s="28"/>
      <c r="K241" s="29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s="8" customFormat="1" ht="20.25" customHeight="1">
      <c r="A242" s="45" t="s">
        <v>116</v>
      </c>
      <c r="B242" s="25"/>
      <c r="C242" s="30">
        <v>12</v>
      </c>
      <c r="D242" s="30"/>
      <c r="E242" s="30"/>
      <c r="F242" s="30">
        <v>12</v>
      </c>
      <c r="G242" s="30"/>
      <c r="H242" s="30"/>
      <c r="I242" s="30">
        <v>12</v>
      </c>
      <c r="J242" s="28"/>
      <c r="K242" s="29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s="8" customFormat="1" ht="20.25" customHeight="1">
      <c r="A243" s="92" t="s">
        <v>5</v>
      </c>
      <c r="B243" s="25"/>
      <c r="C243" s="28"/>
      <c r="D243" s="28"/>
      <c r="E243" s="28"/>
      <c r="F243" s="28"/>
      <c r="G243" s="28"/>
      <c r="H243" s="28"/>
      <c r="I243" s="28"/>
      <c r="J243" s="28"/>
      <c r="K243" s="29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s="8" customFormat="1" ht="16.5" customHeight="1">
      <c r="A244" s="45" t="s">
        <v>127</v>
      </c>
      <c r="B244" s="25"/>
      <c r="C244" s="30">
        <v>805</v>
      </c>
      <c r="D244" s="30"/>
      <c r="E244" s="30"/>
      <c r="F244" s="30">
        <v>810</v>
      </c>
      <c r="G244" s="30"/>
      <c r="H244" s="30"/>
      <c r="I244" s="30">
        <v>815</v>
      </c>
      <c r="J244" s="30"/>
      <c r="K244" s="3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s="8" customFormat="1" ht="19.5" customHeight="1">
      <c r="A245" s="45" t="s">
        <v>158</v>
      </c>
      <c r="B245" s="25"/>
      <c r="C245" s="30">
        <v>9</v>
      </c>
      <c r="D245" s="30"/>
      <c r="E245" s="30"/>
      <c r="F245" s="30">
        <v>1</v>
      </c>
      <c r="G245" s="30"/>
      <c r="H245" s="30"/>
      <c r="I245" s="30">
        <v>6</v>
      </c>
      <c r="J245" s="30"/>
      <c r="K245" s="3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s="8" customFormat="1" ht="19.5" customHeight="1">
      <c r="A246" s="33" t="s">
        <v>8</v>
      </c>
      <c r="B246" s="25"/>
      <c r="C246" s="28"/>
      <c r="D246" s="28"/>
      <c r="E246" s="28"/>
      <c r="F246" s="30"/>
      <c r="G246" s="28"/>
      <c r="H246" s="28"/>
      <c r="I246" s="30"/>
      <c r="J246" s="28"/>
      <c r="K246" s="29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11" ht="15.75" customHeight="1">
      <c r="A247" s="72" t="s">
        <v>145</v>
      </c>
      <c r="B247" s="25"/>
      <c r="C247" s="28">
        <f>C238/C244</f>
        <v>1964.72049689441</v>
      </c>
      <c r="D247" s="28"/>
      <c r="E247" s="28"/>
      <c r="F247" s="28">
        <f>F238/F244</f>
        <v>2136.543209876543</v>
      </c>
      <c r="G247" s="28"/>
      <c r="H247" s="28"/>
      <c r="I247" s="28">
        <f>I238/I244</f>
        <v>2285.153374233129</v>
      </c>
      <c r="J247" s="28"/>
      <c r="K247" s="29"/>
    </row>
    <row r="248" spans="1:11" ht="15.75" customHeight="1">
      <c r="A248" s="32" t="s">
        <v>118</v>
      </c>
      <c r="B248" s="25"/>
      <c r="C248" s="28">
        <f>E236/C245</f>
        <v>22222.222222222223</v>
      </c>
      <c r="D248" s="28"/>
      <c r="E248" s="28"/>
      <c r="F248" s="28">
        <f>H235/F245</f>
        <v>240000</v>
      </c>
      <c r="G248" s="28"/>
      <c r="H248" s="28"/>
      <c r="I248" s="28">
        <f>K235/I245</f>
        <v>40000</v>
      </c>
      <c r="J248" s="28"/>
      <c r="K248" s="29"/>
    </row>
    <row r="249" spans="1:11" ht="16.5">
      <c r="A249" s="71" t="s">
        <v>9</v>
      </c>
      <c r="B249" s="25"/>
      <c r="C249" s="28"/>
      <c r="D249" s="28"/>
      <c r="E249" s="28"/>
      <c r="F249" s="28"/>
      <c r="G249" s="28"/>
      <c r="H249" s="28"/>
      <c r="I249" s="28"/>
      <c r="J249" s="28"/>
      <c r="K249" s="29"/>
    </row>
    <row r="250" spans="1:11" ht="16.5">
      <c r="A250" s="32" t="s">
        <v>128</v>
      </c>
      <c r="B250" s="25"/>
      <c r="C250" s="73">
        <v>0.6</v>
      </c>
      <c r="D250" s="28"/>
      <c r="E250" s="28"/>
      <c r="F250" s="73">
        <v>0.65</v>
      </c>
      <c r="G250" s="28"/>
      <c r="H250" s="28"/>
      <c r="I250" s="73">
        <v>0.7</v>
      </c>
      <c r="J250" s="28"/>
      <c r="K250" s="29"/>
    </row>
    <row r="251" spans="1:11" ht="24" customHeight="1">
      <c r="A251" s="32" t="s">
        <v>129</v>
      </c>
      <c r="B251" s="25"/>
      <c r="C251" s="73">
        <v>0.95</v>
      </c>
      <c r="D251" s="28"/>
      <c r="E251" s="28"/>
      <c r="F251" s="73">
        <v>0.95</v>
      </c>
      <c r="G251" s="28"/>
      <c r="H251" s="28"/>
      <c r="I251" s="73">
        <v>0.95</v>
      </c>
      <c r="J251" s="28"/>
      <c r="K251" s="29"/>
    </row>
    <row r="252" spans="1:11" ht="19.5" customHeight="1">
      <c r="A252" s="154" t="s">
        <v>22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6"/>
    </row>
    <row r="253" spans="1:11" ht="21.75" customHeight="1">
      <c r="A253" s="169" t="s">
        <v>23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1"/>
    </row>
    <row r="254" spans="1:11" ht="15.75">
      <c r="A254" s="95" t="s">
        <v>6</v>
      </c>
      <c r="B254" s="58">
        <f>C254+F254+I254</f>
        <v>921284</v>
      </c>
      <c r="C254" s="89">
        <f>C258</f>
        <v>288551</v>
      </c>
      <c r="D254" s="89">
        <f>D258</f>
        <v>288551</v>
      </c>
      <c r="E254" s="96">
        <v>0</v>
      </c>
      <c r="F254" s="89">
        <f>F258</f>
        <v>307898</v>
      </c>
      <c r="G254" s="89">
        <f>G258</f>
        <v>307898</v>
      </c>
      <c r="H254" s="89"/>
      <c r="I254" s="89">
        <f>I258</f>
        <v>324835</v>
      </c>
      <c r="J254" s="89">
        <f>J258</f>
        <v>324835</v>
      </c>
      <c r="K254" s="89"/>
    </row>
    <row r="255" spans="1:11" ht="15.75">
      <c r="A255" s="21" t="s">
        <v>84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28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47.25">
      <c r="A260" s="21" t="s">
        <v>190</v>
      </c>
      <c r="B260" s="17"/>
      <c r="C260" s="22">
        <f>D260</f>
        <v>27224</v>
      </c>
      <c r="D260" s="22">
        <v>27224</v>
      </c>
      <c r="E260" s="22"/>
      <c r="F260" s="70">
        <f>G260</f>
        <v>27224</v>
      </c>
      <c r="G260" s="70">
        <v>27224</v>
      </c>
      <c r="H260" s="70"/>
      <c r="I260" s="70">
        <f>J260</f>
        <v>27224</v>
      </c>
      <c r="J260" s="70">
        <v>27224</v>
      </c>
      <c r="K260" s="18"/>
    </row>
    <row r="261" spans="1:11" ht="31.5">
      <c r="A261" s="21" t="s">
        <v>191</v>
      </c>
      <c r="B261" s="17"/>
      <c r="C261" s="22">
        <f>D261</f>
        <v>11477</v>
      </c>
      <c r="D261" s="22">
        <f>D265/D262</f>
        <v>11477</v>
      </c>
      <c r="E261" s="22"/>
      <c r="F261" s="22">
        <f>G261</f>
        <v>12246</v>
      </c>
      <c r="G261" s="22">
        <f>G265/G262</f>
        <v>12246</v>
      </c>
      <c r="H261" s="22"/>
      <c r="I261" s="22">
        <f>J261</f>
        <v>16149.583333333334</v>
      </c>
      <c r="J261" s="22">
        <f>J265/J262</f>
        <v>16149.583333333334</v>
      </c>
      <c r="K261" s="70"/>
    </row>
    <row r="262" spans="1:11" ht="15.75">
      <c r="A262" s="21" t="s">
        <v>122</v>
      </c>
      <c r="B262" s="17"/>
      <c r="C262" s="22">
        <f aca="true" t="shared" si="24" ref="C262:C270">D262</f>
        <v>12</v>
      </c>
      <c r="D262" s="22">
        <v>12</v>
      </c>
      <c r="E262" s="22"/>
      <c r="F262" s="22">
        <f aca="true" t="shared" si="25" ref="F262:F270">G262</f>
        <v>12</v>
      </c>
      <c r="G262" s="22">
        <v>12</v>
      </c>
      <c r="H262" s="22"/>
      <c r="I262" s="22">
        <f aca="true" t="shared" si="26" ref="I262:I267">J262</f>
        <v>12</v>
      </c>
      <c r="J262" s="22">
        <v>12</v>
      </c>
      <c r="K262" s="70"/>
    </row>
    <row r="263" spans="1:11" ht="31.5">
      <c r="A263" s="21" t="s">
        <v>192</v>
      </c>
      <c r="B263" s="17"/>
      <c r="C263" s="22">
        <f>D263</f>
        <v>5542.666666666667</v>
      </c>
      <c r="D263" s="22">
        <f>D266/D264</f>
        <v>5542.666666666667</v>
      </c>
      <c r="E263" s="22"/>
      <c r="F263" s="22">
        <f t="shared" si="25"/>
        <v>5914.666666666667</v>
      </c>
      <c r="G263" s="22">
        <f>G266/G264</f>
        <v>5914.666666666667</v>
      </c>
      <c r="H263" s="22"/>
      <c r="I263" s="22">
        <f t="shared" si="26"/>
        <v>6240</v>
      </c>
      <c r="J263" s="22">
        <f>J266/J264</f>
        <v>6240</v>
      </c>
      <c r="K263" s="70"/>
    </row>
    <row r="264" spans="1:11" ht="31.5">
      <c r="A264" s="21" t="s">
        <v>123</v>
      </c>
      <c r="B264" s="17"/>
      <c r="C264" s="22">
        <f t="shared" si="24"/>
        <v>12</v>
      </c>
      <c r="D264" s="22">
        <v>12</v>
      </c>
      <c r="E264" s="22"/>
      <c r="F264" s="22">
        <f t="shared" si="25"/>
        <v>12</v>
      </c>
      <c r="G264" s="22">
        <v>12</v>
      </c>
      <c r="H264" s="22"/>
      <c r="I264" s="22">
        <f t="shared" si="26"/>
        <v>12</v>
      </c>
      <c r="J264" s="22">
        <v>12</v>
      </c>
      <c r="K264" s="70"/>
    </row>
    <row r="265" spans="1:11" ht="31.5">
      <c r="A265" s="21" t="s">
        <v>188</v>
      </c>
      <c r="B265" s="17"/>
      <c r="C265" s="22">
        <f t="shared" si="24"/>
        <v>137724</v>
      </c>
      <c r="D265" s="22">
        <v>137724</v>
      </c>
      <c r="E265" s="22"/>
      <c r="F265" s="22">
        <f t="shared" si="25"/>
        <v>146952</v>
      </c>
      <c r="G265" s="22">
        <v>146952</v>
      </c>
      <c r="H265" s="22"/>
      <c r="I265" s="22">
        <f t="shared" si="26"/>
        <v>193795</v>
      </c>
      <c r="J265" s="22">
        <v>193795</v>
      </c>
      <c r="K265" s="70"/>
    </row>
    <row r="266" spans="1:11" ht="48.75" customHeight="1">
      <c r="A266" s="21" t="s">
        <v>189</v>
      </c>
      <c r="B266" s="17"/>
      <c r="C266" s="22">
        <f t="shared" si="24"/>
        <v>66512</v>
      </c>
      <c r="D266" s="22">
        <v>66512</v>
      </c>
      <c r="E266" s="22"/>
      <c r="F266" s="22">
        <f t="shared" si="25"/>
        <v>70976</v>
      </c>
      <c r="G266" s="22">
        <v>70976</v>
      </c>
      <c r="H266" s="22"/>
      <c r="I266" s="22">
        <f t="shared" si="26"/>
        <v>74880</v>
      </c>
      <c r="J266" s="22">
        <v>74880</v>
      </c>
      <c r="K266" s="70"/>
    </row>
    <row r="267" spans="1:11" ht="31.5">
      <c r="A267" s="21" t="s">
        <v>29</v>
      </c>
      <c r="B267" s="17"/>
      <c r="C267" s="22">
        <f t="shared" si="24"/>
        <v>1</v>
      </c>
      <c r="D267" s="22">
        <v>1</v>
      </c>
      <c r="E267" s="22"/>
      <c r="F267" s="22">
        <f t="shared" si="25"/>
        <v>1</v>
      </c>
      <c r="G267" s="22">
        <v>1</v>
      </c>
      <c r="H267" s="22"/>
      <c r="I267" s="22">
        <f t="shared" si="26"/>
        <v>1</v>
      </c>
      <c r="J267" s="22">
        <v>1</v>
      </c>
      <c r="K267" s="22"/>
    </row>
    <row r="268" spans="1:11" ht="15.75">
      <c r="A268" s="20" t="s">
        <v>24</v>
      </c>
      <c r="B268" s="17"/>
      <c r="C268" s="22"/>
      <c r="D268" s="22"/>
      <c r="E268" s="22"/>
      <c r="F268" s="22"/>
      <c r="G268" s="70"/>
      <c r="H268" s="70"/>
      <c r="I268" s="70"/>
      <c r="J268" s="70"/>
      <c r="K268" s="70"/>
    </row>
    <row r="269" spans="1:11" ht="31.5">
      <c r="A269" s="21" t="s">
        <v>25</v>
      </c>
      <c r="B269" s="17"/>
      <c r="C269" s="22">
        <f t="shared" si="24"/>
        <v>14596.25</v>
      </c>
      <c r="D269" s="22">
        <f>175155/12</f>
        <v>14596.25</v>
      </c>
      <c r="E269" s="22"/>
      <c r="F269" s="22">
        <f t="shared" si="25"/>
        <v>15307.5</v>
      </c>
      <c r="G269" s="22">
        <f>183690/12</f>
        <v>15307.5</v>
      </c>
      <c r="H269" s="70"/>
      <c r="I269" s="70">
        <f>J269</f>
        <v>29796.75</v>
      </c>
      <c r="J269" s="70">
        <f>357561/12</f>
        <v>29796.75</v>
      </c>
      <c r="K269" s="70"/>
    </row>
    <row r="270" spans="1:11" ht="31.5">
      <c r="A270" s="21" t="s">
        <v>27</v>
      </c>
      <c r="B270" s="17"/>
      <c r="C270" s="22">
        <f t="shared" si="24"/>
        <v>9699.666666666666</v>
      </c>
      <c r="D270" s="22">
        <f>116396/12</f>
        <v>9699.666666666666</v>
      </c>
      <c r="E270" s="22"/>
      <c r="F270" s="22">
        <f t="shared" si="25"/>
        <v>10350.666666666666</v>
      </c>
      <c r="G270" s="22">
        <f>124208/12</f>
        <v>10350.666666666666</v>
      </c>
      <c r="H270" s="70"/>
      <c r="I270" s="70">
        <f>J270</f>
        <v>16500</v>
      </c>
      <c r="J270" s="70">
        <f>198000/12</f>
        <v>16500</v>
      </c>
      <c r="K270" s="70"/>
    </row>
    <row r="271" spans="1:11" ht="15.75">
      <c r="A271" s="20" t="s">
        <v>9</v>
      </c>
      <c r="B271" s="17"/>
      <c r="C271" s="22"/>
      <c r="D271" s="22"/>
      <c r="E271" s="22"/>
      <c r="F271" s="70"/>
      <c r="G271" s="70"/>
      <c r="H271" s="70"/>
      <c r="I271" s="70"/>
      <c r="J271" s="70"/>
      <c r="K271" s="70"/>
    </row>
    <row r="272" spans="1:11" ht="15.75">
      <c r="A272" s="21" t="s">
        <v>26</v>
      </c>
      <c r="B272" s="17"/>
      <c r="C272" s="22">
        <v>100</v>
      </c>
      <c r="D272" s="22">
        <v>100</v>
      </c>
      <c r="E272" s="22"/>
      <c r="F272" s="22">
        <f>G272</f>
        <v>100</v>
      </c>
      <c r="G272" s="22">
        <v>100</v>
      </c>
      <c r="H272" s="22"/>
      <c r="I272" s="22">
        <f>J272</f>
        <v>100</v>
      </c>
      <c r="J272" s="22">
        <v>100</v>
      </c>
      <c r="K272" s="22"/>
    </row>
    <row r="273" spans="1:11" ht="15.75">
      <c r="A273" s="150" t="s">
        <v>135</v>
      </c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</row>
    <row r="274" spans="1:11" ht="15.75">
      <c r="A274" s="146" t="s">
        <v>136</v>
      </c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</row>
    <row r="275" spans="1:11" ht="16.5">
      <c r="A275" s="9" t="s">
        <v>163</v>
      </c>
      <c r="B275" s="12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>
      <c r="A276" s="48" t="s">
        <v>89</v>
      </c>
      <c r="B276" s="58">
        <f>C276+F276+I276</f>
        <v>404748200</v>
      </c>
      <c r="C276" s="55">
        <f>SUM(C277:C282)</f>
        <v>120628200</v>
      </c>
      <c r="D276" s="55">
        <f aca="true" t="shared" si="27" ref="D276:K276">SUM(D277:D282)</f>
        <v>107865100</v>
      </c>
      <c r="E276" s="55">
        <f>SUM(E277:E282)</f>
        <v>12763100</v>
      </c>
      <c r="F276" s="55">
        <f t="shared" si="27"/>
        <v>131080000</v>
      </c>
      <c r="G276" s="55">
        <f t="shared" si="27"/>
        <v>122600000</v>
      </c>
      <c r="H276" s="55">
        <f t="shared" si="27"/>
        <v>8480000</v>
      </c>
      <c r="I276" s="55">
        <f t="shared" si="27"/>
        <v>153040000</v>
      </c>
      <c r="J276" s="55">
        <f t="shared" si="27"/>
        <v>144100000</v>
      </c>
      <c r="K276" s="55">
        <f t="shared" si="27"/>
        <v>8940000</v>
      </c>
    </row>
    <row r="277" spans="1:11" ht="16.5">
      <c r="A277" s="90" t="s">
        <v>40</v>
      </c>
      <c r="B277" s="100"/>
      <c r="C277" s="28">
        <f aca="true" t="shared" si="28" ref="C277:C282">D277+E277</f>
        <v>75600000</v>
      </c>
      <c r="D277" s="28">
        <f>(11500+61000)*1000</f>
        <v>72500000</v>
      </c>
      <c r="E277" s="28">
        <v>3100000</v>
      </c>
      <c r="F277" s="28">
        <f>G277+H277</f>
        <v>91800000</v>
      </c>
      <c r="G277" s="28">
        <v>88500000</v>
      </c>
      <c r="H277" s="28">
        <v>3300000</v>
      </c>
      <c r="I277" s="28">
        <f>J277+K277</f>
        <v>111400000</v>
      </c>
      <c r="J277" s="35">
        <v>108000000</v>
      </c>
      <c r="K277" s="35">
        <v>3400000</v>
      </c>
    </row>
    <row r="278" spans="1:11" ht="16.5">
      <c r="A278" s="90" t="s">
        <v>37</v>
      </c>
      <c r="B278" s="101">
        <f>D278+G278+J278</f>
        <v>16410000</v>
      </c>
      <c r="C278" s="28">
        <f t="shared" si="28"/>
        <v>5860000</v>
      </c>
      <c r="D278" s="28">
        <f>5100000+10000</f>
        <v>5110000</v>
      </c>
      <c r="E278" s="28">
        <v>750000</v>
      </c>
      <c r="F278" s="28">
        <f>G278+H278</f>
        <v>6300000</v>
      </c>
      <c r="G278" s="28">
        <v>5500000</v>
      </c>
      <c r="H278" s="28">
        <v>800000</v>
      </c>
      <c r="I278" s="28">
        <f>J278+K278</f>
        <v>6650000</v>
      </c>
      <c r="J278" s="35">
        <v>5800000</v>
      </c>
      <c r="K278" s="35">
        <v>850000</v>
      </c>
    </row>
    <row r="279" spans="1:11" ht="16.5">
      <c r="A279" s="90" t="s">
        <v>38</v>
      </c>
      <c r="B279" s="101">
        <f>D279+G279+J279</f>
        <v>42855100</v>
      </c>
      <c r="C279" s="28">
        <f t="shared" si="28"/>
        <v>19355100</v>
      </c>
      <c r="D279" s="28">
        <f>12400000+200000-10000+622000+30000+10000+402000+1801100</f>
        <v>15455100</v>
      </c>
      <c r="E279" s="28">
        <v>3900000</v>
      </c>
      <c r="F279" s="28">
        <f>G279+H279</f>
        <v>17500000</v>
      </c>
      <c r="G279" s="28">
        <v>13300000</v>
      </c>
      <c r="H279" s="28">
        <v>4200000</v>
      </c>
      <c r="I279" s="28">
        <f>J279+K279</f>
        <v>18600000</v>
      </c>
      <c r="J279" s="35">
        <v>14100000</v>
      </c>
      <c r="K279" s="35">
        <v>4500000</v>
      </c>
    </row>
    <row r="280" spans="1:11" ht="16.5">
      <c r="A280" s="90" t="s">
        <v>137</v>
      </c>
      <c r="B280" s="100"/>
      <c r="C280" s="28">
        <f t="shared" si="28"/>
        <v>14800000</v>
      </c>
      <c r="D280" s="28">
        <f>14300000+500000</f>
        <v>14800000</v>
      </c>
      <c r="E280" s="28"/>
      <c r="F280" s="28">
        <f>G280+H280</f>
        <v>15300000</v>
      </c>
      <c r="G280" s="28">
        <v>15300000</v>
      </c>
      <c r="H280" s="28"/>
      <c r="I280" s="28">
        <f>J280+K280</f>
        <v>16200000</v>
      </c>
      <c r="J280" s="28">
        <v>16200000</v>
      </c>
      <c r="K280" s="35"/>
    </row>
    <row r="281" spans="1:11" ht="16.5">
      <c r="A281" s="90" t="s">
        <v>41</v>
      </c>
      <c r="B281" s="100"/>
      <c r="C281" s="28">
        <f t="shared" si="28"/>
        <v>1983100</v>
      </c>
      <c r="D281" s="28"/>
      <c r="E281" s="28">
        <f>167000+498000+535100+495000+288000</f>
        <v>1983100</v>
      </c>
      <c r="F281" s="28">
        <f>G281+H281</f>
        <v>180000</v>
      </c>
      <c r="G281" s="28"/>
      <c r="H281" s="28">
        <v>180000</v>
      </c>
      <c r="I281" s="28">
        <f>J281+K281</f>
        <v>190000</v>
      </c>
      <c r="J281" s="35"/>
      <c r="K281" s="35">
        <v>190000</v>
      </c>
    </row>
    <row r="282" spans="1:11" ht="16.5">
      <c r="A282" s="105" t="s">
        <v>173</v>
      </c>
      <c r="B282" s="100"/>
      <c r="C282" s="28">
        <f t="shared" si="28"/>
        <v>3030000</v>
      </c>
      <c r="D282" s="28"/>
      <c r="E282" s="28">
        <v>3030000</v>
      </c>
      <c r="F282" s="28"/>
      <c r="G282" s="28"/>
      <c r="H282" s="28"/>
      <c r="I282" s="28"/>
      <c r="J282" s="35"/>
      <c r="K282" s="35"/>
    </row>
    <row r="283" spans="1:11" ht="16.5">
      <c r="A283" s="45" t="s">
        <v>4</v>
      </c>
      <c r="B283" s="100"/>
      <c r="C283" s="28"/>
      <c r="D283" s="28"/>
      <c r="E283" s="28"/>
      <c r="F283" s="28"/>
      <c r="G283" s="28"/>
      <c r="H283" s="28"/>
      <c r="I283" s="28"/>
      <c r="J283" s="28"/>
      <c r="K283" s="29"/>
    </row>
    <row r="284" spans="1:11" ht="16.5">
      <c r="A284" s="92" t="s">
        <v>19</v>
      </c>
      <c r="B284" s="25"/>
      <c r="C284" s="28"/>
      <c r="D284" s="28"/>
      <c r="E284" s="28"/>
      <c r="F284" s="28"/>
      <c r="G284" s="28"/>
      <c r="H284" s="28"/>
      <c r="I284" s="28"/>
      <c r="J284" s="28"/>
      <c r="K284" s="29"/>
    </row>
    <row r="285" spans="1:11" ht="16.5">
      <c r="A285" s="45" t="s">
        <v>138</v>
      </c>
      <c r="B285" s="25"/>
      <c r="C285" s="30">
        <v>7</v>
      </c>
      <c r="D285" s="30"/>
      <c r="E285" s="30"/>
      <c r="F285" s="30">
        <v>7</v>
      </c>
      <c r="G285" s="30"/>
      <c r="H285" s="30"/>
      <c r="I285" s="30">
        <v>7</v>
      </c>
      <c r="J285" s="28"/>
      <c r="K285" s="29"/>
    </row>
    <row r="286" spans="1:11" ht="16.5">
      <c r="A286" s="92" t="s">
        <v>5</v>
      </c>
      <c r="B286" s="25"/>
      <c r="C286" s="28"/>
      <c r="D286" s="28"/>
      <c r="E286" s="28"/>
      <c r="F286" s="28"/>
      <c r="G286" s="28"/>
      <c r="H286" s="28"/>
      <c r="I286" s="28"/>
      <c r="J286" s="28"/>
      <c r="K286" s="29"/>
    </row>
    <row r="287" spans="1:11" ht="16.5">
      <c r="A287" s="45" t="s">
        <v>72</v>
      </c>
      <c r="B287" s="25"/>
      <c r="C287" s="30">
        <v>143</v>
      </c>
      <c r="D287" s="30"/>
      <c r="E287" s="30"/>
      <c r="F287" s="30">
        <v>143</v>
      </c>
      <c r="G287" s="30"/>
      <c r="H287" s="30"/>
      <c r="I287" s="30">
        <v>143</v>
      </c>
      <c r="J287" s="30"/>
      <c r="K287" s="30"/>
    </row>
    <row r="288" spans="1:11" ht="16.5">
      <c r="A288" s="45" t="s">
        <v>56</v>
      </c>
      <c r="B288" s="25"/>
      <c r="C288" s="30">
        <v>2921</v>
      </c>
      <c r="D288" s="30"/>
      <c r="E288" s="30"/>
      <c r="F288" s="30">
        <v>3038</v>
      </c>
      <c r="G288" s="30"/>
      <c r="H288" s="30"/>
      <c r="I288" s="30">
        <v>3038</v>
      </c>
      <c r="J288" s="30"/>
      <c r="K288" s="30"/>
    </row>
    <row r="289" spans="1:11" ht="16.5">
      <c r="A289" s="45" t="s">
        <v>139</v>
      </c>
      <c r="B289" s="25"/>
      <c r="C289" s="30">
        <v>320</v>
      </c>
      <c r="D289" s="30"/>
      <c r="E289" s="30"/>
      <c r="F289" s="30">
        <v>320</v>
      </c>
      <c r="G289" s="30"/>
      <c r="H289" s="30"/>
      <c r="I289" s="30">
        <v>320</v>
      </c>
      <c r="J289" s="30"/>
      <c r="K289" s="30"/>
    </row>
    <row r="290" spans="1:11" ht="16.5">
      <c r="A290" s="45" t="s">
        <v>140</v>
      </c>
      <c r="B290" s="25"/>
      <c r="C290" s="30">
        <v>2426</v>
      </c>
      <c r="D290" s="30"/>
      <c r="E290" s="30"/>
      <c r="F290" s="30">
        <v>2150</v>
      </c>
      <c r="G290" s="30"/>
      <c r="H290" s="30"/>
      <c r="I290" s="30">
        <v>2150</v>
      </c>
      <c r="J290" s="30"/>
      <c r="K290" s="30"/>
    </row>
    <row r="291" spans="1:11" ht="16.5">
      <c r="A291" s="33" t="s">
        <v>8</v>
      </c>
      <c r="B291" s="25"/>
      <c r="C291" s="28"/>
      <c r="D291" s="28"/>
      <c r="E291" s="28"/>
      <c r="F291" s="30"/>
      <c r="G291" s="28"/>
      <c r="H291" s="28"/>
      <c r="I291" s="30"/>
      <c r="J291" s="28"/>
      <c r="K291" s="29"/>
    </row>
    <row r="292" spans="1:11" ht="16.5">
      <c r="A292" s="32" t="s">
        <v>143</v>
      </c>
      <c r="B292" s="25"/>
      <c r="C292" s="30">
        <f>C276/C288</f>
        <v>41296.88462855187</v>
      </c>
      <c r="D292" s="30"/>
      <c r="E292" s="30"/>
      <c r="F292" s="30">
        <f>F276/F288</f>
        <v>43146.80710994075</v>
      </c>
      <c r="G292" s="30"/>
      <c r="H292" s="30"/>
      <c r="I292" s="30">
        <f>I276/I288</f>
        <v>50375.24687294273</v>
      </c>
      <c r="J292" s="28"/>
      <c r="K292" s="29"/>
    </row>
    <row r="293" spans="1:11" ht="16.5">
      <c r="A293" s="32" t="s">
        <v>141</v>
      </c>
      <c r="B293" s="25"/>
      <c r="C293" s="28">
        <f>D278/C289/12</f>
        <v>1330.7291666666667</v>
      </c>
      <c r="D293" s="28"/>
      <c r="E293" s="28"/>
      <c r="F293" s="28">
        <f>G278/F289/12</f>
        <v>1432.2916666666667</v>
      </c>
      <c r="G293" s="28"/>
      <c r="H293" s="28"/>
      <c r="I293" s="28">
        <f>J278/I289/12</f>
        <v>1510.4166666666667</v>
      </c>
      <c r="J293" s="28"/>
      <c r="K293" s="29"/>
    </row>
    <row r="294" spans="1:11" ht="16.5">
      <c r="A294" s="32" t="s">
        <v>142</v>
      </c>
      <c r="B294" s="25"/>
      <c r="C294" s="30">
        <f>D280/C290/12</f>
        <v>508.3814234679857</v>
      </c>
      <c r="D294" s="30"/>
      <c r="E294" s="30"/>
      <c r="F294" s="30">
        <f>G280/F290/12</f>
        <v>593.0232558139535</v>
      </c>
      <c r="G294" s="30"/>
      <c r="H294" s="30"/>
      <c r="I294" s="30">
        <f>J280/I290/12</f>
        <v>627.9069767441861</v>
      </c>
      <c r="J294" s="28"/>
      <c r="K294" s="29"/>
    </row>
    <row r="295" spans="1:11" ht="15.75">
      <c r="A295" s="154" t="s">
        <v>168</v>
      </c>
      <c r="B295" s="155"/>
      <c r="C295" s="155"/>
      <c r="D295" s="155"/>
      <c r="E295" s="155"/>
      <c r="F295" s="155"/>
      <c r="G295" s="155"/>
      <c r="H295" s="155"/>
      <c r="I295" s="155"/>
      <c r="J295" s="155"/>
      <c r="K295" s="156"/>
    </row>
    <row r="296" spans="1:11" ht="15.75">
      <c r="A296" s="169" t="s">
        <v>166</v>
      </c>
      <c r="B296" s="170"/>
      <c r="C296" s="170"/>
      <c r="D296" s="170"/>
      <c r="E296" s="170"/>
      <c r="F296" s="170"/>
      <c r="G296" s="170"/>
      <c r="H296" s="170"/>
      <c r="I296" s="170"/>
      <c r="J296" s="170"/>
      <c r="K296" s="171"/>
    </row>
    <row r="297" spans="1:11" ht="15.75">
      <c r="A297" s="85" t="s">
        <v>171</v>
      </c>
      <c r="B297" s="87"/>
      <c r="C297" s="87"/>
      <c r="D297" s="87"/>
      <c r="E297" s="87"/>
      <c r="F297" s="87"/>
      <c r="G297" s="87"/>
      <c r="H297" s="87"/>
      <c r="I297" s="87"/>
      <c r="J297" s="87"/>
      <c r="K297" s="87"/>
    </row>
    <row r="298" spans="1:11" ht="15.75">
      <c r="A298" s="107" t="s">
        <v>6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31.5">
      <c r="A299" s="114" t="s">
        <v>167</v>
      </c>
      <c r="B299" s="115">
        <f>C299+F299+I299</f>
        <v>3704500</v>
      </c>
      <c r="C299" s="115">
        <f>D299+E299</f>
        <v>3704500</v>
      </c>
      <c r="D299" s="115"/>
      <c r="E299" s="115">
        <f>3029500+100000+575000</f>
        <v>3704500</v>
      </c>
      <c r="F299" s="115">
        <f>G299+H299</f>
        <v>0</v>
      </c>
      <c r="G299" s="116"/>
      <c r="H299" s="116"/>
      <c r="I299" s="117">
        <f>J299+K299</f>
        <v>0</v>
      </c>
      <c r="J299" s="117"/>
      <c r="K299" s="117"/>
    </row>
    <row r="300" spans="1:11" ht="15.75">
      <c r="A300" s="61" t="s">
        <v>4</v>
      </c>
      <c r="B300" s="108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109" t="s">
        <v>19</v>
      </c>
      <c r="B301" s="108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.75">
      <c r="A302" s="61" t="s">
        <v>169</v>
      </c>
      <c r="B302" s="108"/>
      <c r="C302" s="113">
        <v>20</v>
      </c>
      <c r="D302" s="21"/>
      <c r="E302" s="21"/>
      <c r="F302" s="21"/>
      <c r="G302" s="21"/>
      <c r="H302" s="21"/>
      <c r="I302" s="110"/>
      <c r="J302" s="21"/>
      <c r="K302" s="21"/>
    </row>
    <row r="303" spans="1:11" ht="31.5">
      <c r="A303" s="61" t="s">
        <v>170</v>
      </c>
      <c r="B303" s="108"/>
      <c r="C303" s="113">
        <v>7</v>
      </c>
      <c r="D303" s="21"/>
      <c r="E303" s="21"/>
      <c r="F303" s="21"/>
      <c r="G303" s="21"/>
      <c r="H303" s="21"/>
      <c r="I303" s="111"/>
      <c r="J303" s="21"/>
      <c r="K303" s="21"/>
    </row>
    <row r="304" spans="1:11" ht="15.75">
      <c r="A304" s="20" t="s">
        <v>5</v>
      </c>
      <c r="B304" s="108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45" t="s">
        <v>184</v>
      </c>
      <c r="B305" s="21"/>
      <c r="C305" s="113">
        <v>20</v>
      </c>
      <c r="D305" s="21"/>
      <c r="E305" s="21"/>
      <c r="F305" s="21"/>
      <c r="G305" s="21"/>
      <c r="H305" s="21"/>
      <c r="I305" s="112"/>
      <c r="J305" s="21"/>
      <c r="K305" s="21"/>
    </row>
    <row r="306" spans="1:11" ht="15.75">
      <c r="A306" s="45" t="s">
        <v>91</v>
      </c>
      <c r="B306" s="21"/>
      <c r="C306" s="113">
        <f>6+1</f>
        <v>7</v>
      </c>
      <c r="D306" s="21"/>
      <c r="E306" s="21"/>
      <c r="F306" s="21"/>
      <c r="G306" s="21"/>
      <c r="H306" s="21"/>
      <c r="I306" s="112"/>
      <c r="J306" s="21"/>
      <c r="K306" s="21"/>
    </row>
    <row r="307" spans="1:11" ht="15.75">
      <c r="A307" s="33" t="s">
        <v>8</v>
      </c>
      <c r="B307" s="21"/>
      <c r="C307" s="21"/>
      <c r="D307" s="21"/>
      <c r="E307" s="21"/>
      <c r="F307" s="21"/>
      <c r="G307" s="21"/>
      <c r="H307" s="21"/>
      <c r="I307" s="111"/>
      <c r="J307" s="21"/>
      <c r="K307" s="21"/>
    </row>
    <row r="308" spans="1:11" ht="18.75" customHeight="1">
      <c r="A308" s="32" t="s">
        <v>186</v>
      </c>
      <c r="B308" s="21"/>
      <c r="C308" s="113">
        <f>36.5*1000</f>
        <v>36500</v>
      </c>
      <c r="D308" s="21"/>
      <c r="E308" s="21"/>
      <c r="F308" s="21"/>
      <c r="G308" s="21"/>
      <c r="H308" s="21"/>
      <c r="I308" s="111"/>
      <c r="J308" s="21"/>
      <c r="K308" s="21"/>
    </row>
    <row r="309" spans="1:11" ht="18.75" customHeight="1">
      <c r="A309" s="32" t="s">
        <v>187</v>
      </c>
      <c r="B309" s="21"/>
      <c r="C309" s="113">
        <f>474.5*1000</f>
        <v>474500</v>
      </c>
      <c r="D309" s="21"/>
      <c r="E309" s="21"/>
      <c r="F309" s="21"/>
      <c r="G309" s="21"/>
      <c r="H309" s="21"/>
      <c r="I309" s="111"/>
      <c r="J309" s="21"/>
      <c r="K309" s="21"/>
    </row>
    <row r="310" spans="1:11" ht="18.75" customHeight="1">
      <c r="A310" s="150" t="s">
        <v>181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</row>
    <row r="311" spans="1:11" ht="39.75" customHeight="1">
      <c r="A311" s="151" t="s">
        <v>161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</row>
    <row r="312" spans="1:11" ht="15.75">
      <c r="A312" s="71" t="s">
        <v>175</v>
      </c>
      <c r="B312" s="36"/>
      <c r="C312" s="151"/>
      <c r="D312" s="152"/>
      <c r="E312" s="152"/>
      <c r="F312" s="152"/>
      <c r="G312" s="152"/>
      <c r="H312" s="152"/>
      <c r="I312" s="152"/>
      <c r="J312" s="152"/>
      <c r="K312" s="152"/>
    </row>
    <row r="313" spans="1:11" ht="16.5">
      <c r="A313" s="48" t="s">
        <v>83</v>
      </c>
      <c r="B313" s="99">
        <f>C313+F313+I313</f>
        <v>5644300</v>
      </c>
      <c r="C313" s="51">
        <f>SUM(C314:C316)</f>
        <v>1711900</v>
      </c>
      <c r="D313" s="51">
        <f aca="true" t="shared" si="29" ref="D313:K313">SUM(D314:D316)</f>
        <v>1681900</v>
      </c>
      <c r="E313" s="51">
        <f t="shared" si="29"/>
        <v>30000</v>
      </c>
      <c r="F313" s="51">
        <f t="shared" si="29"/>
        <v>1896800</v>
      </c>
      <c r="G313" s="51">
        <f t="shared" si="29"/>
        <v>1864800</v>
      </c>
      <c r="H313" s="51">
        <f t="shared" si="29"/>
        <v>32000</v>
      </c>
      <c r="I313" s="51">
        <f t="shared" si="29"/>
        <v>2035600</v>
      </c>
      <c r="J313" s="51">
        <f t="shared" si="29"/>
        <v>2001800</v>
      </c>
      <c r="K313" s="51">
        <f t="shared" si="29"/>
        <v>33800</v>
      </c>
    </row>
    <row r="314" spans="1:26" s="8" customFormat="1" ht="19.5" customHeight="1">
      <c r="A314" s="105" t="s">
        <v>109</v>
      </c>
      <c r="B314" s="19"/>
      <c r="C314" s="50">
        <f>D314+E314</f>
        <v>1535700</v>
      </c>
      <c r="D314" s="50">
        <f>1284400+251300</f>
        <v>1535700</v>
      </c>
      <c r="E314" s="50"/>
      <c r="F314" s="50">
        <f>G314+H314</f>
        <v>1708800</v>
      </c>
      <c r="G314" s="50">
        <f>1431700+277100</f>
        <v>1708800</v>
      </c>
      <c r="H314" s="50"/>
      <c r="I314" s="50">
        <f>J314+K314</f>
        <v>1837200</v>
      </c>
      <c r="J314" s="50">
        <f>1540700+296500</f>
        <v>1837200</v>
      </c>
      <c r="K314" s="39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s="8" customFormat="1" ht="19.5" customHeight="1">
      <c r="A315" s="105" t="s">
        <v>114</v>
      </c>
      <c r="B315" s="19"/>
      <c r="C315" s="82">
        <f>D315+E315</f>
        <v>146200</v>
      </c>
      <c r="D315" s="82">
        <f>37.54*1758.6+200*8.556+200*7.38+7700*2.8612-0.3+55000-36+0.016</f>
        <v>146200</v>
      </c>
      <c r="E315" s="82"/>
      <c r="F315" s="82">
        <f>G315+H315</f>
        <v>156000</v>
      </c>
      <c r="G315" s="82">
        <f>97350+58690-40</f>
        <v>156000</v>
      </c>
      <c r="H315" s="82"/>
      <c r="I315" s="82">
        <f>J315+K315</f>
        <v>164600</v>
      </c>
      <c r="J315" s="82">
        <f>102704+61920-24</f>
        <v>164600</v>
      </c>
      <c r="K315" s="64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s="8" customFormat="1" ht="19.5" customHeight="1">
      <c r="A316" s="105" t="s">
        <v>112</v>
      </c>
      <c r="B316" s="19"/>
      <c r="C316" s="50">
        <f>D316+E316</f>
        <v>30000</v>
      </c>
      <c r="D316" s="50"/>
      <c r="E316" s="50">
        <v>30000</v>
      </c>
      <c r="F316" s="50">
        <f>G316+H316</f>
        <v>32000</v>
      </c>
      <c r="G316" s="50"/>
      <c r="H316" s="50">
        <v>32000</v>
      </c>
      <c r="I316" s="50">
        <f>J316+K316</f>
        <v>33800</v>
      </c>
      <c r="J316" s="50"/>
      <c r="K316" s="50">
        <f>33760+40</f>
        <v>33800</v>
      </c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s="8" customFormat="1" ht="20.25" customHeight="1">
      <c r="A317" s="104" t="s">
        <v>4</v>
      </c>
      <c r="B317" s="19"/>
      <c r="C317" s="50"/>
      <c r="D317" s="50"/>
      <c r="E317" s="50"/>
      <c r="F317" s="50"/>
      <c r="G317" s="50"/>
      <c r="H317" s="50"/>
      <c r="I317" s="50"/>
      <c r="J317" s="50"/>
      <c r="K317" s="39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s="8" customFormat="1" ht="20.25" customHeight="1">
      <c r="A318" s="106" t="s">
        <v>19</v>
      </c>
      <c r="B318" s="25"/>
      <c r="C318" s="28"/>
      <c r="D318" s="28"/>
      <c r="E318" s="28"/>
      <c r="F318" s="28"/>
      <c r="G318" s="28"/>
      <c r="H318" s="28"/>
      <c r="I318" s="28"/>
      <c r="J318" s="28"/>
      <c r="K318" s="29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s="8" customFormat="1" ht="20.25" customHeight="1">
      <c r="A319" s="45" t="s">
        <v>117</v>
      </c>
      <c r="B319" s="25"/>
      <c r="C319" s="30">
        <v>1</v>
      </c>
      <c r="D319" s="30"/>
      <c r="E319" s="30"/>
      <c r="F319" s="30">
        <v>1</v>
      </c>
      <c r="G319" s="30"/>
      <c r="H319" s="30"/>
      <c r="I319" s="30">
        <v>1</v>
      </c>
      <c r="J319" s="28"/>
      <c r="K319" s="29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s="8" customFormat="1" ht="20.25" customHeight="1">
      <c r="A320" s="106" t="s">
        <v>5</v>
      </c>
      <c r="B320" s="25"/>
      <c r="C320" s="28"/>
      <c r="D320" s="28"/>
      <c r="E320" s="28"/>
      <c r="F320" s="28"/>
      <c r="G320" s="28"/>
      <c r="H320" s="28"/>
      <c r="I320" s="28"/>
      <c r="J320" s="28"/>
      <c r="K320" s="29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s="8" customFormat="1" ht="19.5" customHeight="1">
      <c r="A321" s="45" t="s">
        <v>185</v>
      </c>
      <c r="B321" s="25"/>
      <c r="C321" s="30">
        <v>2</v>
      </c>
      <c r="D321" s="30"/>
      <c r="E321" s="30"/>
      <c r="F321" s="30">
        <v>2</v>
      </c>
      <c r="G321" s="30"/>
      <c r="H321" s="30"/>
      <c r="I321" s="30">
        <v>2</v>
      </c>
      <c r="J321" s="30"/>
      <c r="K321" s="3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s="8" customFormat="1" ht="19.5" customHeight="1">
      <c r="A322" s="33" t="s">
        <v>8</v>
      </c>
      <c r="B322" s="25"/>
      <c r="C322" s="28"/>
      <c r="D322" s="28"/>
      <c r="E322" s="28"/>
      <c r="F322" s="30"/>
      <c r="G322" s="28"/>
      <c r="H322" s="28"/>
      <c r="I322" s="30"/>
      <c r="J322" s="28"/>
      <c r="K322" s="29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11" ht="16.5">
      <c r="A323" s="32" t="s">
        <v>121</v>
      </c>
      <c r="B323" s="25"/>
      <c r="C323" s="28">
        <f>E316/C321</f>
        <v>15000</v>
      </c>
      <c r="D323" s="28"/>
      <c r="E323" s="28"/>
      <c r="F323" s="28">
        <f>H316</f>
        <v>32000</v>
      </c>
      <c r="G323" s="28"/>
      <c r="H323" s="28"/>
      <c r="I323" s="28">
        <f>K316/I321</f>
        <v>16900</v>
      </c>
      <c r="J323" s="28"/>
      <c r="K323" s="29"/>
    </row>
    <row r="324" spans="1:11" ht="16.5">
      <c r="A324" s="71" t="s">
        <v>9</v>
      </c>
      <c r="B324" s="25"/>
      <c r="C324" s="28"/>
      <c r="D324" s="28"/>
      <c r="E324" s="28"/>
      <c r="F324" s="28"/>
      <c r="G324" s="28"/>
      <c r="H324" s="28"/>
      <c r="I324" s="28"/>
      <c r="J324" s="28"/>
      <c r="K324" s="29"/>
    </row>
    <row r="325" spans="1:11" ht="15.75">
      <c r="A325" s="133" t="s">
        <v>196</v>
      </c>
      <c r="B325" s="134"/>
      <c r="C325" s="134"/>
      <c r="D325" s="134"/>
      <c r="E325" s="134"/>
      <c r="F325" s="134"/>
      <c r="G325" s="134"/>
      <c r="H325" s="134"/>
      <c r="I325" s="134"/>
      <c r="J325" s="134"/>
      <c r="K325" s="135"/>
    </row>
    <row r="326" spans="1:11" ht="15.75">
      <c r="A326" s="136" t="s">
        <v>197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1:11" ht="20.25">
      <c r="A327" s="131" t="s">
        <v>195</v>
      </c>
      <c r="B327" s="132"/>
      <c r="C327" s="132"/>
      <c r="D327" s="132"/>
      <c r="E327" s="132"/>
      <c r="F327" s="132"/>
      <c r="G327" s="132"/>
      <c r="H327" s="132"/>
      <c r="I327" s="132"/>
      <c r="J327" s="132"/>
      <c r="K327" s="130"/>
    </row>
    <row r="328" spans="1:11" ht="15.75">
      <c r="A328" s="137" t="s">
        <v>89</v>
      </c>
      <c r="B328" s="139">
        <f>C328</f>
        <v>11437800</v>
      </c>
      <c r="C328" s="140">
        <f>D328+E328</f>
        <v>11437800</v>
      </c>
      <c r="D328" s="139">
        <v>0</v>
      </c>
      <c r="E328" s="139">
        <f>E329</f>
        <v>11437800</v>
      </c>
      <c r="F328" s="141"/>
      <c r="G328" s="141"/>
      <c r="H328" s="141"/>
      <c r="I328" s="141"/>
      <c r="J328" s="141"/>
      <c r="K328" s="141"/>
    </row>
    <row r="329" spans="1:11" ht="15.75">
      <c r="A329" s="138" t="s">
        <v>198</v>
      </c>
      <c r="B329" s="142"/>
      <c r="C329" s="143"/>
      <c r="D329" s="143"/>
      <c r="E329" s="144">
        <v>11437800</v>
      </c>
      <c r="F329" s="143"/>
      <c r="G329" s="143"/>
      <c r="H329" s="143"/>
      <c r="I329" s="143"/>
      <c r="J329" s="143"/>
      <c r="K329" s="143"/>
    </row>
    <row r="331" spans="1:6" ht="15.75">
      <c r="A331" s="123" t="s">
        <v>178</v>
      </c>
      <c r="B331"/>
      <c r="E331" s="126" t="s">
        <v>179</v>
      </c>
      <c r="F331" s="126"/>
    </row>
    <row r="332" spans="1:2" ht="12.75">
      <c r="A332" s="125"/>
      <c r="B332"/>
    </row>
    <row r="333" spans="1:2" ht="12.75">
      <c r="A333" s="125"/>
      <c r="B333"/>
    </row>
    <row r="334" spans="1:2" ht="12.75">
      <c r="A334" s="124" t="s">
        <v>193</v>
      </c>
      <c r="B334"/>
    </row>
    <row r="335" spans="1:2" ht="12.75">
      <c r="A335" s="124" t="s">
        <v>182</v>
      </c>
      <c r="B335"/>
    </row>
  </sheetData>
  <sheetProtection/>
  <mergeCells count="48">
    <mergeCell ref="A296:K296"/>
    <mergeCell ref="A103:K103"/>
    <mergeCell ref="A129:K129"/>
    <mergeCell ref="A130:K130"/>
    <mergeCell ref="A252:K252"/>
    <mergeCell ref="A253:K253"/>
    <mergeCell ref="A153:K153"/>
    <mergeCell ref="A154:K154"/>
    <mergeCell ref="A191:K191"/>
    <mergeCell ref="A190:K190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G3:K3"/>
    <mergeCell ref="F9:F10"/>
    <mergeCell ref="A17:K17"/>
    <mergeCell ref="A7:A10"/>
    <mergeCell ref="A18:K18"/>
    <mergeCell ref="A86:K86"/>
    <mergeCell ref="A51:K51"/>
    <mergeCell ref="F7:H8"/>
    <mergeCell ref="D9:E9"/>
    <mergeCell ref="N6:Q6"/>
    <mergeCell ref="A295:K295"/>
    <mergeCell ref="A228:K228"/>
    <mergeCell ref="A208:K208"/>
    <mergeCell ref="A19:K19"/>
    <mergeCell ref="J9:K9"/>
    <mergeCell ref="A173:K173"/>
    <mergeCell ref="A209:K209"/>
    <mergeCell ref="A174:K174"/>
    <mergeCell ref="A52:K52"/>
    <mergeCell ref="B326:K326"/>
    <mergeCell ref="A87:K87"/>
    <mergeCell ref="A102:K102"/>
    <mergeCell ref="A310:K310"/>
    <mergeCell ref="A311:K311"/>
    <mergeCell ref="C312:K312"/>
    <mergeCell ref="C230:K230"/>
    <mergeCell ref="A229:K229"/>
    <mergeCell ref="A273:K273"/>
    <mergeCell ref="A274:K274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4" max="7" width="13.421875" style="0" customWidth="1"/>
    <col min="8" max="8" width="13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2019-06-21T09:45:33Z</cp:lastPrinted>
  <dcterms:created xsi:type="dcterms:W3CDTF">1996-10-08T23:32:33Z</dcterms:created>
  <dcterms:modified xsi:type="dcterms:W3CDTF">2019-06-21T09:45:39Z</dcterms:modified>
  <cp:category/>
  <cp:version/>
  <cp:contentType/>
  <cp:contentStatus/>
</cp:coreProperties>
</file>