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'Sheet1'!$A$1:$P$690</definedName>
  </definedNames>
  <calcPr fullCalcOnLoad="1"/>
</workbook>
</file>

<file path=xl/sharedStrings.xml><?xml version="1.0" encoding="utf-8"?>
<sst xmlns="http://schemas.openxmlformats.org/spreadsheetml/2006/main" count="698" uniqueCount="455">
  <si>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</si>
  <si>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</si>
  <si>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</si>
  <si>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</si>
  <si>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</si>
  <si>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</si>
  <si>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</si>
  <si>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</si>
  <si>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</si>
  <si>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</si>
  <si>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</si>
  <si>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</si>
  <si>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</si>
  <si>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</si>
  <si>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</si>
  <si>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</si>
  <si>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</si>
  <si>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</si>
  <si>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</si>
  <si>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</si>
  <si>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</si>
  <si>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</si>
  <si>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</si>
  <si>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</si>
  <si>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</si>
  <si>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</si>
  <si>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</si>
  <si>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</si>
  <si>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</si>
  <si>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</si>
  <si>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</si>
  <si>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</si>
  <si>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</si>
  <si>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</si>
  <si>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</si>
  <si>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</si>
  <si>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</si>
  <si>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</si>
  <si>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</si>
  <si>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</si>
  <si>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</si>
  <si>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</si>
  <si>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</si>
  <si>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</si>
  <si>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</si>
  <si>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</si>
  <si>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</si>
  <si>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</si>
  <si>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</si>
  <si>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</si>
  <si>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</si>
  <si>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</si>
  <si>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</si>
  <si>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</si>
  <si>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</si>
  <si>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</si>
  <si>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</si>
  <si>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</si>
  <si>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</si>
  <si>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</si>
  <si>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</si>
  <si>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</si>
  <si>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</si>
  <si>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</si>
  <si>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</si>
  <si>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</si>
  <si>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</si>
  <si>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</si>
  <si>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</si>
  <si>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</si>
  <si>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</si>
  <si>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</si>
  <si>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</si>
  <si>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</si>
  <si>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</si>
  <si>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</si>
  <si>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</si>
  <si>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</si>
  <si>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</si>
  <si>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</si>
  <si>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</si>
  <si>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</si>
  <si>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</si>
  <si>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</si>
  <si>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</si>
  <si>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</si>
  <si>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</si>
  <si>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</si>
  <si>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</si>
  <si>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</si>
  <si>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</si>
  <si>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</si>
  <si>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</si>
  <si>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</si>
  <si>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</si>
  <si>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</si>
  <si>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</si>
  <si>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</si>
  <si>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</si>
  <si>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</si>
  <si>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</si>
  <si>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</si>
  <si>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</si>
  <si>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</si>
  <si>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</si>
  <si>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</si>
  <si>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</si>
  <si>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</si>
  <si>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</si>
  <si>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</si>
  <si>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</si>
  <si>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</si>
  <si>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</si>
  <si>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</si>
  <si>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</si>
  <si>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</si>
  <si>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</si>
  <si>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</si>
  <si>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</si>
  <si>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</si>
  <si>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</si>
  <si>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</si>
  <si>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</si>
  <si>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</si>
  <si>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</si>
  <si>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</si>
  <si>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</si>
  <si>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</si>
  <si>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</si>
  <si>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</si>
  <si>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</si>
  <si>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</si>
  <si>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</si>
  <si>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</si>
  <si>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</si>
  <si>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</si>
  <si>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</si>
  <si>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</si>
  <si>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</si>
  <si>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</si>
  <si>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</si>
  <si>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</si>
  <si>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</si>
  <si>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</si>
  <si>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</si>
  <si>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</si>
  <si>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</si>
  <si>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</si>
  <si>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</si>
  <si>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</si>
  <si>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</si>
  <si>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</si>
  <si>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</si>
  <si>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</si>
  <si>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</si>
  <si>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</si>
  <si>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</si>
  <si>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</si>
  <si>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</si>
  <si>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</si>
  <si>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</si>
  <si>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</si>
  <si>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</si>
  <si>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</si>
  <si>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</si>
  <si>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</si>
  <si>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</si>
  <si>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</si>
  <si>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</si>
  <si>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</si>
  <si>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</si>
  <si>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</si>
  <si>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</si>
  <si>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</si>
  <si>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</si>
  <si>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</si>
  <si>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</si>
  <si>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</si>
  <si>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</si>
  <si>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</si>
  <si>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</si>
  <si>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</si>
  <si>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</si>
  <si>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</si>
  <si>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</si>
  <si>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</si>
  <si>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</si>
  <si>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</si>
  <si>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</si>
  <si>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</si>
  <si>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</si>
  <si>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</si>
  <si>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</si>
  <si>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</si>
  <si>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</si>
  <si>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</si>
  <si>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</si>
  <si>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</si>
  <si>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</si>
  <si>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</si>
  <si>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</si>
  <si>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</si>
  <si>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</si>
  <si>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</si>
  <si>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</si>
  <si>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</si>
  <si>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</si>
  <si>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</si>
  <si>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</si>
  <si>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</si>
  <si>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</si>
  <si>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</si>
  <si>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</si>
  <si>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</si>
  <si>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</si>
  <si>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</si>
  <si>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</si>
  <si>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</si>
  <si>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</si>
  <si>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</si>
  <si>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</si>
  <si>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</si>
  <si>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</si>
  <si>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</si>
  <si>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</si>
  <si>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</si>
  <si>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</si>
  <si>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</si>
  <si>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</si>
  <si>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</si>
  <si>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</si>
  <si>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</si>
  <si>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</si>
  <si>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</si>
  <si>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</si>
  <si>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</si>
  <si>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</si>
  <si>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</si>
  <si>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</si>
  <si>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</si>
  <si>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</si>
  <si>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</si>
  <si>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</si>
  <si>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</si>
  <si>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</si>
  <si>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</si>
  <si>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</si>
  <si>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</si>
  <si>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</si>
  <si>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</si>
  <si>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</si>
  <si>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</si>
  <si>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</si>
  <si>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</si>
  <si>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</si>
  <si>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</si>
  <si>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</si>
  <si>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</si>
  <si>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</si>
  <si>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</si>
  <si>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</si>
  <si>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</si>
  <si>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</si>
  <si>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</si>
  <si>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</si>
  <si>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</si>
  <si>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</si>
  <si>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</si>
  <si>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</si>
  <si>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</si>
  <si>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</si>
  <si>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</si>
  <si>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</si>
  <si>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</si>
  <si>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</si>
  <si>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</si>
  <si>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</si>
  <si>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</si>
  <si>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</si>
  <si>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</si>
  <si>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</si>
  <si>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</si>
  <si>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</si>
  <si>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</si>
  <si>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</si>
  <si>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</si>
  <si>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</si>
  <si>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</si>
  <si>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</si>
  <si>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</si>
  <si>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</si>
  <si>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</si>
  <si>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</si>
  <si>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</si>
  <si>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</si>
  <si>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</si>
  <si>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</si>
  <si>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</si>
  <si>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</si>
  <si>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</si>
  <si>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</si>
  <si>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</si>
  <si>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</si>
  <si>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</si>
  <si>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</si>
  <si>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</si>
  <si>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</si>
  <si>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</si>
  <si>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</si>
  <si>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</si>
  <si>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</si>
  <si>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</si>
  <si>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</si>
  <si>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</si>
  <si>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</si>
  <si>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</si>
  <si>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</si>
  <si>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</si>
  <si>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</si>
  <si>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</si>
  <si>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</si>
  <si>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</si>
  <si>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</si>
  <si>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</si>
  <si>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</si>
  <si>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</si>
  <si>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</si>
  <si>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</si>
  <si>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</si>
  <si>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</si>
  <si>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</si>
  <si>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</si>
  <si>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</si>
  <si>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</si>
  <si>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</si>
  <si>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</si>
  <si>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</si>
  <si>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</si>
  <si>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</si>
  <si>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</si>
  <si>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</si>
  <si>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</si>
  <si>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</si>
  <si>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</si>
  <si>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</si>
  <si>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</si>
  <si>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</si>
  <si>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</si>
  <si>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</si>
  <si>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</si>
  <si>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</si>
  <si>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</si>
  <si>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</si>
  <si>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</si>
  <si>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</si>
  <si>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</si>
  <si>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</si>
  <si>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</si>
  <si>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</si>
  <si>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</si>
  <si>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</si>
  <si>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</si>
  <si>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</si>
  <si>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</si>
  <si>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</si>
  <si>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</si>
  <si>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</si>
  <si>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</si>
  <si>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</si>
  <si>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</si>
  <si>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</si>
  <si>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</si>
  <si>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</si>
  <si>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</si>
  <si>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</si>
  <si>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</si>
  <si>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</si>
  <si>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</si>
  <si>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</si>
  <si>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</si>
  <si>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</si>
  <si>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</si>
  <si>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</si>
  <si>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</si>
  <si>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</si>
  <si>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</si>
  <si>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</si>
  <si>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</si>
  <si>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</si>
  <si>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</si>
  <si>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</si>
  <si>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</si>
  <si>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</si>
  <si>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</si>
  <si>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</si>
  <si>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</si>
  <si>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</si>
  <si>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</si>
  <si>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</si>
  <si>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</si>
  <si>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</si>
  <si>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</si>
  <si>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</si>
  <si>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</si>
  <si>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</si>
  <si>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</si>
  <si>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</si>
  <si>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</si>
  <si>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</si>
  <si>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</si>
  <si>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</si>
  <si>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</si>
  <si>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</si>
  <si>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</si>
  <si>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</si>
  <si>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</si>
  <si>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</si>
  <si>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</si>
  <si>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</si>
  <si>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</si>
  <si>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</si>
  <si>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</si>
  <si>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</si>
  <si>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</si>
  <si>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</si>
  <si>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</si>
  <si>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</si>
  <si>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</si>
  <si>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</si>
  <si>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</si>
  <si>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</si>
  <si>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</si>
  <si>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</si>
  <si>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</si>
  <si>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</si>
  <si>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</si>
  <si>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</si>
  <si>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</si>
  <si>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</si>
  <si>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</si>
  <si>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</si>
  <si>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</si>
  <si>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</si>
  <si>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</si>
  <si>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</si>
  <si>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</si>
  <si>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міської ради від 21 грудня 2017 року № 2913-МР" (зі змінами)</t>
  </si>
  <si>
    <t>2018 рік  (план)</t>
  </si>
  <si>
    <t>2019 рік  (план)</t>
  </si>
  <si>
    <t>2020 рік  (прогноз)</t>
  </si>
  <si>
    <t>Додаток 4</t>
  </si>
  <si>
    <t xml:space="preserve">від                            №  </t>
  </si>
  <si>
    <t>Виконавець: Велитченко Е.В.</t>
  </si>
  <si>
    <t>В.о. міського голови з виконавчої роботи</t>
  </si>
  <si>
    <t>В.В. Мотречко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</si>
</sst>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top" wrapText="1"/>
    </xf>
    <xf numFmtId="4" fontId="11" fillId="0" borderId="2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7850828"/>
        <c:axId val="30734173"/>
      </c:barChart>
      <c:catAx>
        <c:axId val="17850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73"/>
        <c:crosses val="autoZero"/>
        <c:auto val="1"/>
        <c:lblOffset val="100"/>
        <c:tickLblSkip val="1"/>
        <c:noMultiLvlLbl val="0"/>
      </c:catAx>
      <c:valAx>
        <c:axId val="3073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82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87"/>
  <sheetViews>
    <sheetView tabSelected="1" view="pageBreakPreview" zoomScaleNormal="85" zoomScaleSheetLayoutView="100" workbookViewId="0" topLeftCell="A2">
      <selection activeCell="J21" sqref="J2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75" t="s">
        <v>450</v>
      </c>
      <c r="K2" s="175"/>
      <c r="L2" s="175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73" t="s">
        <v>446</v>
      </c>
      <c r="K8" s="173"/>
      <c r="L8" s="173"/>
      <c r="M8" s="173"/>
      <c r="N8" s="173"/>
      <c r="O8" s="173"/>
      <c r="P8" s="173"/>
    </row>
    <row r="9" spans="1:16" ht="18.75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451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76" t="s">
        <v>273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16.5" customHeight="1">
      <c r="A13" s="122"/>
      <c r="B13" s="122"/>
      <c r="C13" s="122"/>
      <c r="D13" s="123"/>
      <c r="E13" s="123"/>
      <c r="F13" s="174" t="s">
        <v>274</v>
      </c>
      <c r="G13" s="174"/>
      <c r="H13" s="123"/>
      <c r="I13" s="123"/>
      <c r="J13" s="118"/>
      <c r="K13" s="123"/>
      <c r="L13" s="118"/>
      <c r="M13" s="118"/>
      <c r="N13" s="118"/>
      <c r="O13" s="118"/>
      <c r="P13" s="158" t="s">
        <v>39</v>
      </c>
    </row>
    <row r="14" spans="1:241" ht="11.25" customHeight="1">
      <c r="A14" s="159"/>
      <c r="B14" s="159" t="s">
        <v>34</v>
      </c>
      <c r="C14" s="159" t="s">
        <v>35</v>
      </c>
      <c r="D14" s="169" t="s">
        <v>447</v>
      </c>
      <c r="E14" s="170"/>
      <c r="F14" s="171"/>
      <c r="G14" s="164" t="s">
        <v>448</v>
      </c>
      <c r="H14" s="164"/>
      <c r="I14" s="164"/>
      <c r="J14" s="164"/>
      <c r="K14" s="33"/>
      <c r="L14" s="33"/>
      <c r="M14" s="33"/>
      <c r="N14" s="169" t="s">
        <v>449</v>
      </c>
      <c r="O14" s="170"/>
      <c r="P14" s="171"/>
      <c r="IB14" s="25"/>
      <c r="IC14" s="25"/>
      <c r="ID14" s="25"/>
      <c r="IE14" s="25"/>
      <c r="IF14" s="25"/>
      <c r="IG14" s="25"/>
    </row>
    <row r="15" spans="1:241" ht="12" customHeight="1">
      <c r="A15" s="160"/>
      <c r="B15" s="160"/>
      <c r="C15" s="160"/>
      <c r="D15" s="162" t="s">
        <v>36</v>
      </c>
      <c r="E15" s="163"/>
      <c r="F15" s="167" t="s">
        <v>26</v>
      </c>
      <c r="G15" s="172" t="s">
        <v>36</v>
      </c>
      <c r="H15" s="172"/>
      <c r="I15" s="172"/>
      <c r="J15" s="164" t="s">
        <v>26</v>
      </c>
      <c r="K15" s="169" t="s">
        <v>25</v>
      </c>
      <c r="L15" s="170"/>
      <c r="M15" s="171"/>
      <c r="N15" s="162" t="s">
        <v>36</v>
      </c>
      <c r="O15" s="163"/>
      <c r="P15" s="167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61"/>
      <c r="B16" s="161"/>
      <c r="C16" s="161"/>
      <c r="D16" s="33" t="s">
        <v>0</v>
      </c>
      <c r="E16" s="33" t="s">
        <v>1</v>
      </c>
      <c r="F16" s="168"/>
      <c r="G16" s="33" t="s">
        <v>0</v>
      </c>
      <c r="H16" s="33" t="s">
        <v>1</v>
      </c>
      <c r="I16" s="33" t="s">
        <v>186</v>
      </c>
      <c r="J16" s="164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68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SUM(D23)+D298+D337+D456+D465+D569+D587+D596+D605+D615+D625+D633+D646+D655+D673</f>
        <v>157231200.00291747</v>
      </c>
      <c r="E18" s="33">
        <f>SUM(E23)+E298+E337+E456+E465+E569+E587+E596+E605+E615+E625+E633+E646+E655+E673</f>
        <v>490457807.999755</v>
      </c>
      <c r="F18" s="33">
        <f>SUM(D18:E18)</f>
        <v>647689008.0026724</v>
      </c>
      <c r="G18" s="33">
        <f>SUM(G23)+G298+G337+G456+G465+G569+G587+G596+G605+G615+G625+G633+G646+G655+G673</f>
        <v>312502500.4061448</v>
      </c>
      <c r="H18" s="33">
        <f>SUM(H23)+H298+H337+H456+H465+H569+H587+H596+H605+H615+H625+H633+H646+H655+H664+H673</f>
        <v>386538510.94646204</v>
      </c>
      <c r="I18" s="33" t="e">
        <f>SUM(I23)+I298+I337+I456+I465+I569+I587+I596+I605+I615+I625+I633+I646+I655+I673</f>
        <v>#REF!</v>
      </c>
      <c r="J18" s="33">
        <f>SUM(G18)+H18</f>
        <v>699041011.3526068</v>
      </c>
      <c r="K18" s="33" t="e">
        <f aca="true" t="shared" si="0" ref="K18:P18">SUM(K23)+K298+K337+K456+K465+K569+K587+K596+K605+K615+K625+K633+K646+K655+K673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167302479.99964452</v>
      </c>
      <c r="I19" s="33">
        <f aca="true" t="shared" si="1" ref="I19:P19">I24</f>
        <v>-2000000</v>
      </c>
      <c r="J19" s="33">
        <f>SUM(G19)+H19</f>
        <v>176344180.00364453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D338-0.006</f>
        <v>462379.99700000003</v>
      </c>
      <c r="E20" s="33">
        <f>E338</f>
        <v>692840</v>
      </c>
      <c r="F20" s="33">
        <f>F338</f>
        <v>1155220.003</v>
      </c>
      <c r="G20" s="33">
        <f>G338</f>
        <v>435255</v>
      </c>
      <c r="H20" s="33">
        <f>H338</f>
        <v>742600</v>
      </c>
      <c r="I20" s="33">
        <f>I338</f>
        <v>0</v>
      </c>
      <c r="J20" s="33">
        <f>SUM(G20)+H20</f>
        <v>1177855</v>
      </c>
      <c r="K20" s="33">
        <f aca="true" t="shared" si="2" ref="K20:Q20">K338</f>
        <v>0</v>
      </c>
      <c r="L20" s="33">
        <f t="shared" si="2"/>
        <v>0</v>
      </c>
      <c r="M20" s="33">
        <f t="shared" si="2"/>
        <v>0</v>
      </c>
      <c r="N20" s="33">
        <f t="shared" si="2"/>
        <v>352520</v>
      </c>
      <c r="O20" s="33">
        <f t="shared" si="2"/>
        <v>787532</v>
      </c>
      <c r="P20" s="33">
        <f t="shared" si="2"/>
        <v>1140052</v>
      </c>
      <c r="Q20" s="33">
        <f t="shared" si="2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3" ref="E21:Q21">E18+E19+E20</f>
        <v>683050592.4396551</v>
      </c>
      <c r="F21" s="33">
        <f t="shared" si="3"/>
        <v>965744172.4455216</v>
      </c>
      <c r="G21" s="33">
        <f>G18+G19+G20</f>
        <v>321979455.4101448</v>
      </c>
      <c r="H21" s="33">
        <f>H18+H19+H20</f>
        <v>554583590.9461066</v>
      </c>
      <c r="I21" s="33" t="e">
        <f t="shared" si="3"/>
        <v>#REF!</v>
      </c>
      <c r="J21" s="33">
        <f>J18+J19+J20</f>
        <v>876563046.3562512</v>
      </c>
      <c r="K21" s="33" t="e">
        <f t="shared" si="3"/>
        <v>#REF!</v>
      </c>
      <c r="L21" s="33" t="e">
        <f t="shared" si="3"/>
        <v>#REF!</v>
      </c>
      <c r="M21" s="33" t="e">
        <f t="shared" si="3"/>
        <v>#REF!</v>
      </c>
      <c r="N21" s="33">
        <f t="shared" si="3"/>
        <v>289039020.002939</v>
      </c>
      <c r="O21" s="33">
        <f t="shared" si="3"/>
        <v>462710531.99946564</v>
      </c>
      <c r="P21" s="33">
        <f t="shared" si="3"/>
        <v>751749552.0024046</v>
      </c>
      <c r="Q21" s="33">
        <f t="shared" si="3"/>
        <v>0</v>
      </c>
    </row>
    <row r="22" spans="1:235" s="139" customFormat="1" ht="30.75" customHeight="1">
      <c r="A22" s="140" t="s">
        <v>445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4" ref="G22:P22">G23+G24</f>
        <v>264069200.0056448</v>
      </c>
      <c r="H22" s="142">
        <f>H23+H24</f>
        <v>286465510.9486065</v>
      </c>
      <c r="I22" s="142">
        <f t="shared" si="4"/>
        <v>-2000000</v>
      </c>
      <c r="J22" s="142">
        <f>J23+J24</f>
        <v>550534710.9542513</v>
      </c>
      <c r="K22" s="142" t="e">
        <f t="shared" si="4"/>
        <v>#REF!</v>
      </c>
      <c r="L22" s="142" t="e">
        <f t="shared" si="4"/>
        <v>#REF!</v>
      </c>
      <c r="M22" s="142" t="e">
        <f t="shared" si="4"/>
        <v>#REF!</v>
      </c>
      <c r="N22" s="142">
        <f t="shared" si="4"/>
        <v>273011500.0008893</v>
      </c>
      <c r="O22" s="142">
        <f>O23+O24</f>
        <v>287682999.9974656</v>
      </c>
      <c r="P22" s="142">
        <f t="shared" si="4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SUM(D48)+D76+(D91*D94)+D98+D141+D167+D221+D245+D268+D289+D281+2000000</f>
        <v>117045100.0029181</v>
      </c>
      <c r="E23" s="142">
        <f>SUM(E48)+E76+(E91*E94)+E98+E141+E167+E221+E245+E268+E289+E281</f>
        <v>98585582.999755</v>
      </c>
      <c r="F23" s="142">
        <f>D23+E23</f>
        <v>215630683.0026731</v>
      </c>
      <c r="G23" s="142">
        <f>SUM(G48)+G76+(G91*G94)+G98+G141+G167+G221+G245+G268+G289+G281+G34+G57</f>
        <v>255027500.0016448</v>
      </c>
      <c r="H23" s="142">
        <f>SUM(H48)+H76+(H91*H94)+H98+H141+H167+H221+H245+H268+H289+H281</f>
        <v>119163030.948962</v>
      </c>
      <c r="I23" s="142">
        <f>I48+I76+I85+I98+I141+I167+I221+I245+I268+I281+I289</f>
        <v>0</v>
      </c>
      <c r="J23" s="142">
        <f>G23+H23</f>
        <v>374190530.9506068</v>
      </c>
      <c r="K23" s="142" t="e">
        <f>K48+K76+K85+K98+K141+K167+K221+K245+K268+K281+K289</f>
        <v>#REF!</v>
      </c>
      <c r="L23" s="142" t="e">
        <f>L48+L76+L85+L98+L141+L167+L221+L245+L268+L281+L289</f>
        <v>#REF!</v>
      </c>
      <c r="M23" s="142" t="e">
        <f>M48+M76+M85+M98+M141+M167+M221+M245+M268+M281+M289</f>
        <v>#REF!</v>
      </c>
      <c r="N23" s="142">
        <f>SUM(N48)+N76+(N91*N94)+N98+N141+N167+N221+N245+N268+N289+N281</f>
        <v>126459000.00102262</v>
      </c>
      <c r="O23" s="142">
        <f>SUM(O48)+O76+(O91*O94)+O98+O141+O167+O221+O245+O268+O289+O214+O281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SUM(H25)+H34+H57+H112+(H90*H93)+H105</f>
        <v>167302479.99964452</v>
      </c>
      <c r="I24" s="142">
        <f>I25+I34+I57+I105+I112-2000000</f>
        <v>-2000000</v>
      </c>
      <c r="J24" s="142">
        <f>G24+H24</f>
        <v>176344180.00364453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5" ref="D42:J42">D38/D36*100</f>
        <v>41.03801369863014</v>
      </c>
      <c r="E42" s="7"/>
      <c r="F42" s="7">
        <f t="shared" si="5"/>
        <v>41.03801369863014</v>
      </c>
      <c r="G42" s="7">
        <f>G38/G36*100</f>
        <v>41.019520547945206</v>
      </c>
      <c r="H42" s="7"/>
      <c r="I42" s="7"/>
      <c r="J42" s="7">
        <f t="shared" si="5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6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6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6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6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7" ref="K85:P85">(K90*K93)+(K91*K94)</f>
        <v>0</v>
      </c>
      <c r="L85" s="36">
        <f t="shared" si="7"/>
        <v>0</v>
      </c>
      <c r="M85" s="36">
        <f t="shared" si="7"/>
        <v>0</v>
      </c>
      <c r="N85" s="36"/>
      <c r="O85" s="36">
        <f>(O90*O93)+(O91*O94)</f>
        <v>152241999.99910712</v>
      </c>
      <c r="P85" s="36">
        <f t="shared" si="7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8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8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8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9" ref="F96:P96">F90/F87*100</f>
        <v>27.35526315789474</v>
      </c>
      <c r="G96" s="7"/>
      <c r="H96" s="7">
        <f t="shared" si="9"/>
        <v>27.342894736842105</v>
      </c>
      <c r="I96" s="7"/>
      <c r="J96" s="7">
        <f t="shared" si="9"/>
        <v>27.342894736842105</v>
      </c>
      <c r="K96" s="7" t="e">
        <f t="shared" si="9"/>
        <v>#DIV/0!</v>
      </c>
      <c r="L96" s="7" t="e">
        <f t="shared" si="9"/>
        <v>#DIV/0!</v>
      </c>
      <c r="M96" s="7" t="e">
        <f t="shared" si="9"/>
        <v>#DIV/0!</v>
      </c>
      <c r="N96" s="7"/>
      <c r="O96" s="7">
        <f t="shared" si="9"/>
        <v>27.352105263157895</v>
      </c>
      <c r="P96" s="7">
        <f t="shared" si="9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0" ref="F97:P97">F91/F88*100</f>
        <v>65.78947368421053</v>
      </c>
      <c r="G97" s="7"/>
      <c r="H97" s="7">
        <f t="shared" si="10"/>
        <v>79.97936106802632</v>
      </c>
      <c r="I97" s="7"/>
      <c r="J97" s="7">
        <f t="shared" si="10"/>
        <v>79.97936106802632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86.89175769605264</v>
      </c>
      <c r="P97" s="7">
        <f t="shared" si="10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1" ref="K111:P111">I111</f>
        <v>0</v>
      </c>
      <c r="L111" s="36">
        <f t="shared" si="11"/>
        <v>70480</v>
      </c>
      <c r="M111" s="36">
        <f t="shared" si="11"/>
        <v>0</v>
      </c>
      <c r="N111" s="36"/>
      <c r="O111" s="36">
        <f>M111</f>
        <v>0</v>
      </c>
      <c r="P111" s="36">
        <f t="shared" si="11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2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2"/>
        <v>0</v>
      </c>
      <c r="I112" s="36"/>
      <c r="J112" s="36">
        <f>G112+H112</f>
        <v>9041700.003999999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>(N120*N128)+(N121*N129)+(N122*N130)+(N123*N131)+(N124*N132)+(N133*N121*N134)-15.8</f>
        <v>9508300</v>
      </c>
      <c r="O112" s="36">
        <f t="shared" si="12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3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3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3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3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3"/>
        <v>18795</v>
      </c>
      <c r="G129" s="7">
        <v>24723</v>
      </c>
      <c r="H129" s="7"/>
      <c r="I129" s="7"/>
      <c r="J129" s="7">
        <f aca="true" t="shared" si="14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5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4"/>
        <v>1672</v>
      </c>
      <c r="K130" s="7"/>
      <c r="L130" s="7"/>
      <c r="M130" s="7"/>
      <c r="N130" s="7">
        <v>1759</v>
      </c>
      <c r="O130" s="7"/>
      <c r="P130" s="7">
        <f t="shared" si="15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3"/>
        <v>500</v>
      </c>
      <c r="G131" s="7">
        <v>557</v>
      </c>
      <c r="H131" s="7"/>
      <c r="I131" s="7"/>
      <c r="J131" s="7">
        <f t="shared" si="14"/>
        <v>557</v>
      </c>
      <c r="K131" s="7"/>
      <c r="L131" s="7"/>
      <c r="M131" s="7"/>
      <c r="N131" s="7">
        <v>586</v>
      </c>
      <c r="O131" s="7"/>
      <c r="P131" s="7">
        <f t="shared" si="15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3"/>
        <v>170.65</v>
      </c>
      <c r="G132" s="7">
        <v>180.06276</v>
      </c>
      <c r="H132" s="7"/>
      <c r="I132" s="7"/>
      <c r="J132" s="7">
        <f t="shared" si="14"/>
        <v>180.06276</v>
      </c>
      <c r="K132" s="7"/>
      <c r="L132" s="7"/>
      <c r="M132" s="7"/>
      <c r="N132" s="7">
        <v>189.587</v>
      </c>
      <c r="O132" s="7"/>
      <c r="P132" s="7">
        <f t="shared" si="15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4"/>
        <v>0</v>
      </c>
      <c r="K133" s="7"/>
      <c r="L133" s="7"/>
      <c r="M133" s="7"/>
      <c r="N133" s="7"/>
      <c r="O133" s="7"/>
      <c r="P133" s="7">
        <f t="shared" si="15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4"/>
        <v>0</v>
      </c>
      <c r="K134" s="7"/>
      <c r="L134" s="7"/>
      <c r="M134" s="7"/>
      <c r="N134" s="7"/>
      <c r="O134" s="7"/>
      <c r="P134" s="7">
        <f t="shared" si="15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3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3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3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3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3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6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7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6"/>
        <v>7400</v>
      </c>
      <c r="K148" s="7"/>
      <c r="L148" s="7"/>
      <c r="M148" s="7"/>
      <c r="N148" s="7">
        <f>G148</f>
        <v>7400</v>
      </c>
      <c r="O148" s="7"/>
      <c r="P148" s="7">
        <f t="shared" si="17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6"/>
        <v>0</v>
      </c>
      <c r="K150" s="7"/>
      <c r="L150" s="7"/>
      <c r="M150" s="7"/>
      <c r="N150" s="30"/>
      <c r="O150" s="30"/>
      <c r="P150" s="7">
        <f t="shared" si="17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6"/>
        <v>0</v>
      </c>
      <c r="K151" s="7"/>
      <c r="L151" s="7"/>
      <c r="M151" s="7"/>
      <c r="N151" s="7"/>
      <c r="O151" s="7"/>
      <c r="P151" s="7">
        <f t="shared" si="17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8" ref="F155:F163">D155</f>
        <v>1700</v>
      </c>
      <c r="G155" s="7">
        <v>1667</v>
      </c>
      <c r="H155" s="7"/>
      <c r="I155" s="7"/>
      <c r="J155" s="7">
        <f t="shared" si="16"/>
        <v>1667</v>
      </c>
      <c r="K155" s="7"/>
      <c r="L155" s="7"/>
      <c r="M155" s="7"/>
      <c r="N155" s="7">
        <v>1800</v>
      </c>
      <c r="O155" s="7"/>
      <c r="P155" s="7">
        <f t="shared" si="17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8"/>
        <v>0</v>
      </c>
      <c r="G157" s="30"/>
      <c r="H157" s="30"/>
      <c r="I157" s="30"/>
      <c r="J157" s="7">
        <f t="shared" si="16"/>
        <v>0</v>
      </c>
      <c r="K157" s="7"/>
      <c r="L157" s="7"/>
      <c r="M157" s="7"/>
      <c r="N157" s="30"/>
      <c r="O157" s="30"/>
      <c r="P157" s="7">
        <f t="shared" si="17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8"/>
        <v>4500</v>
      </c>
      <c r="G161" s="7">
        <v>4500</v>
      </c>
      <c r="H161" s="7"/>
      <c r="I161" s="7"/>
      <c r="J161" s="7">
        <f t="shared" si="16"/>
        <v>4500</v>
      </c>
      <c r="K161" s="7"/>
      <c r="L161" s="7"/>
      <c r="M161" s="7"/>
      <c r="N161" s="7">
        <v>4806</v>
      </c>
      <c r="O161" s="7"/>
      <c r="P161" s="7">
        <f t="shared" si="17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8"/>
        <v>0</v>
      </c>
      <c r="G163" s="30"/>
      <c r="H163" s="30"/>
      <c r="I163" s="30"/>
      <c r="J163" s="7">
        <f t="shared" si="16"/>
        <v>0</v>
      </c>
      <c r="K163" s="7"/>
      <c r="L163" s="7"/>
      <c r="M163" s="7"/>
      <c r="N163" s="30"/>
      <c r="O163" s="30"/>
      <c r="P163" s="7">
        <f t="shared" si="17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19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19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19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19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19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19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19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0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1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2" ref="F183:F193">D183</f>
        <v>920</v>
      </c>
      <c r="G183" s="7">
        <v>920</v>
      </c>
      <c r="H183" s="7"/>
      <c r="I183" s="7"/>
      <c r="J183" s="7">
        <f t="shared" si="20"/>
        <v>920</v>
      </c>
      <c r="K183" s="7"/>
      <c r="L183" s="7"/>
      <c r="M183" s="7"/>
      <c r="N183" s="7">
        <v>920</v>
      </c>
      <c r="O183" s="7"/>
      <c r="P183" s="7">
        <f t="shared" si="21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2"/>
        <v>800</v>
      </c>
      <c r="G184" s="7">
        <v>800</v>
      </c>
      <c r="H184" s="7"/>
      <c r="I184" s="7"/>
      <c r="J184" s="7">
        <f t="shared" si="20"/>
        <v>800</v>
      </c>
      <c r="K184" s="7"/>
      <c r="L184" s="7"/>
      <c r="M184" s="7"/>
      <c r="N184" s="7">
        <v>800</v>
      </c>
      <c r="O184" s="7"/>
      <c r="P184" s="7">
        <f t="shared" si="21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2"/>
        <v>300</v>
      </c>
      <c r="G187" s="7">
        <v>300</v>
      </c>
      <c r="H187" s="7"/>
      <c r="I187" s="7"/>
      <c r="J187" s="7">
        <f t="shared" si="20"/>
        <v>300</v>
      </c>
      <c r="K187" s="7"/>
      <c r="L187" s="7"/>
      <c r="M187" s="7"/>
      <c r="N187" s="7">
        <v>300</v>
      </c>
      <c r="O187" s="7"/>
      <c r="P187" s="7">
        <f t="shared" si="21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2"/>
        <v>76.26</v>
      </c>
      <c r="G188" s="7">
        <v>76.26</v>
      </c>
      <c r="H188" s="7"/>
      <c r="I188" s="7"/>
      <c r="J188" s="7">
        <f t="shared" si="20"/>
        <v>76.26</v>
      </c>
      <c r="K188" s="7"/>
      <c r="L188" s="7"/>
      <c r="M188" s="7"/>
      <c r="N188" s="7">
        <f>J188</f>
        <v>76.26</v>
      </c>
      <c r="O188" s="7"/>
      <c r="P188" s="7">
        <f t="shared" si="21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2"/>
        <v>5</v>
      </c>
      <c r="G189" s="7">
        <f>F189</f>
        <v>5</v>
      </c>
      <c r="H189" s="7"/>
      <c r="I189" s="7"/>
      <c r="J189" s="7">
        <f t="shared" si="20"/>
        <v>5</v>
      </c>
      <c r="K189" s="7"/>
      <c r="L189" s="7"/>
      <c r="M189" s="7"/>
      <c r="N189" s="7">
        <f>J189</f>
        <v>5</v>
      </c>
      <c r="O189" s="7"/>
      <c r="P189" s="7">
        <f t="shared" si="21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2"/>
        <v>2</v>
      </c>
      <c r="G190" s="7">
        <v>2</v>
      </c>
      <c r="H190" s="7"/>
      <c r="I190" s="7"/>
      <c r="J190" s="7">
        <f t="shared" si="20"/>
        <v>2</v>
      </c>
      <c r="K190" s="7"/>
      <c r="L190" s="7"/>
      <c r="M190" s="7"/>
      <c r="N190" s="7">
        <v>2</v>
      </c>
      <c r="O190" s="7"/>
      <c r="P190" s="7">
        <f t="shared" si="21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2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2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2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3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4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3"/>
        <v>1910.35</v>
      </c>
      <c r="K197" s="7"/>
      <c r="L197" s="7"/>
      <c r="M197" s="7"/>
      <c r="N197" s="7">
        <v>1950.3</v>
      </c>
      <c r="O197" s="7"/>
      <c r="P197" s="7">
        <f t="shared" si="24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5" ref="F198:F207">D198</f>
        <v>943.75</v>
      </c>
      <c r="G198" s="7">
        <v>975</v>
      </c>
      <c r="H198" s="7"/>
      <c r="I198" s="7"/>
      <c r="J198" s="7">
        <f t="shared" si="23"/>
        <v>975</v>
      </c>
      <c r="K198" s="7"/>
      <c r="L198" s="7"/>
      <c r="M198" s="7"/>
      <c r="N198" s="7">
        <v>1018.75</v>
      </c>
      <c r="O198" s="7"/>
      <c r="P198" s="7">
        <f t="shared" si="24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5"/>
        <v>5866.6666666</v>
      </c>
      <c r="G202" s="7">
        <v>6433.333333</v>
      </c>
      <c r="H202" s="7"/>
      <c r="I202" s="7"/>
      <c r="J202" s="7">
        <f t="shared" si="23"/>
        <v>6433.333333</v>
      </c>
      <c r="K202" s="7"/>
      <c r="L202" s="7"/>
      <c r="M202" s="7"/>
      <c r="N202" s="7">
        <v>6966.666666</v>
      </c>
      <c r="O202" s="7"/>
      <c r="P202" s="7">
        <f t="shared" si="24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5"/>
        <v>89260.4248623</v>
      </c>
      <c r="G203" s="7">
        <v>93377.9176501</v>
      </c>
      <c r="H203" s="7"/>
      <c r="I203" s="7"/>
      <c r="J203" s="7">
        <f t="shared" si="23"/>
        <v>93377.9176501</v>
      </c>
      <c r="K203" s="7"/>
      <c r="L203" s="7"/>
      <c r="M203" s="7"/>
      <c r="N203" s="7">
        <v>98806.7138735</v>
      </c>
      <c r="O203" s="7"/>
      <c r="P203" s="7">
        <f t="shared" si="24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5"/>
        <v>38000</v>
      </c>
      <c r="G204" s="7">
        <v>38000</v>
      </c>
      <c r="H204" s="7"/>
      <c r="I204" s="7"/>
      <c r="J204" s="7">
        <f t="shared" si="23"/>
        <v>38000</v>
      </c>
      <c r="K204" s="7"/>
      <c r="L204" s="7"/>
      <c r="M204" s="7"/>
      <c r="N204" s="7">
        <v>38000</v>
      </c>
      <c r="O204" s="7"/>
      <c r="P204" s="7">
        <f t="shared" si="24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5"/>
        <v>3988</v>
      </c>
      <c r="G205" s="7">
        <v>4000</v>
      </c>
      <c r="H205" s="7"/>
      <c r="I205" s="7"/>
      <c r="J205" s="7">
        <f t="shared" si="23"/>
        <v>4000</v>
      </c>
      <c r="K205" s="7"/>
      <c r="L205" s="7"/>
      <c r="M205" s="7"/>
      <c r="N205" s="7">
        <v>4100</v>
      </c>
      <c r="O205" s="7"/>
      <c r="P205" s="7">
        <f t="shared" si="24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5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4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5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4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6" ref="F211:G213">F182/F169*100</f>
        <v>100</v>
      </c>
      <c r="G211" s="7">
        <f t="shared" si="26"/>
        <v>100</v>
      </c>
      <c r="H211" s="7"/>
      <c r="I211" s="7"/>
      <c r="J211" s="7">
        <f aca="true" t="shared" si="27" ref="J211:N213">J182/J169*100</f>
        <v>100</v>
      </c>
      <c r="K211" s="7" t="e">
        <f t="shared" si="27"/>
        <v>#DIV/0!</v>
      </c>
      <c r="L211" s="7" t="e">
        <f t="shared" si="27"/>
        <v>#DIV/0!</v>
      </c>
      <c r="M211" s="7" t="e">
        <f t="shared" si="27"/>
        <v>#DIV/0!</v>
      </c>
      <c r="N211" s="7">
        <f t="shared" si="27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6"/>
        <v>18.969072164948454</v>
      </c>
      <c r="G212" s="7">
        <f t="shared" si="26"/>
        <v>18.969072164948454</v>
      </c>
      <c r="H212" s="7"/>
      <c r="I212" s="7"/>
      <c r="J212" s="7">
        <f t="shared" si="27"/>
        <v>18.969072164948454</v>
      </c>
      <c r="K212" s="7" t="e">
        <f t="shared" si="27"/>
        <v>#DIV/0!</v>
      </c>
      <c r="L212" s="7" t="e">
        <f t="shared" si="27"/>
        <v>#DIV/0!</v>
      </c>
      <c r="M212" s="7" t="e">
        <f t="shared" si="27"/>
        <v>#DIV/0!</v>
      </c>
      <c r="N212" s="7">
        <f t="shared" si="27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6"/>
        <v>9.744214372716199</v>
      </c>
      <c r="G213" s="7">
        <f t="shared" si="26"/>
        <v>9.744214372716199</v>
      </c>
      <c r="H213" s="7"/>
      <c r="I213" s="7"/>
      <c r="J213" s="7">
        <f t="shared" si="27"/>
        <v>9.744214372716199</v>
      </c>
      <c r="K213" s="7" t="e">
        <f t="shared" si="27"/>
        <v>#DIV/0!</v>
      </c>
      <c r="L213" s="7" t="e">
        <f t="shared" si="27"/>
        <v>#DIV/0!</v>
      </c>
      <c r="M213" s="7" t="e">
        <f t="shared" si="27"/>
        <v>#DIV/0!</v>
      </c>
      <c r="N213" s="7">
        <f t="shared" si="27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8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8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8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8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8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8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29" ref="F224:F244">D224+E224</f>
        <v>4800200</v>
      </c>
      <c r="G224" s="7">
        <f>G231*G237</f>
        <v>5100000</v>
      </c>
      <c r="H224" s="7"/>
      <c r="I224" s="7"/>
      <c r="J224" s="7">
        <f aca="true" t="shared" si="30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1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29"/>
        <v>401600</v>
      </c>
      <c r="G225" s="7">
        <f>G232*G238</f>
        <v>410000</v>
      </c>
      <c r="H225" s="7"/>
      <c r="I225" s="7"/>
      <c r="J225" s="7">
        <f t="shared" si="30"/>
        <v>410000</v>
      </c>
      <c r="K225" s="7"/>
      <c r="L225" s="7"/>
      <c r="M225" s="7"/>
      <c r="N225" s="7">
        <f>N232*N238</f>
        <v>415000</v>
      </c>
      <c r="O225" s="7"/>
      <c r="P225" s="7">
        <f t="shared" si="31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29"/>
        <v>0</v>
      </c>
      <c r="G226" s="7"/>
      <c r="H226" s="7">
        <v>1</v>
      </c>
      <c r="I226" s="7"/>
      <c r="J226" s="7">
        <f t="shared" si="30"/>
        <v>1</v>
      </c>
      <c r="K226" s="7"/>
      <c r="L226" s="7"/>
      <c r="M226" s="7"/>
      <c r="N226" s="7"/>
      <c r="O226" s="7"/>
      <c r="P226" s="7">
        <f t="shared" si="31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29"/>
        <v>1000000</v>
      </c>
      <c r="G228" s="7"/>
      <c r="H228" s="7">
        <v>1500000</v>
      </c>
      <c r="I228" s="7"/>
      <c r="J228" s="7">
        <f t="shared" si="30"/>
        <v>1500000</v>
      </c>
      <c r="K228" s="7"/>
      <c r="L228" s="7"/>
      <c r="M228" s="7"/>
      <c r="N228" s="7"/>
      <c r="O228" s="7">
        <v>2000000</v>
      </c>
      <c r="P228" s="7">
        <f t="shared" si="31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29"/>
        <v>0</v>
      </c>
      <c r="G229" s="30"/>
      <c r="H229" s="30"/>
      <c r="I229" s="30"/>
      <c r="J229" s="7">
        <f t="shared" si="30"/>
        <v>0</v>
      </c>
      <c r="K229" s="7"/>
      <c r="L229" s="7"/>
      <c r="M229" s="7"/>
      <c r="N229" s="30"/>
      <c r="O229" s="30"/>
      <c r="P229" s="7">
        <f t="shared" si="31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29"/>
        <v>13</v>
      </c>
      <c r="G230" s="7">
        <v>13</v>
      </c>
      <c r="H230" s="7"/>
      <c r="I230" s="7"/>
      <c r="J230" s="7">
        <f t="shared" si="30"/>
        <v>13</v>
      </c>
      <c r="K230" s="7"/>
      <c r="L230" s="7"/>
      <c r="M230" s="7"/>
      <c r="N230" s="7">
        <v>13</v>
      </c>
      <c r="O230" s="7"/>
      <c r="P230" s="7">
        <f t="shared" si="31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29"/>
        <v>1600</v>
      </c>
      <c r="G231" s="7">
        <v>1600</v>
      </c>
      <c r="H231" s="7"/>
      <c r="I231" s="7"/>
      <c r="J231" s="7">
        <f t="shared" si="30"/>
        <v>1600</v>
      </c>
      <c r="K231" s="7"/>
      <c r="L231" s="7"/>
      <c r="M231" s="7"/>
      <c r="N231" s="7">
        <v>1600</v>
      </c>
      <c r="O231" s="7"/>
      <c r="P231" s="7">
        <f t="shared" si="31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29"/>
        <v>2</v>
      </c>
      <c r="G232" s="7">
        <v>2</v>
      </c>
      <c r="H232" s="7"/>
      <c r="I232" s="7"/>
      <c r="J232" s="7">
        <f t="shared" si="30"/>
        <v>2</v>
      </c>
      <c r="K232" s="7"/>
      <c r="L232" s="7"/>
      <c r="M232" s="7"/>
      <c r="N232" s="7">
        <v>2</v>
      </c>
      <c r="O232" s="7"/>
      <c r="P232" s="7">
        <f t="shared" si="31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29"/>
        <v>1</v>
      </c>
      <c r="G233" s="7"/>
      <c r="H233" s="7">
        <v>1</v>
      </c>
      <c r="I233" s="7"/>
      <c r="J233" s="7">
        <f t="shared" si="30"/>
        <v>1</v>
      </c>
      <c r="K233" s="7"/>
      <c r="L233" s="7"/>
      <c r="M233" s="7"/>
      <c r="N233" s="7"/>
      <c r="O233" s="7">
        <v>1</v>
      </c>
      <c r="P233" s="7">
        <f t="shared" si="31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29"/>
        <v>0</v>
      </c>
      <c r="G235" s="30"/>
      <c r="H235" s="30"/>
      <c r="I235" s="30"/>
      <c r="J235" s="7">
        <f t="shared" si="30"/>
        <v>0</v>
      </c>
      <c r="K235" s="7"/>
      <c r="L235" s="7"/>
      <c r="M235" s="7"/>
      <c r="N235" s="30"/>
      <c r="O235" s="30"/>
      <c r="P235" s="7">
        <f t="shared" si="31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29"/>
        <v>889076.9230769231</v>
      </c>
      <c r="G236" s="7">
        <f>(12000000+3500)/13</f>
        <v>923346.1538461539</v>
      </c>
      <c r="H236" s="7"/>
      <c r="I236" s="7"/>
      <c r="J236" s="7">
        <f t="shared" si="30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1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29"/>
        <v>3062.5</v>
      </c>
      <c r="G237" s="7">
        <v>3187.5</v>
      </c>
      <c r="H237" s="7"/>
      <c r="I237" s="7"/>
      <c r="J237" s="7">
        <f t="shared" si="30"/>
        <v>3187.5</v>
      </c>
      <c r="K237" s="7"/>
      <c r="L237" s="7"/>
      <c r="M237" s="7"/>
      <c r="N237" s="7">
        <v>3250</v>
      </c>
      <c r="O237" s="7"/>
      <c r="P237" s="7">
        <f t="shared" si="31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29"/>
        <v>202000</v>
      </c>
      <c r="G238" s="7">
        <v>205000</v>
      </c>
      <c r="H238" s="7"/>
      <c r="I238" s="7"/>
      <c r="J238" s="7">
        <f t="shared" si="30"/>
        <v>205000</v>
      </c>
      <c r="K238" s="7"/>
      <c r="L238" s="7"/>
      <c r="M238" s="7"/>
      <c r="N238" s="7">
        <v>207500</v>
      </c>
      <c r="O238" s="7"/>
      <c r="P238" s="7">
        <f t="shared" si="31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29"/>
        <v>2187.5</v>
      </c>
      <c r="G239" s="7">
        <v>2250</v>
      </c>
      <c r="H239" s="7"/>
      <c r="I239" s="7"/>
      <c r="J239" s="7">
        <f t="shared" si="30"/>
        <v>2250</v>
      </c>
      <c r="K239" s="7"/>
      <c r="L239" s="7"/>
      <c r="M239" s="7"/>
      <c r="N239" s="7">
        <v>2312.5</v>
      </c>
      <c r="O239" s="7"/>
      <c r="P239" s="7">
        <f t="shared" si="31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29"/>
        <v>1000000</v>
      </c>
      <c r="G240" s="137"/>
      <c r="H240" s="137">
        <v>1500000</v>
      </c>
      <c r="I240" s="137"/>
      <c r="J240" s="137">
        <f t="shared" si="30"/>
        <v>1500000</v>
      </c>
      <c r="K240" s="137"/>
      <c r="L240" s="137"/>
      <c r="M240" s="137"/>
      <c r="N240" s="137"/>
      <c r="O240" s="137">
        <v>2000000</v>
      </c>
      <c r="P240" s="137">
        <f t="shared" si="31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29"/>
        <v>0</v>
      </c>
      <c r="G241" s="7"/>
      <c r="H241" s="7"/>
      <c r="I241" s="7"/>
      <c r="J241" s="7">
        <f t="shared" si="30"/>
        <v>0</v>
      </c>
      <c r="K241" s="7"/>
      <c r="L241" s="7"/>
      <c r="M241" s="7"/>
      <c r="N241" s="7"/>
      <c r="O241" s="7"/>
      <c r="P241" s="7">
        <f t="shared" si="31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29"/>
        <v>100</v>
      </c>
      <c r="G242" s="7">
        <f>G230/G223*100</f>
        <v>8.440736291919618E-05</v>
      </c>
      <c r="H242" s="7"/>
      <c r="I242" s="7"/>
      <c r="J242" s="7">
        <f t="shared" si="30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1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29"/>
        <v>0</v>
      </c>
      <c r="G243" s="7">
        <f>G237/D237*100</f>
        <v>104.08163265306123</v>
      </c>
      <c r="H243" s="7"/>
      <c r="I243" s="7"/>
      <c r="J243" s="7">
        <f t="shared" si="30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1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29"/>
        <v>0</v>
      </c>
      <c r="G244" s="7">
        <f>G238/D238*100</f>
        <v>101.48514851485149</v>
      </c>
      <c r="H244" s="7"/>
      <c r="I244" s="7"/>
      <c r="J244" s="7">
        <f t="shared" si="30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1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(E253*E258)+(E254*E259)+(E256*E261)</f>
        <v>0</v>
      </c>
      <c r="F245" s="36">
        <f aca="true" t="shared" si="32" ref="F245:F251">D245+E245</f>
        <v>5421400</v>
      </c>
      <c r="G245" s="36">
        <f>G247+G248+G249+G250+G251</f>
        <v>8500000</v>
      </c>
      <c r="H245" s="36">
        <f>(H253*H258)+(H254*H259)+(H256*H261)</f>
        <v>0</v>
      </c>
      <c r="I245" s="36">
        <f>(I253*I258)+(I254*I259)+(I256*I261)</f>
        <v>0</v>
      </c>
      <c r="J245" s="36">
        <f aca="true" t="shared" si="33" ref="J245:J251">G245+H245</f>
        <v>8500000</v>
      </c>
      <c r="K245" s="36">
        <f>(K253*K258)+(K254*K259)+(K256*K261)</f>
        <v>0</v>
      </c>
      <c r="L245" s="36">
        <f>(L253*L258)+(L254*L259)+(L256*L261)</f>
        <v>0</v>
      </c>
      <c r="M245" s="36">
        <f>(M253*M258)+(M254*M259)+(M256*M261)</f>
        <v>0</v>
      </c>
      <c r="N245" s="36">
        <f>N247+N249+N250+N251</f>
        <v>5660000</v>
      </c>
      <c r="O245" s="36">
        <f>(O253*O258)+(O254*O259)+(O256*O261)</f>
        <v>0</v>
      </c>
      <c r="P245" s="36">
        <f aca="true" t="shared" si="34" ref="P245:P251">N245+O245</f>
        <v>5660000</v>
      </c>
      <c r="Q245" s="36">
        <f>(Q253*Q258)+(Q254*Q259)+(Q256*Q261)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2"/>
        <v>0</v>
      </c>
      <c r="G246" s="7"/>
      <c r="H246" s="7"/>
      <c r="I246" s="7"/>
      <c r="J246" s="7">
        <f t="shared" si="33"/>
        <v>0</v>
      </c>
      <c r="K246" s="7"/>
      <c r="L246" s="7"/>
      <c r="M246" s="7"/>
      <c r="N246" s="7"/>
      <c r="O246" s="7"/>
      <c r="P246" s="7">
        <f t="shared" si="34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2"/>
        <v>2971400</v>
      </c>
      <c r="G247" s="7">
        <v>2000000</v>
      </c>
      <c r="H247" s="7"/>
      <c r="I247" s="7"/>
      <c r="J247" s="7">
        <f t="shared" si="33"/>
        <v>2000000</v>
      </c>
      <c r="K247" s="7"/>
      <c r="L247" s="7"/>
      <c r="M247" s="7"/>
      <c r="N247" s="7">
        <v>3100000</v>
      </c>
      <c r="O247" s="7"/>
      <c r="P247" s="7">
        <f t="shared" si="34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3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2"/>
        <v>200000</v>
      </c>
      <c r="G249" s="7">
        <v>200000</v>
      </c>
      <c r="H249" s="7"/>
      <c r="I249" s="7"/>
      <c r="J249" s="7">
        <f t="shared" si="33"/>
        <v>200000</v>
      </c>
      <c r="K249" s="7"/>
      <c r="L249" s="7"/>
      <c r="M249" s="7"/>
      <c r="N249" s="7">
        <v>200000</v>
      </c>
      <c r="O249" s="7"/>
      <c r="P249" s="7">
        <f t="shared" si="34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2"/>
        <v>350000</v>
      </c>
      <c r="G250" s="7">
        <v>400000</v>
      </c>
      <c r="H250" s="7"/>
      <c r="I250" s="7"/>
      <c r="J250" s="7">
        <f t="shared" si="33"/>
        <v>400000</v>
      </c>
      <c r="K250" s="7"/>
      <c r="L250" s="7"/>
      <c r="M250" s="7"/>
      <c r="N250" s="7">
        <v>460000</v>
      </c>
      <c r="O250" s="7"/>
      <c r="P250" s="7">
        <f t="shared" si="34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2"/>
        <v>1900000</v>
      </c>
      <c r="G251" s="7">
        <v>1900000</v>
      </c>
      <c r="H251" s="7"/>
      <c r="I251" s="7"/>
      <c r="J251" s="7">
        <f t="shared" si="33"/>
        <v>1900000</v>
      </c>
      <c r="K251" s="7"/>
      <c r="L251" s="7"/>
      <c r="M251" s="7"/>
      <c r="N251" s="7">
        <v>1900000</v>
      </c>
      <c r="O251" s="7"/>
      <c r="P251" s="7">
        <f t="shared" si="34"/>
        <v>1900000</v>
      </c>
      <c r="Q251" s="42"/>
      <c r="IB251" s="39"/>
      <c r="IC251" s="39"/>
      <c r="ID251" s="39"/>
      <c r="IE251" s="39"/>
      <c r="IF251" s="39"/>
      <c r="IG251" s="39"/>
    </row>
    <row r="252" spans="1:241" s="25" customFormat="1" ht="11.25">
      <c r="A252" s="5" t="s">
        <v>5</v>
      </c>
      <c r="B252" s="37"/>
      <c r="C252" s="3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IB252" s="53"/>
      <c r="IC252" s="53"/>
      <c r="ID252" s="53"/>
      <c r="IE252" s="53"/>
      <c r="IF252" s="53"/>
      <c r="IG252" s="53"/>
    </row>
    <row r="253" spans="1:241" s="25" customFormat="1" ht="35.25" customHeight="1">
      <c r="A253" s="8" t="s">
        <v>238</v>
      </c>
      <c r="B253" s="6"/>
      <c r="C253" s="6"/>
      <c r="D253" s="7">
        <v>155760</v>
      </c>
      <c r="E253" s="7"/>
      <c r="F253" s="7">
        <f>D253+E253</f>
        <v>155760</v>
      </c>
      <c r="G253" s="7">
        <f>F253</f>
        <v>155760</v>
      </c>
      <c r="H253" s="7"/>
      <c r="I253" s="7"/>
      <c r="J253" s="7">
        <f>G253+H253</f>
        <v>155760</v>
      </c>
      <c r="K253" s="7"/>
      <c r="L253" s="7"/>
      <c r="M253" s="7"/>
      <c r="N253" s="7">
        <f>G253</f>
        <v>155760</v>
      </c>
      <c r="O253" s="7"/>
      <c r="P253" s="7">
        <f>N253+O253</f>
        <v>155760</v>
      </c>
      <c r="IB253" s="53"/>
      <c r="IC253" s="53"/>
      <c r="ID253" s="53"/>
      <c r="IE253" s="53"/>
      <c r="IF253" s="53"/>
      <c r="IG253" s="53"/>
    </row>
    <row r="254" spans="1:241" s="25" customFormat="1" ht="22.5">
      <c r="A254" s="8" t="s">
        <v>111</v>
      </c>
      <c r="B254" s="6"/>
      <c r="C254" s="6"/>
      <c r="D254" s="7">
        <v>243</v>
      </c>
      <c r="E254" s="7"/>
      <c r="F254" s="7">
        <f aca="true" t="shared" si="35" ref="F254:F267">D254+E254</f>
        <v>243</v>
      </c>
      <c r="G254" s="7">
        <v>250</v>
      </c>
      <c r="H254" s="7"/>
      <c r="I254" s="7"/>
      <c r="J254" s="7">
        <f aca="true" t="shared" si="36" ref="J254:J267">G254+H254</f>
        <v>250</v>
      </c>
      <c r="K254" s="7"/>
      <c r="L254" s="7"/>
      <c r="M254" s="7"/>
      <c r="N254" s="7">
        <v>260</v>
      </c>
      <c r="O254" s="7"/>
      <c r="P254" s="7">
        <f aca="true" t="shared" si="37" ref="P254:P267">N254+O254</f>
        <v>260</v>
      </c>
      <c r="IB254" s="53"/>
      <c r="IC254" s="53"/>
      <c r="ID254" s="53"/>
      <c r="IE254" s="53"/>
      <c r="IF254" s="53"/>
      <c r="IG254" s="53"/>
    </row>
    <row r="255" spans="1:241" s="25" customFormat="1" ht="33.75">
      <c r="A255" s="8" t="s">
        <v>243</v>
      </c>
      <c r="B255" s="6"/>
      <c r="C255" s="6"/>
      <c r="D255" s="7">
        <v>11036.4</v>
      </c>
      <c r="E255" s="7"/>
      <c r="F255" s="7">
        <f t="shared" si="35"/>
        <v>11036.4</v>
      </c>
      <c r="G255" s="7">
        <f>E255+F255</f>
        <v>11036.4</v>
      </c>
      <c r="H255" s="7"/>
      <c r="I255" s="7">
        <f>G255+H255</f>
        <v>11036.4</v>
      </c>
      <c r="J255" s="7">
        <f>H255+I255</f>
        <v>11036.4</v>
      </c>
      <c r="K255" s="7">
        <f>I255+J255</f>
        <v>22072.8</v>
      </c>
      <c r="L255" s="7">
        <f>J255+K255</f>
        <v>33109.2</v>
      </c>
      <c r="M255" s="7">
        <f>K255+L255</f>
        <v>55182</v>
      </c>
      <c r="N255" s="7">
        <v>11036.4</v>
      </c>
      <c r="O255" s="7"/>
      <c r="P255" s="7">
        <f t="shared" si="37"/>
        <v>11036.4</v>
      </c>
      <c r="IB255" s="53"/>
      <c r="IC255" s="53"/>
      <c r="ID255" s="53"/>
      <c r="IE255" s="53"/>
      <c r="IF255" s="53"/>
      <c r="IG255" s="53"/>
    </row>
    <row r="256" spans="1:241" s="25" customFormat="1" ht="33" customHeight="1">
      <c r="A256" s="8" t="s">
        <v>240</v>
      </c>
      <c r="B256" s="6"/>
      <c r="C256" s="6"/>
      <c r="D256" s="7">
        <v>51.4</v>
      </c>
      <c r="E256" s="7"/>
      <c r="F256" s="7">
        <f t="shared" si="35"/>
        <v>51.4</v>
      </c>
      <c r="G256" s="7">
        <v>48</v>
      </c>
      <c r="H256" s="7"/>
      <c r="I256" s="7"/>
      <c r="J256" s="7">
        <f t="shared" si="36"/>
        <v>48</v>
      </c>
      <c r="K256" s="7"/>
      <c r="L256" s="7"/>
      <c r="M256" s="7"/>
      <c r="N256" s="7">
        <v>45</v>
      </c>
      <c r="O256" s="7"/>
      <c r="P256" s="7">
        <f t="shared" si="37"/>
        <v>45</v>
      </c>
      <c r="IB256" s="53"/>
      <c r="IC256" s="53"/>
      <c r="ID256" s="53"/>
      <c r="IE256" s="53"/>
      <c r="IF256" s="53"/>
      <c r="IG256" s="53"/>
    </row>
    <row r="257" spans="1:241" s="25" customFormat="1" ht="11.25">
      <c r="A257" s="5" t="s">
        <v>7</v>
      </c>
      <c r="B257" s="37"/>
      <c r="C257" s="37"/>
      <c r="D257" s="30"/>
      <c r="E257" s="30"/>
      <c r="F257" s="7">
        <f t="shared" si="35"/>
        <v>0</v>
      </c>
      <c r="G257" s="30"/>
      <c r="H257" s="30"/>
      <c r="I257" s="30"/>
      <c r="J257" s="7">
        <f t="shared" si="36"/>
        <v>0</v>
      </c>
      <c r="K257" s="7"/>
      <c r="L257" s="7"/>
      <c r="M257" s="7"/>
      <c r="N257" s="30"/>
      <c r="O257" s="30"/>
      <c r="P257" s="7">
        <f t="shared" si="37"/>
        <v>0</v>
      </c>
      <c r="IB257" s="53"/>
      <c r="IC257" s="53"/>
      <c r="ID257" s="53"/>
      <c r="IE257" s="53"/>
      <c r="IF257" s="53"/>
      <c r="IG257" s="53"/>
    </row>
    <row r="258" spans="1:241" s="25" customFormat="1" ht="48.75" customHeight="1">
      <c r="A258" s="8" t="s">
        <v>239</v>
      </c>
      <c r="B258" s="6"/>
      <c r="C258" s="6"/>
      <c r="D258" s="7">
        <f>D247/D253</f>
        <v>19.07678479712378</v>
      </c>
      <c r="E258" s="7"/>
      <c r="F258" s="7">
        <f t="shared" si="35"/>
        <v>19.07678479712378</v>
      </c>
      <c r="G258" s="7">
        <f>G247/G253</f>
        <v>12.840267077555213</v>
      </c>
      <c r="H258" s="7"/>
      <c r="I258" s="7"/>
      <c r="J258" s="7">
        <f t="shared" si="36"/>
        <v>12.840267077555213</v>
      </c>
      <c r="K258" s="7"/>
      <c r="L258" s="7"/>
      <c r="M258" s="7"/>
      <c r="N258" s="7">
        <f>N247/N253</f>
        <v>19.90241397021058</v>
      </c>
      <c r="O258" s="7"/>
      <c r="P258" s="7">
        <f t="shared" si="37"/>
        <v>19.90241397021058</v>
      </c>
      <c r="IB258" s="53"/>
      <c r="IC258" s="53"/>
      <c r="ID258" s="53"/>
      <c r="IE258" s="53"/>
      <c r="IF258" s="53"/>
      <c r="IG258" s="53"/>
    </row>
    <row r="259" spans="1:241" s="25" customFormat="1" ht="19.5" customHeight="1">
      <c r="A259" s="8" t="s">
        <v>112</v>
      </c>
      <c r="B259" s="6"/>
      <c r="C259" s="6"/>
      <c r="D259" s="7">
        <f>D249/D254</f>
        <v>823.0452674897119</v>
      </c>
      <c r="E259" s="7"/>
      <c r="F259" s="7">
        <f t="shared" si="35"/>
        <v>823.0452674897119</v>
      </c>
      <c r="G259" s="7">
        <f>G249/G254</f>
        <v>800</v>
      </c>
      <c r="H259" s="7"/>
      <c r="I259" s="7"/>
      <c r="J259" s="7">
        <f t="shared" si="36"/>
        <v>800</v>
      </c>
      <c r="K259" s="7"/>
      <c r="L259" s="7"/>
      <c r="M259" s="7"/>
      <c r="N259" s="7">
        <f>N249/N254</f>
        <v>769.2307692307693</v>
      </c>
      <c r="O259" s="7"/>
      <c r="P259" s="7">
        <f t="shared" si="37"/>
        <v>769.2307692307693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242</v>
      </c>
      <c r="B260" s="6"/>
      <c r="C260" s="6"/>
      <c r="D260" s="7">
        <f>D250/D255</f>
        <v>31.71323982458048</v>
      </c>
      <c r="E260" s="7"/>
      <c r="F260" s="7">
        <f t="shared" si="35"/>
        <v>31.71323982458048</v>
      </c>
      <c r="G260" s="7">
        <f>G250/G255</f>
        <v>36.24370265666341</v>
      </c>
      <c r="H260" s="7"/>
      <c r="I260" s="7"/>
      <c r="J260" s="7">
        <f t="shared" si="36"/>
        <v>36.24370265666341</v>
      </c>
      <c r="K260" s="7"/>
      <c r="L260" s="7"/>
      <c r="M260" s="7"/>
      <c r="N260" s="7">
        <f>N250/N255</f>
        <v>41.680258055162916</v>
      </c>
      <c r="O260" s="7"/>
      <c r="P260" s="7">
        <f t="shared" si="37"/>
        <v>41.680258055162916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241</v>
      </c>
      <c r="B261" s="6"/>
      <c r="C261" s="6"/>
      <c r="D261" s="7">
        <f>D251/D256</f>
        <v>36964.980544747086</v>
      </c>
      <c r="E261" s="7"/>
      <c r="F261" s="7">
        <f t="shared" si="35"/>
        <v>36964.980544747086</v>
      </c>
      <c r="G261" s="7">
        <f>G251/G256</f>
        <v>39583.333333333336</v>
      </c>
      <c r="H261" s="7"/>
      <c r="I261" s="7"/>
      <c r="J261" s="7">
        <f t="shared" si="36"/>
        <v>39583.333333333336</v>
      </c>
      <c r="K261" s="7"/>
      <c r="L261" s="7"/>
      <c r="M261" s="7"/>
      <c r="N261" s="7">
        <f>N251/N256</f>
        <v>42222.22222222222</v>
      </c>
      <c r="O261" s="7"/>
      <c r="P261" s="7">
        <f t="shared" si="37"/>
        <v>42222.22222222222</v>
      </c>
      <c r="IB261" s="53"/>
      <c r="IC261" s="53"/>
      <c r="ID261" s="53"/>
      <c r="IE261" s="53"/>
      <c r="IF261" s="53"/>
      <c r="IG261" s="53"/>
    </row>
    <row r="262" spans="1:241" s="25" customFormat="1" ht="45">
      <c r="A262" s="8" t="s">
        <v>221</v>
      </c>
      <c r="B262" s="6"/>
      <c r="C262" s="6"/>
      <c r="D262" s="7"/>
      <c r="E262" s="7"/>
      <c r="F262" s="7">
        <f t="shared" si="35"/>
        <v>0</v>
      </c>
      <c r="G262" s="7">
        <v>145.4502</v>
      </c>
      <c r="H262" s="7"/>
      <c r="I262" s="7"/>
      <c r="J262" s="7">
        <f t="shared" si="36"/>
        <v>145.4502</v>
      </c>
      <c r="K262" s="7"/>
      <c r="L262" s="7"/>
      <c r="M262" s="7"/>
      <c r="N262" s="7">
        <v>145.461241023</v>
      </c>
      <c r="O262" s="7"/>
      <c r="P262" s="7">
        <f t="shared" si="37"/>
        <v>145.461241023</v>
      </c>
      <c r="IB262" s="53"/>
      <c r="IC262" s="53"/>
      <c r="ID262" s="53"/>
      <c r="IE262" s="53"/>
      <c r="IF262" s="53"/>
      <c r="IG262" s="53"/>
    </row>
    <row r="263" spans="1:241" s="25" customFormat="1" ht="11.25">
      <c r="A263" s="5" t="s">
        <v>6</v>
      </c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113</v>
      </c>
      <c r="B264" s="6"/>
      <c r="C264" s="6"/>
      <c r="D264" s="7"/>
      <c r="E264" s="7"/>
      <c r="F264" s="7">
        <f t="shared" si="35"/>
        <v>0</v>
      </c>
      <c r="G264" s="7">
        <f>G258/D258*100</f>
        <v>67.30833950326446</v>
      </c>
      <c r="H264" s="7"/>
      <c r="I264" s="7"/>
      <c r="J264" s="7">
        <f t="shared" si="36"/>
        <v>67.30833950326446</v>
      </c>
      <c r="K264" s="7"/>
      <c r="L264" s="7"/>
      <c r="M264" s="7"/>
      <c r="N264" s="7">
        <f>N258/G258*100</f>
        <v>155</v>
      </c>
      <c r="O264" s="7"/>
      <c r="P264" s="7">
        <f t="shared" si="37"/>
        <v>155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222</v>
      </c>
      <c r="B265" s="6"/>
      <c r="C265" s="6"/>
      <c r="D265" s="7"/>
      <c r="E265" s="7"/>
      <c r="F265" s="7">
        <f t="shared" si="35"/>
        <v>0</v>
      </c>
      <c r="G265" s="7">
        <f>G260/D260*100</f>
        <v>114.2857142857143</v>
      </c>
      <c r="H265" s="7"/>
      <c r="I265" s="7"/>
      <c r="J265" s="7">
        <f t="shared" si="36"/>
        <v>114.2857142857143</v>
      </c>
      <c r="K265" s="7"/>
      <c r="L265" s="7"/>
      <c r="M265" s="7"/>
      <c r="N265" s="7">
        <f>N259/G259*100</f>
        <v>96.15384615384616</v>
      </c>
      <c r="O265" s="7"/>
      <c r="P265" s="7">
        <f t="shared" si="37"/>
        <v>96.15384615384616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244</v>
      </c>
      <c r="B266" s="6"/>
      <c r="C266" s="6"/>
      <c r="D266" s="7"/>
      <c r="E266" s="7"/>
      <c r="F266" s="7">
        <f t="shared" si="35"/>
        <v>0</v>
      </c>
      <c r="G266" s="7">
        <f>G261/D261*100</f>
        <v>107.08333333333333</v>
      </c>
      <c r="H266" s="7"/>
      <c r="I266" s="7"/>
      <c r="J266" s="7">
        <f t="shared" si="36"/>
        <v>107.08333333333333</v>
      </c>
      <c r="K266" s="7"/>
      <c r="L266" s="7"/>
      <c r="M266" s="7"/>
      <c r="N266" s="7">
        <f>N260/G260*100</f>
        <v>114.99999999999999</v>
      </c>
      <c r="O266" s="7"/>
      <c r="P266" s="7">
        <f t="shared" si="37"/>
        <v>114.99999999999999</v>
      </c>
      <c r="IB266" s="53"/>
      <c r="IC266" s="53"/>
      <c r="ID266" s="53"/>
      <c r="IE266" s="53"/>
      <c r="IF266" s="53"/>
      <c r="IG266" s="53"/>
    </row>
    <row r="267" spans="1:241" s="25" customFormat="1" ht="33.75">
      <c r="A267" s="8" t="s">
        <v>245</v>
      </c>
      <c r="B267" s="6"/>
      <c r="C267" s="6"/>
      <c r="D267" s="7"/>
      <c r="E267" s="7"/>
      <c r="F267" s="7">
        <f t="shared" si="35"/>
        <v>0</v>
      </c>
      <c r="G267" s="7">
        <f>G261/D261*100</f>
        <v>107.08333333333333</v>
      </c>
      <c r="H267" s="7"/>
      <c r="I267" s="7"/>
      <c r="J267" s="7">
        <f t="shared" si="36"/>
        <v>107.08333333333333</v>
      </c>
      <c r="K267" s="7"/>
      <c r="L267" s="7"/>
      <c r="M267" s="7"/>
      <c r="N267" s="7">
        <f>N261/G261*100</f>
        <v>106.66666666666664</v>
      </c>
      <c r="O267" s="7"/>
      <c r="P267" s="7">
        <f t="shared" si="37"/>
        <v>106.66666666666664</v>
      </c>
      <c r="IB267" s="53"/>
      <c r="IC267" s="53"/>
      <c r="ID267" s="53"/>
      <c r="IE267" s="53"/>
      <c r="IF267" s="53"/>
      <c r="IG267" s="53"/>
    </row>
    <row r="268" spans="1:241" s="38" customFormat="1" ht="22.5">
      <c r="A268" s="34" t="s">
        <v>382</v>
      </c>
      <c r="B268" s="35"/>
      <c r="C268" s="35"/>
      <c r="D268" s="36">
        <f>(D269*D273)+(D270*D274)+(D271*D276)-1.78+25000</f>
        <v>20099999.999959998</v>
      </c>
      <c r="E268" s="36">
        <f>(E269*E273)+(E270*E274)+(E271*E276)</f>
        <v>0</v>
      </c>
      <c r="F268" s="36">
        <f>D268</f>
        <v>20099999.999959998</v>
      </c>
      <c r="G268" s="36">
        <f>(G269*G273)+(G270*G274)+(G271*G276)+2928700-3000000</f>
        <v>20183699.999900002</v>
      </c>
      <c r="H268" s="36">
        <f>(H269*H273)+(H270*H274)+(H271*H276)</f>
        <v>0</v>
      </c>
      <c r="I268" s="36">
        <v>0</v>
      </c>
      <c r="J268" s="36">
        <f>G268+H268</f>
        <v>20183699.999900002</v>
      </c>
      <c r="K268" s="36">
        <f>(K269*K273)+(K270*K274)+(K271*K276)</f>
        <v>0</v>
      </c>
      <c r="L268" s="36">
        <f>(L269*L273)+(L270*L274)+(L271*L276)</f>
        <v>0</v>
      </c>
      <c r="M268" s="36">
        <f>(M269*M273)+(M270*M274)+(M271*M276)</f>
        <v>0</v>
      </c>
      <c r="N268" s="36">
        <f>(N269*N273)+(N270*N274)+(N271*N276)</f>
        <v>21574999.99998</v>
      </c>
      <c r="O268" s="36">
        <f>(O269*O273)+(O270*O274)+(O271*O276)</f>
        <v>0</v>
      </c>
      <c r="P268" s="36">
        <f>N268+O268</f>
        <v>21574999.99998</v>
      </c>
      <c r="Q268" s="36">
        <f>(Q269*Q273)+(Q270*Q274)+(Q271*Q276)</f>
        <v>0</v>
      </c>
      <c r="IB268" s="39"/>
      <c r="IC268" s="39"/>
      <c r="ID268" s="39"/>
      <c r="IE268" s="39"/>
      <c r="IF268" s="39"/>
      <c r="IG268" s="39"/>
    </row>
    <row r="269" spans="1:241" s="25" customFormat="1" ht="22.5">
      <c r="A269" s="8" t="s">
        <v>114</v>
      </c>
      <c r="B269" s="6"/>
      <c r="C269" s="6"/>
      <c r="D269" s="7">
        <v>33</v>
      </c>
      <c r="E269" s="7"/>
      <c r="F269" s="7">
        <f>D269+E269</f>
        <v>33</v>
      </c>
      <c r="G269" s="7">
        <v>30</v>
      </c>
      <c r="H269" s="7"/>
      <c r="I269" s="7"/>
      <c r="J269" s="7">
        <f>G269+H269</f>
        <v>30</v>
      </c>
      <c r="K269" s="7"/>
      <c r="L269" s="7"/>
      <c r="M269" s="7"/>
      <c r="N269" s="7">
        <v>28</v>
      </c>
      <c r="O269" s="7"/>
      <c r="P269" s="7">
        <f>N269+O269</f>
        <v>28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115</v>
      </c>
      <c r="B270" s="6"/>
      <c r="C270" s="6"/>
      <c r="D270" s="7">
        <v>6</v>
      </c>
      <c r="E270" s="7"/>
      <c r="F270" s="7">
        <f aca="true" t="shared" si="38" ref="F270:F280">D270+E270</f>
        <v>6</v>
      </c>
      <c r="G270" s="7">
        <f>D270</f>
        <v>6</v>
      </c>
      <c r="H270" s="7"/>
      <c r="I270" s="7"/>
      <c r="J270" s="7">
        <f aca="true" t="shared" si="39" ref="J270:J280">G270+H270</f>
        <v>6</v>
      </c>
      <c r="K270" s="7"/>
      <c r="L270" s="7"/>
      <c r="M270" s="7"/>
      <c r="N270" s="7">
        <v>6</v>
      </c>
      <c r="O270" s="7"/>
      <c r="P270" s="7">
        <f aca="true" t="shared" si="40" ref="P270:P280">N270+O270</f>
        <v>6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161</v>
      </c>
      <c r="B271" s="6"/>
      <c r="C271" s="6"/>
      <c r="D271" s="7">
        <v>77</v>
      </c>
      <c r="E271" s="7"/>
      <c r="F271" s="7">
        <f t="shared" si="38"/>
        <v>77</v>
      </c>
      <c r="G271" s="7">
        <v>80</v>
      </c>
      <c r="H271" s="7"/>
      <c r="I271" s="7"/>
      <c r="J271" s="7">
        <f t="shared" si="39"/>
        <v>80</v>
      </c>
      <c r="K271" s="7"/>
      <c r="L271" s="7"/>
      <c r="M271" s="7"/>
      <c r="N271" s="7">
        <v>90</v>
      </c>
      <c r="O271" s="7"/>
      <c r="P271" s="7">
        <f t="shared" si="40"/>
        <v>90</v>
      </c>
      <c r="IB271" s="53"/>
      <c r="IC271" s="53"/>
      <c r="ID271" s="53"/>
      <c r="IE271" s="53"/>
      <c r="IF271" s="53"/>
      <c r="IG271" s="53"/>
    </row>
    <row r="272" spans="1:241" s="25" customFormat="1" ht="12" customHeight="1">
      <c r="A272" s="5" t="s">
        <v>7</v>
      </c>
      <c r="B272" s="37"/>
      <c r="C272" s="37"/>
      <c r="D272" s="30"/>
      <c r="E272" s="30"/>
      <c r="F272" s="7"/>
      <c r="G272" s="30"/>
      <c r="H272" s="30"/>
      <c r="I272" s="7"/>
      <c r="J272" s="7"/>
      <c r="K272" s="7"/>
      <c r="L272" s="7"/>
      <c r="M272" s="7"/>
      <c r="N272" s="30"/>
      <c r="O272" s="30"/>
      <c r="P272" s="7"/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116</v>
      </c>
      <c r="B273" s="6"/>
      <c r="C273" s="6"/>
      <c r="D273" s="7">
        <v>506060.66</v>
      </c>
      <c r="E273" s="7"/>
      <c r="F273" s="7">
        <f t="shared" si="38"/>
        <v>506060.66</v>
      </c>
      <c r="G273" s="7">
        <v>593333.33333</v>
      </c>
      <c r="H273" s="7"/>
      <c r="I273" s="7"/>
      <c r="J273" s="7">
        <f t="shared" si="39"/>
        <v>593333.33333</v>
      </c>
      <c r="K273" s="7"/>
      <c r="L273" s="7"/>
      <c r="M273" s="7"/>
      <c r="N273" s="7">
        <v>675000</v>
      </c>
      <c r="O273" s="7"/>
      <c r="P273" s="7">
        <f t="shared" si="40"/>
        <v>675000</v>
      </c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117</v>
      </c>
      <c r="B274" s="6"/>
      <c r="C274" s="6"/>
      <c r="D274" s="7">
        <v>529166.66666</v>
      </c>
      <c r="E274" s="7"/>
      <c r="F274" s="7">
        <f t="shared" si="38"/>
        <v>529166.66666</v>
      </c>
      <c r="G274" s="7">
        <v>367500</v>
      </c>
      <c r="H274" s="7"/>
      <c r="I274" s="7"/>
      <c r="J274" s="7">
        <f t="shared" si="39"/>
        <v>367500</v>
      </c>
      <c r="K274" s="7"/>
      <c r="L274" s="7"/>
      <c r="M274" s="7"/>
      <c r="N274" s="7">
        <v>395833.33333</v>
      </c>
      <c r="O274" s="7"/>
      <c r="P274" s="7">
        <f t="shared" si="40"/>
        <v>395833.33333</v>
      </c>
      <c r="IB274" s="53"/>
      <c r="IC274" s="53"/>
      <c r="ID274" s="53"/>
      <c r="IE274" s="53"/>
      <c r="IF274" s="53"/>
      <c r="IG274" s="53"/>
    </row>
    <row r="275" spans="1:241" s="25" customFormat="1" ht="12" customHeight="1">
      <c r="A275" s="5" t="s">
        <v>6</v>
      </c>
      <c r="B275" s="37"/>
      <c r="C275" s="37"/>
      <c r="D275" s="30"/>
      <c r="E275" s="30"/>
      <c r="F275" s="7"/>
      <c r="G275" s="30"/>
      <c r="H275" s="30"/>
      <c r="I275" s="7"/>
      <c r="J275" s="7"/>
      <c r="K275" s="7"/>
      <c r="L275" s="7"/>
      <c r="M275" s="7"/>
      <c r="N275" s="30"/>
      <c r="O275" s="30"/>
      <c r="P275" s="7"/>
      <c r="IB275" s="53"/>
      <c r="IC275" s="53"/>
      <c r="ID275" s="53"/>
      <c r="IE275" s="53"/>
      <c r="IF275" s="53"/>
      <c r="IG275" s="53"/>
    </row>
    <row r="276" spans="1:241" s="25" customFormat="1" ht="32.25" customHeight="1">
      <c r="A276" s="8" t="s">
        <v>185</v>
      </c>
      <c r="B276" s="6"/>
      <c r="C276" s="6"/>
      <c r="D276" s="7">
        <f>200000/77</f>
        <v>2597.4025974025976</v>
      </c>
      <c r="E276" s="7"/>
      <c r="F276" s="7">
        <f t="shared" si="38"/>
        <v>2597.4025974025976</v>
      </c>
      <c r="G276" s="7">
        <v>3125</v>
      </c>
      <c r="H276" s="7"/>
      <c r="I276" s="7"/>
      <c r="J276" s="7">
        <f t="shared" si="39"/>
        <v>3125</v>
      </c>
      <c r="K276" s="7"/>
      <c r="L276" s="7"/>
      <c r="M276" s="7"/>
      <c r="N276" s="7">
        <f>300000/90</f>
        <v>3333.3333333333335</v>
      </c>
      <c r="O276" s="7"/>
      <c r="P276" s="7">
        <f t="shared" si="40"/>
        <v>3333.3333333333335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118</v>
      </c>
      <c r="B278" s="6"/>
      <c r="C278" s="6"/>
      <c r="D278" s="7"/>
      <c r="E278" s="7"/>
      <c r="F278" s="7">
        <f t="shared" si="38"/>
        <v>0</v>
      </c>
      <c r="G278" s="7">
        <f>G273/F273*100</f>
        <v>117.2454964845519</v>
      </c>
      <c r="H278" s="7"/>
      <c r="I278" s="7"/>
      <c r="J278" s="7">
        <f t="shared" si="39"/>
        <v>117.2454964845519</v>
      </c>
      <c r="K278" s="7"/>
      <c r="L278" s="7"/>
      <c r="M278" s="7"/>
      <c r="N278" s="7">
        <f>N273/J273*100</f>
        <v>113.76404494445933</v>
      </c>
      <c r="O278" s="7"/>
      <c r="P278" s="7">
        <f t="shared" si="40"/>
        <v>113.76404494445933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119</v>
      </c>
      <c r="B279" s="6"/>
      <c r="C279" s="6"/>
      <c r="D279" s="7"/>
      <c r="E279" s="7"/>
      <c r="F279" s="7">
        <f t="shared" si="38"/>
        <v>0</v>
      </c>
      <c r="G279" s="7">
        <f>G274/D274*100</f>
        <v>69.44881889851274</v>
      </c>
      <c r="H279" s="7"/>
      <c r="I279" s="7"/>
      <c r="J279" s="7">
        <f t="shared" si="39"/>
        <v>69.44881889851274</v>
      </c>
      <c r="K279" s="7"/>
      <c r="L279" s="7"/>
      <c r="M279" s="7"/>
      <c r="N279" s="7">
        <f>N274/G274*100</f>
        <v>107.7097505659864</v>
      </c>
      <c r="O279" s="7"/>
      <c r="P279" s="7">
        <f t="shared" si="40"/>
        <v>107.7097505659864</v>
      </c>
      <c r="IB279" s="53"/>
      <c r="IC279" s="53"/>
      <c r="ID279" s="53"/>
      <c r="IE279" s="53"/>
      <c r="IF279" s="53"/>
      <c r="IG279" s="53"/>
    </row>
    <row r="280" spans="1:241" s="25" customFormat="1" ht="27" customHeight="1">
      <c r="A280" s="8" t="s">
        <v>223</v>
      </c>
      <c r="B280" s="6"/>
      <c r="C280" s="6"/>
      <c r="D280" s="7"/>
      <c r="E280" s="7"/>
      <c r="F280" s="7">
        <f t="shared" si="38"/>
        <v>0</v>
      </c>
      <c r="G280" s="7">
        <f>G276/D276*100</f>
        <v>120.3125</v>
      </c>
      <c r="H280" s="7"/>
      <c r="I280" s="7"/>
      <c r="J280" s="7">
        <f t="shared" si="39"/>
        <v>120.3125</v>
      </c>
      <c r="K280" s="7"/>
      <c r="L280" s="7"/>
      <c r="M280" s="7"/>
      <c r="N280" s="7">
        <f>N276/G276*100</f>
        <v>106.66666666666667</v>
      </c>
      <c r="O280" s="7"/>
      <c r="P280" s="7">
        <f t="shared" si="40"/>
        <v>106.66666666666667</v>
      </c>
      <c r="IB280" s="53"/>
      <c r="IC280" s="53"/>
      <c r="ID280" s="53"/>
      <c r="IE280" s="53"/>
      <c r="IF280" s="53"/>
      <c r="IG280" s="53"/>
    </row>
    <row r="281" spans="1:241" s="38" customFormat="1" ht="24" customHeight="1">
      <c r="A281" s="34" t="s">
        <v>383</v>
      </c>
      <c r="B281" s="35"/>
      <c r="C281" s="35"/>
      <c r="D281" s="36">
        <v>1000000</v>
      </c>
      <c r="E281" s="36"/>
      <c r="F281" s="36">
        <f>D281</f>
        <v>1000000</v>
      </c>
      <c r="G281" s="36">
        <v>1200000</v>
      </c>
      <c r="H281" s="36"/>
      <c r="I281" s="36"/>
      <c r="J281" s="36">
        <f>G281</f>
        <v>1200000</v>
      </c>
      <c r="K281" s="36">
        <f>(K283*K285)</f>
        <v>0</v>
      </c>
      <c r="L281" s="36">
        <f>(L283*L285)</f>
        <v>0</v>
      </c>
      <c r="M281" s="36">
        <f>(M283*M285)</f>
        <v>0</v>
      </c>
      <c r="N281" s="36">
        <v>1400000</v>
      </c>
      <c r="O281" s="36">
        <f>(O283*O285)</f>
        <v>0</v>
      </c>
      <c r="P281" s="36">
        <f>N281</f>
        <v>1400000</v>
      </c>
      <c r="IB281" s="39"/>
      <c r="IC281" s="39"/>
      <c r="ID281" s="39"/>
      <c r="IE281" s="39"/>
      <c r="IF281" s="39"/>
      <c r="IG281" s="39"/>
    </row>
    <row r="282" spans="1:241" s="25" customFormat="1" ht="11.25">
      <c r="A282" s="5" t="s">
        <v>5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33.75">
      <c r="A283" s="8" t="s">
        <v>246</v>
      </c>
      <c r="B283" s="6"/>
      <c r="C283" s="6"/>
      <c r="D283" s="7">
        <v>750</v>
      </c>
      <c r="E283" s="7"/>
      <c r="F283" s="7">
        <f>D283</f>
        <v>750</v>
      </c>
      <c r="G283" s="7">
        <v>700</v>
      </c>
      <c r="H283" s="7"/>
      <c r="I283" s="7"/>
      <c r="J283" s="7">
        <f>G283</f>
        <v>700</v>
      </c>
      <c r="K283" s="7"/>
      <c r="L283" s="7"/>
      <c r="M283" s="7"/>
      <c r="N283" s="7">
        <v>650</v>
      </c>
      <c r="O283" s="7"/>
      <c r="P283" s="7">
        <f>N283</f>
        <v>650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7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2.5" customHeight="1">
      <c r="A285" s="8" t="s">
        <v>247</v>
      </c>
      <c r="B285" s="6"/>
      <c r="C285" s="6"/>
      <c r="D285" s="7">
        <f>D281/D283</f>
        <v>1333.3333333333333</v>
      </c>
      <c r="E285" s="7"/>
      <c r="F285" s="7">
        <f>D285</f>
        <v>1333.3333333333333</v>
      </c>
      <c r="G285" s="7">
        <f>G281/G283</f>
        <v>1714.2857142857142</v>
      </c>
      <c r="H285" s="7"/>
      <c r="I285" s="7"/>
      <c r="J285" s="7">
        <f>G285</f>
        <v>1714.2857142857142</v>
      </c>
      <c r="K285" s="7"/>
      <c r="L285" s="7"/>
      <c r="M285" s="7"/>
      <c r="N285" s="7">
        <f>1400000/750</f>
        <v>1866.6666666666667</v>
      </c>
      <c r="O285" s="7"/>
      <c r="P285" s="7">
        <f>N285</f>
        <v>1866.6666666666667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6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4" customHeight="1">
      <c r="A287" s="8" t="s">
        <v>179</v>
      </c>
      <c r="B287" s="6"/>
      <c r="C287" s="6"/>
      <c r="D287" s="7"/>
      <c r="E287" s="7"/>
      <c r="F287" s="7"/>
      <c r="G287" s="7">
        <f>G283/D283*100</f>
        <v>93.33333333333333</v>
      </c>
      <c r="H287" s="7"/>
      <c r="I287" s="7"/>
      <c r="J287" s="7">
        <f>G287</f>
        <v>93.33333333333333</v>
      </c>
      <c r="K287" s="7"/>
      <c r="L287" s="7"/>
      <c r="M287" s="7"/>
      <c r="N287" s="7">
        <f>N283/G283*100</f>
        <v>92.85714285714286</v>
      </c>
      <c r="O287" s="7"/>
      <c r="P287" s="7">
        <f>N287</f>
        <v>92.85714285714286</v>
      </c>
      <c r="IB287" s="53"/>
      <c r="IC287" s="53"/>
      <c r="ID287" s="53"/>
      <c r="IE287" s="53"/>
      <c r="IF287" s="53"/>
      <c r="IG287" s="53"/>
    </row>
    <row r="288" spans="1:241" s="25" customFormat="1" ht="31.5" customHeight="1">
      <c r="A288" s="8" t="s">
        <v>180</v>
      </c>
      <c r="B288" s="6"/>
      <c r="C288" s="6"/>
      <c r="D288" s="7"/>
      <c r="E288" s="7"/>
      <c r="F288" s="7"/>
      <c r="G288" s="7">
        <f>G285/D285*100</f>
        <v>128.57142857142858</v>
      </c>
      <c r="H288" s="7"/>
      <c r="I288" s="7"/>
      <c r="J288" s="7">
        <f>G288</f>
        <v>128.57142857142858</v>
      </c>
      <c r="K288" s="7"/>
      <c r="L288" s="7"/>
      <c r="M288" s="7"/>
      <c r="N288" s="7">
        <f>N285/G285*100</f>
        <v>108.8888888888889</v>
      </c>
      <c r="O288" s="7"/>
      <c r="P288" s="7">
        <f>N288</f>
        <v>108.8888888888889</v>
      </c>
      <c r="IB288" s="53"/>
      <c r="IC288" s="53"/>
      <c r="ID288" s="53"/>
      <c r="IE288" s="53"/>
      <c r="IF288" s="53"/>
      <c r="IG288" s="53"/>
    </row>
    <row r="289" spans="1:241" s="38" customFormat="1" ht="22.5" customHeight="1">
      <c r="A289" s="34" t="s">
        <v>384</v>
      </c>
      <c r="B289" s="35"/>
      <c r="C289" s="35"/>
      <c r="D289" s="36"/>
      <c r="E289" s="36">
        <f>11780000+5075000+152250</f>
        <v>17007250</v>
      </c>
      <c r="F289" s="36">
        <f>E289</f>
        <v>17007250</v>
      </c>
      <c r="G289" s="36">
        <f>G291*G293</f>
        <v>0</v>
      </c>
      <c r="H289" s="36">
        <f>12000000+6097000+185000+6401000+20000+500000</f>
        <v>25203000</v>
      </c>
      <c r="I289" s="36">
        <f>I291*I293</f>
        <v>0</v>
      </c>
      <c r="J289" s="36">
        <f>G289+H289</f>
        <v>25203000</v>
      </c>
      <c r="K289" s="36">
        <f>K291*K293</f>
        <v>0</v>
      </c>
      <c r="L289" s="36">
        <f>L291*L293</f>
        <v>0</v>
      </c>
      <c r="M289" s="36">
        <f>M291*M293</f>
        <v>0</v>
      </c>
      <c r="N289" s="36">
        <f>N291*N293</f>
        <v>0</v>
      </c>
      <c r="O289" s="36">
        <v>12100000</v>
      </c>
      <c r="P289" s="36">
        <f>N289+O289</f>
        <v>12100000</v>
      </c>
      <c r="IB289" s="39"/>
      <c r="IC289" s="39"/>
      <c r="ID289" s="39"/>
      <c r="IE289" s="39"/>
      <c r="IF289" s="39"/>
      <c r="IG289" s="39"/>
    </row>
    <row r="290" spans="1:241" s="25" customFormat="1" ht="11.25">
      <c r="A290" s="5" t="s">
        <v>5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1.75" customHeight="1">
      <c r="A291" s="8" t="s">
        <v>120</v>
      </c>
      <c r="B291" s="6"/>
      <c r="C291" s="6"/>
      <c r="D291" s="7"/>
      <c r="E291" s="7">
        <f>20+6</f>
        <v>26</v>
      </c>
      <c r="F291" s="7">
        <f>E291</f>
        <v>26</v>
      </c>
      <c r="G291" s="7"/>
      <c r="H291" s="7">
        <v>18</v>
      </c>
      <c r="I291" s="7"/>
      <c r="J291" s="7">
        <f>G291+H291</f>
        <v>18</v>
      </c>
      <c r="K291" s="7"/>
      <c r="L291" s="7"/>
      <c r="M291" s="7"/>
      <c r="N291" s="7"/>
      <c r="O291" s="7">
        <v>15</v>
      </c>
      <c r="P291" s="7">
        <f>O291</f>
        <v>15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7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3.25" customHeight="1">
      <c r="A293" s="8" t="s">
        <v>121</v>
      </c>
      <c r="B293" s="6"/>
      <c r="C293" s="6"/>
      <c r="D293" s="7"/>
      <c r="E293" s="7">
        <f>E289/E291</f>
        <v>654125</v>
      </c>
      <c r="F293" s="7">
        <f>E293</f>
        <v>654125</v>
      </c>
      <c r="G293" s="7"/>
      <c r="H293" s="7">
        <f>H289/H291</f>
        <v>1400166.6666666667</v>
      </c>
      <c r="I293" s="7"/>
      <c r="J293" s="7">
        <f>G293+H293</f>
        <v>1400166.6666666667</v>
      </c>
      <c r="K293" s="7"/>
      <c r="L293" s="7"/>
      <c r="M293" s="7"/>
      <c r="N293" s="7"/>
      <c r="O293" s="7">
        <f>O289/O291</f>
        <v>806666.6666666666</v>
      </c>
      <c r="P293" s="7">
        <f>O293</f>
        <v>806666.6666666666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6</v>
      </c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IB294" s="53"/>
      <c r="IC294" s="53"/>
      <c r="ID294" s="53"/>
      <c r="IE294" s="53"/>
      <c r="IF294" s="53"/>
      <c r="IG294" s="53"/>
    </row>
    <row r="295" spans="1:241" s="25" customFormat="1" ht="35.25" customHeight="1">
      <c r="A295" s="8" t="s">
        <v>122</v>
      </c>
      <c r="B295" s="6"/>
      <c r="C295" s="6"/>
      <c r="D295" s="7"/>
      <c r="E295" s="7">
        <v>0</v>
      </c>
      <c r="F295" s="7">
        <v>0</v>
      </c>
      <c r="G295" s="7"/>
      <c r="H295" s="7">
        <f>H293/E293*100</f>
        <v>214.05185043633352</v>
      </c>
      <c r="I295" s="7"/>
      <c r="J295" s="7">
        <f>G295+H295</f>
        <v>214.05185043633352</v>
      </c>
      <c r="K295" s="7"/>
      <c r="L295" s="7"/>
      <c r="M295" s="7"/>
      <c r="N295" s="7"/>
      <c r="O295" s="7">
        <f>O293/H293*100</f>
        <v>57.61218902511606</v>
      </c>
      <c r="P295" s="7">
        <f>O295</f>
        <v>57.61218902511606</v>
      </c>
      <c r="IB295" s="53"/>
      <c r="IC295" s="53"/>
      <c r="ID295" s="53"/>
      <c r="IE295" s="53"/>
      <c r="IF295" s="53"/>
      <c r="IG295" s="53"/>
    </row>
    <row r="296" spans="1:241" s="25" customFormat="1" ht="17.25" customHeight="1">
      <c r="A296" s="8" t="s">
        <v>397</v>
      </c>
      <c r="B296" s="6"/>
      <c r="C296" s="6"/>
      <c r="D296" s="7"/>
      <c r="E296" s="7">
        <v>5075000</v>
      </c>
      <c r="F296" s="7">
        <f>E296</f>
        <v>5075000</v>
      </c>
      <c r="G296" s="7"/>
      <c r="H296" s="7">
        <f>0+6097000+6401000+20000+500000</f>
        <v>13018000</v>
      </c>
      <c r="I296" s="7"/>
      <c r="J296" s="7">
        <f>H296</f>
        <v>13018000</v>
      </c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20.25" customHeight="1">
      <c r="A297" s="8" t="s">
        <v>398</v>
      </c>
      <c r="B297" s="6"/>
      <c r="C297" s="6"/>
      <c r="D297" s="7"/>
      <c r="E297" s="7">
        <v>152250</v>
      </c>
      <c r="F297" s="7">
        <f>E297</f>
        <v>152250</v>
      </c>
      <c r="G297" s="7"/>
      <c r="H297" s="7">
        <f>0+185000+15000</f>
        <v>200000</v>
      </c>
      <c r="I297" s="7"/>
      <c r="J297" s="7">
        <f>H297</f>
        <v>200000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16" ht="15" customHeight="1">
      <c r="A298" s="37" t="s">
        <v>355</v>
      </c>
      <c r="B298" s="37"/>
      <c r="C298" s="37"/>
      <c r="D298" s="30"/>
      <c r="E298" s="30">
        <f aca="true" t="shared" si="41" ref="E298:P298">E300+E314+E329</f>
        <v>76757323</v>
      </c>
      <c r="F298" s="30">
        <f t="shared" si="41"/>
        <v>76757323</v>
      </c>
      <c r="G298" s="30">
        <f t="shared" si="41"/>
        <v>0</v>
      </c>
      <c r="H298" s="30">
        <f>H300+H314+H329</f>
        <v>78745199.9975</v>
      </c>
      <c r="I298" s="30">
        <f t="shared" si="41"/>
        <v>742600</v>
      </c>
      <c r="J298" s="30">
        <f t="shared" si="41"/>
        <v>78745199.9975</v>
      </c>
      <c r="K298" s="30">
        <f t="shared" si="41"/>
        <v>10668.66666388889</v>
      </c>
      <c r="L298" s="30">
        <f t="shared" si="41"/>
        <v>2</v>
      </c>
      <c r="M298" s="30">
        <f t="shared" si="41"/>
        <v>2</v>
      </c>
      <c r="N298" s="30">
        <f t="shared" si="41"/>
        <v>0</v>
      </c>
      <c r="O298" s="30">
        <f t="shared" si="41"/>
        <v>70000000.002</v>
      </c>
      <c r="P298" s="30">
        <f t="shared" si="41"/>
        <v>70000000.002</v>
      </c>
    </row>
    <row r="299" spans="1:16" ht="45" customHeight="1">
      <c r="A299" s="34" t="s">
        <v>123</v>
      </c>
      <c r="B299" s="6"/>
      <c r="C299" s="6"/>
      <c r="D299" s="7"/>
      <c r="E299" s="36"/>
      <c r="F299" s="36"/>
      <c r="G299" s="7"/>
      <c r="H299" s="36"/>
      <c r="I299" s="36"/>
      <c r="J299" s="36"/>
      <c r="K299" s="7" t="e">
        <f>H299/E299*100</f>
        <v>#DIV/0!</v>
      </c>
      <c r="L299" s="36"/>
      <c r="M299" s="36"/>
      <c r="N299" s="7"/>
      <c r="O299" s="36"/>
      <c r="P299" s="36"/>
    </row>
    <row r="300" spans="1:16" ht="22.5" customHeight="1">
      <c r="A300" s="34" t="s">
        <v>128</v>
      </c>
      <c r="B300" s="6"/>
      <c r="C300" s="6"/>
      <c r="D300" s="7"/>
      <c r="E300" s="36">
        <f>E301</f>
        <v>55957320</v>
      </c>
      <c r="F300" s="36">
        <f>D300+E300</f>
        <v>55957320</v>
      </c>
      <c r="G300" s="36"/>
      <c r="H300" s="36">
        <f>H301</f>
        <v>58002599.997499995</v>
      </c>
      <c r="I300" s="36"/>
      <c r="J300" s="36">
        <f>G300+H300</f>
        <v>58002599.997499995</v>
      </c>
      <c r="K300" s="36">
        <f>K301+K315+K322</f>
        <v>10667.66666388889</v>
      </c>
      <c r="L300" s="36">
        <f>L301+L315+L322</f>
        <v>1</v>
      </c>
      <c r="M300" s="36">
        <f>M301+M315+M322</f>
        <v>1</v>
      </c>
      <c r="N300" s="36"/>
      <c r="O300" s="36">
        <f>O301</f>
        <v>50000000.002</v>
      </c>
      <c r="P300" s="36">
        <f>N300+O300</f>
        <v>50000000.002</v>
      </c>
    </row>
    <row r="301" spans="1:235" s="39" customFormat="1" ht="22.5">
      <c r="A301" s="34" t="s">
        <v>385</v>
      </c>
      <c r="B301" s="35"/>
      <c r="C301" s="35"/>
      <c r="D301" s="36"/>
      <c r="E301" s="145">
        <f>(E305*E307)+E311+E312+E313</f>
        <v>55957320</v>
      </c>
      <c r="F301" s="36">
        <f>E301</f>
        <v>55957320</v>
      </c>
      <c r="G301" s="36"/>
      <c r="H301" s="36">
        <f>H305*H307+0.01+5339300+4663300</f>
        <v>58002599.997499995</v>
      </c>
      <c r="I301" s="36"/>
      <c r="J301" s="36">
        <f>H301</f>
        <v>58002599.997499995</v>
      </c>
      <c r="K301" s="36">
        <f>K305*K307</f>
        <v>10666.66666388889</v>
      </c>
      <c r="L301" s="36">
        <f>L305*L307</f>
        <v>0</v>
      </c>
      <c r="M301" s="36">
        <f>M305*M307</f>
        <v>0</v>
      </c>
      <c r="N301" s="36"/>
      <c r="O301" s="36">
        <f>O305*O307+0.01</f>
        <v>50000000.002</v>
      </c>
      <c r="P301" s="36">
        <f>N301+O301</f>
        <v>50000000.002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16" ht="11.25">
      <c r="A302" s="5" t="s">
        <v>4</v>
      </c>
      <c r="B302" s="37"/>
      <c r="C302" s="37"/>
      <c r="D302" s="7"/>
      <c r="E302" s="36"/>
      <c r="F302" s="36"/>
      <c r="G302" s="7"/>
      <c r="H302" s="36"/>
      <c r="I302" s="36"/>
      <c r="J302" s="36"/>
      <c r="K302" s="7"/>
      <c r="L302" s="36"/>
      <c r="M302" s="36"/>
      <c r="N302" s="7"/>
      <c r="O302" s="36"/>
      <c r="P302" s="36"/>
    </row>
    <row r="303" spans="1:16" ht="22.5">
      <c r="A303" s="8" t="s">
        <v>124</v>
      </c>
      <c r="B303" s="6"/>
      <c r="C303" s="6"/>
      <c r="D303" s="7"/>
      <c r="E303" s="7">
        <v>1072</v>
      </c>
      <c r="F303" s="7">
        <f>E303</f>
        <v>1072</v>
      </c>
      <c r="G303" s="7"/>
      <c r="H303" s="7">
        <v>892</v>
      </c>
      <c r="I303" s="7"/>
      <c r="J303" s="7">
        <f>H303</f>
        <v>892</v>
      </c>
      <c r="K303" s="7"/>
      <c r="L303" s="36"/>
      <c r="M303" s="36"/>
      <c r="N303" s="7"/>
      <c r="O303" s="7">
        <v>617</v>
      </c>
      <c r="P303" s="7">
        <f>O303</f>
        <v>617</v>
      </c>
    </row>
    <row r="304" spans="1:16" ht="11.25">
      <c r="A304" s="5" t="s">
        <v>5</v>
      </c>
      <c r="B304" s="37"/>
      <c r="C304" s="37"/>
      <c r="D304" s="7"/>
      <c r="E304" s="30"/>
      <c r="F304" s="30"/>
      <c r="G304" s="7"/>
      <c r="H304" s="30"/>
      <c r="I304" s="30"/>
      <c r="J304" s="30"/>
      <c r="K304" s="7" t="e">
        <f>H304/E304*100</f>
        <v>#DIV/0!</v>
      </c>
      <c r="L304" s="30"/>
      <c r="M304" s="30"/>
      <c r="N304" s="7"/>
      <c r="O304" s="30"/>
      <c r="P304" s="30"/>
    </row>
    <row r="305" spans="1:16" ht="22.5">
      <c r="A305" s="8" t="s">
        <v>125</v>
      </c>
      <c r="B305" s="6"/>
      <c r="C305" s="6"/>
      <c r="D305" s="7"/>
      <c r="E305" s="7">
        <v>180</v>
      </c>
      <c r="F305" s="7">
        <f>E305</f>
        <v>180</v>
      </c>
      <c r="G305" s="7"/>
      <c r="H305" s="7">
        <v>275</v>
      </c>
      <c r="I305" s="7"/>
      <c r="J305" s="7">
        <f>H305</f>
        <v>275</v>
      </c>
      <c r="K305" s="7">
        <f>H305/E305*100</f>
        <v>152.77777777777777</v>
      </c>
      <c r="L305" s="7"/>
      <c r="M305" s="7"/>
      <c r="N305" s="7"/>
      <c r="O305" s="7">
        <v>240</v>
      </c>
      <c r="P305" s="7">
        <f>O305</f>
        <v>240</v>
      </c>
    </row>
    <row r="306" spans="1:16" ht="11.25">
      <c r="A306" s="5" t="s">
        <v>7</v>
      </c>
      <c r="B306" s="37"/>
      <c r="C306" s="37"/>
      <c r="D306" s="7"/>
      <c r="E306" s="30"/>
      <c r="F306" s="30"/>
      <c r="G306" s="7"/>
      <c r="H306" s="30"/>
      <c r="I306" s="30"/>
      <c r="J306" s="30"/>
      <c r="K306" s="7" t="e">
        <f>H306/E306*100</f>
        <v>#DIV/0!</v>
      </c>
      <c r="L306" s="30"/>
      <c r="M306" s="30"/>
      <c r="N306" s="7"/>
      <c r="O306" s="30"/>
      <c r="P306" s="30"/>
    </row>
    <row r="307" spans="1:16" ht="24" customHeight="1">
      <c r="A307" s="8" t="s">
        <v>126</v>
      </c>
      <c r="B307" s="6"/>
      <c r="C307" s="6"/>
      <c r="D307" s="7"/>
      <c r="E307" s="7">
        <v>250000</v>
      </c>
      <c r="F307" s="7">
        <f>E307</f>
        <v>250000</v>
      </c>
      <c r="G307" s="7"/>
      <c r="H307" s="7">
        <v>174545.4545</v>
      </c>
      <c r="I307" s="7"/>
      <c r="J307" s="7">
        <f>H307</f>
        <v>174545.4545</v>
      </c>
      <c r="K307" s="7">
        <f>H307/E307*100</f>
        <v>69.8181818</v>
      </c>
      <c r="L307" s="7"/>
      <c r="M307" s="7"/>
      <c r="N307" s="7"/>
      <c r="O307" s="7">
        <v>208333.3333</v>
      </c>
      <c r="P307" s="7">
        <f>O307</f>
        <v>208333.3333</v>
      </c>
    </row>
    <row r="308" spans="1:16" ht="11.25">
      <c r="A308" s="5" t="s">
        <v>6</v>
      </c>
      <c r="B308" s="37"/>
      <c r="C308" s="3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50.25" customHeight="1">
      <c r="A309" s="8" t="s">
        <v>127</v>
      </c>
      <c r="B309" s="6"/>
      <c r="C309" s="6"/>
      <c r="D309" s="7"/>
      <c r="E309" s="7">
        <f>E305/E303*100</f>
        <v>16.791044776119403</v>
      </c>
      <c r="F309" s="7">
        <f>D309+E309</f>
        <v>16.791044776119403</v>
      </c>
      <c r="G309" s="7"/>
      <c r="H309" s="7">
        <f>H305/H303*100</f>
        <v>30.829596412556054</v>
      </c>
      <c r="I309" s="7"/>
      <c r="J309" s="7">
        <f>J305/J303*100</f>
        <v>30.829596412556054</v>
      </c>
      <c r="K309" s="7" t="e">
        <f>K305/K303*100</f>
        <v>#DIV/0!</v>
      </c>
      <c r="L309" s="7" t="e">
        <f>L305/L303*100</f>
        <v>#DIV/0!</v>
      </c>
      <c r="M309" s="7" t="e">
        <f>M305/M303*100</f>
        <v>#DIV/0!</v>
      </c>
      <c r="N309" s="7"/>
      <c r="O309" s="7">
        <f>O305/O303*100</f>
        <v>38.897893030794165</v>
      </c>
      <c r="P309" s="7">
        <f>P305/P303*100</f>
        <v>38.897893030794165</v>
      </c>
    </row>
    <row r="310" spans="1:16" ht="11.25">
      <c r="A310" s="5" t="s">
        <v>5</v>
      </c>
      <c r="B310" s="35"/>
      <c r="C310" s="35"/>
      <c r="D310" s="7"/>
      <c r="E310" s="36"/>
      <c r="F310" s="36"/>
      <c r="G310" s="7"/>
      <c r="H310" s="36"/>
      <c r="I310" s="36"/>
      <c r="J310" s="36"/>
      <c r="K310" s="36"/>
      <c r="L310" s="36"/>
      <c r="M310" s="36"/>
      <c r="N310" s="7"/>
      <c r="O310" s="36"/>
      <c r="P310" s="36"/>
    </row>
    <row r="311" spans="1:16" ht="33.75">
      <c r="A311" s="8" t="s">
        <v>277</v>
      </c>
      <c r="B311" s="37"/>
      <c r="C311" s="37"/>
      <c r="D311" s="30"/>
      <c r="E311" s="7">
        <v>160000</v>
      </c>
      <c r="F311" s="7">
        <v>160000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>
      <c r="A312" s="8" t="s">
        <v>356</v>
      </c>
      <c r="B312" s="37"/>
      <c r="C312" s="37"/>
      <c r="D312" s="30"/>
      <c r="E312" s="7">
        <f>1522000+8354000</f>
        <v>9876000</v>
      </c>
      <c r="F312" s="7">
        <f>E312</f>
        <v>9876000</v>
      </c>
      <c r="G312" s="7"/>
      <c r="H312" s="7">
        <f>0+5339300+4663300</f>
        <v>10002600</v>
      </c>
      <c r="I312" s="7"/>
      <c r="J312" s="7">
        <f>G312+H312</f>
        <v>10002600</v>
      </c>
      <c r="K312" s="7"/>
      <c r="L312" s="7"/>
      <c r="M312" s="7"/>
      <c r="N312" s="7"/>
      <c r="O312" s="7"/>
      <c r="P312" s="7"/>
    </row>
    <row r="313" spans="1:16" ht="22.5">
      <c r="A313" s="8" t="s">
        <v>367</v>
      </c>
      <c r="B313" s="37"/>
      <c r="C313" s="37"/>
      <c r="D313" s="30"/>
      <c r="E313" s="7">
        <f>245700+675620</f>
        <v>921320</v>
      </c>
      <c r="F313" s="7">
        <f>E313</f>
        <v>921320</v>
      </c>
      <c r="G313" s="7"/>
      <c r="H313" s="7">
        <f>0+192200</f>
        <v>192200</v>
      </c>
      <c r="I313" s="7"/>
      <c r="J313" s="7">
        <f>G313+H313</f>
        <v>192200</v>
      </c>
      <c r="K313" s="7"/>
      <c r="L313" s="7"/>
      <c r="M313" s="7"/>
      <c r="N313" s="7"/>
      <c r="O313" s="7"/>
      <c r="P313" s="7"/>
    </row>
    <row r="314" spans="1:235" s="39" customFormat="1" ht="36" customHeight="1">
      <c r="A314" s="34" t="s">
        <v>341</v>
      </c>
      <c r="B314" s="35"/>
      <c r="C314" s="35"/>
      <c r="D314" s="36"/>
      <c r="E314" s="36">
        <f>SUM(E315)+E322</f>
        <v>20000000</v>
      </c>
      <c r="F314" s="36">
        <f aca="true" t="shared" si="42" ref="F314:P314">SUM(F315)+F322</f>
        <v>20000000</v>
      </c>
      <c r="G314" s="36">
        <f t="shared" si="42"/>
        <v>0</v>
      </c>
      <c r="H314" s="36">
        <f t="shared" si="42"/>
        <v>20000000</v>
      </c>
      <c r="I314" s="36">
        <f t="shared" si="42"/>
        <v>0</v>
      </c>
      <c r="J314" s="36">
        <f t="shared" si="42"/>
        <v>20000000</v>
      </c>
      <c r="K314" s="36">
        <f t="shared" si="42"/>
        <v>1</v>
      </c>
      <c r="L314" s="36">
        <f t="shared" si="42"/>
        <v>1</v>
      </c>
      <c r="M314" s="36">
        <f t="shared" si="42"/>
        <v>1</v>
      </c>
      <c r="N314" s="36">
        <f t="shared" si="42"/>
        <v>0</v>
      </c>
      <c r="O314" s="36">
        <f t="shared" si="42"/>
        <v>20000000</v>
      </c>
      <c r="P314" s="36">
        <f t="shared" si="42"/>
        <v>20000000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</row>
    <row r="315" spans="1:235" s="39" customFormat="1" ht="41.25" customHeight="1">
      <c r="A315" s="34" t="s">
        <v>386</v>
      </c>
      <c r="B315" s="35"/>
      <c r="C315" s="35"/>
      <c r="D315" s="36"/>
      <c r="E315" s="36">
        <f>E319*E321</f>
        <v>14999999.999999998</v>
      </c>
      <c r="F315" s="36">
        <f>F319*F321</f>
        <v>14999999.999999998</v>
      </c>
      <c r="G315" s="36"/>
      <c r="H315" s="36">
        <f>H319*H321</f>
        <v>14000000</v>
      </c>
      <c r="I315" s="36"/>
      <c r="J315" s="36">
        <f>H315</f>
        <v>14000000</v>
      </c>
      <c r="K315" s="36">
        <f>K319*K321+1</f>
        <v>1</v>
      </c>
      <c r="L315" s="36">
        <f>L319*L321+1</f>
        <v>1</v>
      </c>
      <c r="M315" s="36">
        <f>M319*M321+1</f>
        <v>1</v>
      </c>
      <c r="N315" s="36"/>
      <c r="O315" s="36">
        <f>O317</f>
        <v>13000000</v>
      </c>
      <c r="P315" s="36">
        <f>O315</f>
        <v>13000000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16" ht="11.25">
      <c r="A316" s="5" t="s">
        <v>4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193</v>
      </c>
      <c r="B317" s="6"/>
      <c r="C317" s="6"/>
      <c r="D317" s="7"/>
      <c r="E317" s="7">
        <f>E319*E321</f>
        <v>14999999.999999998</v>
      </c>
      <c r="F317" s="7">
        <f>E317</f>
        <v>14999999.999999998</v>
      </c>
      <c r="G317" s="7"/>
      <c r="H317" s="7">
        <f>H319*H321</f>
        <v>14000000</v>
      </c>
      <c r="I317" s="7"/>
      <c r="J317" s="7">
        <f>H317</f>
        <v>14000000</v>
      </c>
      <c r="K317" s="7"/>
      <c r="L317" s="7"/>
      <c r="M317" s="7"/>
      <c r="N317" s="7"/>
      <c r="O317" s="7">
        <f>O319*O321</f>
        <v>13000000</v>
      </c>
      <c r="P317" s="7">
        <f>O317</f>
        <v>13000000</v>
      </c>
    </row>
    <row r="318" spans="1:16" ht="11.25">
      <c r="A318" s="5" t="s">
        <v>5</v>
      </c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2.5">
      <c r="A319" s="8" t="s">
        <v>192</v>
      </c>
      <c r="B319" s="6"/>
      <c r="C319" s="6"/>
      <c r="D319" s="7"/>
      <c r="E319" s="7">
        <v>43</v>
      </c>
      <c r="F319" s="7">
        <f>E319</f>
        <v>43</v>
      </c>
      <c r="G319" s="7"/>
      <c r="H319" s="7">
        <v>40</v>
      </c>
      <c r="I319" s="7"/>
      <c r="J319" s="7">
        <f>H319</f>
        <v>40</v>
      </c>
      <c r="K319" s="7"/>
      <c r="L319" s="7"/>
      <c r="M319" s="7"/>
      <c r="N319" s="7"/>
      <c r="O319" s="7">
        <v>36</v>
      </c>
      <c r="P319" s="7">
        <f>O319</f>
        <v>36</v>
      </c>
    </row>
    <row r="320" spans="1:16" ht="11.25">
      <c r="A320" s="5" t="s">
        <v>7</v>
      </c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2.5">
      <c r="A321" s="8" t="s">
        <v>126</v>
      </c>
      <c r="B321" s="6"/>
      <c r="C321" s="6"/>
      <c r="D321" s="7"/>
      <c r="E321" s="7">
        <f>15000000/43</f>
        <v>348837.20930232556</v>
      </c>
      <c r="F321" s="7">
        <f>E321</f>
        <v>348837.20930232556</v>
      </c>
      <c r="G321" s="7"/>
      <c r="H321" s="7">
        <f>14000000/40</f>
        <v>350000</v>
      </c>
      <c r="I321" s="7"/>
      <c r="J321" s="7">
        <f>H321</f>
        <v>350000</v>
      </c>
      <c r="K321" s="7"/>
      <c r="L321" s="7"/>
      <c r="M321" s="7"/>
      <c r="N321" s="7"/>
      <c r="O321" s="7">
        <f>13000000/36</f>
        <v>361111.1111111111</v>
      </c>
      <c r="P321" s="7">
        <f>O321</f>
        <v>361111.1111111111</v>
      </c>
    </row>
    <row r="322" spans="1:16" ht="40.5" customHeight="1">
      <c r="A322" s="34" t="s">
        <v>387</v>
      </c>
      <c r="B322" s="37"/>
      <c r="C322" s="37"/>
      <c r="D322" s="30">
        <f>D324</f>
        <v>0</v>
      </c>
      <c r="E322" s="30">
        <f>E324</f>
        <v>5000000</v>
      </c>
      <c r="F322" s="30">
        <f>D322+E322</f>
        <v>5000000</v>
      </c>
      <c r="G322" s="30"/>
      <c r="H322" s="30">
        <f>H324</f>
        <v>6000000</v>
      </c>
      <c r="I322" s="30">
        <f aca="true" t="shared" si="43" ref="I322:P322">I324</f>
        <v>0</v>
      </c>
      <c r="J322" s="30">
        <f t="shared" si="43"/>
        <v>6000000</v>
      </c>
      <c r="K322" s="30">
        <f t="shared" si="43"/>
        <v>0</v>
      </c>
      <c r="L322" s="30">
        <f t="shared" si="43"/>
        <v>0</v>
      </c>
      <c r="M322" s="30">
        <f t="shared" si="43"/>
        <v>0</v>
      </c>
      <c r="N322" s="30">
        <f t="shared" si="43"/>
        <v>0</v>
      </c>
      <c r="O322" s="30">
        <f t="shared" si="43"/>
        <v>7000000</v>
      </c>
      <c r="P322" s="30">
        <f t="shared" si="43"/>
        <v>7000000</v>
      </c>
    </row>
    <row r="323" spans="1:16" ht="17.25" customHeight="1">
      <c r="A323" s="5" t="s">
        <v>4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5.5" customHeight="1">
      <c r="A324" s="8" t="s">
        <v>194</v>
      </c>
      <c r="B324" s="37"/>
      <c r="C324" s="37"/>
      <c r="D324" s="30"/>
      <c r="E324" s="7">
        <f>E326*E328</f>
        <v>5000000</v>
      </c>
      <c r="F324" s="7">
        <f>D324+E324</f>
        <v>5000000</v>
      </c>
      <c r="G324" s="7"/>
      <c r="H324" s="7">
        <f>H326*H328</f>
        <v>6000000</v>
      </c>
      <c r="I324" s="7"/>
      <c r="J324" s="7">
        <f>H324</f>
        <v>6000000</v>
      </c>
      <c r="K324" s="7"/>
      <c r="L324" s="7"/>
      <c r="M324" s="7"/>
      <c r="N324" s="7"/>
      <c r="O324" s="7">
        <f>O326*O328</f>
        <v>7000000</v>
      </c>
      <c r="P324" s="7">
        <f>O324</f>
        <v>7000000</v>
      </c>
    </row>
    <row r="325" spans="1:16" ht="15.75" customHeight="1">
      <c r="A325" s="5" t="s">
        <v>5</v>
      </c>
      <c r="B325" s="37"/>
      <c r="C325" s="37"/>
      <c r="D325" s="3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5.5" customHeight="1">
      <c r="A326" s="8" t="s">
        <v>125</v>
      </c>
      <c r="B326" s="37"/>
      <c r="C326" s="37"/>
      <c r="D326" s="30"/>
      <c r="E326" s="7">
        <v>16</v>
      </c>
      <c r="F326" s="7">
        <f>D326+E326</f>
        <v>16</v>
      </c>
      <c r="G326" s="7"/>
      <c r="H326" s="7">
        <v>16</v>
      </c>
      <c r="I326" s="7"/>
      <c r="J326" s="7">
        <f>H326</f>
        <v>16</v>
      </c>
      <c r="K326" s="7"/>
      <c r="L326" s="7"/>
      <c r="M326" s="7"/>
      <c r="N326" s="7"/>
      <c r="O326" s="7">
        <v>16</v>
      </c>
      <c r="P326" s="7">
        <v>16</v>
      </c>
    </row>
    <row r="327" spans="1:16" ht="15.75" customHeight="1">
      <c r="A327" s="5" t="s">
        <v>7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7.5" customHeight="1">
      <c r="A328" s="8" t="s">
        <v>195</v>
      </c>
      <c r="B328" s="37"/>
      <c r="C328" s="37"/>
      <c r="D328" s="30"/>
      <c r="E328" s="7">
        <v>312500</v>
      </c>
      <c r="F328" s="7">
        <f>D328+E328</f>
        <v>312500</v>
      </c>
      <c r="G328" s="7"/>
      <c r="H328" s="7">
        <v>375000</v>
      </c>
      <c r="I328" s="7"/>
      <c r="J328" s="7">
        <f>H328</f>
        <v>375000</v>
      </c>
      <c r="K328" s="7"/>
      <c r="L328" s="7"/>
      <c r="M328" s="7"/>
      <c r="N328" s="7"/>
      <c r="O328" s="7">
        <v>437500</v>
      </c>
      <c r="P328" s="7">
        <f>O328</f>
        <v>437500</v>
      </c>
    </row>
    <row r="329" spans="1:235" s="52" customFormat="1" ht="37.5" customHeight="1">
      <c r="A329" s="5" t="s">
        <v>388</v>
      </c>
      <c r="B329" s="37"/>
      <c r="C329" s="37"/>
      <c r="D329" s="30"/>
      <c r="E329" s="30">
        <f aca="true" t="shared" si="44" ref="E329:P329">SUM(E331)</f>
        <v>800003</v>
      </c>
      <c r="F329" s="30">
        <f t="shared" si="44"/>
        <v>800003</v>
      </c>
      <c r="G329" s="30">
        <f t="shared" si="44"/>
        <v>0</v>
      </c>
      <c r="H329" s="30">
        <f t="shared" si="44"/>
        <v>742600</v>
      </c>
      <c r="I329" s="30">
        <f t="shared" si="44"/>
        <v>742600</v>
      </c>
      <c r="J329" s="30">
        <f t="shared" si="44"/>
        <v>742600</v>
      </c>
      <c r="K329" s="30">
        <f t="shared" si="44"/>
        <v>0</v>
      </c>
      <c r="L329" s="30">
        <f t="shared" si="44"/>
        <v>0</v>
      </c>
      <c r="M329" s="30">
        <f t="shared" si="44"/>
        <v>0</v>
      </c>
      <c r="N329" s="30">
        <f t="shared" si="44"/>
        <v>0</v>
      </c>
      <c r="O329" s="30">
        <f t="shared" si="44"/>
        <v>0</v>
      </c>
      <c r="P329" s="30">
        <f t="shared" si="44"/>
        <v>0</v>
      </c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</row>
    <row r="330" spans="1:16" ht="10.5" customHeight="1">
      <c r="A330" s="5" t="s">
        <v>4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2.25" customHeight="1">
      <c r="A331" s="8" t="s">
        <v>339</v>
      </c>
      <c r="B331" s="37"/>
      <c r="C331" s="37"/>
      <c r="D331" s="30"/>
      <c r="E331" s="7">
        <v>800003</v>
      </c>
      <c r="F331" s="7">
        <v>800003</v>
      </c>
      <c r="G331" s="7"/>
      <c r="H331" s="7">
        <v>742600</v>
      </c>
      <c r="I331" s="7">
        <v>742600</v>
      </c>
      <c r="J331" s="7">
        <v>742600</v>
      </c>
      <c r="K331" s="7"/>
      <c r="L331" s="7"/>
      <c r="M331" s="7"/>
      <c r="N331" s="7"/>
      <c r="O331" s="7"/>
      <c r="P331" s="7"/>
    </row>
    <row r="332" spans="1:16" ht="16.5" customHeight="1">
      <c r="A332" s="5" t="s">
        <v>5</v>
      </c>
      <c r="B332" s="37"/>
      <c r="C332" s="37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26.25" customHeight="1">
      <c r="A333" s="8" t="s">
        <v>125</v>
      </c>
      <c r="B333" s="37"/>
      <c r="C333" s="37"/>
      <c r="D333" s="30"/>
      <c r="E333" s="7">
        <v>10</v>
      </c>
      <c r="F333" s="7">
        <v>10</v>
      </c>
      <c r="G333" s="7"/>
      <c r="H333" s="7">
        <v>10</v>
      </c>
      <c r="I333" s="7">
        <v>10</v>
      </c>
      <c r="J333" s="7">
        <v>10</v>
      </c>
      <c r="K333" s="7"/>
      <c r="L333" s="7"/>
      <c r="M333" s="7"/>
      <c r="N333" s="7"/>
      <c r="O333" s="7"/>
      <c r="P333" s="7"/>
    </row>
    <row r="334" spans="1:235" s="52" customFormat="1" ht="18" customHeight="1">
      <c r="A334" s="5" t="s">
        <v>7</v>
      </c>
      <c r="B334" s="37"/>
      <c r="C334" s="3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</row>
    <row r="335" spans="1:16" ht="37.5" customHeight="1">
      <c r="A335" s="8" t="s">
        <v>340</v>
      </c>
      <c r="B335" s="37"/>
      <c r="C335" s="37"/>
      <c r="D335" s="30"/>
      <c r="E335" s="7">
        <f>SUM(E331)/E333</f>
        <v>80000.3</v>
      </c>
      <c r="F335" s="7">
        <f>SUM(F331)/F333</f>
        <v>80000.3</v>
      </c>
      <c r="G335" s="7"/>
      <c r="H335" s="7">
        <f>H331/H333</f>
        <v>74260</v>
      </c>
      <c r="I335" s="7">
        <f>I331/I333</f>
        <v>74260</v>
      </c>
      <c r="J335" s="7">
        <f>J331/J333</f>
        <v>74260</v>
      </c>
      <c r="K335" s="7"/>
      <c r="L335" s="7"/>
      <c r="M335" s="7"/>
      <c r="N335" s="7"/>
      <c r="O335" s="7"/>
      <c r="P335" s="7"/>
    </row>
    <row r="336" spans="1:16" ht="16.5" customHeight="1">
      <c r="A336" s="37" t="s">
        <v>361</v>
      </c>
      <c r="B336" s="37"/>
      <c r="C336" s="37"/>
      <c r="D336" s="30">
        <f>D337+D338</f>
        <v>3794380.0029998</v>
      </c>
      <c r="E336" s="30">
        <f>E337+E338</f>
        <v>692840</v>
      </c>
      <c r="F336" s="30">
        <f>D336+E336</f>
        <v>4487220.002999799</v>
      </c>
      <c r="G336" s="30">
        <f>G337+G338</f>
        <v>3963255</v>
      </c>
      <c r="H336" s="30">
        <f>H337+H338</f>
        <v>742600</v>
      </c>
      <c r="I336" s="30">
        <f>I337+I338</f>
        <v>0</v>
      </c>
      <c r="J336" s="30">
        <f>G336+H336</f>
        <v>4705855</v>
      </c>
      <c r="K336" s="30" t="e">
        <f>K337+K338</f>
        <v>#REF!</v>
      </c>
      <c r="L336" s="30">
        <f>L337+L338</f>
        <v>0</v>
      </c>
      <c r="M336" s="30">
        <f>M337+M338</f>
        <v>0</v>
      </c>
      <c r="N336" s="30">
        <f>N337+N338</f>
        <v>3742519.99999968</v>
      </c>
      <c r="O336" s="30">
        <f>O337+O338</f>
        <v>787532</v>
      </c>
      <c r="P336" s="30">
        <f>N336+O336</f>
        <v>4530051.99999968</v>
      </c>
    </row>
    <row r="337" spans="1:16" ht="13.5" customHeight="1">
      <c r="A337" s="37" t="s">
        <v>54</v>
      </c>
      <c r="B337" s="37"/>
      <c r="C337" s="37"/>
      <c r="D337" s="30">
        <f>D340+D347+D425+D430</f>
        <v>3331999.9999997998</v>
      </c>
      <c r="E337" s="30">
        <f>E340+E347+E425+E430</f>
        <v>0</v>
      </c>
      <c r="F337" s="30">
        <f>D337+E337</f>
        <v>3331999.9999997998</v>
      </c>
      <c r="G337" s="30">
        <f>G340+G347+G425+G430+G357</f>
        <v>3528000</v>
      </c>
      <c r="H337" s="30">
        <f>H340+H347+H425+H430</f>
        <v>0</v>
      </c>
      <c r="I337" s="30">
        <f>I340+I347+I425+I430</f>
        <v>0</v>
      </c>
      <c r="J337" s="30">
        <f>G337+H337</f>
        <v>3528000</v>
      </c>
      <c r="K337" s="30" t="e">
        <f>K340+K347+K425+K430</f>
        <v>#REF!</v>
      </c>
      <c r="L337" s="30">
        <f>L340+L347+L425+L430</f>
        <v>0</v>
      </c>
      <c r="M337" s="30">
        <f>M340+M347+M425+M430</f>
        <v>0</v>
      </c>
      <c r="N337" s="30">
        <f>N340+N347+N425+N430</f>
        <v>3389999.99999968</v>
      </c>
      <c r="O337" s="30">
        <f>O340+O347+O425+O430</f>
        <v>0</v>
      </c>
      <c r="P337" s="30">
        <f>N337+O337</f>
        <v>3389999.99999968</v>
      </c>
    </row>
    <row r="338" spans="1:235" s="139" customFormat="1" ht="11.25">
      <c r="A338" s="152" t="s">
        <v>189</v>
      </c>
      <c r="B338" s="152"/>
      <c r="C338" s="152"/>
      <c r="D338" s="153">
        <f>D366+D447</f>
        <v>462380.003</v>
      </c>
      <c r="E338" s="153">
        <f>E400</f>
        <v>692840</v>
      </c>
      <c r="F338" s="153">
        <f>D338+E338</f>
        <v>1155220.003</v>
      </c>
      <c r="G338" s="153">
        <f>G366+G447</f>
        <v>435255</v>
      </c>
      <c r="H338" s="153">
        <f>H400</f>
        <v>742600</v>
      </c>
      <c r="I338" s="153">
        <f>I368+I378</f>
        <v>0</v>
      </c>
      <c r="J338" s="153">
        <f>G338+H338</f>
        <v>1177855</v>
      </c>
      <c r="K338" s="153">
        <f>K368+K378</f>
        <v>0</v>
      </c>
      <c r="L338" s="153">
        <f>L368+L378</f>
        <v>0</v>
      </c>
      <c r="M338" s="153">
        <f>M368+M378</f>
        <v>0</v>
      </c>
      <c r="N338" s="153">
        <f>N366</f>
        <v>352520</v>
      </c>
      <c r="O338" s="153">
        <f>O400</f>
        <v>787532</v>
      </c>
      <c r="P338" s="153">
        <f>N338+O338</f>
        <v>1140052</v>
      </c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8"/>
      <c r="CY338" s="138"/>
      <c r="CZ338" s="138"/>
      <c r="DA338" s="138"/>
      <c r="DB338" s="138"/>
      <c r="DC338" s="138"/>
      <c r="DD338" s="138"/>
      <c r="DE338" s="138"/>
      <c r="DF338" s="138"/>
      <c r="DG338" s="138"/>
      <c r="DH338" s="138"/>
      <c r="DI338" s="138"/>
      <c r="DJ338" s="138"/>
      <c r="DK338" s="138"/>
      <c r="DL338" s="138"/>
      <c r="DM338" s="138"/>
      <c r="DN338" s="138"/>
      <c r="DO338" s="138"/>
      <c r="DP338" s="138"/>
      <c r="DQ338" s="138"/>
      <c r="DR338" s="138"/>
      <c r="DS338" s="138"/>
      <c r="DT338" s="138"/>
      <c r="DU338" s="138"/>
      <c r="DV338" s="138"/>
      <c r="DW338" s="138"/>
      <c r="DX338" s="138"/>
      <c r="DY338" s="138"/>
      <c r="DZ338" s="138"/>
      <c r="EA338" s="138"/>
      <c r="EB338" s="138"/>
      <c r="EC338" s="138"/>
      <c r="ED338" s="138"/>
      <c r="EE338" s="138"/>
      <c r="EF338" s="138"/>
      <c r="EG338" s="138"/>
      <c r="EH338" s="138"/>
      <c r="EI338" s="138"/>
      <c r="EJ338" s="138"/>
      <c r="EK338" s="138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138"/>
      <c r="FF338" s="138"/>
      <c r="FG338" s="138"/>
      <c r="FH338" s="138"/>
      <c r="FI338" s="138"/>
      <c r="FJ338" s="138"/>
      <c r="FK338" s="138"/>
      <c r="FL338" s="138"/>
      <c r="FM338" s="138"/>
      <c r="FN338" s="138"/>
      <c r="FO338" s="138"/>
      <c r="FP338" s="138"/>
      <c r="FQ338" s="138"/>
      <c r="FR338" s="138"/>
      <c r="FS338" s="138"/>
      <c r="FT338" s="138"/>
      <c r="FU338" s="138"/>
      <c r="FV338" s="138"/>
      <c r="FW338" s="138"/>
      <c r="FX338" s="138"/>
      <c r="FY338" s="138"/>
      <c r="FZ338" s="138"/>
      <c r="GA338" s="138"/>
      <c r="GB338" s="138"/>
      <c r="GC338" s="138"/>
      <c r="GD338" s="138"/>
      <c r="GE338" s="138"/>
      <c r="GF338" s="138"/>
      <c r="GG338" s="138"/>
      <c r="GH338" s="138"/>
      <c r="GI338" s="138"/>
      <c r="GJ338" s="138"/>
      <c r="GK338" s="138"/>
      <c r="GL338" s="138"/>
      <c r="GM338" s="138"/>
      <c r="GN338" s="138"/>
      <c r="GO338" s="138"/>
      <c r="GP338" s="138"/>
      <c r="GQ338" s="138"/>
      <c r="GR338" s="138"/>
      <c r="GS338" s="138"/>
      <c r="GT338" s="138"/>
      <c r="GU338" s="138"/>
      <c r="GV338" s="138"/>
      <c r="GW338" s="138"/>
      <c r="GX338" s="138"/>
      <c r="GY338" s="138"/>
      <c r="GZ338" s="138"/>
      <c r="HA338" s="138"/>
      <c r="HB338" s="138"/>
      <c r="HC338" s="138"/>
      <c r="HD338" s="138"/>
      <c r="HE338" s="138"/>
      <c r="HF338" s="138"/>
      <c r="HG338" s="138"/>
      <c r="HH338" s="138"/>
      <c r="HI338" s="138"/>
      <c r="HJ338" s="138"/>
      <c r="HK338" s="138"/>
      <c r="HL338" s="138"/>
      <c r="HM338" s="138"/>
      <c r="HN338" s="138"/>
      <c r="HO338" s="138"/>
      <c r="HP338" s="138"/>
      <c r="HQ338" s="138"/>
      <c r="HR338" s="138"/>
      <c r="HS338" s="138"/>
      <c r="HT338" s="138"/>
      <c r="HU338" s="138"/>
      <c r="HV338" s="138"/>
      <c r="HW338" s="138"/>
      <c r="HX338" s="138"/>
      <c r="HY338" s="138"/>
      <c r="HZ338" s="138"/>
      <c r="IA338" s="138"/>
    </row>
    <row r="339" spans="1:16" ht="36" customHeight="1">
      <c r="A339" s="8" t="s">
        <v>129</v>
      </c>
      <c r="B339" s="6"/>
      <c r="C339" s="6"/>
      <c r="D339" s="36"/>
      <c r="E339" s="36"/>
      <c r="F339" s="36"/>
      <c r="G339" s="36"/>
      <c r="H339" s="36"/>
      <c r="I339" s="36"/>
      <c r="J339" s="36"/>
      <c r="K339" s="7"/>
      <c r="L339" s="36"/>
      <c r="M339" s="36"/>
      <c r="N339" s="36"/>
      <c r="O339" s="36"/>
      <c r="P339" s="36"/>
    </row>
    <row r="340" spans="1:235" s="39" customFormat="1" ht="22.5">
      <c r="A340" s="34" t="s">
        <v>389</v>
      </c>
      <c r="B340" s="35"/>
      <c r="C340" s="35"/>
      <c r="D340" s="36">
        <f>D342</f>
        <v>2700000</v>
      </c>
      <c r="E340" s="36"/>
      <c r="F340" s="36">
        <f>F342</f>
        <v>2700000</v>
      </c>
      <c r="G340" s="36">
        <f>G344*G346+800000-2000-220000</f>
        <v>2578000</v>
      </c>
      <c r="H340" s="36"/>
      <c r="I340" s="36"/>
      <c r="J340" s="36">
        <f>J342</f>
        <v>2578000</v>
      </c>
      <c r="K340" s="36"/>
      <c r="L340" s="36"/>
      <c r="M340" s="36"/>
      <c r="N340" s="36">
        <f>N342</f>
        <v>2900000</v>
      </c>
      <c r="O340" s="36"/>
      <c r="P340" s="36">
        <f>N340</f>
        <v>2900000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</row>
    <row r="341" spans="1:16" ht="11.25">
      <c r="A341" s="5" t="s">
        <v>38</v>
      </c>
      <c r="B341" s="37"/>
      <c r="C341" s="37"/>
      <c r="D341" s="30"/>
      <c r="E341" s="30"/>
      <c r="F341" s="30"/>
      <c r="G341" s="30"/>
      <c r="H341" s="30"/>
      <c r="I341" s="30"/>
      <c r="J341" s="30"/>
      <c r="K341" s="7"/>
      <c r="L341" s="30"/>
      <c r="M341" s="30"/>
      <c r="N341" s="30"/>
      <c r="O341" s="30"/>
      <c r="P341" s="30"/>
    </row>
    <row r="342" spans="1:16" ht="23.25" customHeight="1">
      <c r="A342" s="8" t="s">
        <v>269</v>
      </c>
      <c r="B342" s="6"/>
      <c r="C342" s="6"/>
      <c r="D342" s="7">
        <f>(D344*D346)+280000+700000</f>
        <v>2700000</v>
      </c>
      <c r="E342" s="7"/>
      <c r="F342" s="7">
        <f>D342</f>
        <v>2700000</v>
      </c>
      <c r="G342" s="7">
        <f>G344*G346+800000-2000-220000</f>
        <v>2578000</v>
      </c>
      <c r="H342" s="7"/>
      <c r="I342" s="7"/>
      <c r="J342" s="7">
        <f>G342</f>
        <v>2578000</v>
      </c>
      <c r="K342" s="7">
        <f>G342/D342*100</f>
        <v>95.48148148148148</v>
      </c>
      <c r="L342" s="7"/>
      <c r="M342" s="7"/>
      <c r="N342" s="7">
        <f>N344*N346+700000</f>
        <v>2900000</v>
      </c>
      <c r="O342" s="7"/>
      <c r="P342" s="7">
        <f>N342</f>
        <v>2900000</v>
      </c>
    </row>
    <row r="343" spans="1:16" ht="11.25">
      <c r="A343" s="5" t="s">
        <v>5</v>
      </c>
      <c r="B343" s="37"/>
      <c r="C343" s="37"/>
      <c r="D343" s="30"/>
      <c r="E343" s="30"/>
      <c r="F343" s="7"/>
      <c r="G343" s="30"/>
      <c r="H343" s="30"/>
      <c r="I343" s="30"/>
      <c r="J343" s="7"/>
      <c r="K343" s="7"/>
      <c r="L343" s="30"/>
      <c r="M343" s="30"/>
      <c r="N343" s="30"/>
      <c r="O343" s="30"/>
      <c r="P343" s="7"/>
    </row>
    <row r="344" spans="1:16" ht="22.5">
      <c r="A344" s="8" t="s">
        <v>268</v>
      </c>
      <c r="B344" s="6"/>
      <c r="C344" s="6"/>
      <c r="D344" s="7">
        <v>8</v>
      </c>
      <c r="E344" s="7"/>
      <c r="F344" s="7">
        <f>D344</f>
        <v>8</v>
      </c>
      <c r="G344" s="7">
        <v>8</v>
      </c>
      <c r="H344" s="7"/>
      <c r="I344" s="7"/>
      <c r="J344" s="7">
        <f>G344</f>
        <v>8</v>
      </c>
      <c r="K344" s="7">
        <f>G344/D344*100</f>
        <v>100</v>
      </c>
      <c r="L344" s="7"/>
      <c r="M344" s="7"/>
      <c r="N344" s="7">
        <v>8</v>
      </c>
      <c r="O344" s="7"/>
      <c r="P344" s="7">
        <f>N344</f>
        <v>8</v>
      </c>
    </row>
    <row r="345" spans="1:16" ht="11.25">
      <c r="A345" s="5" t="s">
        <v>7</v>
      </c>
      <c r="B345" s="37"/>
      <c r="C345" s="37"/>
      <c r="D345" s="30"/>
      <c r="E345" s="30"/>
      <c r="F345" s="7"/>
      <c r="G345" s="30"/>
      <c r="H345" s="30"/>
      <c r="I345" s="30"/>
      <c r="J345" s="7"/>
      <c r="K345" s="7"/>
      <c r="L345" s="30"/>
      <c r="M345" s="30"/>
      <c r="N345" s="30"/>
      <c r="O345" s="30"/>
      <c r="P345" s="7"/>
    </row>
    <row r="346" spans="1:16" ht="22.5">
      <c r="A346" s="8" t="s">
        <v>270</v>
      </c>
      <c r="B346" s="6"/>
      <c r="C346" s="6"/>
      <c r="D346" s="7">
        <v>215000</v>
      </c>
      <c r="E346" s="7"/>
      <c r="F346" s="7">
        <f>D346</f>
        <v>215000</v>
      </c>
      <c r="G346" s="7">
        <v>250000</v>
      </c>
      <c r="H346" s="7"/>
      <c r="I346" s="7"/>
      <c r="J346" s="7">
        <f>G346</f>
        <v>250000</v>
      </c>
      <c r="K346" s="7">
        <f>G346/D346*100</f>
        <v>116.27906976744187</v>
      </c>
      <c r="L346" s="7"/>
      <c r="M346" s="7"/>
      <c r="N346" s="7">
        <v>275000</v>
      </c>
      <c r="O346" s="7"/>
      <c r="P346" s="7">
        <f>N346</f>
        <v>275000</v>
      </c>
    </row>
    <row r="347" spans="1:235" s="39" customFormat="1" ht="36" customHeight="1">
      <c r="A347" s="34" t="s">
        <v>390</v>
      </c>
      <c r="B347" s="35"/>
      <c r="C347" s="35"/>
      <c r="D347" s="45">
        <f>D351*D354</f>
        <v>163000</v>
      </c>
      <c r="E347" s="45"/>
      <c r="F347" s="45">
        <f>D347+E347</f>
        <v>163000</v>
      </c>
      <c r="G347" s="45">
        <f aca="true" t="shared" si="45" ref="G347:M347">G351*G354</f>
        <v>300000</v>
      </c>
      <c r="H347" s="45"/>
      <c r="I347" s="45"/>
      <c r="J347" s="45">
        <f t="shared" si="45"/>
        <v>300000</v>
      </c>
      <c r="K347" s="45" t="e">
        <f t="shared" si="45"/>
        <v>#REF!</v>
      </c>
      <c r="L347" s="45">
        <f t="shared" si="45"/>
        <v>0</v>
      </c>
      <c r="M347" s="45">
        <f t="shared" si="45"/>
        <v>0</v>
      </c>
      <c r="N347" s="45">
        <f>N351*N354</f>
        <v>350000</v>
      </c>
      <c r="O347" s="45"/>
      <c r="P347" s="45" t="e">
        <f>P351*P354+P352*#REF!</f>
        <v>#REF!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</row>
    <row r="348" spans="1:16" ht="11.25">
      <c r="A348" s="5" t="s">
        <v>38</v>
      </c>
      <c r="B348" s="37"/>
      <c r="C348" s="37"/>
      <c r="D348" s="44"/>
      <c r="E348" s="44"/>
      <c r="F348" s="44"/>
      <c r="G348" s="30"/>
      <c r="H348" s="30"/>
      <c r="I348" s="30"/>
      <c r="J348" s="30"/>
      <c r="K348" s="7"/>
      <c r="L348" s="30"/>
      <c r="M348" s="30"/>
      <c r="N348" s="30"/>
      <c r="O348" s="30"/>
      <c r="P348" s="30"/>
    </row>
    <row r="349" spans="1:16" ht="23.25" customHeight="1">
      <c r="A349" s="8" t="s">
        <v>132</v>
      </c>
      <c r="B349" s="6"/>
      <c r="C349" s="6"/>
      <c r="D349" s="44">
        <v>2752</v>
      </c>
      <c r="E349" s="44"/>
      <c r="F349" s="44">
        <f>D349</f>
        <v>2752</v>
      </c>
      <c r="G349" s="44">
        <v>1752</v>
      </c>
      <c r="H349" s="44"/>
      <c r="I349" s="44"/>
      <c r="J349" s="44">
        <f>G349</f>
        <v>1752</v>
      </c>
      <c r="K349" s="7" t="e">
        <f>#REF!/G349*100</f>
        <v>#REF!</v>
      </c>
      <c r="L349" s="7"/>
      <c r="M349" s="7"/>
      <c r="N349" s="44">
        <v>952</v>
      </c>
      <c r="O349" s="44"/>
      <c r="P349" s="44">
        <f>N349</f>
        <v>952</v>
      </c>
    </row>
    <row r="350" spans="1:16" ht="11.25">
      <c r="A350" s="5" t="s">
        <v>5</v>
      </c>
      <c r="B350" s="37"/>
      <c r="C350" s="37"/>
      <c r="D350" s="44"/>
      <c r="E350" s="44"/>
      <c r="F350" s="44"/>
      <c r="G350" s="30"/>
      <c r="H350" s="30"/>
      <c r="I350" s="30"/>
      <c r="J350" s="7"/>
      <c r="K350" s="7"/>
      <c r="L350" s="30"/>
      <c r="M350" s="30"/>
      <c r="N350" s="30"/>
      <c r="O350" s="30"/>
      <c r="P350" s="7"/>
    </row>
    <row r="351" spans="1:16" ht="24" customHeight="1">
      <c r="A351" s="8" t="s">
        <v>130</v>
      </c>
      <c r="B351" s="6"/>
      <c r="C351" s="6"/>
      <c r="D351" s="44">
        <v>1000</v>
      </c>
      <c r="E351" s="44"/>
      <c r="F351" s="44">
        <f>D351</f>
        <v>1000</v>
      </c>
      <c r="G351" s="44">
        <v>800</v>
      </c>
      <c r="H351" s="44"/>
      <c r="I351" s="44"/>
      <c r="J351" s="44">
        <f>G351</f>
        <v>800</v>
      </c>
      <c r="K351" s="7" t="e">
        <f>#REF!/G351*100</f>
        <v>#REF!</v>
      </c>
      <c r="L351" s="7"/>
      <c r="M351" s="7"/>
      <c r="N351" s="44">
        <v>875</v>
      </c>
      <c r="O351" s="44"/>
      <c r="P351" s="44">
        <f>N351</f>
        <v>875</v>
      </c>
    </row>
    <row r="352" spans="1:16" ht="33.75" customHeight="1">
      <c r="A352" s="8" t="s">
        <v>202</v>
      </c>
      <c r="B352" s="6"/>
      <c r="C352" s="6"/>
      <c r="D352" s="44"/>
      <c r="E352" s="44"/>
      <c r="F352" s="44"/>
      <c r="G352" s="44">
        <v>0</v>
      </c>
      <c r="H352" s="44"/>
      <c r="I352" s="44"/>
      <c r="J352" s="44"/>
      <c r="K352" s="7"/>
      <c r="L352" s="7"/>
      <c r="M352" s="7"/>
      <c r="N352" s="44">
        <v>5</v>
      </c>
      <c r="O352" s="44"/>
      <c r="P352" s="44">
        <f>N352</f>
        <v>5</v>
      </c>
    </row>
    <row r="353" spans="1:16" ht="11.25">
      <c r="A353" s="5" t="s">
        <v>7</v>
      </c>
      <c r="B353" s="37"/>
      <c r="C353" s="37"/>
      <c r="D353" s="44"/>
      <c r="E353" s="44"/>
      <c r="F353" s="44"/>
      <c r="G353" s="44"/>
      <c r="H353" s="44"/>
      <c r="I353" s="44"/>
      <c r="J353" s="44"/>
      <c r="K353" s="7"/>
      <c r="L353" s="30"/>
      <c r="M353" s="30"/>
      <c r="N353" s="44"/>
      <c r="O353" s="44"/>
      <c r="P353" s="44"/>
    </row>
    <row r="354" spans="1:16" ht="24" customHeight="1">
      <c r="A354" s="8" t="s">
        <v>40</v>
      </c>
      <c r="B354" s="6"/>
      <c r="C354" s="6"/>
      <c r="D354" s="44">
        <v>163</v>
      </c>
      <c r="E354" s="44"/>
      <c r="F354" s="44">
        <f>D354</f>
        <v>163</v>
      </c>
      <c r="G354" s="44">
        <v>375</v>
      </c>
      <c r="H354" s="44"/>
      <c r="I354" s="44"/>
      <c r="J354" s="44">
        <f>G354</f>
        <v>375</v>
      </c>
      <c r="K354" s="7" t="e">
        <f>#REF!/G354*100</f>
        <v>#REF!</v>
      </c>
      <c r="L354" s="7"/>
      <c r="M354" s="7"/>
      <c r="N354" s="44">
        <v>400</v>
      </c>
      <c r="O354" s="44"/>
      <c r="P354" s="44">
        <f>N354</f>
        <v>400</v>
      </c>
    </row>
    <row r="355" spans="1:16" ht="11.25">
      <c r="A355" s="54" t="s">
        <v>6</v>
      </c>
      <c r="B355" s="55"/>
      <c r="C355" s="55"/>
      <c r="D355" s="48"/>
      <c r="E355" s="48"/>
      <c r="F355" s="48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235" s="22" customFormat="1" ht="39" customHeight="1">
      <c r="A356" s="8" t="s">
        <v>131</v>
      </c>
      <c r="B356" s="6"/>
      <c r="C356" s="6"/>
      <c r="D356" s="44">
        <f>D351/D349*100</f>
        <v>36.337209302325576</v>
      </c>
      <c r="E356" s="44"/>
      <c r="F356" s="44">
        <f>D356</f>
        <v>36.337209302325576</v>
      </c>
      <c r="G356" s="44">
        <f>G351/G349*100</f>
        <v>45.662100456621005</v>
      </c>
      <c r="H356" s="44"/>
      <c r="I356" s="44"/>
      <c r="J356" s="44">
        <f>G356</f>
        <v>45.662100456621005</v>
      </c>
      <c r="K356" s="7"/>
      <c r="L356" s="7"/>
      <c r="M356" s="7"/>
      <c r="N356" s="44">
        <f>N351/N349*100</f>
        <v>91.91176470588235</v>
      </c>
      <c r="O356" s="44"/>
      <c r="P356" s="44">
        <f>N356</f>
        <v>91.91176470588235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</row>
    <row r="357" spans="1:235" s="22" customFormat="1" ht="45.75" customHeight="1">
      <c r="A357" s="34" t="s">
        <v>399</v>
      </c>
      <c r="B357" s="6"/>
      <c r="C357" s="6"/>
      <c r="D357" s="44"/>
      <c r="E357" s="44"/>
      <c r="F357" s="44"/>
      <c r="G357" s="57">
        <f>G359</f>
        <v>250000</v>
      </c>
      <c r="H357" s="44"/>
      <c r="I357" s="44"/>
      <c r="J357" s="44">
        <f>G357</f>
        <v>250000</v>
      </c>
      <c r="K357" s="7"/>
      <c r="L357" s="7"/>
      <c r="M357" s="7"/>
      <c r="N357" s="44"/>
      <c r="O357" s="44"/>
      <c r="P357" s="44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15" customHeight="1">
      <c r="A358" s="5" t="s">
        <v>38</v>
      </c>
      <c r="B358" s="6"/>
      <c r="C358" s="6"/>
      <c r="D358" s="44"/>
      <c r="E358" s="44"/>
      <c r="F358" s="44"/>
      <c r="G358" s="44"/>
      <c r="H358" s="44"/>
      <c r="I358" s="44"/>
      <c r="J358" s="44"/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22.5" customHeight="1">
      <c r="A359" s="8" t="s">
        <v>402</v>
      </c>
      <c r="B359" s="6"/>
      <c r="C359" s="6"/>
      <c r="D359" s="44"/>
      <c r="E359" s="44"/>
      <c r="F359" s="44"/>
      <c r="G359" s="44">
        <f>G361*G363</f>
        <v>250000</v>
      </c>
      <c r="H359" s="44"/>
      <c r="I359" s="44"/>
      <c r="J359" s="44">
        <f>G359</f>
        <v>250000</v>
      </c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15.75" customHeight="1">
      <c r="A360" s="5" t="s">
        <v>5</v>
      </c>
      <c r="B360" s="6"/>
      <c r="C360" s="6"/>
      <c r="D360" s="44"/>
      <c r="E360" s="44"/>
      <c r="F360" s="44"/>
      <c r="G360" s="44"/>
      <c r="H360" s="44"/>
      <c r="I360" s="44"/>
      <c r="J360" s="44"/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22.5" customHeight="1">
      <c r="A361" s="8" t="s">
        <v>400</v>
      </c>
      <c r="B361" s="6"/>
      <c r="C361" s="6"/>
      <c r="D361" s="44"/>
      <c r="E361" s="44"/>
      <c r="F361" s="44"/>
      <c r="G361" s="44">
        <v>5000</v>
      </c>
      <c r="H361" s="44"/>
      <c r="I361" s="44"/>
      <c r="J361" s="44">
        <f>G361</f>
        <v>5000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5" t="s">
        <v>7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401</v>
      </c>
      <c r="B363" s="6"/>
      <c r="C363" s="6"/>
      <c r="D363" s="44"/>
      <c r="E363" s="44"/>
      <c r="F363" s="44"/>
      <c r="G363" s="44">
        <v>50</v>
      </c>
      <c r="H363" s="44"/>
      <c r="I363" s="44"/>
      <c r="J363" s="44">
        <f>G363</f>
        <v>50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6.5" customHeight="1">
      <c r="A364" s="54" t="s">
        <v>6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131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4" customHeight="1">
      <c r="A366" s="37" t="s">
        <v>304</v>
      </c>
      <c r="B366" s="20"/>
      <c r="C366" s="20"/>
      <c r="D366" s="57">
        <f>D368+D378</f>
        <v>312380.003</v>
      </c>
      <c r="E366" s="57"/>
      <c r="F366" s="57">
        <f>F368+F378</f>
        <v>312380.003</v>
      </c>
      <c r="G366" s="57">
        <f>G368+G378</f>
        <v>335255</v>
      </c>
      <c r="H366" s="57"/>
      <c r="I366" s="57"/>
      <c r="J366" s="57">
        <f>J368+J378</f>
        <v>335255</v>
      </c>
      <c r="K366" s="57"/>
      <c r="L366" s="57"/>
      <c r="M366" s="57"/>
      <c r="N366" s="57">
        <f>N368+N378</f>
        <v>352520</v>
      </c>
      <c r="O366" s="57"/>
      <c r="P366" s="57">
        <f>P368+P378</f>
        <v>352520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8" t="s">
        <v>281</v>
      </c>
      <c r="B367" s="20"/>
      <c r="C367" s="20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60" customFormat="1" ht="44.25" customHeight="1">
      <c r="A368" s="58" t="s">
        <v>406</v>
      </c>
      <c r="B368" s="58"/>
      <c r="C368" s="58"/>
      <c r="D368" s="45">
        <f>D370+D371</f>
        <v>209000.003</v>
      </c>
      <c r="E368" s="45"/>
      <c r="F368" s="45">
        <f>F370+F371</f>
        <v>209000.003</v>
      </c>
      <c r="G368" s="45">
        <f>G370+G371</f>
        <v>224075</v>
      </c>
      <c r="H368" s="45"/>
      <c r="I368" s="45"/>
      <c r="J368" s="45">
        <f>J370+J371</f>
        <v>224075</v>
      </c>
      <c r="K368" s="45"/>
      <c r="L368" s="45"/>
      <c r="M368" s="45"/>
      <c r="N368" s="45">
        <f>N370+N371</f>
        <v>237530</v>
      </c>
      <c r="O368" s="45"/>
      <c r="P368" s="45">
        <f>P370+P371</f>
        <v>237530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</row>
    <row r="369" spans="1:16" ht="11.25">
      <c r="A369" s="61" t="s">
        <v>4</v>
      </c>
      <c r="B369" s="61"/>
      <c r="C369" s="61"/>
      <c r="D369" s="62"/>
      <c r="E369" s="62"/>
      <c r="F369" s="62"/>
      <c r="G369" s="62"/>
      <c r="H369" s="62"/>
      <c r="I369" s="62"/>
      <c r="J369" s="62"/>
      <c r="K369" s="63"/>
      <c r="L369" s="62"/>
      <c r="M369" s="62"/>
      <c r="N369" s="62"/>
      <c r="O369" s="62"/>
      <c r="P369" s="62"/>
    </row>
    <row r="370" spans="1:16" ht="33.75">
      <c r="A370" s="11" t="s">
        <v>394</v>
      </c>
      <c r="B370" s="11"/>
      <c r="C370" s="11"/>
      <c r="D370" s="43">
        <f>D373*D376</f>
        <v>132000.003</v>
      </c>
      <c r="E370" s="43"/>
      <c r="F370" s="43">
        <f>F373*F376</f>
        <v>132000.003</v>
      </c>
      <c r="G370" s="43">
        <f>G373*G376</f>
        <v>141525</v>
      </c>
      <c r="H370" s="43"/>
      <c r="I370" s="43"/>
      <c r="J370" s="43">
        <f>J373*J376</f>
        <v>141525</v>
      </c>
      <c r="K370" s="43">
        <f>G370/D370*100</f>
        <v>107.21590665418394</v>
      </c>
      <c r="L370" s="43"/>
      <c r="M370" s="43"/>
      <c r="N370" s="43">
        <f>N373*N376</f>
        <v>150030</v>
      </c>
      <c r="O370" s="43"/>
      <c r="P370" s="43">
        <f>P373*P376</f>
        <v>150030</v>
      </c>
    </row>
    <row r="371" spans="1:16" ht="36.75" customHeight="1">
      <c r="A371" s="11" t="s">
        <v>395</v>
      </c>
      <c r="B371" s="11"/>
      <c r="C371" s="11"/>
      <c r="D371" s="43">
        <f>D374*D377</f>
        <v>77000</v>
      </c>
      <c r="E371" s="43"/>
      <c r="F371" s="43">
        <f>F374*F377</f>
        <v>77000</v>
      </c>
      <c r="G371" s="43">
        <f>G374*G377</f>
        <v>82550</v>
      </c>
      <c r="H371" s="43"/>
      <c r="I371" s="43"/>
      <c r="J371" s="43">
        <f>J374*J377</f>
        <v>82550</v>
      </c>
      <c r="K371" s="43"/>
      <c r="L371" s="43"/>
      <c r="M371" s="43"/>
      <c r="N371" s="43">
        <f>N374*N377</f>
        <v>87500</v>
      </c>
      <c r="O371" s="43"/>
      <c r="P371" s="43">
        <f>P374*P377</f>
        <v>87500</v>
      </c>
    </row>
    <row r="372" spans="1:16" ht="11.25">
      <c r="A372" s="13" t="s">
        <v>5</v>
      </c>
      <c r="B372" s="13"/>
      <c r="C372" s="13"/>
      <c r="D372" s="10"/>
      <c r="E372" s="10"/>
      <c r="F372" s="43"/>
      <c r="G372" s="10"/>
      <c r="H372" s="10"/>
      <c r="I372" s="10"/>
      <c r="J372" s="43"/>
      <c r="K372" s="43"/>
      <c r="L372" s="10"/>
      <c r="M372" s="10"/>
      <c r="N372" s="10"/>
      <c r="O372" s="10"/>
      <c r="P372" s="43"/>
    </row>
    <row r="373" spans="1:16" ht="25.5" customHeight="1">
      <c r="A373" s="11" t="s">
        <v>283</v>
      </c>
      <c r="B373" s="11"/>
      <c r="C373" s="11"/>
      <c r="D373" s="43">
        <v>9</v>
      </c>
      <c r="E373" s="43"/>
      <c r="F373" s="43">
        <f>D373</f>
        <v>9</v>
      </c>
      <c r="G373" s="43">
        <v>9</v>
      </c>
      <c r="H373" s="43"/>
      <c r="I373" s="43"/>
      <c r="J373" s="43">
        <f>G373+H373</f>
        <v>9</v>
      </c>
      <c r="K373" s="43">
        <f>G373/D373*100</f>
        <v>100</v>
      </c>
      <c r="L373" s="43"/>
      <c r="M373" s="43"/>
      <c r="N373" s="43">
        <v>9</v>
      </c>
      <c r="O373" s="43"/>
      <c r="P373" s="43">
        <f>N373</f>
        <v>9</v>
      </c>
    </row>
    <row r="374" spans="1:16" ht="25.5" customHeight="1">
      <c r="A374" s="11" t="s">
        <v>282</v>
      </c>
      <c r="B374" s="11"/>
      <c r="C374" s="11"/>
      <c r="D374" s="43">
        <v>10</v>
      </c>
      <c r="E374" s="43"/>
      <c r="F374" s="43">
        <v>10</v>
      </c>
      <c r="G374" s="43">
        <v>10</v>
      </c>
      <c r="H374" s="43"/>
      <c r="I374" s="43"/>
      <c r="J374" s="43">
        <v>10</v>
      </c>
      <c r="K374" s="43"/>
      <c r="L374" s="43"/>
      <c r="M374" s="43"/>
      <c r="N374" s="43">
        <v>10</v>
      </c>
      <c r="O374" s="43"/>
      <c r="P374" s="43">
        <v>10</v>
      </c>
    </row>
    <row r="375" spans="1:16" ht="11.25">
      <c r="A375" s="13" t="s">
        <v>7</v>
      </c>
      <c r="B375" s="13"/>
      <c r="C375" s="13"/>
      <c r="D375" s="64"/>
      <c r="E375" s="64"/>
      <c r="F375" s="65"/>
      <c r="G375" s="64"/>
      <c r="H375" s="64"/>
      <c r="I375" s="64"/>
      <c r="J375" s="65"/>
      <c r="K375" s="65"/>
      <c r="L375" s="64"/>
      <c r="M375" s="64"/>
      <c r="N375" s="64"/>
      <c r="O375" s="64"/>
      <c r="P375" s="65"/>
    </row>
    <row r="376" spans="1:16" ht="33.75">
      <c r="A376" s="11" t="s">
        <v>284</v>
      </c>
      <c r="B376" s="11"/>
      <c r="C376" s="11"/>
      <c r="D376" s="65">
        <v>14666.667</v>
      </c>
      <c r="E376" s="65"/>
      <c r="F376" s="65">
        <f>D376</f>
        <v>14666.667</v>
      </c>
      <c r="G376" s="65">
        <v>15725</v>
      </c>
      <c r="H376" s="65"/>
      <c r="I376" s="65"/>
      <c r="J376" s="65">
        <f>G376</f>
        <v>15725</v>
      </c>
      <c r="K376" s="65">
        <f>G376/D376*100</f>
        <v>107.21590665418394</v>
      </c>
      <c r="L376" s="65"/>
      <c r="M376" s="65"/>
      <c r="N376" s="65">
        <v>16670</v>
      </c>
      <c r="O376" s="65"/>
      <c r="P376" s="65">
        <f>N376</f>
        <v>16670</v>
      </c>
    </row>
    <row r="377" spans="1:16" ht="24" customHeight="1">
      <c r="A377" s="11" t="s">
        <v>285</v>
      </c>
      <c r="B377" s="11"/>
      <c r="C377" s="11"/>
      <c r="D377" s="43">
        <v>7700</v>
      </c>
      <c r="E377" s="43"/>
      <c r="F377" s="43">
        <v>7700</v>
      </c>
      <c r="G377" s="43">
        <v>8255</v>
      </c>
      <c r="H377" s="43"/>
      <c r="I377" s="43"/>
      <c r="J377" s="43">
        <v>8255</v>
      </c>
      <c r="K377" s="65"/>
      <c r="L377" s="65"/>
      <c r="M377" s="65"/>
      <c r="N377" s="43">
        <v>8750</v>
      </c>
      <c r="O377" s="43"/>
      <c r="P377" s="43">
        <v>8750</v>
      </c>
    </row>
    <row r="378" spans="1:235" s="39" customFormat="1" ht="33.75">
      <c r="A378" s="9" t="s">
        <v>407</v>
      </c>
      <c r="B378" s="9"/>
      <c r="C378" s="9"/>
      <c r="D378" s="10">
        <f>D380+D381+D382+D383+D384+D385</f>
        <v>103380</v>
      </c>
      <c r="E378" s="10"/>
      <c r="F378" s="10">
        <f>D378+E378</f>
        <v>103380</v>
      </c>
      <c r="G378" s="10">
        <f>G380+G381+G382+G383+G384+G385</f>
        <v>111180</v>
      </c>
      <c r="H378" s="10"/>
      <c r="I378" s="10"/>
      <c r="J378" s="10">
        <f>G378+H378</f>
        <v>111180</v>
      </c>
      <c r="K378" s="10"/>
      <c r="L378" s="10"/>
      <c r="M378" s="10"/>
      <c r="N378" s="10">
        <f>N380+N381+N382+N383+N384+N385</f>
        <v>114990</v>
      </c>
      <c r="O378" s="10"/>
      <c r="P378" s="10">
        <f>N378</f>
        <v>114990</v>
      </c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</row>
    <row r="379" spans="1:235" s="39" customFormat="1" ht="11.25">
      <c r="A379" s="61" t="s">
        <v>4</v>
      </c>
      <c r="B379" s="9"/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32.25" customHeight="1">
      <c r="A380" s="9" t="s">
        <v>286</v>
      </c>
      <c r="B380" s="9"/>
      <c r="C380" s="9"/>
      <c r="D380" s="10">
        <f>D387*D394</f>
        <v>7200</v>
      </c>
      <c r="E380" s="10"/>
      <c r="F380" s="10">
        <f aca="true" t="shared" si="46" ref="F380:F385">D380+E380</f>
        <v>7200</v>
      </c>
      <c r="G380" s="10">
        <f>G387*G394</f>
        <v>7800</v>
      </c>
      <c r="H380" s="10"/>
      <c r="I380" s="10"/>
      <c r="J380" s="10">
        <f aca="true" t="shared" si="47" ref="J380:J385">G380+H380</f>
        <v>7800</v>
      </c>
      <c r="K380" s="10"/>
      <c r="L380" s="10"/>
      <c r="M380" s="10"/>
      <c r="N380" s="10">
        <f>N387*N394</f>
        <v>8250</v>
      </c>
      <c r="O380" s="10"/>
      <c r="P380" s="10">
        <f aca="true" t="shared" si="48" ref="P380:P385">N380+O380</f>
        <v>8250</v>
      </c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3.75">
      <c r="A381" s="9" t="s">
        <v>287</v>
      </c>
      <c r="B381" s="9"/>
      <c r="C381" s="9"/>
      <c r="D381" s="10">
        <f>D395*D388</f>
        <v>22800</v>
      </c>
      <c r="E381" s="10"/>
      <c r="F381" s="10">
        <f t="shared" si="46"/>
        <v>22800</v>
      </c>
      <c r="G381" s="10">
        <f>G395*G388</f>
        <v>24600</v>
      </c>
      <c r="H381" s="10"/>
      <c r="I381" s="10"/>
      <c r="J381" s="10">
        <f t="shared" si="47"/>
        <v>24600</v>
      </c>
      <c r="K381" s="10"/>
      <c r="L381" s="10"/>
      <c r="M381" s="10"/>
      <c r="N381" s="10">
        <f>N395*N388</f>
        <v>26100</v>
      </c>
      <c r="O381" s="10"/>
      <c r="P381" s="10">
        <f t="shared" si="48"/>
        <v>26100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288</v>
      </c>
      <c r="B382" s="9"/>
      <c r="C382" s="9"/>
      <c r="D382" s="10">
        <f>D389*D396</f>
        <v>40500</v>
      </c>
      <c r="E382" s="10"/>
      <c r="F382" s="10">
        <f t="shared" si="46"/>
        <v>40500</v>
      </c>
      <c r="G382" s="10">
        <f>G389*G396</f>
        <v>43500</v>
      </c>
      <c r="H382" s="10"/>
      <c r="I382" s="10"/>
      <c r="J382" s="10">
        <f t="shared" si="47"/>
        <v>43500</v>
      </c>
      <c r="K382" s="10"/>
      <c r="L382" s="10"/>
      <c r="M382" s="10"/>
      <c r="N382" s="10">
        <f>N389*N396</f>
        <v>46200</v>
      </c>
      <c r="O382" s="10"/>
      <c r="P382" s="10">
        <f t="shared" si="48"/>
        <v>46200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289</v>
      </c>
      <c r="B383" s="9"/>
      <c r="C383" s="9"/>
      <c r="D383" s="10">
        <f>D397*D390</f>
        <v>25200</v>
      </c>
      <c r="E383" s="10"/>
      <c r="F383" s="10">
        <f t="shared" si="46"/>
        <v>25200</v>
      </c>
      <c r="G383" s="10">
        <f>G390*G397</f>
        <v>27000</v>
      </c>
      <c r="H383" s="10"/>
      <c r="I383" s="10"/>
      <c r="J383" s="10">
        <f t="shared" si="47"/>
        <v>27000</v>
      </c>
      <c r="K383" s="10"/>
      <c r="L383" s="10"/>
      <c r="M383" s="10"/>
      <c r="N383" s="10">
        <f>N397*N390</f>
        <v>28800</v>
      </c>
      <c r="O383" s="10"/>
      <c r="P383" s="10">
        <f t="shared" si="48"/>
        <v>28800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22.5">
      <c r="A384" s="9" t="s">
        <v>290</v>
      </c>
      <c r="B384" s="9"/>
      <c r="C384" s="9"/>
      <c r="D384" s="10">
        <f>D391*D398</f>
        <v>6120</v>
      </c>
      <c r="E384" s="10"/>
      <c r="F384" s="10">
        <f t="shared" si="46"/>
        <v>6120</v>
      </c>
      <c r="G384" s="10">
        <f>G391*G398</f>
        <v>6600</v>
      </c>
      <c r="H384" s="10"/>
      <c r="I384" s="10"/>
      <c r="J384" s="10">
        <f t="shared" si="47"/>
        <v>6600</v>
      </c>
      <c r="K384" s="10"/>
      <c r="L384" s="10"/>
      <c r="M384" s="10"/>
      <c r="N384" s="10">
        <f>N391*N397</f>
        <v>3840</v>
      </c>
      <c r="O384" s="10"/>
      <c r="P384" s="10">
        <f t="shared" si="48"/>
        <v>3840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291</v>
      </c>
      <c r="B385" s="9"/>
      <c r="C385" s="9"/>
      <c r="D385" s="10">
        <f>D392*D399</f>
        <v>1560</v>
      </c>
      <c r="E385" s="10"/>
      <c r="F385" s="10">
        <f t="shared" si="46"/>
        <v>1560</v>
      </c>
      <c r="G385" s="10">
        <f>G392*G399</f>
        <v>1680</v>
      </c>
      <c r="H385" s="10"/>
      <c r="I385" s="10"/>
      <c r="J385" s="10">
        <f t="shared" si="47"/>
        <v>1680</v>
      </c>
      <c r="K385" s="10"/>
      <c r="L385" s="10"/>
      <c r="M385" s="10"/>
      <c r="N385" s="10">
        <f>N392*N399</f>
        <v>1800</v>
      </c>
      <c r="O385" s="10"/>
      <c r="P385" s="10">
        <f t="shared" si="48"/>
        <v>1800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16" ht="11.25">
      <c r="A386" s="13" t="s">
        <v>5</v>
      </c>
      <c r="B386" s="13"/>
      <c r="C386" s="13"/>
      <c r="D386" s="64"/>
      <c r="E386" s="64"/>
      <c r="F386" s="65"/>
      <c r="G386" s="64"/>
      <c r="H386" s="64"/>
      <c r="I386" s="64"/>
      <c r="J386" s="65"/>
      <c r="K386" s="65"/>
      <c r="L386" s="64"/>
      <c r="M386" s="64"/>
      <c r="N386" s="64"/>
      <c r="O386" s="64"/>
      <c r="P386" s="65"/>
    </row>
    <row r="387" spans="1:16" ht="33.75" customHeight="1">
      <c r="A387" s="11" t="s">
        <v>292</v>
      </c>
      <c r="B387" s="11"/>
      <c r="C387" s="11"/>
      <c r="D387" s="66">
        <v>30</v>
      </c>
      <c r="E387" s="66"/>
      <c r="F387" s="66">
        <f aca="true" t="shared" si="49" ref="F387:F392">D387+E387</f>
        <v>30</v>
      </c>
      <c r="G387" s="66">
        <v>30</v>
      </c>
      <c r="H387" s="66"/>
      <c r="I387" s="66"/>
      <c r="J387" s="66">
        <f aca="true" t="shared" si="50" ref="J387:J392">G387+H387</f>
        <v>30</v>
      </c>
      <c r="K387" s="66">
        <f aca="true" t="shared" si="51" ref="K387:K392">G387/D387*100</f>
        <v>100</v>
      </c>
      <c r="L387" s="66"/>
      <c r="M387" s="66"/>
      <c r="N387" s="66">
        <v>30</v>
      </c>
      <c r="O387" s="66"/>
      <c r="P387" s="66">
        <f>N387+O387</f>
        <v>30</v>
      </c>
    </row>
    <row r="388" spans="1:16" ht="39" customHeight="1">
      <c r="A388" s="11" t="s">
        <v>293</v>
      </c>
      <c r="B388" s="11"/>
      <c r="C388" s="11"/>
      <c r="D388" s="66">
        <v>30</v>
      </c>
      <c r="E388" s="66"/>
      <c r="F388" s="66">
        <f t="shared" si="49"/>
        <v>30</v>
      </c>
      <c r="G388" s="66">
        <v>30</v>
      </c>
      <c r="H388" s="66"/>
      <c r="I388" s="66"/>
      <c r="J388" s="66">
        <f t="shared" si="50"/>
        <v>30</v>
      </c>
      <c r="K388" s="66">
        <f t="shared" si="51"/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3.75" customHeight="1">
      <c r="A389" s="11" t="s">
        <v>294</v>
      </c>
      <c r="B389" s="11"/>
      <c r="C389" s="11"/>
      <c r="D389" s="66">
        <v>30</v>
      </c>
      <c r="E389" s="66"/>
      <c r="F389" s="66">
        <f t="shared" si="49"/>
        <v>30</v>
      </c>
      <c r="G389" s="66">
        <v>30</v>
      </c>
      <c r="H389" s="66"/>
      <c r="I389" s="66"/>
      <c r="J389" s="66">
        <f t="shared" si="50"/>
        <v>30</v>
      </c>
      <c r="K389" s="66">
        <f t="shared" si="51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9" customHeight="1">
      <c r="A390" s="11" t="s">
        <v>295</v>
      </c>
      <c r="B390" s="11"/>
      <c r="C390" s="11"/>
      <c r="D390" s="66">
        <v>90</v>
      </c>
      <c r="E390" s="66"/>
      <c r="F390" s="66">
        <f t="shared" si="49"/>
        <v>90</v>
      </c>
      <c r="G390" s="66">
        <v>90</v>
      </c>
      <c r="H390" s="66"/>
      <c r="I390" s="66"/>
      <c r="J390" s="66">
        <f t="shared" si="50"/>
        <v>90</v>
      </c>
      <c r="K390" s="66">
        <f t="shared" si="51"/>
        <v>100</v>
      </c>
      <c r="L390" s="66"/>
      <c r="M390" s="66"/>
      <c r="N390" s="66">
        <v>90</v>
      </c>
      <c r="O390" s="66"/>
      <c r="P390" s="66">
        <f>N390+O390</f>
        <v>90</v>
      </c>
    </row>
    <row r="391" spans="1:16" ht="22.5">
      <c r="A391" s="11" t="s">
        <v>296</v>
      </c>
      <c r="B391" s="11"/>
      <c r="C391" s="11"/>
      <c r="D391" s="66">
        <v>12</v>
      </c>
      <c r="E391" s="66"/>
      <c r="F391" s="66">
        <f t="shared" si="49"/>
        <v>12</v>
      </c>
      <c r="G391" s="66">
        <v>12</v>
      </c>
      <c r="H391" s="66"/>
      <c r="I391" s="66"/>
      <c r="J391" s="66">
        <f t="shared" si="50"/>
        <v>12</v>
      </c>
      <c r="K391" s="66">
        <f t="shared" si="51"/>
        <v>100</v>
      </c>
      <c r="L391" s="66"/>
      <c r="M391" s="66"/>
      <c r="N391" s="66">
        <v>12</v>
      </c>
      <c r="O391" s="66"/>
      <c r="P391" s="66">
        <f>N391</f>
        <v>12</v>
      </c>
    </row>
    <row r="392" spans="1:16" ht="22.5">
      <c r="A392" s="11" t="s">
        <v>297</v>
      </c>
      <c r="B392" s="11"/>
      <c r="C392" s="11"/>
      <c r="D392" s="66">
        <v>12</v>
      </c>
      <c r="E392" s="66"/>
      <c r="F392" s="66">
        <f t="shared" si="49"/>
        <v>12</v>
      </c>
      <c r="G392" s="66">
        <v>12</v>
      </c>
      <c r="H392" s="66"/>
      <c r="I392" s="66"/>
      <c r="J392" s="66">
        <f t="shared" si="50"/>
        <v>12</v>
      </c>
      <c r="K392" s="66">
        <f t="shared" si="51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11.25">
      <c r="A393" s="13" t="s">
        <v>7</v>
      </c>
      <c r="B393" s="13"/>
      <c r="C393" s="13"/>
      <c r="D393" s="10"/>
      <c r="E393" s="10"/>
      <c r="F393" s="43"/>
      <c r="G393" s="10"/>
      <c r="H393" s="10"/>
      <c r="I393" s="10"/>
      <c r="J393" s="43"/>
      <c r="K393" s="43"/>
      <c r="L393" s="10"/>
      <c r="M393" s="10"/>
      <c r="N393" s="10"/>
      <c r="O393" s="10"/>
      <c r="P393" s="43"/>
    </row>
    <row r="394" spans="1:16" ht="41.25" customHeight="1">
      <c r="A394" s="11" t="s">
        <v>298</v>
      </c>
      <c r="B394" s="11"/>
      <c r="C394" s="11"/>
      <c r="D394" s="43">
        <v>240</v>
      </c>
      <c r="E394" s="43"/>
      <c r="F394" s="43">
        <f aca="true" t="shared" si="52" ref="F394:F399">D394+E394</f>
        <v>240</v>
      </c>
      <c r="G394" s="43">
        <v>260</v>
      </c>
      <c r="H394" s="43"/>
      <c r="I394" s="43"/>
      <c r="J394" s="43">
        <f aca="true" t="shared" si="53" ref="J394:J399">G394+H394</f>
        <v>260</v>
      </c>
      <c r="K394" s="43">
        <f>G394/D394*100</f>
        <v>108.33333333333333</v>
      </c>
      <c r="L394" s="43"/>
      <c r="M394" s="43"/>
      <c r="N394" s="43">
        <v>275</v>
      </c>
      <c r="O394" s="43"/>
      <c r="P394" s="43">
        <f>N394+O394</f>
        <v>275</v>
      </c>
    </row>
    <row r="395" spans="1:16" ht="33.75">
      <c r="A395" s="11" t="s">
        <v>299</v>
      </c>
      <c r="B395" s="11"/>
      <c r="C395" s="11"/>
      <c r="D395" s="65">
        <v>760</v>
      </c>
      <c r="E395" s="65"/>
      <c r="F395" s="65">
        <f t="shared" si="52"/>
        <v>760</v>
      </c>
      <c r="G395" s="65">
        <v>820</v>
      </c>
      <c r="H395" s="65"/>
      <c r="I395" s="65"/>
      <c r="J395" s="65">
        <f t="shared" si="53"/>
        <v>820</v>
      </c>
      <c r="K395" s="65">
        <f>G395/D395*100</f>
        <v>107.89473684210526</v>
      </c>
      <c r="L395" s="65"/>
      <c r="M395" s="65"/>
      <c r="N395" s="65">
        <v>870</v>
      </c>
      <c r="O395" s="65"/>
      <c r="P395" s="65">
        <f>N395+O395</f>
        <v>870</v>
      </c>
    </row>
    <row r="396" spans="1:16" ht="33.75" customHeight="1">
      <c r="A396" s="11" t="s">
        <v>300</v>
      </c>
      <c r="B396" s="11"/>
      <c r="C396" s="11"/>
      <c r="D396" s="43">
        <v>1350</v>
      </c>
      <c r="E396" s="43"/>
      <c r="F396" s="43">
        <f t="shared" si="52"/>
        <v>1350</v>
      </c>
      <c r="G396" s="43">
        <v>1450</v>
      </c>
      <c r="H396" s="43"/>
      <c r="I396" s="43"/>
      <c r="J396" s="43">
        <f t="shared" si="53"/>
        <v>1450</v>
      </c>
      <c r="K396" s="65"/>
      <c r="L396" s="65"/>
      <c r="M396" s="65"/>
      <c r="N396" s="43">
        <v>1540</v>
      </c>
      <c r="O396" s="43"/>
      <c r="P396" s="43">
        <f>N396</f>
        <v>1540</v>
      </c>
    </row>
    <row r="397" spans="1:16" ht="38.25" customHeight="1">
      <c r="A397" s="11" t="s">
        <v>301</v>
      </c>
      <c r="B397" s="11"/>
      <c r="C397" s="11"/>
      <c r="D397" s="43">
        <v>280</v>
      </c>
      <c r="E397" s="43"/>
      <c r="F397" s="43">
        <f t="shared" si="52"/>
        <v>280</v>
      </c>
      <c r="G397" s="43">
        <v>300</v>
      </c>
      <c r="H397" s="43"/>
      <c r="I397" s="43"/>
      <c r="J397" s="43">
        <f t="shared" si="53"/>
        <v>300</v>
      </c>
      <c r="K397" s="65"/>
      <c r="L397" s="65"/>
      <c r="M397" s="65"/>
      <c r="N397" s="43">
        <v>320</v>
      </c>
      <c r="O397" s="43"/>
      <c r="P397" s="43">
        <f>N397</f>
        <v>320</v>
      </c>
    </row>
    <row r="398" spans="1:16" ht="22.5">
      <c r="A398" s="11" t="s">
        <v>302</v>
      </c>
      <c r="B398" s="11"/>
      <c r="C398" s="11"/>
      <c r="D398" s="43">
        <v>510</v>
      </c>
      <c r="E398" s="43"/>
      <c r="F398" s="43">
        <f t="shared" si="52"/>
        <v>510</v>
      </c>
      <c r="G398" s="43">
        <v>550</v>
      </c>
      <c r="H398" s="43"/>
      <c r="I398" s="43"/>
      <c r="J398" s="43">
        <f t="shared" si="53"/>
        <v>550</v>
      </c>
      <c r="K398" s="65"/>
      <c r="L398" s="65"/>
      <c r="M398" s="65"/>
      <c r="N398" s="43">
        <v>585</v>
      </c>
      <c r="O398" s="43"/>
      <c r="P398" s="43">
        <f>N398</f>
        <v>585</v>
      </c>
    </row>
    <row r="399" spans="1:16" ht="22.5">
      <c r="A399" s="11" t="s">
        <v>303</v>
      </c>
      <c r="B399" s="11"/>
      <c r="C399" s="11"/>
      <c r="D399" s="43">
        <v>130</v>
      </c>
      <c r="E399" s="43"/>
      <c r="F399" s="43">
        <f t="shared" si="52"/>
        <v>130</v>
      </c>
      <c r="G399" s="43">
        <v>140</v>
      </c>
      <c r="H399" s="43"/>
      <c r="I399" s="43"/>
      <c r="J399" s="43">
        <f t="shared" si="53"/>
        <v>140</v>
      </c>
      <c r="K399" s="65"/>
      <c r="L399" s="65"/>
      <c r="M399" s="65"/>
      <c r="N399" s="43">
        <v>150</v>
      </c>
      <c r="O399" s="43"/>
      <c r="P399" s="43">
        <f>N399+O399</f>
        <v>150</v>
      </c>
    </row>
    <row r="400" spans="1:16" ht="11.25">
      <c r="A400" s="125" t="s">
        <v>428</v>
      </c>
      <c r="B400" s="13"/>
      <c r="C400" s="13"/>
      <c r="D400" s="10"/>
      <c r="E400" s="10">
        <f>E402+E418</f>
        <v>692840</v>
      </c>
      <c r="F400" s="10">
        <f>F402+F418</f>
        <v>692840</v>
      </c>
      <c r="G400" s="10"/>
      <c r="H400" s="10">
        <f>H402+H418</f>
        <v>742600</v>
      </c>
      <c r="I400" s="10"/>
      <c r="J400" s="10">
        <f>J402+J418</f>
        <v>742600</v>
      </c>
      <c r="K400" s="64"/>
      <c r="L400" s="64"/>
      <c r="M400" s="64"/>
      <c r="N400" s="10"/>
      <c r="O400" s="10">
        <f>O402+O418</f>
        <v>787532</v>
      </c>
      <c r="P400" s="10">
        <f>P402+P418</f>
        <v>787532</v>
      </c>
    </row>
    <row r="401" spans="1:16" ht="101.25">
      <c r="A401" s="12" t="s">
        <v>306</v>
      </c>
      <c r="B401" s="11"/>
      <c r="C401" s="11"/>
      <c r="D401" s="43"/>
      <c r="E401" s="43"/>
      <c r="F401" s="43"/>
      <c r="G401" s="43"/>
      <c r="H401" s="43"/>
      <c r="I401" s="43"/>
      <c r="J401" s="43"/>
      <c r="K401" s="65"/>
      <c r="L401" s="65"/>
      <c r="M401" s="65"/>
      <c r="N401" s="43"/>
      <c r="O401" s="43"/>
      <c r="P401" s="43"/>
    </row>
    <row r="402" spans="1:16" ht="78.75">
      <c r="A402" s="67" t="s">
        <v>408</v>
      </c>
      <c r="B402" s="11"/>
      <c r="C402" s="11"/>
      <c r="D402" s="43"/>
      <c r="E402" s="43">
        <f>E404+E405+E406+E407</f>
        <v>428840</v>
      </c>
      <c r="F402" s="43">
        <f>D402+E402</f>
        <v>428840</v>
      </c>
      <c r="G402" s="43"/>
      <c r="H402" s="43">
        <f>H404+H405+H406+H407</f>
        <v>459400</v>
      </c>
      <c r="I402" s="43"/>
      <c r="J402" s="43">
        <f>J404+J405+J406+J407</f>
        <v>459400</v>
      </c>
      <c r="K402" s="65"/>
      <c r="L402" s="65"/>
      <c r="M402" s="65"/>
      <c r="N402" s="43"/>
      <c r="O402" s="43">
        <f>O404+O405+O406+O407</f>
        <v>487340</v>
      </c>
      <c r="P402" s="43">
        <f>P404+P405+P406+P407</f>
        <v>487340</v>
      </c>
    </row>
    <row r="403" spans="1:16" ht="11.25">
      <c r="A403" s="13" t="s">
        <v>4</v>
      </c>
      <c r="B403" s="11"/>
      <c r="C403" s="11"/>
      <c r="D403" s="43"/>
      <c r="E403" s="43"/>
      <c r="F403" s="43"/>
      <c r="G403" s="43"/>
      <c r="H403" s="43"/>
      <c r="I403" s="43"/>
      <c r="J403" s="43"/>
      <c r="K403" s="65"/>
      <c r="L403" s="65"/>
      <c r="M403" s="65"/>
      <c r="N403" s="43"/>
      <c r="O403" s="43"/>
      <c r="P403" s="43"/>
    </row>
    <row r="404" spans="1:16" ht="33.75">
      <c r="A404" s="8" t="s">
        <v>308</v>
      </c>
      <c r="B404" s="11"/>
      <c r="C404" s="11"/>
      <c r="D404" s="43"/>
      <c r="E404" s="43">
        <f>E409*E414</f>
        <v>387500</v>
      </c>
      <c r="F404" s="43">
        <f>D404+E404</f>
        <v>387500</v>
      </c>
      <c r="G404" s="43"/>
      <c r="H404" s="43">
        <f>H409*H414</f>
        <v>415000</v>
      </c>
      <c r="I404" s="43"/>
      <c r="J404" s="43">
        <f>G404+H404</f>
        <v>415000</v>
      </c>
      <c r="K404" s="65"/>
      <c r="L404" s="65"/>
      <c r="M404" s="65"/>
      <c r="N404" s="43"/>
      <c r="O404" s="43">
        <f>O409*O414</f>
        <v>440000</v>
      </c>
      <c r="P404" s="43">
        <f>N404+O404</f>
        <v>440000</v>
      </c>
    </row>
    <row r="405" spans="1:16" ht="22.5">
      <c r="A405" s="8" t="s">
        <v>307</v>
      </c>
      <c r="B405" s="11"/>
      <c r="C405" s="11"/>
      <c r="D405" s="43"/>
      <c r="E405" s="43">
        <f>E410*E415</f>
        <v>12240</v>
      </c>
      <c r="F405" s="43">
        <f>D405+E405</f>
        <v>12240</v>
      </c>
      <c r="G405" s="43"/>
      <c r="H405" s="43">
        <f>H410*H415</f>
        <v>13200</v>
      </c>
      <c r="I405" s="43"/>
      <c r="J405" s="43">
        <f>G405+H405</f>
        <v>13200</v>
      </c>
      <c r="K405" s="65"/>
      <c r="L405" s="65"/>
      <c r="M405" s="65"/>
      <c r="N405" s="43"/>
      <c r="O405" s="43">
        <f>O410*O415</f>
        <v>14040</v>
      </c>
      <c r="P405" s="43">
        <f>N405+O405</f>
        <v>14040</v>
      </c>
    </row>
    <row r="406" spans="1:16" ht="33.75">
      <c r="A406" s="8" t="s">
        <v>309</v>
      </c>
      <c r="B406" s="11"/>
      <c r="C406" s="11"/>
      <c r="D406" s="43"/>
      <c r="E406" s="43">
        <f>E411*E416</f>
        <v>25200</v>
      </c>
      <c r="F406" s="43">
        <f>D406+E406</f>
        <v>25200</v>
      </c>
      <c r="G406" s="43"/>
      <c r="H406" s="43">
        <f>H411*H416</f>
        <v>27000</v>
      </c>
      <c r="I406" s="43"/>
      <c r="J406" s="43">
        <f>G406+H406</f>
        <v>27000</v>
      </c>
      <c r="K406" s="65"/>
      <c r="L406" s="65"/>
      <c r="M406" s="65"/>
      <c r="N406" s="43"/>
      <c r="O406" s="43">
        <f>O411*O416</f>
        <v>28800</v>
      </c>
      <c r="P406" s="43">
        <f>N406+O406</f>
        <v>28800</v>
      </c>
    </row>
    <row r="407" spans="1:16" ht="33.75">
      <c r="A407" s="8" t="s">
        <v>310</v>
      </c>
      <c r="B407" s="11"/>
      <c r="C407" s="11"/>
      <c r="D407" s="43"/>
      <c r="E407" s="43">
        <f>E412*E417</f>
        <v>3900</v>
      </c>
      <c r="F407" s="43">
        <f>D407+E407</f>
        <v>3900</v>
      </c>
      <c r="G407" s="43"/>
      <c r="H407" s="43">
        <f>H412*H417</f>
        <v>4200</v>
      </c>
      <c r="I407" s="43"/>
      <c r="J407" s="43">
        <f>G407+H407</f>
        <v>4200</v>
      </c>
      <c r="K407" s="65"/>
      <c r="L407" s="65"/>
      <c r="M407" s="65"/>
      <c r="N407" s="43"/>
      <c r="O407" s="43">
        <f>O412*O417</f>
        <v>4500</v>
      </c>
      <c r="P407" s="43">
        <f>N407+O407</f>
        <v>4500</v>
      </c>
    </row>
    <row r="408" spans="1:16" ht="11.25">
      <c r="A408" s="13" t="s">
        <v>5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5"/>
      <c r="L408" s="65"/>
      <c r="M408" s="65"/>
      <c r="N408" s="43"/>
      <c r="O408" s="43"/>
      <c r="P408" s="43"/>
    </row>
    <row r="409" spans="1:16" ht="33.75">
      <c r="A409" s="8" t="s">
        <v>311</v>
      </c>
      <c r="B409" s="11"/>
      <c r="C409" s="11"/>
      <c r="D409" s="43"/>
      <c r="E409" s="14">
        <f>60+160+30</f>
        <v>250</v>
      </c>
      <c r="F409" s="43">
        <f aca="true" t="shared" si="54" ref="F409:F417">D409+E409</f>
        <v>250</v>
      </c>
      <c r="G409" s="43"/>
      <c r="H409" s="14">
        <f>60+160+30</f>
        <v>250</v>
      </c>
      <c r="I409" s="43"/>
      <c r="J409" s="43">
        <f aca="true" t="shared" si="55" ref="J409:J417">G409+H409</f>
        <v>250</v>
      </c>
      <c r="K409" s="65"/>
      <c r="L409" s="65"/>
      <c r="M409" s="65"/>
      <c r="N409" s="43"/>
      <c r="O409" s="14">
        <f>60+160+30</f>
        <v>250</v>
      </c>
      <c r="P409" s="43">
        <f aca="true" t="shared" si="56" ref="P409:P417">N409+O409</f>
        <v>250</v>
      </c>
    </row>
    <row r="410" spans="1:16" ht="33.75">
      <c r="A410" s="8" t="s">
        <v>312</v>
      </c>
      <c r="B410" s="11"/>
      <c r="C410" s="11"/>
      <c r="D410" s="43"/>
      <c r="E410" s="14">
        <v>24</v>
      </c>
      <c r="F410" s="43">
        <f t="shared" si="54"/>
        <v>24</v>
      </c>
      <c r="G410" s="43"/>
      <c r="H410" s="14">
        <v>24</v>
      </c>
      <c r="I410" s="43"/>
      <c r="J410" s="43">
        <f t="shared" si="55"/>
        <v>24</v>
      </c>
      <c r="K410" s="65"/>
      <c r="L410" s="65"/>
      <c r="M410" s="65"/>
      <c r="N410" s="43"/>
      <c r="O410" s="14">
        <v>24</v>
      </c>
      <c r="P410" s="43">
        <f t="shared" si="56"/>
        <v>24</v>
      </c>
    </row>
    <row r="411" spans="1:16" ht="33.75">
      <c r="A411" s="8" t="s">
        <v>313</v>
      </c>
      <c r="B411" s="11"/>
      <c r="C411" s="11"/>
      <c r="D411" s="43"/>
      <c r="E411" s="14">
        <v>90</v>
      </c>
      <c r="F411" s="43">
        <f t="shared" si="54"/>
        <v>90</v>
      </c>
      <c r="G411" s="43"/>
      <c r="H411" s="14">
        <v>90</v>
      </c>
      <c r="I411" s="43"/>
      <c r="J411" s="43">
        <f t="shared" si="55"/>
        <v>90</v>
      </c>
      <c r="K411" s="65"/>
      <c r="L411" s="65"/>
      <c r="M411" s="65"/>
      <c r="N411" s="43"/>
      <c r="O411" s="14">
        <v>90</v>
      </c>
      <c r="P411" s="43">
        <f t="shared" si="56"/>
        <v>90</v>
      </c>
    </row>
    <row r="412" spans="1:16" ht="22.5">
      <c r="A412" s="8" t="s">
        <v>314</v>
      </c>
      <c r="B412" s="11"/>
      <c r="C412" s="11"/>
      <c r="D412" s="43"/>
      <c r="E412" s="14">
        <v>30</v>
      </c>
      <c r="F412" s="43">
        <f t="shared" si="54"/>
        <v>30</v>
      </c>
      <c r="G412" s="43"/>
      <c r="H412" s="14">
        <v>30</v>
      </c>
      <c r="I412" s="43"/>
      <c r="J412" s="43">
        <f t="shared" si="55"/>
        <v>30</v>
      </c>
      <c r="K412" s="65"/>
      <c r="L412" s="65"/>
      <c r="M412" s="65"/>
      <c r="N412" s="43"/>
      <c r="O412" s="14">
        <v>30</v>
      </c>
      <c r="P412" s="43">
        <f t="shared" si="56"/>
        <v>30</v>
      </c>
    </row>
    <row r="413" spans="1:16" ht="11.25">
      <c r="A413" s="13" t="s">
        <v>7</v>
      </c>
      <c r="B413" s="68"/>
      <c r="C413" s="11"/>
      <c r="D413" s="43"/>
      <c r="E413" s="15">
        <f>E414+E415+E416+E417</f>
        <v>2470</v>
      </c>
      <c r="F413" s="43">
        <f t="shared" si="54"/>
        <v>2470</v>
      </c>
      <c r="G413" s="43"/>
      <c r="H413" s="15">
        <f>H414+H415+H416+H417</f>
        <v>2650</v>
      </c>
      <c r="I413" s="43"/>
      <c r="J413" s="43">
        <f t="shared" si="55"/>
        <v>2650</v>
      </c>
      <c r="K413" s="65"/>
      <c r="L413" s="65"/>
      <c r="M413" s="65"/>
      <c r="N413" s="43"/>
      <c r="O413" s="15">
        <f>O414+O415+O416+O417</f>
        <v>2815</v>
      </c>
      <c r="P413" s="43">
        <f t="shared" si="56"/>
        <v>2815</v>
      </c>
    </row>
    <row r="414" spans="1:16" ht="33.75">
      <c r="A414" s="11" t="s">
        <v>315</v>
      </c>
      <c r="B414" s="68"/>
      <c r="C414" s="11"/>
      <c r="D414" s="43"/>
      <c r="E414" s="15">
        <v>1550</v>
      </c>
      <c r="F414" s="43">
        <f t="shared" si="54"/>
        <v>1550</v>
      </c>
      <c r="G414" s="43"/>
      <c r="H414" s="15">
        <v>1660</v>
      </c>
      <c r="I414" s="43"/>
      <c r="J414" s="43">
        <f t="shared" si="55"/>
        <v>1660</v>
      </c>
      <c r="K414" s="65"/>
      <c r="L414" s="65"/>
      <c r="M414" s="65"/>
      <c r="N414" s="43"/>
      <c r="O414" s="15">
        <v>1760</v>
      </c>
      <c r="P414" s="43">
        <f t="shared" si="56"/>
        <v>1760</v>
      </c>
    </row>
    <row r="415" spans="1:16" ht="24.75" customHeight="1">
      <c r="A415" s="11" t="s">
        <v>316</v>
      </c>
      <c r="B415" s="68"/>
      <c r="C415" s="11"/>
      <c r="D415" s="43"/>
      <c r="E415" s="15">
        <v>510</v>
      </c>
      <c r="F415" s="43">
        <f t="shared" si="54"/>
        <v>510</v>
      </c>
      <c r="G415" s="43"/>
      <c r="H415" s="15">
        <v>550</v>
      </c>
      <c r="I415" s="43"/>
      <c r="J415" s="43">
        <f t="shared" si="55"/>
        <v>550</v>
      </c>
      <c r="K415" s="65"/>
      <c r="L415" s="65"/>
      <c r="M415" s="65"/>
      <c r="N415" s="43"/>
      <c r="O415" s="15">
        <v>585</v>
      </c>
      <c r="P415" s="43">
        <f t="shared" si="56"/>
        <v>585</v>
      </c>
    </row>
    <row r="416" spans="1:16" ht="33.75">
      <c r="A416" s="11" t="s">
        <v>317</v>
      </c>
      <c r="B416" s="11"/>
      <c r="C416" s="11"/>
      <c r="D416" s="43"/>
      <c r="E416" s="15">
        <v>280</v>
      </c>
      <c r="F416" s="43">
        <f t="shared" si="54"/>
        <v>280</v>
      </c>
      <c r="G416" s="43"/>
      <c r="H416" s="15">
        <v>300</v>
      </c>
      <c r="I416" s="43"/>
      <c r="J416" s="43">
        <f t="shared" si="55"/>
        <v>300</v>
      </c>
      <c r="K416" s="65"/>
      <c r="L416" s="65"/>
      <c r="M416" s="65"/>
      <c r="N416" s="43"/>
      <c r="O416" s="15">
        <v>320</v>
      </c>
      <c r="P416" s="43">
        <f t="shared" si="56"/>
        <v>320</v>
      </c>
    </row>
    <row r="417" spans="1:16" ht="22.5">
      <c r="A417" s="16" t="s">
        <v>318</v>
      </c>
      <c r="B417" s="11"/>
      <c r="C417" s="11"/>
      <c r="D417" s="43"/>
      <c r="E417" s="17">
        <v>130</v>
      </c>
      <c r="F417" s="43">
        <f t="shared" si="54"/>
        <v>130</v>
      </c>
      <c r="G417" s="43"/>
      <c r="H417" s="17">
        <v>140</v>
      </c>
      <c r="I417" s="43"/>
      <c r="J417" s="43">
        <f t="shared" si="55"/>
        <v>140</v>
      </c>
      <c r="K417" s="65"/>
      <c r="L417" s="65"/>
      <c r="M417" s="65"/>
      <c r="N417" s="43"/>
      <c r="O417" s="18">
        <v>150</v>
      </c>
      <c r="P417" s="43">
        <f t="shared" si="56"/>
        <v>150</v>
      </c>
    </row>
    <row r="418" spans="1:16" ht="45">
      <c r="A418" s="58" t="s">
        <v>409</v>
      </c>
      <c r="B418" s="11"/>
      <c r="C418" s="11"/>
      <c r="D418" s="43">
        <f>D420</f>
        <v>0</v>
      </c>
      <c r="E418" s="43">
        <f>E420</f>
        <v>264000</v>
      </c>
      <c r="F418" s="43">
        <f>F420</f>
        <v>264000</v>
      </c>
      <c r="G418" s="43"/>
      <c r="H418" s="43">
        <f>H420</f>
        <v>283200</v>
      </c>
      <c r="I418" s="43"/>
      <c r="J418" s="43">
        <f>J420</f>
        <v>283200</v>
      </c>
      <c r="K418" s="65"/>
      <c r="L418" s="65"/>
      <c r="M418" s="65"/>
      <c r="N418" s="43"/>
      <c r="O418" s="43">
        <f>O420</f>
        <v>300192</v>
      </c>
      <c r="P418" s="43">
        <f>P420</f>
        <v>300192</v>
      </c>
    </row>
    <row r="419" spans="1:16" ht="11.25">
      <c r="A419" s="19" t="s">
        <v>4</v>
      </c>
      <c r="B419" s="11"/>
      <c r="C419" s="11"/>
      <c r="D419" s="43"/>
      <c r="E419" s="17"/>
      <c r="F419" s="43"/>
      <c r="G419" s="43"/>
      <c r="H419" s="17"/>
      <c r="I419" s="43"/>
      <c r="J419" s="43"/>
      <c r="K419" s="65"/>
      <c r="L419" s="65"/>
      <c r="M419" s="65"/>
      <c r="N419" s="43"/>
      <c r="O419" s="18"/>
      <c r="P419" s="43"/>
    </row>
    <row r="420" spans="1:16" ht="22.5">
      <c r="A420" s="8" t="s">
        <v>319</v>
      </c>
      <c r="B420" s="11"/>
      <c r="C420" s="11"/>
      <c r="D420" s="43"/>
      <c r="E420" s="17">
        <v>264000</v>
      </c>
      <c r="F420" s="43">
        <f>D420+E420</f>
        <v>264000</v>
      </c>
      <c r="G420" s="43"/>
      <c r="H420" s="17">
        <f>H422*H424</f>
        <v>283200</v>
      </c>
      <c r="I420" s="43"/>
      <c r="J420" s="43">
        <f>G420+H420</f>
        <v>283200</v>
      </c>
      <c r="K420" s="65"/>
      <c r="L420" s="65"/>
      <c r="M420" s="65"/>
      <c r="N420" s="43"/>
      <c r="O420" s="18">
        <f>O422*O424</f>
        <v>300192</v>
      </c>
      <c r="P420" s="43">
        <f>N420+O420</f>
        <v>300192</v>
      </c>
    </row>
    <row r="421" spans="1:16" ht="11.25">
      <c r="A421" s="19" t="s">
        <v>5</v>
      </c>
      <c r="B421" s="11"/>
      <c r="C421" s="11"/>
      <c r="D421" s="43"/>
      <c r="E421" s="17"/>
      <c r="F421" s="43"/>
      <c r="G421" s="43"/>
      <c r="H421" s="17"/>
      <c r="I421" s="43"/>
      <c r="J421" s="43"/>
      <c r="K421" s="65"/>
      <c r="L421" s="65"/>
      <c r="M421" s="65"/>
      <c r="N421" s="43"/>
      <c r="O421" s="18"/>
      <c r="P421" s="43"/>
    </row>
    <row r="422" spans="1:16" ht="22.5">
      <c r="A422" s="20" t="s">
        <v>320</v>
      </c>
      <c r="B422" s="11"/>
      <c r="C422" s="11"/>
      <c r="D422" s="43"/>
      <c r="E422" s="21">
        <v>236</v>
      </c>
      <c r="F422" s="69">
        <f>D422+E422</f>
        <v>236</v>
      </c>
      <c r="G422" s="69"/>
      <c r="H422" s="21">
        <v>236</v>
      </c>
      <c r="I422" s="69"/>
      <c r="J422" s="69">
        <f>G422+H422</f>
        <v>236</v>
      </c>
      <c r="K422" s="70"/>
      <c r="L422" s="70"/>
      <c r="M422" s="70"/>
      <c r="N422" s="69"/>
      <c r="O422" s="21">
        <v>236</v>
      </c>
      <c r="P422" s="69">
        <f>N422+O422</f>
        <v>236</v>
      </c>
    </row>
    <row r="423" spans="1:16" ht="11.25">
      <c r="A423" s="19" t="s">
        <v>7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20" t="s">
        <v>321</v>
      </c>
      <c r="B424" s="11"/>
      <c r="C424" s="11"/>
      <c r="D424" s="43"/>
      <c r="E424" s="43">
        <v>1118.64</v>
      </c>
      <c r="F424" s="43">
        <f>D424+E424</f>
        <v>1118.64</v>
      </c>
      <c r="G424" s="43"/>
      <c r="H424" s="43">
        <v>1200</v>
      </c>
      <c r="I424" s="43"/>
      <c r="J424" s="43">
        <f>G424+H424</f>
        <v>1200</v>
      </c>
      <c r="K424" s="65"/>
      <c r="L424" s="65"/>
      <c r="M424" s="65"/>
      <c r="N424" s="43"/>
      <c r="O424" s="43">
        <v>1272</v>
      </c>
      <c r="P424" s="43">
        <f>N424+O424</f>
        <v>1272</v>
      </c>
    </row>
    <row r="425" spans="1:235" s="39" customFormat="1" ht="24" customHeight="1">
      <c r="A425" s="9" t="s">
        <v>410</v>
      </c>
      <c r="B425" s="9"/>
      <c r="C425" s="9"/>
      <c r="D425" s="10">
        <f>(D427*D429)</f>
        <v>64999.9999998</v>
      </c>
      <c r="E425" s="10"/>
      <c r="F425" s="10">
        <f>D425</f>
        <v>64999.9999998</v>
      </c>
      <c r="G425" s="10">
        <f>G427*G429</f>
        <v>58000</v>
      </c>
      <c r="H425" s="10"/>
      <c r="I425" s="10"/>
      <c r="J425" s="10">
        <f>G425</f>
        <v>58000</v>
      </c>
      <c r="K425" s="10"/>
      <c r="L425" s="10"/>
      <c r="M425" s="10"/>
      <c r="N425" s="10">
        <f>N427*N429</f>
        <v>74999.99999968</v>
      </c>
      <c r="O425" s="10"/>
      <c r="P425" s="10">
        <f>N425</f>
        <v>74999.99999968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</row>
    <row r="426" spans="1:16" ht="12.75" customHeight="1">
      <c r="A426" s="13" t="s">
        <v>152</v>
      </c>
      <c r="B426" s="9"/>
      <c r="C426" s="9"/>
      <c r="D426" s="10"/>
      <c r="E426" s="10"/>
      <c r="F426" s="10"/>
      <c r="G426" s="10"/>
      <c r="H426" s="10"/>
      <c r="I426" s="10"/>
      <c r="J426" s="10"/>
      <c r="K426" s="65"/>
      <c r="L426" s="10"/>
      <c r="M426" s="10"/>
      <c r="N426" s="10"/>
      <c r="O426" s="10"/>
      <c r="P426" s="10"/>
    </row>
    <row r="427" spans="1:16" ht="24" customHeight="1">
      <c r="A427" s="8" t="s">
        <v>151</v>
      </c>
      <c r="B427" s="11"/>
      <c r="C427" s="11"/>
      <c r="D427" s="43">
        <v>5400</v>
      </c>
      <c r="E427" s="43"/>
      <c r="F427" s="43">
        <f>D427</f>
        <v>5400</v>
      </c>
      <c r="G427" s="43">
        <v>4640</v>
      </c>
      <c r="H427" s="43"/>
      <c r="I427" s="43"/>
      <c r="J427" s="43">
        <f>G427</f>
        <v>4640</v>
      </c>
      <c r="K427" s="65"/>
      <c r="L427" s="65"/>
      <c r="M427" s="65"/>
      <c r="N427" s="43">
        <v>5600</v>
      </c>
      <c r="O427" s="43"/>
      <c r="P427" s="43">
        <f>N427</f>
        <v>5600</v>
      </c>
    </row>
    <row r="428" spans="1:16" ht="11.25">
      <c r="A428" s="13" t="s">
        <v>7</v>
      </c>
      <c r="B428" s="11"/>
      <c r="C428" s="11"/>
      <c r="D428" s="43"/>
      <c r="E428" s="43"/>
      <c r="F428" s="43"/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24" customHeight="1">
      <c r="A429" s="11" t="s">
        <v>153</v>
      </c>
      <c r="B429" s="11"/>
      <c r="C429" s="11"/>
      <c r="D429" s="43">
        <v>12.037037037</v>
      </c>
      <c r="E429" s="43"/>
      <c r="F429" s="43">
        <f>D429</f>
        <v>12.037037037</v>
      </c>
      <c r="G429" s="43">
        <v>12.5</v>
      </c>
      <c r="H429" s="43"/>
      <c r="I429" s="43"/>
      <c r="J429" s="43">
        <f>G429</f>
        <v>12.5</v>
      </c>
      <c r="K429" s="65"/>
      <c r="L429" s="65"/>
      <c r="M429" s="65"/>
      <c r="N429" s="43">
        <v>13.3928571428</v>
      </c>
      <c r="O429" s="43"/>
      <c r="P429" s="43">
        <f>N429</f>
        <v>13.3928571428</v>
      </c>
    </row>
    <row r="430" spans="1:235" s="39" customFormat="1" ht="123.75">
      <c r="A430" s="67" t="s">
        <v>425</v>
      </c>
      <c r="B430" s="9"/>
      <c r="C430" s="9"/>
      <c r="D430" s="146">
        <f>D432*D440+D434*D442+D433*D441+D435*D443+D436*D444+D437*D445</f>
        <v>404000</v>
      </c>
      <c r="E430" s="10"/>
      <c r="F430" s="10">
        <f>F432*F440+F434*F442+F433*F441+F435*F443+F436*F444+F437*F445</f>
        <v>404000</v>
      </c>
      <c r="G430" s="10">
        <f>G432*G440+G434*G442+G433*G441+G435*G443+G436*G444+G437*G445+G438*G446</f>
        <v>342000</v>
      </c>
      <c r="H430" s="10"/>
      <c r="I430" s="10"/>
      <c r="J430" s="10">
        <f>G430</f>
        <v>342000</v>
      </c>
      <c r="K430" s="10"/>
      <c r="L430" s="10"/>
      <c r="M430" s="10"/>
      <c r="N430" s="10">
        <f>N434*N442+N432*N440</f>
        <v>65000</v>
      </c>
      <c r="O430" s="10"/>
      <c r="P430" s="10">
        <f>N430</f>
        <v>65000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</row>
    <row r="431" spans="1:16" ht="11.25">
      <c r="A431" s="13" t="s">
        <v>152</v>
      </c>
      <c r="B431" s="9"/>
      <c r="C431" s="9"/>
      <c r="D431" s="10"/>
      <c r="E431" s="10"/>
      <c r="F431" s="10"/>
      <c r="G431" s="10"/>
      <c r="H431" s="10"/>
      <c r="I431" s="10"/>
      <c r="J431" s="10"/>
      <c r="K431" s="65"/>
      <c r="L431" s="65"/>
      <c r="M431" s="65"/>
      <c r="N431" s="43"/>
      <c r="O431" s="43"/>
      <c r="P431" s="43"/>
    </row>
    <row r="432" spans="1:16" ht="33" customHeight="1">
      <c r="A432" s="8" t="s">
        <v>267</v>
      </c>
      <c r="B432" s="9"/>
      <c r="C432" s="9"/>
      <c r="D432" s="43">
        <v>5</v>
      </c>
      <c r="E432" s="10"/>
      <c r="F432" s="43">
        <f>D432+E432</f>
        <v>5</v>
      </c>
      <c r="G432" s="43">
        <v>5</v>
      </c>
      <c r="H432" s="10"/>
      <c r="I432" s="43"/>
      <c r="J432" s="43">
        <f aca="true" t="shared" si="57" ref="J432:J438">G432+H432</f>
        <v>5</v>
      </c>
      <c r="K432" s="65"/>
      <c r="L432" s="65"/>
      <c r="M432" s="65"/>
      <c r="N432" s="43">
        <v>5</v>
      </c>
      <c r="O432" s="43"/>
      <c r="P432" s="43">
        <f>N432</f>
        <v>5</v>
      </c>
    </row>
    <row r="433" spans="1:16" ht="26.25" customHeight="1">
      <c r="A433" s="8" t="s">
        <v>272</v>
      </c>
      <c r="B433" s="9"/>
      <c r="C433" s="9"/>
      <c r="D433" s="43">
        <v>1</v>
      </c>
      <c r="E433" s="10"/>
      <c r="F433" s="43">
        <v>1</v>
      </c>
      <c r="G433" s="43">
        <v>1</v>
      </c>
      <c r="H433" s="10"/>
      <c r="I433" s="43"/>
      <c r="J433" s="43">
        <f t="shared" si="57"/>
        <v>1</v>
      </c>
      <c r="K433" s="65"/>
      <c r="L433" s="65"/>
      <c r="M433" s="65"/>
      <c r="N433" s="43"/>
      <c r="O433" s="43"/>
      <c r="P433" s="43"/>
    </row>
    <row r="434" spans="1:16" ht="39" customHeight="1">
      <c r="A434" s="8" t="s">
        <v>224</v>
      </c>
      <c r="B434" s="11"/>
      <c r="C434" s="11"/>
      <c r="D434" s="43">
        <v>12</v>
      </c>
      <c r="E434" s="43"/>
      <c r="F434" s="43">
        <f>D434+E434</f>
        <v>12</v>
      </c>
      <c r="G434" s="43">
        <v>12</v>
      </c>
      <c r="H434" s="43"/>
      <c r="I434" s="43"/>
      <c r="J434" s="43">
        <f t="shared" si="57"/>
        <v>12</v>
      </c>
      <c r="K434" s="65"/>
      <c r="L434" s="65"/>
      <c r="M434" s="65"/>
      <c r="N434" s="43">
        <v>12</v>
      </c>
      <c r="O434" s="43"/>
      <c r="P434" s="43">
        <f>N434</f>
        <v>12</v>
      </c>
    </row>
    <row r="435" spans="1:16" ht="27.75" customHeight="1">
      <c r="A435" s="71" t="s">
        <v>325</v>
      </c>
      <c r="B435" s="11"/>
      <c r="C435" s="11"/>
      <c r="D435" s="43">
        <v>1</v>
      </c>
      <c r="E435" s="43"/>
      <c r="F435" s="43">
        <f>D435+E435</f>
        <v>1</v>
      </c>
      <c r="G435" s="43"/>
      <c r="H435" s="43"/>
      <c r="I435" s="43"/>
      <c r="J435" s="43">
        <f t="shared" si="57"/>
        <v>0</v>
      </c>
      <c r="K435" s="65"/>
      <c r="L435" s="65"/>
      <c r="M435" s="65"/>
      <c r="N435" s="43"/>
      <c r="O435" s="43"/>
      <c r="P435" s="43"/>
    </row>
    <row r="436" spans="1:16" ht="30" customHeight="1">
      <c r="A436" s="71" t="s">
        <v>327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7"/>
        <v>0</v>
      </c>
      <c r="K436" s="65"/>
      <c r="L436" s="65"/>
      <c r="M436" s="65"/>
      <c r="N436" s="43"/>
      <c r="O436" s="43"/>
      <c r="P436" s="43"/>
    </row>
    <row r="437" spans="1:16" ht="21.75" customHeight="1">
      <c r="A437" s="8" t="s">
        <v>357</v>
      </c>
      <c r="B437" s="68"/>
      <c r="C437" s="11"/>
      <c r="D437" s="43">
        <v>4</v>
      </c>
      <c r="E437" s="43"/>
      <c r="F437" s="43">
        <f>D437+E437</f>
        <v>4</v>
      </c>
      <c r="G437" s="43">
        <v>4</v>
      </c>
      <c r="H437" s="43"/>
      <c r="I437" s="43"/>
      <c r="J437" s="43">
        <f t="shared" si="57"/>
        <v>4</v>
      </c>
      <c r="K437" s="65"/>
      <c r="L437" s="65"/>
      <c r="M437" s="65"/>
      <c r="N437" s="43"/>
      <c r="O437" s="43"/>
      <c r="P437" s="43"/>
    </row>
    <row r="438" spans="1:16" ht="46.5" customHeight="1">
      <c r="A438" s="8" t="s">
        <v>426</v>
      </c>
      <c r="B438" s="68"/>
      <c r="C438" s="11"/>
      <c r="D438" s="43">
        <v>0</v>
      </c>
      <c r="E438" s="43"/>
      <c r="F438" s="43">
        <f>D438+E438</f>
        <v>0</v>
      </c>
      <c r="G438" s="43">
        <v>1</v>
      </c>
      <c r="H438" s="43"/>
      <c r="I438" s="43"/>
      <c r="J438" s="43">
        <f t="shared" si="57"/>
        <v>1</v>
      </c>
      <c r="K438" s="65"/>
      <c r="L438" s="65"/>
      <c r="M438" s="65"/>
      <c r="N438" s="43"/>
      <c r="O438" s="43"/>
      <c r="P438" s="43"/>
    </row>
    <row r="439" spans="1:16" ht="11.25">
      <c r="A439" s="61" t="s">
        <v>7</v>
      </c>
      <c r="B439" s="11"/>
      <c r="C439" s="11"/>
      <c r="D439" s="43"/>
      <c r="E439" s="43"/>
      <c r="F439" s="43"/>
      <c r="G439" s="43"/>
      <c r="H439" s="43"/>
      <c r="I439" s="43"/>
      <c r="J439" s="43"/>
      <c r="K439" s="65"/>
      <c r="L439" s="65"/>
      <c r="M439" s="65"/>
      <c r="N439" s="43"/>
      <c r="O439" s="43"/>
      <c r="P439" s="43"/>
    </row>
    <row r="440" spans="1:16" ht="22.5">
      <c r="A440" s="11" t="s">
        <v>266</v>
      </c>
      <c r="B440" s="11"/>
      <c r="C440" s="11"/>
      <c r="D440" s="43">
        <v>8400</v>
      </c>
      <c r="E440" s="43"/>
      <c r="F440" s="43">
        <f>D440+E440</f>
        <v>8400</v>
      </c>
      <c r="G440" s="43">
        <v>13000</v>
      </c>
      <c r="H440" s="43"/>
      <c r="I440" s="43"/>
      <c r="J440" s="43">
        <f aca="true" t="shared" si="58" ref="J440:J446">G440+H440</f>
        <v>13000</v>
      </c>
      <c r="K440" s="65"/>
      <c r="L440" s="65"/>
      <c r="M440" s="65"/>
      <c r="N440" s="43">
        <v>10000</v>
      </c>
      <c r="O440" s="43"/>
      <c r="P440" s="43">
        <f>N440</f>
        <v>10000</v>
      </c>
    </row>
    <row r="441" spans="1:16" ht="22.5">
      <c r="A441" s="11" t="s">
        <v>271</v>
      </c>
      <c r="B441" s="11"/>
      <c r="C441" s="11"/>
      <c r="D441" s="43">
        <v>167000</v>
      </c>
      <c r="E441" s="43"/>
      <c r="F441" s="43">
        <f>D441+E441</f>
        <v>167000</v>
      </c>
      <c r="G441" s="43">
        <v>200000</v>
      </c>
      <c r="H441" s="43"/>
      <c r="I441" s="43"/>
      <c r="J441" s="43">
        <f t="shared" si="58"/>
        <v>200000</v>
      </c>
      <c r="K441" s="65"/>
      <c r="L441" s="65"/>
      <c r="M441" s="65"/>
      <c r="N441" s="43"/>
      <c r="O441" s="43"/>
      <c r="P441" s="43"/>
    </row>
    <row r="442" spans="1:16" ht="33.75" customHeight="1">
      <c r="A442" s="11" t="s">
        <v>175</v>
      </c>
      <c r="B442" s="11"/>
      <c r="C442" s="11"/>
      <c r="D442" s="43">
        <f>10000/12</f>
        <v>833.3333333333334</v>
      </c>
      <c r="E442" s="43"/>
      <c r="F442" s="43">
        <f>D442+E442</f>
        <v>833.3333333333334</v>
      </c>
      <c r="G442" s="43">
        <v>500</v>
      </c>
      <c r="H442" s="43"/>
      <c r="I442" s="43"/>
      <c r="J442" s="43">
        <f t="shared" si="58"/>
        <v>500</v>
      </c>
      <c r="K442" s="65"/>
      <c r="L442" s="65"/>
      <c r="M442" s="65"/>
      <c r="N442" s="43">
        <f>15000/12</f>
        <v>1250</v>
      </c>
      <c r="O442" s="43"/>
      <c r="P442" s="43">
        <f>N442</f>
        <v>1250</v>
      </c>
    </row>
    <row r="443" spans="1:16" ht="30.75" customHeight="1">
      <c r="A443" s="11" t="s">
        <v>326</v>
      </c>
      <c r="B443" s="20"/>
      <c r="C443" s="20"/>
      <c r="D443" s="43">
        <v>150000</v>
      </c>
      <c r="E443" s="44"/>
      <c r="F443" s="44">
        <v>150000</v>
      </c>
      <c r="G443" s="44"/>
      <c r="H443" s="44"/>
      <c r="I443" s="44"/>
      <c r="J443" s="65">
        <f t="shared" si="58"/>
        <v>0</v>
      </c>
      <c r="K443" s="44"/>
      <c r="L443" s="44"/>
      <c r="M443" s="44"/>
      <c r="N443" s="44"/>
      <c r="O443" s="44"/>
      <c r="P443" s="44"/>
    </row>
    <row r="444" spans="1:16" ht="30.75" customHeight="1">
      <c r="A444" s="16" t="s">
        <v>328</v>
      </c>
      <c r="B444" s="20"/>
      <c r="C444" s="20"/>
      <c r="D444" s="44">
        <v>1000</v>
      </c>
      <c r="E444" s="44"/>
      <c r="F444" s="44">
        <v>1000</v>
      </c>
      <c r="G444" s="44"/>
      <c r="H444" s="44"/>
      <c r="I444" s="44"/>
      <c r="J444" s="65">
        <f t="shared" si="58"/>
        <v>0</v>
      </c>
      <c r="K444" s="44"/>
      <c r="L444" s="44"/>
      <c r="M444" s="44"/>
      <c r="N444" s="44"/>
      <c r="O444" s="44"/>
      <c r="P444" s="44"/>
    </row>
    <row r="445" spans="1:16" ht="21.75" customHeight="1">
      <c r="A445" s="20" t="s">
        <v>358</v>
      </c>
      <c r="B445" s="20"/>
      <c r="C445" s="20"/>
      <c r="D445" s="44">
        <v>8500</v>
      </c>
      <c r="E445" s="44"/>
      <c r="F445" s="44">
        <v>8500</v>
      </c>
      <c r="G445" s="44">
        <v>12750</v>
      </c>
      <c r="H445" s="44"/>
      <c r="I445" s="44"/>
      <c r="J445" s="65">
        <f t="shared" si="58"/>
        <v>12750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427</v>
      </c>
      <c r="B446" s="20"/>
      <c r="C446" s="20"/>
      <c r="D446" s="44"/>
      <c r="E446" s="44"/>
      <c r="F446" s="44"/>
      <c r="G446" s="44">
        <v>20000</v>
      </c>
      <c r="H446" s="44"/>
      <c r="I446" s="44"/>
      <c r="J446" s="65">
        <f t="shared" si="58"/>
        <v>20000</v>
      </c>
      <c r="K446" s="44"/>
      <c r="L446" s="44"/>
      <c r="M446" s="44"/>
      <c r="N446" s="44"/>
      <c r="O446" s="44"/>
      <c r="P446" s="44"/>
    </row>
    <row r="447" spans="1:16" ht="21.75" customHeight="1">
      <c r="A447" s="151" t="s">
        <v>366</v>
      </c>
      <c r="B447" s="20"/>
      <c r="C447" s="20"/>
      <c r="D447" s="57">
        <f>D449</f>
        <v>150000</v>
      </c>
      <c r="E447" s="57"/>
      <c r="F447" s="57">
        <f>F449</f>
        <v>150000</v>
      </c>
      <c r="G447" s="57">
        <f>G449</f>
        <v>100000</v>
      </c>
      <c r="H447" s="57"/>
      <c r="I447" s="57">
        <f>I449</f>
        <v>0</v>
      </c>
      <c r="J447" s="57">
        <f>J449</f>
        <v>100000</v>
      </c>
      <c r="K447" s="44"/>
      <c r="L447" s="44"/>
      <c r="M447" s="44"/>
      <c r="N447" s="44"/>
      <c r="O447" s="44"/>
      <c r="P447" s="44"/>
    </row>
    <row r="448" spans="1:16" ht="21.75" customHeight="1">
      <c r="A448" s="147" t="s">
        <v>362</v>
      </c>
      <c r="B448" s="20"/>
      <c r="C448" s="20"/>
      <c r="D448" s="57"/>
      <c r="E448" s="57"/>
      <c r="F448" s="57"/>
      <c r="G448" s="57"/>
      <c r="H448" s="57"/>
      <c r="I448" s="57"/>
      <c r="J448" s="57"/>
      <c r="K448" s="44"/>
      <c r="L448" s="44"/>
      <c r="M448" s="44"/>
      <c r="N448" s="44"/>
      <c r="O448" s="44"/>
      <c r="P448" s="44"/>
    </row>
    <row r="449" spans="1:16" ht="46.5" customHeight="1">
      <c r="A449" s="148" t="s">
        <v>411</v>
      </c>
      <c r="B449" s="20"/>
      <c r="C449" s="20"/>
      <c r="D449" s="57">
        <f>D451</f>
        <v>150000</v>
      </c>
      <c r="E449" s="57"/>
      <c r="F449" s="57">
        <f>F451</f>
        <v>150000</v>
      </c>
      <c r="G449" s="57">
        <f>G451</f>
        <v>100000</v>
      </c>
      <c r="H449" s="57"/>
      <c r="I449" s="57">
        <f>I451</f>
        <v>0</v>
      </c>
      <c r="J449" s="57">
        <f>J451</f>
        <v>100000</v>
      </c>
      <c r="K449" s="44"/>
      <c r="L449" s="44"/>
      <c r="M449" s="44"/>
      <c r="N449" s="44"/>
      <c r="O449" s="44"/>
      <c r="P449" s="44"/>
    </row>
    <row r="450" spans="1:16" ht="21.75" customHeight="1">
      <c r="A450" s="149" t="s">
        <v>4</v>
      </c>
      <c r="B450" s="20"/>
      <c r="C450" s="20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21.75" customHeight="1">
      <c r="A451" s="147" t="s">
        <v>363</v>
      </c>
      <c r="B451" s="20"/>
      <c r="C451" s="20"/>
      <c r="D451" s="44">
        <f>D453*D455</f>
        <v>150000</v>
      </c>
      <c r="E451" s="44"/>
      <c r="F451" s="44">
        <f>F453*F455</f>
        <v>150000</v>
      </c>
      <c r="G451" s="44">
        <f>G453*G455</f>
        <v>100000</v>
      </c>
      <c r="H451" s="44"/>
      <c r="I451" s="44">
        <f>I453*I455</f>
        <v>0</v>
      </c>
      <c r="J451" s="44">
        <f>J453*J455</f>
        <v>100000</v>
      </c>
      <c r="K451" s="44"/>
      <c r="L451" s="44"/>
      <c r="M451" s="44"/>
      <c r="N451" s="44"/>
      <c r="O451" s="44"/>
      <c r="P451" s="44"/>
    </row>
    <row r="452" spans="1:16" ht="21.75" customHeight="1">
      <c r="A452" s="149" t="s">
        <v>5</v>
      </c>
      <c r="B452" s="20"/>
      <c r="C452" s="20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21.75" customHeight="1">
      <c r="A453" s="147" t="s">
        <v>364</v>
      </c>
      <c r="B453" s="20"/>
      <c r="C453" s="20"/>
      <c r="D453" s="44">
        <v>1</v>
      </c>
      <c r="E453" s="44"/>
      <c r="F453" s="44">
        <v>1</v>
      </c>
      <c r="G453" s="44">
        <v>2</v>
      </c>
      <c r="H453" s="44"/>
      <c r="I453" s="44"/>
      <c r="J453" s="44">
        <v>2</v>
      </c>
      <c r="K453" s="44"/>
      <c r="L453" s="44"/>
      <c r="M453" s="44"/>
      <c r="N453" s="44"/>
      <c r="O453" s="44"/>
      <c r="P453" s="44"/>
    </row>
    <row r="454" spans="1:16" ht="21.75" customHeight="1">
      <c r="A454" s="149" t="s">
        <v>7</v>
      </c>
      <c r="B454" s="20"/>
      <c r="C454" s="20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21.75" customHeight="1">
      <c r="A455" s="150" t="s">
        <v>365</v>
      </c>
      <c r="B455" s="20"/>
      <c r="C455" s="20"/>
      <c r="D455" s="44">
        <v>150000</v>
      </c>
      <c r="E455" s="44"/>
      <c r="F455" s="44">
        <v>150000</v>
      </c>
      <c r="G455" s="44">
        <v>50000</v>
      </c>
      <c r="H455" s="44"/>
      <c r="I455" s="44"/>
      <c r="J455" s="44">
        <v>50000</v>
      </c>
      <c r="K455" s="44"/>
      <c r="L455" s="44"/>
      <c r="M455" s="44"/>
      <c r="N455" s="44"/>
      <c r="O455" s="44"/>
      <c r="P455" s="44"/>
    </row>
    <row r="456" spans="1:16" ht="16.5" customHeight="1">
      <c r="A456" s="37" t="s">
        <v>248</v>
      </c>
      <c r="B456" s="37"/>
      <c r="C456" s="37"/>
      <c r="D456" s="30">
        <f>D457</f>
        <v>8624700</v>
      </c>
      <c r="E456" s="30">
        <f>E457</f>
        <v>13705000</v>
      </c>
      <c r="F456" s="30">
        <f>F457</f>
        <v>22329700</v>
      </c>
      <c r="G456" s="30">
        <f>G457</f>
        <v>4623000</v>
      </c>
      <c r="H456" s="30"/>
      <c r="I456" s="30">
        <f>I457</f>
        <v>0</v>
      </c>
      <c r="J456" s="30">
        <f>G456</f>
        <v>4623000</v>
      </c>
      <c r="K456" s="30" t="e">
        <f>#REF!+K457</f>
        <v>#REF!</v>
      </c>
      <c r="L456" s="30" t="e">
        <f>#REF!+L457</f>
        <v>#REF!</v>
      </c>
      <c r="M456" s="30" t="e">
        <f>#REF!+M457</f>
        <v>#REF!</v>
      </c>
      <c r="N456" s="30">
        <f>N457</f>
        <v>1650000</v>
      </c>
      <c r="O456" s="30">
        <f>O457</f>
        <v>0</v>
      </c>
      <c r="P456" s="30">
        <f>N456</f>
        <v>1650000</v>
      </c>
    </row>
    <row r="457" spans="1:235" s="39" customFormat="1" ht="26.25" customHeight="1">
      <c r="A457" s="34" t="s">
        <v>412</v>
      </c>
      <c r="B457" s="35"/>
      <c r="C457" s="35"/>
      <c r="D457" s="36">
        <f>D459</f>
        <v>8624700</v>
      </c>
      <c r="E457" s="36">
        <f>SUM(E460)</f>
        <v>13705000</v>
      </c>
      <c r="F457" s="36">
        <f>D457+E457</f>
        <v>22329700</v>
      </c>
      <c r="G457" s="36">
        <f>G459</f>
        <v>4623000</v>
      </c>
      <c r="H457" s="36"/>
      <c r="I457" s="36">
        <f>I459</f>
        <v>0</v>
      </c>
      <c r="J457" s="36">
        <f>G457</f>
        <v>4623000</v>
      </c>
      <c r="K457" s="36"/>
      <c r="L457" s="36"/>
      <c r="M457" s="36"/>
      <c r="N457" s="36">
        <f>N459</f>
        <v>1650000</v>
      </c>
      <c r="O457" s="36">
        <f>O459</f>
        <v>0</v>
      </c>
      <c r="P457" s="36">
        <f>N457</f>
        <v>1650000</v>
      </c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  <c r="HJ457" s="38"/>
      <c r="HK457" s="38"/>
      <c r="HL457" s="38"/>
      <c r="HM457" s="38"/>
      <c r="HN457" s="38"/>
      <c r="HO457" s="38"/>
      <c r="HP457" s="38"/>
      <c r="HQ457" s="38"/>
      <c r="HR457" s="38"/>
      <c r="HS457" s="38"/>
      <c r="HT457" s="38"/>
      <c r="HU457" s="38"/>
      <c r="HV457" s="38"/>
      <c r="HW457" s="38"/>
      <c r="HX457" s="38"/>
      <c r="HY457" s="38"/>
      <c r="HZ457" s="38"/>
      <c r="IA457" s="38"/>
    </row>
    <row r="458" spans="1:16" ht="11.25">
      <c r="A458" s="5" t="s">
        <v>4</v>
      </c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35.25" customHeight="1">
      <c r="A459" s="8" t="s">
        <v>249</v>
      </c>
      <c r="B459" s="6"/>
      <c r="C459" s="6"/>
      <c r="D459" s="7">
        <f>8124700+500000</f>
        <v>8624700</v>
      </c>
      <c r="E459" s="7"/>
      <c r="F459" s="7">
        <f>D459</f>
        <v>8624700</v>
      </c>
      <c r="G459" s="7">
        <f>G462*G464</f>
        <v>4623000</v>
      </c>
      <c r="H459" s="7"/>
      <c r="I459" s="7"/>
      <c r="J459" s="7">
        <f>G459+H459</f>
        <v>4623000</v>
      </c>
      <c r="K459" s="7"/>
      <c r="L459" s="7"/>
      <c r="M459" s="7"/>
      <c r="N459" s="7">
        <f>N462*N464</f>
        <v>1650000</v>
      </c>
      <c r="O459" s="7"/>
      <c r="P459" s="7">
        <f>N459</f>
        <v>1650000</v>
      </c>
    </row>
    <row r="460" spans="1:16" ht="164.25" customHeight="1">
      <c r="A460" s="8" t="s">
        <v>329</v>
      </c>
      <c r="B460" s="6"/>
      <c r="C460" s="6"/>
      <c r="D460" s="7"/>
      <c r="E460" s="7">
        <v>13705000</v>
      </c>
      <c r="F460" s="7">
        <f>D460+E460</f>
        <v>13705000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1.25">
      <c r="A461" s="5" t="s">
        <v>5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39.75" customHeight="1">
      <c r="A462" s="8" t="s">
        <v>250</v>
      </c>
      <c r="B462" s="6"/>
      <c r="C462" s="6"/>
      <c r="D462" s="7">
        <v>2</v>
      </c>
      <c r="E462" s="7"/>
      <c r="F462" s="7">
        <f>D462</f>
        <v>2</v>
      </c>
      <c r="G462" s="7">
        <v>2</v>
      </c>
      <c r="H462" s="7"/>
      <c r="I462" s="7"/>
      <c r="J462" s="7">
        <f>G462+H462</f>
        <v>2</v>
      </c>
      <c r="K462" s="7"/>
      <c r="L462" s="7"/>
      <c r="M462" s="7"/>
      <c r="N462" s="7">
        <v>1</v>
      </c>
      <c r="O462" s="7"/>
      <c r="P462" s="7">
        <f>N462</f>
        <v>1</v>
      </c>
    </row>
    <row r="463" spans="1:16" ht="11.25">
      <c r="A463" s="5" t="s">
        <v>7</v>
      </c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40.5" customHeight="1">
      <c r="A464" s="8" t="s">
        <v>251</v>
      </c>
      <c r="B464" s="6"/>
      <c r="C464" s="6"/>
      <c r="D464" s="7">
        <v>3812350</v>
      </c>
      <c r="E464" s="7"/>
      <c r="F464" s="7">
        <f>F459/F462</f>
        <v>4312350</v>
      </c>
      <c r="G464" s="7">
        <v>2311500</v>
      </c>
      <c r="H464" s="7"/>
      <c r="I464" s="7"/>
      <c r="J464" s="7">
        <f>G464+H464</f>
        <v>2311500</v>
      </c>
      <c r="K464" s="7"/>
      <c r="L464" s="7"/>
      <c r="M464" s="7"/>
      <c r="N464" s="7">
        <v>1650000</v>
      </c>
      <c r="O464" s="7"/>
      <c r="P464" s="7">
        <f>P459/P462</f>
        <v>1650000</v>
      </c>
    </row>
    <row r="465" spans="1:17" ht="15" customHeight="1">
      <c r="A465" s="37" t="s">
        <v>254</v>
      </c>
      <c r="B465" s="6"/>
      <c r="C465" s="6"/>
      <c r="D465" s="36">
        <f>D467+D478+D485+D494+D501+D512+D519+D526+D533</f>
        <v>22123399.999999568</v>
      </c>
      <c r="E465" s="36">
        <f>E467+E478+E485+E494+E501+E512+E519+E526+E533</f>
        <v>1370000</v>
      </c>
      <c r="F465" s="36">
        <f>F467+F478+F485+F494+F501+F512+F519+F526+F533</f>
        <v>23493399.999999568</v>
      </c>
      <c r="G465" s="36">
        <f>G467+G478+G485+G494+G501+G512+G540+G547+G561</f>
        <v>43705000.4045</v>
      </c>
      <c r="H465" s="36">
        <f>H467+H478+H485+H494+H501+H512+H554</f>
        <v>2300000</v>
      </c>
      <c r="I465" s="36">
        <f aca="true" t="shared" si="59" ref="I465:Q465">I467+I478+I485+I494+I501+I512</f>
        <v>0</v>
      </c>
      <c r="J465" s="36">
        <f>J467+J478+J485+J494+J501+J512+J540+J547+J554+J561</f>
        <v>46005000.4045</v>
      </c>
      <c r="K465" s="36">
        <f t="shared" si="59"/>
        <v>0</v>
      </c>
      <c r="L465" s="36">
        <f t="shared" si="59"/>
        <v>0</v>
      </c>
      <c r="M465" s="36">
        <f t="shared" si="59"/>
        <v>0</v>
      </c>
      <c r="N465" s="36">
        <f t="shared" si="59"/>
        <v>7650000.00205</v>
      </c>
      <c r="O465" s="36">
        <f t="shared" si="59"/>
        <v>2000000</v>
      </c>
      <c r="P465" s="36">
        <f t="shared" si="59"/>
        <v>9650000.002050001</v>
      </c>
      <c r="Q465" s="36">
        <f t="shared" si="59"/>
        <v>0</v>
      </c>
    </row>
    <row r="466" spans="1:16" ht="23.25" customHeight="1">
      <c r="A466" s="8" t="s">
        <v>133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235" s="39" customFormat="1" ht="55.5" customHeight="1">
      <c r="A467" s="34" t="s">
        <v>413</v>
      </c>
      <c r="B467" s="35"/>
      <c r="C467" s="35"/>
      <c r="D467" s="36">
        <f>SUM(D468)+D475</f>
        <v>19868000</v>
      </c>
      <c r="E467" s="36"/>
      <c r="F467" s="36">
        <f>SUM(F468)+F475</f>
        <v>19868000</v>
      </c>
      <c r="G467" s="36">
        <f>SUM(G468)+G475</f>
        <v>32493000</v>
      </c>
      <c r="H467" s="36"/>
      <c r="I467" s="36">
        <f aca="true" t="shared" si="60" ref="I467:N467">SUM(I468)+I475</f>
        <v>0</v>
      </c>
      <c r="J467" s="36">
        <f t="shared" si="60"/>
        <v>32493000</v>
      </c>
      <c r="K467" s="36">
        <f t="shared" si="60"/>
        <v>0</v>
      </c>
      <c r="L467" s="36">
        <f t="shared" si="60"/>
        <v>0</v>
      </c>
      <c r="M467" s="36">
        <f t="shared" si="60"/>
        <v>0</v>
      </c>
      <c r="N467" s="36">
        <f t="shared" si="60"/>
        <v>7000000</v>
      </c>
      <c r="O467" s="36"/>
      <c r="P467" s="36">
        <f>SUM(P468)+P475</f>
        <v>7000000</v>
      </c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8"/>
      <c r="FJ467" s="38"/>
      <c r="FK467" s="38"/>
      <c r="FL467" s="38"/>
      <c r="FM467" s="38"/>
      <c r="FN467" s="38"/>
      <c r="FO467" s="38"/>
      <c r="FP467" s="38"/>
      <c r="FQ467" s="38"/>
      <c r="FR467" s="38"/>
      <c r="FS467" s="38"/>
      <c r="FT467" s="38"/>
      <c r="FU467" s="38"/>
      <c r="FV467" s="38"/>
      <c r="FW467" s="38"/>
      <c r="FX467" s="38"/>
      <c r="FY467" s="38"/>
      <c r="FZ467" s="38"/>
      <c r="GA467" s="38"/>
      <c r="GB467" s="38"/>
      <c r="GC467" s="38"/>
      <c r="GD467" s="38"/>
      <c r="GE467" s="38"/>
      <c r="GF467" s="38"/>
      <c r="GG467" s="38"/>
      <c r="GH467" s="38"/>
      <c r="GI467" s="38"/>
      <c r="GJ467" s="38"/>
      <c r="GK467" s="38"/>
      <c r="GL467" s="38"/>
      <c r="GM467" s="38"/>
      <c r="GN467" s="38"/>
      <c r="GO467" s="38"/>
      <c r="GP467" s="38"/>
      <c r="GQ467" s="38"/>
      <c r="GR467" s="38"/>
      <c r="GS467" s="38"/>
      <c r="GT467" s="38"/>
      <c r="GU467" s="38"/>
      <c r="GV467" s="38"/>
      <c r="GW467" s="38"/>
      <c r="GX467" s="38"/>
      <c r="GY467" s="38"/>
      <c r="GZ467" s="38"/>
      <c r="HA467" s="38"/>
      <c r="HB467" s="38"/>
      <c r="HC467" s="38"/>
      <c r="HD467" s="38"/>
      <c r="HE467" s="38"/>
      <c r="HF467" s="38"/>
      <c r="HG467" s="38"/>
      <c r="HH467" s="38"/>
      <c r="HI467" s="38"/>
      <c r="HJ467" s="38"/>
      <c r="HK467" s="38"/>
      <c r="HL467" s="38"/>
      <c r="HM467" s="38"/>
      <c r="HN467" s="38"/>
      <c r="HO467" s="38"/>
      <c r="HP467" s="38"/>
      <c r="HQ467" s="38"/>
      <c r="HR467" s="38"/>
      <c r="HS467" s="38"/>
      <c r="HT467" s="38"/>
      <c r="HU467" s="38"/>
      <c r="HV467" s="38"/>
      <c r="HW467" s="38"/>
      <c r="HX467" s="38"/>
      <c r="HY467" s="38"/>
      <c r="HZ467" s="38"/>
      <c r="IA467" s="38"/>
    </row>
    <row r="468" spans="1:235" s="39" customFormat="1" ht="90.75" customHeight="1">
      <c r="A468" s="34" t="s">
        <v>431</v>
      </c>
      <c r="B468" s="35"/>
      <c r="C468" s="35"/>
      <c r="D468" s="36">
        <f>SUM(D470)</f>
        <v>5868000</v>
      </c>
      <c r="E468" s="36"/>
      <c r="F468" s="36">
        <f>SUM(D468)</f>
        <v>5868000</v>
      </c>
      <c r="G468" s="36">
        <f>SUM(G470)</f>
        <v>10768000</v>
      </c>
      <c r="H468" s="36"/>
      <c r="I468" s="36"/>
      <c r="J468" s="36">
        <f>SUM(J470)</f>
        <v>10768000</v>
      </c>
      <c r="K468" s="36"/>
      <c r="L468" s="36"/>
      <c r="M468" s="36"/>
      <c r="N468" s="36">
        <f>SUM(N470)</f>
        <v>7000000</v>
      </c>
      <c r="O468" s="36"/>
      <c r="P468" s="36">
        <f>P470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3.5" customHeight="1">
      <c r="A470" s="8" t="s">
        <v>43</v>
      </c>
      <c r="B470" s="6"/>
      <c r="C470" s="6"/>
      <c r="D470" s="7">
        <f>6000000-180000-320000+180000+60000+90000+38000</f>
        <v>5868000</v>
      </c>
      <c r="E470" s="7"/>
      <c r="F470" s="7">
        <f>D470</f>
        <v>5868000</v>
      </c>
      <c r="G470" s="7">
        <f>6500000+4000000+190000+78000</f>
        <v>10768000</v>
      </c>
      <c r="H470" s="7"/>
      <c r="I470" s="7"/>
      <c r="J470" s="7">
        <f>SUM(G470)</f>
        <v>10768000</v>
      </c>
      <c r="K470" s="7"/>
      <c r="L470" s="7"/>
      <c r="M470" s="7"/>
      <c r="N470" s="7">
        <v>7000000</v>
      </c>
      <c r="O470" s="7"/>
      <c r="P470" s="7">
        <f>N470</f>
        <v>7000000</v>
      </c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51" customHeight="1">
      <c r="A472" s="8" t="s">
        <v>252</v>
      </c>
      <c r="B472" s="6"/>
      <c r="C472" s="6"/>
      <c r="D472" s="7">
        <v>12</v>
      </c>
      <c r="E472" s="7"/>
      <c r="F472" s="7">
        <v>12</v>
      </c>
      <c r="G472" s="7">
        <v>12</v>
      </c>
      <c r="H472" s="7"/>
      <c r="I472" s="7"/>
      <c r="J472" s="7">
        <v>12</v>
      </c>
      <c r="K472" s="7"/>
      <c r="L472" s="7"/>
      <c r="M472" s="7"/>
      <c r="N472" s="7">
        <v>12</v>
      </c>
      <c r="O472" s="7"/>
      <c r="P472" s="7">
        <v>12</v>
      </c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6" customHeight="1">
      <c r="A474" s="8" t="s">
        <v>253</v>
      </c>
      <c r="B474" s="6"/>
      <c r="C474" s="6"/>
      <c r="D474" s="7">
        <f>SUM(D470)/D472</f>
        <v>489000</v>
      </c>
      <c r="E474" s="7"/>
      <c r="F474" s="7">
        <f>D474</f>
        <v>489000</v>
      </c>
      <c r="G474" s="7">
        <f>SUM(G470)/G472</f>
        <v>897333.3333333334</v>
      </c>
      <c r="H474" s="7"/>
      <c r="I474" s="7"/>
      <c r="J474" s="7">
        <f>SUM(J470)/J472</f>
        <v>897333.3333333334</v>
      </c>
      <c r="K474" s="7"/>
      <c r="L474" s="7"/>
      <c r="M474" s="7"/>
      <c r="N474" s="7">
        <f>SUM(N470)/N472</f>
        <v>583333.3333333334</v>
      </c>
      <c r="O474" s="7"/>
      <c r="P474" s="7">
        <f>SUM(P470)/P472</f>
        <v>583333.3333333334</v>
      </c>
    </row>
    <row r="475" spans="1:16" ht="36" customHeight="1">
      <c r="A475" s="34" t="s">
        <v>414</v>
      </c>
      <c r="B475" s="6"/>
      <c r="C475" s="6"/>
      <c r="D475" s="7">
        <f>D477</f>
        <v>14000000</v>
      </c>
      <c r="E475" s="7"/>
      <c r="F475" s="7">
        <f>F477</f>
        <v>14000000</v>
      </c>
      <c r="G475" s="7">
        <f>G477</f>
        <v>21725000</v>
      </c>
      <c r="H475" s="7"/>
      <c r="I475" s="7"/>
      <c r="J475" s="7">
        <f>G475</f>
        <v>21725000</v>
      </c>
      <c r="K475" s="7"/>
      <c r="L475" s="7"/>
      <c r="M475" s="7"/>
      <c r="N475" s="7"/>
      <c r="O475" s="7"/>
      <c r="P475" s="7"/>
    </row>
    <row r="476" spans="1:16" ht="16.5" customHeight="1">
      <c r="A476" s="5" t="s">
        <v>4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 customHeight="1">
      <c r="A477" s="5" t="s">
        <v>43</v>
      </c>
      <c r="B477" s="6"/>
      <c r="C477" s="6"/>
      <c r="D477" s="7">
        <f>3000000+2000000+3000000+1000000+3000000+2000000</f>
        <v>14000000</v>
      </c>
      <c r="E477" s="7"/>
      <c r="F477" s="7">
        <f>3000000+2000000+3000000+1000000+3000000+2000000</f>
        <v>14000000</v>
      </c>
      <c r="G477" s="7">
        <f>0+4000000+2725000+3000000+9000000+3000000</f>
        <v>21725000</v>
      </c>
      <c r="H477" s="7"/>
      <c r="I477" s="7"/>
      <c r="J477" s="7">
        <f>G477</f>
        <v>21725000</v>
      </c>
      <c r="K477" s="7"/>
      <c r="L477" s="7"/>
      <c r="M477" s="7"/>
      <c r="N477" s="7"/>
      <c r="O477" s="7"/>
      <c r="P477" s="7"/>
    </row>
    <row r="478" spans="1:235" s="39" customFormat="1" ht="25.5" customHeight="1">
      <c r="A478" s="34" t="s">
        <v>415</v>
      </c>
      <c r="B478" s="35"/>
      <c r="C478" s="35"/>
      <c r="D478" s="36">
        <f>D480</f>
        <v>70000</v>
      </c>
      <c r="E478" s="36"/>
      <c r="F478" s="36">
        <f>D478+E478</f>
        <v>70000</v>
      </c>
      <c r="G478" s="36">
        <f>G482*G484</f>
        <v>0</v>
      </c>
      <c r="H478" s="36"/>
      <c r="I478" s="36"/>
      <c r="J478" s="36">
        <f>G478</f>
        <v>0</v>
      </c>
      <c r="K478" s="36"/>
      <c r="L478" s="36"/>
      <c r="M478" s="36"/>
      <c r="N478" s="36">
        <f>N484*N482</f>
        <v>0</v>
      </c>
      <c r="O478" s="36"/>
      <c r="P478" s="36">
        <f>N478</f>
        <v>0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ET478" s="38"/>
      <c r="EU478" s="38"/>
      <c r="EV478" s="38"/>
      <c r="EW478" s="38"/>
      <c r="EX478" s="38"/>
      <c r="EY478" s="38"/>
      <c r="EZ478" s="38"/>
      <c r="FA478" s="38"/>
      <c r="FB478" s="38"/>
      <c r="FC478" s="38"/>
      <c r="FD478" s="38"/>
      <c r="FE478" s="38"/>
      <c r="FF478" s="38"/>
      <c r="FG478" s="38"/>
      <c r="FH478" s="38"/>
      <c r="FI478" s="38"/>
      <c r="FJ478" s="38"/>
      <c r="FK478" s="38"/>
      <c r="FL478" s="38"/>
      <c r="FM478" s="38"/>
      <c r="FN478" s="38"/>
      <c r="FO478" s="38"/>
      <c r="FP478" s="38"/>
      <c r="FQ478" s="38"/>
      <c r="FR478" s="38"/>
      <c r="FS478" s="38"/>
      <c r="FT478" s="38"/>
      <c r="FU478" s="38"/>
      <c r="FV478" s="38"/>
      <c r="FW478" s="38"/>
      <c r="FX478" s="38"/>
      <c r="FY478" s="38"/>
      <c r="FZ478" s="38"/>
      <c r="GA478" s="38"/>
      <c r="GB478" s="38"/>
      <c r="GC478" s="38"/>
      <c r="GD478" s="38"/>
      <c r="GE478" s="38"/>
      <c r="GF478" s="38"/>
      <c r="GG478" s="38"/>
      <c r="GH478" s="38"/>
      <c r="GI478" s="38"/>
      <c r="GJ478" s="38"/>
      <c r="GK478" s="38"/>
      <c r="GL478" s="38"/>
      <c r="GM478" s="38"/>
      <c r="GN478" s="38"/>
      <c r="GO478" s="38"/>
      <c r="GP478" s="38"/>
      <c r="GQ478" s="38"/>
      <c r="GR478" s="38"/>
      <c r="GS478" s="38"/>
      <c r="GT478" s="38"/>
      <c r="GU478" s="38"/>
      <c r="GV478" s="38"/>
      <c r="GW478" s="38"/>
      <c r="GX478" s="38"/>
      <c r="GY478" s="38"/>
      <c r="GZ478" s="38"/>
      <c r="HA478" s="38"/>
      <c r="HB478" s="38"/>
      <c r="HC478" s="38"/>
      <c r="HD478" s="38"/>
      <c r="HE478" s="38"/>
      <c r="HF478" s="38"/>
      <c r="HG478" s="38"/>
      <c r="HH478" s="38"/>
      <c r="HI478" s="38"/>
      <c r="HJ478" s="38"/>
      <c r="HK478" s="38"/>
      <c r="HL478" s="38"/>
      <c r="HM478" s="38"/>
      <c r="HN478" s="38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</row>
    <row r="479" spans="1:16" ht="11.25">
      <c r="A479" s="5" t="s">
        <v>4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4.25" customHeight="1">
      <c r="A480" s="8" t="s">
        <v>43</v>
      </c>
      <c r="B480" s="6"/>
      <c r="C480" s="6"/>
      <c r="D480" s="7">
        <f>D482*D484</f>
        <v>70000</v>
      </c>
      <c r="E480" s="7"/>
      <c r="F480" s="7">
        <f>D480+E480</f>
        <v>70000</v>
      </c>
      <c r="G480" s="7"/>
      <c r="H480" s="7"/>
      <c r="I480" s="7"/>
      <c r="J480" s="7">
        <f>G480</f>
        <v>0</v>
      </c>
      <c r="K480" s="7"/>
      <c r="L480" s="7"/>
      <c r="M480" s="7"/>
      <c r="N480" s="7"/>
      <c r="O480" s="7"/>
      <c r="P480" s="7">
        <f>N480</f>
        <v>0</v>
      </c>
    </row>
    <row r="481" spans="1:16" ht="11.25">
      <c r="A481" s="5" t="s">
        <v>5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3.25" customHeight="1">
      <c r="A482" s="8" t="s">
        <v>134</v>
      </c>
      <c r="B482" s="6"/>
      <c r="C482" s="6"/>
      <c r="D482" s="7">
        <v>2</v>
      </c>
      <c r="E482" s="7"/>
      <c r="F482" s="7">
        <f>D482+E482</f>
        <v>2</v>
      </c>
      <c r="G482" s="7"/>
      <c r="H482" s="7"/>
      <c r="I482" s="7"/>
      <c r="J482" s="7">
        <v>0</v>
      </c>
      <c r="K482" s="7"/>
      <c r="L482" s="7"/>
      <c r="M482" s="7"/>
      <c r="N482" s="7"/>
      <c r="O482" s="7"/>
      <c r="P482" s="7">
        <v>0</v>
      </c>
    </row>
    <row r="483" spans="1:16" ht="11.25">
      <c r="A483" s="5" t="s">
        <v>7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24.75" customHeight="1">
      <c r="A484" s="8" t="s">
        <v>135</v>
      </c>
      <c r="B484" s="6"/>
      <c r="C484" s="6"/>
      <c r="D484" s="7">
        <v>35000</v>
      </c>
      <c r="E484" s="7"/>
      <c r="F484" s="7">
        <f>D484+E484</f>
        <v>35000</v>
      </c>
      <c r="G484" s="7"/>
      <c r="H484" s="7"/>
      <c r="I484" s="7"/>
      <c r="J484" s="7">
        <f>G484</f>
        <v>0</v>
      </c>
      <c r="K484" s="7"/>
      <c r="L484" s="7"/>
      <c r="M484" s="7"/>
      <c r="N484" s="7"/>
      <c r="O484" s="7"/>
      <c r="P484" s="7">
        <v>0</v>
      </c>
    </row>
    <row r="485" spans="1:235" s="39" customFormat="1" ht="15" customHeight="1">
      <c r="A485" s="34" t="s">
        <v>416</v>
      </c>
      <c r="B485" s="35"/>
      <c r="C485" s="35"/>
      <c r="D485" s="36">
        <f>D487</f>
        <v>150399.999999935</v>
      </c>
      <c r="E485" s="36"/>
      <c r="F485" s="36">
        <f>D485</f>
        <v>150399.999999935</v>
      </c>
      <c r="G485" s="36">
        <f>G487</f>
        <v>200000.4</v>
      </c>
      <c r="H485" s="36"/>
      <c r="I485" s="36"/>
      <c r="J485" s="30">
        <f aca="true" t="shared" si="61" ref="J485:J493">G485</f>
        <v>200000.4</v>
      </c>
      <c r="K485" s="36"/>
      <c r="L485" s="36"/>
      <c r="M485" s="36"/>
      <c r="N485" s="36"/>
      <c r="O485" s="36"/>
      <c r="P485" s="36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  <c r="DL485" s="38"/>
      <c r="DM485" s="38"/>
      <c r="DN485" s="38"/>
      <c r="DO485" s="38"/>
      <c r="DP485" s="38"/>
      <c r="DQ485" s="38"/>
      <c r="DR485" s="38"/>
      <c r="DS485" s="38"/>
      <c r="DT485" s="38"/>
      <c r="DU485" s="38"/>
      <c r="DV485" s="38"/>
      <c r="DW485" s="38"/>
      <c r="DX485" s="38"/>
      <c r="DY485" s="38"/>
      <c r="DZ485" s="38"/>
      <c r="EA485" s="38"/>
      <c r="EB485" s="38"/>
      <c r="EC485" s="38"/>
      <c r="ED485" s="38"/>
      <c r="EE485" s="38"/>
      <c r="EF485" s="38"/>
      <c r="EG485" s="38"/>
      <c r="EH485" s="38"/>
      <c r="EI485" s="38"/>
      <c r="EJ485" s="38"/>
      <c r="EK485" s="38"/>
      <c r="EL485" s="38"/>
      <c r="EM485" s="38"/>
      <c r="EN485" s="38"/>
      <c r="EO485" s="38"/>
      <c r="EP485" s="38"/>
      <c r="EQ485" s="38"/>
      <c r="ER485" s="38"/>
      <c r="ES485" s="38"/>
      <c r="ET485" s="38"/>
      <c r="EU485" s="38"/>
      <c r="EV485" s="38"/>
      <c r="EW485" s="38"/>
      <c r="EX485" s="38"/>
      <c r="EY485" s="38"/>
      <c r="EZ485" s="38"/>
      <c r="FA485" s="38"/>
      <c r="FB485" s="38"/>
      <c r="FC485" s="38"/>
      <c r="FD485" s="38"/>
      <c r="FE485" s="38"/>
      <c r="FF485" s="38"/>
      <c r="FG485" s="38"/>
      <c r="FH485" s="38"/>
      <c r="FI485" s="38"/>
      <c r="FJ485" s="38"/>
      <c r="FK485" s="38"/>
      <c r="FL485" s="38"/>
      <c r="FM485" s="38"/>
      <c r="FN485" s="38"/>
      <c r="FO485" s="38"/>
      <c r="FP485" s="38"/>
      <c r="FQ485" s="38"/>
      <c r="FR485" s="38"/>
      <c r="FS485" s="38"/>
      <c r="FT485" s="38"/>
      <c r="FU485" s="38"/>
      <c r="FV485" s="38"/>
      <c r="FW485" s="38"/>
      <c r="FX485" s="38"/>
      <c r="FY485" s="38"/>
      <c r="FZ485" s="38"/>
      <c r="GA485" s="38"/>
      <c r="GB485" s="38"/>
      <c r="GC485" s="38"/>
      <c r="GD485" s="38"/>
      <c r="GE485" s="38"/>
      <c r="GF485" s="38"/>
      <c r="GG485" s="38"/>
      <c r="GH485" s="38"/>
      <c r="GI485" s="38"/>
      <c r="GJ485" s="38"/>
      <c r="GK485" s="38"/>
      <c r="GL485" s="38"/>
      <c r="GM485" s="38"/>
      <c r="GN485" s="38"/>
      <c r="GO485" s="38"/>
      <c r="GP485" s="38"/>
      <c r="GQ485" s="38"/>
      <c r="GR485" s="38"/>
      <c r="GS485" s="38"/>
      <c r="GT485" s="38"/>
      <c r="GU485" s="38"/>
      <c r="GV485" s="38"/>
      <c r="GW485" s="38"/>
      <c r="GX485" s="38"/>
      <c r="GY485" s="38"/>
      <c r="GZ485" s="38"/>
      <c r="HA485" s="38"/>
      <c r="HB485" s="38"/>
      <c r="HC485" s="38"/>
      <c r="HD485" s="38"/>
      <c r="HE485" s="38"/>
      <c r="HF485" s="38"/>
      <c r="HG485" s="38"/>
      <c r="HH485" s="38"/>
      <c r="HI485" s="38"/>
      <c r="HJ485" s="38"/>
      <c r="HK485" s="38"/>
      <c r="HL485" s="38"/>
      <c r="HM485" s="38"/>
      <c r="HN485" s="38"/>
      <c r="HO485" s="38"/>
      <c r="HP485" s="38"/>
      <c r="HQ485" s="38"/>
      <c r="HR485" s="38"/>
      <c r="HS485" s="38"/>
      <c r="HT485" s="38"/>
      <c r="HU485" s="38"/>
      <c r="HV485" s="38"/>
      <c r="HW485" s="38"/>
      <c r="HX485" s="38"/>
      <c r="HY485" s="38"/>
      <c r="HZ485" s="38"/>
      <c r="IA485" s="38"/>
    </row>
    <row r="486" spans="1:16" ht="12" customHeight="1">
      <c r="A486" s="5" t="s">
        <v>4</v>
      </c>
      <c r="B486" s="6"/>
      <c r="C486" s="6"/>
      <c r="D486" s="7"/>
      <c r="E486" s="7"/>
      <c r="F486" s="7"/>
      <c r="G486" s="7"/>
      <c r="H486" s="7"/>
      <c r="I486" s="7"/>
      <c r="J486" s="7">
        <f t="shared" si="61"/>
        <v>0</v>
      </c>
      <c r="K486" s="7"/>
      <c r="L486" s="7"/>
      <c r="M486" s="7"/>
      <c r="N486" s="7"/>
      <c r="O486" s="7"/>
      <c r="P486" s="7"/>
    </row>
    <row r="487" spans="1:16" ht="12" customHeight="1">
      <c r="A487" s="8" t="s">
        <v>43</v>
      </c>
      <c r="B487" s="6"/>
      <c r="C487" s="6"/>
      <c r="D487" s="7">
        <f>(D489*D492)+(D490*D493)</f>
        <v>150399.999999935</v>
      </c>
      <c r="E487" s="7"/>
      <c r="F487" s="7">
        <f>D487</f>
        <v>150399.999999935</v>
      </c>
      <c r="G487" s="7">
        <f>(G489*G492)+(G490*G493)</f>
        <v>200000.4</v>
      </c>
      <c r="H487" s="7"/>
      <c r="I487" s="7"/>
      <c r="J487" s="7">
        <f t="shared" si="61"/>
        <v>200000.4</v>
      </c>
      <c r="K487" s="7"/>
      <c r="L487" s="7"/>
      <c r="M487" s="7"/>
      <c r="N487" s="7"/>
      <c r="O487" s="7"/>
      <c r="P487" s="7"/>
    </row>
    <row r="488" spans="1:16" ht="12" customHeight="1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>
        <f t="shared" si="61"/>
        <v>0</v>
      </c>
      <c r="K488" s="7"/>
      <c r="L488" s="7"/>
      <c r="M488" s="7"/>
      <c r="N488" s="7"/>
      <c r="O488" s="7"/>
      <c r="P488" s="7"/>
    </row>
    <row r="489" spans="1:16" ht="24.75" customHeight="1">
      <c r="A489" s="8" t="s">
        <v>156</v>
      </c>
      <c r="B489" s="6"/>
      <c r="C489" s="6"/>
      <c r="D489" s="7">
        <v>57</v>
      </c>
      <c r="E489" s="7"/>
      <c r="F489" s="7">
        <v>57</v>
      </c>
      <c r="G489" s="7">
        <v>57</v>
      </c>
      <c r="H489" s="7"/>
      <c r="I489" s="7"/>
      <c r="J489" s="7">
        <f t="shared" si="61"/>
        <v>57</v>
      </c>
      <c r="K489" s="7"/>
      <c r="L489" s="7"/>
      <c r="M489" s="7"/>
      <c r="N489" s="7"/>
      <c r="O489" s="7"/>
      <c r="P489" s="7"/>
    </row>
    <row r="490" spans="1:16" ht="15.75" customHeight="1">
      <c r="A490" s="8" t="s">
        <v>154</v>
      </c>
      <c r="B490" s="6"/>
      <c r="C490" s="6"/>
      <c r="D490" s="7">
        <v>145</v>
      </c>
      <c r="E490" s="7"/>
      <c r="F490" s="7">
        <f>D490</f>
        <v>145</v>
      </c>
      <c r="G490" s="7">
        <v>145</v>
      </c>
      <c r="H490" s="7"/>
      <c r="I490" s="7"/>
      <c r="J490" s="7">
        <f t="shared" si="61"/>
        <v>145</v>
      </c>
      <c r="K490" s="7"/>
      <c r="L490" s="7"/>
      <c r="M490" s="7"/>
      <c r="N490" s="7"/>
      <c r="O490" s="7"/>
      <c r="P490" s="7"/>
    </row>
    <row r="491" spans="1:16" ht="12.75" customHeight="1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>
        <f t="shared" si="61"/>
        <v>0</v>
      </c>
      <c r="K491" s="7"/>
      <c r="L491" s="7"/>
      <c r="M491" s="7"/>
      <c r="N491" s="7"/>
      <c r="O491" s="7"/>
      <c r="P491" s="7"/>
    </row>
    <row r="492" spans="1:16" ht="24.75" customHeight="1">
      <c r="A492" s="8" t="s">
        <v>155</v>
      </c>
      <c r="B492" s="6"/>
      <c r="C492" s="6"/>
      <c r="D492" s="7">
        <v>1950.89</v>
      </c>
      <c r="E492" s="7"/>
      <c r="F492" s="7">
        <f>D492</f>
        <v>1950.89</v>
      </c>
      <c r="G492" s="7">
        <v>2596.5</v>
      </c>
      <c r="H492" s="7"/>
      <c r="I492" s="7"/>
      <c r="J492" s="7">
        <f t="shared" si="61"/>
        <v>2596.5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157</v>
      </c>
      <c r="B493" s="6"/>
      <c r="C493" s="6"/>
      <c r="D493" s="7">
        <v>270.339793103</v>
      </c>
      <c r="E493" s="7"/>
      <c r="F493" s="7">
        <f>D493</f>
        <v>270.339793103</v>
      </c>
      <c r="G493" s="7">
        <v>358.62</v>
      </c>
      <c r="H493" s="7"/>
      <c r="I493" s="7"/>
      <c r="J493" s="7">
        <f t="shared" si="61"/>
        <v>358.62</v>
      </c>
      <c r="K493" s="7"/>
      <c r="L493" s="7"/>
      <c r="M493" s="7"/>
      <c r="N493" s="7"/>
      <c r="O493" s="7"/>
      <c r="P493" s="7"/>
    </row>
    <row r="494" spans="1:235" s="39" customFormat="1" ht="25.5" customHeight="1">
      <c r="A494" s="34" t="s">
        <v>417</v>
      </c>
      <c r="B494" s="35"/>
      <c r="C494" s="35"/>
      <c r="D494" s="36">
        <f>D496</f>
        <v>399999.99999963003</v>
      </c>
      <c r="E494" s="36"/>
      <c r="F494" s="36">
        <f>D494</f>
        <v>399999.99999963003</v>
      </c>
      <c r="G494" s="36">
        <f>G496</f>
        <v>450000</v>
      </c>
      <c r="H494" s="36"/>
      <c r="I494" s="36"/>
      <c r="J494" s="36">
        <f>G494+H494</f>
        <v>450000</v>
      </c>
      <c r="K494" s="36"/>
      <c r="L494" s="36"/>
      <c r="M494" s="36"/>
      <c r="N494" s="36">
        <f>N496</f>
        <v>500000.00204999995</v>
      </c>
      <c r="O494" s="36"/>
      <c r="P494" s="36">
        <f>N494</f>
        <v>500000.00204999995</v>
      </c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  <c r="DH494" s="38"/>
      <c r="DI494" s="38"/>
      <c r="DJ494" s="38"/>
      <c r="DK494" s="38"/>
      <c r="DL494" s="38"/>
      <c r="DM494" s="38"/>
      <c r="DN494" s="38"/>
      <c r="DO494" s="38"/>
      <c r="DP494" s="38"/>
      <c r="DQ494" s="38"/>
      <c r="DR494" s="38"/>
      <c r="DS494" s="38"/>
      <c r="DT494" s="38"/>
      <c r="DU494" s="38"/>
      <c r="DV494" s="38"/>
      <c r="DW494" s="38"/>
      <c r="DX494" s="38"/>
      <c r="DY494" s="38"/>
      <c r="DZ494" s="38"/>
      <c r="EA494" s="38"/>
      <c r="EB494" s="38"/>
      <c r="EC494" s="38"/>
      <c r="ED494" s="38"/>
      <c r="EE494" s="38"/>
      <c r="EF494" s="38"/>
      <c r="EG494" s="38"/>
      <c r="EH494" s="38"/>
      <c r="EI494" s="38"/>
      <c r="EJ494" s="38"/>
      <c r="EK494" s="38"/>
      <c r="EL494" s="38"/>
      <c r="EM494" s="38"/>
      <c r="EN494" s="38"/>
      <c r="EO494" s="38"/>
      <c r="EP494" s="38"/>
      <c r="EQ494" s="38"/>
      <c r="ER494" s="38"/>
      <c r="ES494" s="38"/>
      <c r="ET494" s="38"/>
      <c r="EU494" s="38"/>
      <c r="EV494" s="38"/>
      <c r="EW494" s="38"/>
      <c r="EX494" s="38"/>
      <c r="EY494" s="38"/>
      <c r="EZ494" s="38"/>
      <c r="FA494" s="38"/>
      <c r="FB494" s="38"/>
      <c r="FC494" s="38"/>
      <c r="FD494" s="38"/>
      <c r="FE494" s="38"/>
      <c r="FF494" s="38"/>
      <c r="FG494" s="38"/>
      <c r="FH494" s="38"/>
      <c r="FI494" s="38"/>
      <c r="FJ494" s="38"/>
      <c r="FK494" s="38"/>
      <c r="FL494" s="38"/>
      <c r="FM494" s="38"/>
      <c r="FN494" s="38"/>
      <c r="FO494" s="38"/>
      <c r="FP494" s="38"/>
      <c r="FQ494" s="38"/>
      <c r="FR494" s="38"/>
      <c r="FS494" s="38"/>
      <c r="FT494" s="38"/>
      <c r="FU494" s="38"/>
      <c r="FV494" s="38"/>
      <c r="FW494" s="38"/>
      <c r="FX494" s="38"/>
      <c r="FY494" s="38"/>
      <c r="FZ494" s="38"/>
      <c r="GA494" s="38"/>
      <c r="GB494" s="38"/>
      <c r="GC494" s="38"/>
      <c r="GD494" s="38"/>
      <c r="GE494" s="38"/>
      <c r="GF494" s="38"/>
      <c r="GG494" s="38"/>
      <c r="GH494" s="38"/>
      <c r="GI494" s="38"/>
      <c r="GJ494" s="38"/>
      <c r="GK494" s="38"/>
      <c r="GL494" s="38"/>
      <c r="GM494" s="38"/>
      <c r="GN494" s="38"/>
      <c r="GO494" s="38"/>
      <c r="GP494" s="38"/>
      <c r="GQ494" s="38"/>
      <c r="GR494" s="38"/>
      <c r="GS494" s="38"/>
      <c r="GT494" s="38"/>
      <c r="GU494" s="38"/>
      <c r="GV494" s="38"/>
      <c r="GW494" s="38"/>
      <c r="GX494" s="38"/>
      <c r="GY494" s="38"/>
      <c r="GZ494" s="38"/>
      <c r="HA494" s="38"/>
      <c r="HB494" s="38"/>
      <c r="HC494" s="38"/>
      <c r="HD494" s="38"/>
      <c r="HE494" s="38"/>
      <c r="HF494" s="38"/>
      <c r="HG494" s="38"/>
      <c r="HH494" s="38"/>
      <c r="HI494" s="38"/>
      <c r="HJ494" s="38"/>
      <c r="HK494" s="38"/>
      <c r="HL494" s="38"/>
      <c r="HM494" s="38"/>
      <c r="HN494" s="38"/>
      <c r="HO494" s="38"/>
      <c r="HP494" s="38"/>
      <c r="HQ494" s="38"/>
      <c r="HR494" s="38"/>
      <c r="HS494" s="38"/>
      <c r="HT494" s="38"/>
      <c r="HU494" s="38"/>
      <c r="HV494" s="38"/>
      <c r="HW494" s="38"/>
      <c r="HX494" s="38"/>
      <c r="HY494" s="38"/>
      <c r="HZ494" s="38"/>
      <c r="IA494" s="38"/>
    </row>
    <row r="495" spans="1:16" ht="11.2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</row>
    <row r="496" spans="1:16" ht="14.25" customHeight="1">
      <c r="A496" s="8" t="s">
        <v>43</v>
      </c>
      <c r="B496" s="6"/>
      <c r="C496" s="6"/>
      <c r="D496" s="7">
        <f>D498*D500</f>
        <v>399999.99999963003</v>
      </c>
      <c r="E496" s="7"/>
      <c r="F496" s="7">
        <f>D496+E496</f>
        <v>399999.99999963003</v>
      </c>
      <c r="G496" s="7">
        <f>G498*G500</f>
        <v>450000</v>
      </c>
      <c r="H496" s="7"/>
      <c r="I496" s="7"/>
      <c r="J496" s="7">
        <f>G496+H496</f>
        <v>450000</v>
      </c>
      <c r="K496" s="7"/>
      <c r="L496" s="7"/>
      <c r="M496" s="7"/>
      <c r="N496" s="7">
        <f>N498*N500</f>
        <v>500000.00204999995</v>
      </c>
      <c r="O496" s="7"/>
      <c r="P496" s="36">
        <f>N496</f>
        <v>500000.00204999995</v>
      </c>
    </row>
    <row r="497" spans="1:16" ht="10.5" customHeight="1">
      <c r="A497" s="5" t="s">
        <v>5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</row>
    <row r="498" spans="1:16" ht="24.75" customHeight="1">
      <c r="A498" s="8" t="s">
        <v>162</v>
      </c>
      <c r="B498" s="6"/>
      <c r="C498" s="6"/>
      <c r="D498" s="7">
        <v>307</v>
      </c>
      <c r="E498" s="7"/>
      <c r="F498" s="7">
        <f>D498</f>
        <v>307</v>
      </c>
      <c r="G498" s="7">
        <v>300</v>
      </c>
      <c r="H498" s="7"/>
      <c r="I498" s="7"/>
      <c r="J498" s="7">
        <f>G498+H498</f>
        <v>300</v>
      </c>
      <c r="K498" s="7"/>
      <c r="L498" s="7"/>
      <c r="M498" s="7"/>
      <c r="N498" s="7">
        <v>213</v>
      </c>
      <c r="O498" s="7"/>
      <c r="P498" s="36">
        <f>N498</f>
        <v>213</v>
      </c>
    </row>
    <row r="499" spans="1:16" ht="11.25">
      <c r="A499" s="5" t="s">
        <v>7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36"/>
    </row>
    <row r="500" spans="1:16" ht="24.75" customHeight="1">
      <c r="A500" s="8" t="s">
        <v>163</v>
      </c>
      <c r="B500" s="6"/>
      <c r="C500" s="6"/>
      <c r="D500" s="7">
        <v>1302.93159609</v>
      </c>
      <c r="E500" s="7"/>
      <c r="F500" s="7">
        <f>D500</f>
        <v>1302.93159609</v>
      </c>
      <c r="G500" s="7">
        <f>450000/300</f>
        <v>1500</v>
      </c>
      <c r="H500" s="7"/>
      <c r="I500" s="7"/>
      <c r="J500" s="7">
        <f>G500+H500</f>
        <v>1500</v>
      </c>
      <c r="K500" s="7"/>
      <c r="L500" s="7"/>
      <c r="M500" s="7"/>
      <c r="N500" s="7">
        <v>2347.41785</v>
      </c>
      <c r="O500" s="7"/>
      <c r="P500" s="36">
        <f>N500</f>
        <v>2347.41785</v>
      </c>
    </row>
    <row r="501" spans="1:235" s="39" customFormat="1" ht="36.75" customHeight="1">
      <c r="A501" s="34" t="s">
        <v>418</v>
      </c>
      <c r="B501" s="35"/>
      <c r="C501" s="35"/>
      <c r="D501" s="36">
        <f>700000+35000+10000</f>
        <v>745000</v>
      </c>
      <c r="E501" s="36">
        <f>E503</f>
        <v>1000000</v>
      </c>
      <c r="F501" s="36">
        <f>D501+E501</f>
        <v>1745000</v>
      </c>
      <c r="G501" s="36">
        <v>200000</v>
      </c>
      <c r="H501" s="36">
        <v>1300000</v>
      </c>
      <c r="I501" s="36"/>
      <c r="J501" s="36">
        <f>G501+H501</f>
        <v>1500000</v>
      </c>
      <c r="K501" s="36"/>
      <c r="L501" s="36"/>
      <c r="M501" s="36"/>
      <c r="N501" s="36">
        <f>N506*N509</f>
        <v>0</v>
      </c>
      <c r="O501" s="36">
        <f>O506*O509</f>
        <v>2000000</v>
      </c>
      <c r="P501" s="36">
        <f>O501+N501</f>
        <v>2000000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ET501" s="38"/>
      <c r="EU501" s="38"/>
      <c r="EV501" s="38"/>
      <c r="EW501" s="38"/>
      <c r="EX501" s="38"/>
      <c r="EY501" s="38"/>
      <c r="EZ501" s="38"/>
      <c r="FA501" s="38"/>
      <c r="FB501" s="38"/>
      <c r="FC501" s="38"/>
      <c r="FD501" s="38"/>
      <c r="FE501" s="38"/>
      <c r="FF501" s="38"/>
      <c r="FG501" s="38"/>
      <c r="FH501" s="38"/>
      <c r="FI501" s="38"/>
      <c r="FJ501" s="38"/>
      <c r="FK501" s="38"/>
      <c r="FL501" s="38"/>
      <c r="FM501" s="38"/>
      <c r="FN501" s="38"/>
      <c r="FO501" s="38"/>
      <c r="FP501" s="38"/>
      <c r="FQ501" s="38"/>
      <c r="FR501" s="38"/>
      <c r="FS501" s="38"/>
      <c r="FT501" s="38"/>
      <c r="FU501" s="38"/>
      <c r="FV501" s="38"/>
      <c r="FW501" s="38"/>
      <c r="FX501" s="38"/>
      <c r="FY501" s="38"/>
      <c r="FZ501" s="38"/>
      <c r="GA501" s="38"/>
      <c r="GB501" s="38"/>
      <c r="GC501" s="38"/>
      <c r="GD501" s="38"/>
      <c r="GE501" s="38"/>
      <c r="GF501" s="38"/>
      <c r="GG501" s="38"/>
      <c r="GH501" s="38"/>
      <c r="GI501" s="38"/>
      <c r="GJ501" s="38"/>
      <c r="GK501" s="38"/>
      <c r="GL501" s="38"/>
      <c r="GM501" s="38"/>
      <c r="GN501" s="38"/>
      <c r="GO501" s="38"/>
      <c r="GP501" s="38"/>
      <c r="GQ501" s="38"/>
      <c r="GR501" s="38"/>
      <c r="GS501" s="38"/>
      <c r="GT501" s="38"/>
      <c r="GU501" s="38"/>
      <c r="GV501" s="38"/>
      <c r="GW501" s="38"/>
      <c r="GX501" s="38"/>
      <c r="GY501" s="38"/>
      <c r="GZ501" s="38"/>
      <c r="HA501" s="38"/>
      <c r="HB501" s="38"/>
      <c r="HC501" s="38"/>
      <c r="HD501" s="38"/>
      <c r="HE501" s="38"/>
      <c r="HF501" s="38"/>
      <c r="HG501" s="38"/>
      <c r="HH501" s="38"/>
      <c r="HI501" s="38"/>
      <c r="HJ501" s="38"/>
      <c r="HK501" s="38"/>
      <c r="HL501" s="38"/>
      <c r="HM501" s="38"/>
      <c r="HN501" s="38"/>
      <c r="HO501" s="38"/>
      <c r="HP501" s="38"/>
      <c r="HQ501" s="38"/>
      <c r="HR501" s="38"/>
      <c r="HS501" s="38"/>
      <c r="HT501" s="38"/>
      <c r="HU501" s="38"/>
      <c r="HV501" s="38"/>
      <c r="HW501" s="38"/>
      <c r="HX501" s="38"/>
      <c r="HY501" s="38"/>
      <c r="HZ501" s="38"/>
      <c r="IA501" s="38"/>
    </row>
    <row r="502" spans="1:16" ht="11.25">
      <c r="A502" s="5" t="s">
        <v>4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36"/>
    </row>
    <row r="503" spans="1:16" ht="22.5">
      <c r="A503" s="8" t="s">
        <v>351</v>
      </c>
      <c r="B503" s="6"/>
      <c r="C503" s="6"/>
      <c r="D503" s="7">
        <v>700000</v>
      </c>
      <c r="E503" s="7">
        <f>E506*E509</f>
        <v>1000000</v>
      </c>
      <c r="F503" s="7">
        <f>D503+E503</f>
        <v>1700000</v>
      </c>
      <c r="G503" s="7">
        <v>200000</v>
      </c>
      <c r="H503" s="7">
        <v>1300000</v>
      </c>
      <c r="I503" s="7"/>
      <c r="J503" s="7">
        <f>G503+H503</f>
        <v>1500000</v>
      </c>
      <c r="K503" s="7"/>
      <c r="L503" s="7"/>
      <c r="M503" s="7"/>
      <c r="N503" s="7"/>
      <c r="O503" s="7">
        <f>O506*O509</f>
        <v>2000000</v>
      </c>
      <c r="P503" s="7">
        <f>O503+N503</f>
        <v>2000000</v>
      </c>
    </row>
    <row r="504" spans="1:16" ht="22.5">
      <c r="A504" s="8" t="s">
        <v>354</v>
      </c>
      <c r="B504" s="6"/>
      <c r="C504" s="6"/>
      <c r="D504" s="7">
        <f>35000+10000</f>
        <v>45000</v>
      </c>
      <c r="E504" s="7"/>
      <c r="F504" s="7">
        <f>D504+E504</f>
        <v>45000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1.25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22.5">
      <c r="A506" s="72" t="s">
        <v>183</v>
      </c>
      <c r="B506" s="6"/>
      <c r="C506" s="6"/>
      <c r="D506" s="7">
        <v>6</v>
      </c>
      <c r="E506" s="7">
        <v>2</v>
      </c>
      <c r="F506" s="7">
        <f>D506+E506</f>
        <v>8</v>
      </c>
      <c r="G506" s="7">
        <v>1</v>
      </c>
      <c r="H506" s="7">
        <v>3</v>
      </c>
      <c r="I506" s="7"/>
      <c r="J506" s="7">
        <f>G506+H506</f>
        <v>4</v>
      </c>
      <c r="K506" s="7"/>
      <c r="L506" s="7"/>
      <c r="M506" s="7"/>
      <c r="N506" s="7"/>
      <c r="O506" s="7">
        <v>4</v>
      </c>
      <c r="P506" s="7">
        <f>O506+N506</f>
        <v>4</v>
      </c>
    </row>
    <row r="507" spans="1:16" ht="22.5">
      <c r="A507" s="72" t="s">
        <v>352</v>
      </c>
      <c r="B507" s="6"/>
      <c r="C507" s="6"/>
      <c r="D507" s="7">
        <v>1</v>
      </c>
      <c r="E507" s="7"/>
      <c r="F507" s="7">
        <f>D507+E507</f>
        <v>1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1.25">
      <c r="A508" s="5" t="s">
        <v>7</v>
      </c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33.75">
      <c r="A509" s="8" t="s">
        <v>203</v>
      </c>
      <c r="B509" s="6"/>
      <c r="C509" s="6"/>
      <c r="D509" s="7">
        <v>116666.66</v>
      </c>
      <c r="E509" s="7">
        <v>500000</v>
      </c>
      <c r="F509" s="7">
        <f>D509+E509</f>
        <v>616666.66</v>
      </c>
      <c r="G509" s="7">
        <v>200000</v>
      </c>
      <c r="H509" s="7">
        <v>433333.33</v>
      </c>
      <c r="I509" s="7"/>
      <c r="J509" s="7">
        <f>G509+H509</f>
        <v>633333.3300000001</v>
      </c>
      <c r="K509" s="7"/>
      <c r="L509" s="7"/>
      <c r="M509" s="7"/>
      <c r="N509" s="7"/>
      <c r="O509" s="7">
        <v>500000</v>
      </c>
      <c r="P509" s="7">
        <f>O509+N509</f>
        <v>500000</v>
      </c>
    </row>
    <row r="510" spans="1:16" ht="22.5">
      <c r="A510" s="8" t="s">
        <v>353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1.25">
      <c r="A511" s="8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235" s="39" customFormat="1" ht="24.75" customHeight="1">
      <c r="A512" s="34" t="s">
        <v>419</v>
      </c>
      <c r="B512" s="35"/>
      <c r="C512" s="35"/>
      <c r="D512" s="36">
        <f>D514</f>
        <v>100000</v>
      </c>
      <c r="E512" s="36"/>
      <c r="F512" s="36">
        <f>D512+E512</f>
        <v>100000</v>
      </c>
      <c r="G512" s="36">
        <f>G516*G518</f>
        <v>5130000.0045</v>
      </c>
      <c r="H512" s="36"/>
      <c r="I512" s="36"/>
      <c r="J512" s="36">
        <f>G512+H512</f>
        <v>5130000.0045</v>
      </c>
      <c r="K512" s="36"/>
      <c r="L512" s="36"/>
      <c r="M512" s="36"/>
      <c r="N512" s="36">
        <f>N518*N516</f>
        <v>150000</v>
      </c>
      <c r="O512" s="36">
        <f>O518*O516</f>
        <v>0</v>
      </c>
      <c r="P512" s="36">
        <f>P518*P516</f>
        <v>150000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ET512" s="38"/>
      <c r="EU512" s="38"/>
      <c r="EV512" s="38"/>
      <c r="EW512" s="38"/>
      <c r="EX512" s="38"/>
      <c r="EY512" s="38"/>
      <c r="EZ512" s="38"/>
      <c r="FA512" s="38"/>
      <c r="FB512" s="38"/>
      <c r="FC512" s="38"/>
      <c r="FD512" s="38"/>
      <c r="FE512" s="38"/>
      <c r="FF512" s="38"/>
      <c r="FG512" s="38"/>
      <c r="FH512" s="38"/>
      <c r="FI512" s="38"/>
      <c r="FJ512" s="38"/>
      <c r="FK512" s="38"/>
      <c r="FL512" s="38"/>
      <c r="FM512" s="38"/>
      <c r="FN512" s="38"/>
      <c r="FO512" s="38"/>
      <c r="FP512" s="38"/>
      <c r="FQ512" s="38"/>
      <c r="FR512" s="38"/>
      <c r="FS512" s="38"/>
      <c r="FT512" s="38"/>
      <c r="FU512" s="38"/>
      <c r="FV512" s="38"/>
      <c r="FW512" s="38"/>
      <c r="FX512" s="38"/>
      <c r="FY512" s="38"/>
      <c r="FZ512" s="38"/>
      <c r="GA512" s="38"/>
      <c r="GB512" s="38"/>
      <c r="GC512" s="38"/>
      <c r="GD512" s="38"/>
      <c r="GE512" s="38"/>
      <c r="GF512" s="38"/>
      <c r="GG512" s="38"/>
      <c r="GH512" s="38"/>
      <c r="GI512" s="38"/>
      <c r="GJ512" s="38"/>
      <c r="GK512" s="38"/>
      <c r="GL512" s="38"/>
      <c r="GM512" s="38"/>
      <c r="GN512" s="38"/>
      <c r="GO512" s="38"/>
      <c r="GP512" s="38"/>
      <c r="GQ512" s="38"/>
      <c r="GR512" s="38"/>
      <c r="GS512" s="38"/>
      <c r="GT512" s="38"/>
      <c r="GU512" s="38"/>
      <c r="GV512" s="38"/>
      <c r="GW512" s="38"/>
      <c r="GX512" s="38"/>
      <c r="GY512" s="38"/>
      <c r="GZ512" s="38"/>
      <c r="HA512" s="38"/>
      <c r="HB512" s="38"/>
      <c r="HC512" s="38"/>
      <c r="HD512" s="38"/>
      <c r="HE512" s="38"/>
      <c r="HF512" s="38"/>
      <c r="HG512" s="38"/>
      <c r="HH512" s="38"/>
      <c r="HI512" s="38"/>
      <c r="HJ512" s="38"/>
      <c r="HK512" s="38"/>
      <c r="HL512" s="38"/>
      <c r="HM512" s="38"/>
      <c r="HN512" s="38"/>
      <c r="HO512" s="38"/>
      <c r="HP512" s="38"/>
      <c r="HQ512" s="38"/>
      <c r="HR512" s="38"/>
      <c r="HS512" s="38"/>
      <c r="HT512" s="38"/>
      <c r="HU512" s="38"/>
      <c r="HV512" s="38"/>
      <c r="HW512" s="38"/>
      <c r="HX512" s="38"/>
      <c r="HY512" s="38"/>
      <c r="HZ512" s="38"/>
      <c r="IA512" s="38"/>
    </row>
    <row r="513" spans="1:16" ht="11.25">
      <c r="A513" s="5" t="s">
        <v>4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1.25">
      <c r="A514" s="8" t="s">
        <v>43</v>
      </c>
      <c r="B514" s="6"/>
      <c r="C514" s="6"/>
      <c r="D514" s="7">
        <f>D516*D518</f>
        <v>100000</v>
      </c>
      <c r="E514" s="7"/>
      <c r="F514" s="7">
        <f>D514+E514</f>
        <v>100000</v>
      </c>
      <c r="G514" s="7">
        <f>G516*G518</f>
        <v>5130000.0045</v>
      </c>
      <c r="H514" s="7"/>
      <c r="I514" s="7"/>
      <c r="J514" s="7">
        <f>G514+H514</f>
        <v>5130000.0045</v>
      </c>
      <c r="K514" s="7"/>
      <c r="L514" s="7"/>
      <c r="M514" s="7"/>
      <c r="N514" s="7">
        <f>N516*N518</f>
        <v>150000</v>
      </c>
      <c r="O514" s="7"/>
      <c r="P514" s="7">
        <f>N514+O514</f>
        <v>150000</v>
      </c>
    </row>
    <row r="515" spans="1:16" ht="11.25">
      <c r="A515" s="5" t="s">
        <v>5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 customHeight="1">
      <c r="A516" s="8" t="s">
        <v>196</v>
      </c>
      <c r="B516" s="6"/>
      <c r="C516" s="6"/>
      <c r="D516" s="7">
        <v>8</v>
      </c>
      <c r="E516" s="7"/>
      <c r="F516" s="7">
        <f>D516+E516</f>
        <v>8</v>
      </c>
      <c r="G516" s="7">
        <v>7</v>
      </c>
      <c r="H516" s="7"/>
      <c r="I516" s="7"/>
      <c r="J516" s="7">
        <f>G516+H516</f>
        <v>7</v>
      </c>
      <c r="K516" s="7"/>
      <c r="L516" s="7"/>
      <c r="M516" s="7"/>
      <c r="N516" s="7">
        <v>8</v>
      </c>
      <c r="O516" s="7"/>
      <c r="P516" s="7">
        <f>N516+O516</f>
        <v>8</v>
      </c>
    </row>
    <row r="517" spans="1:16" ht="12" customHeight="1">
      <c r="A517" s="5" t="s">
        <v>7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24.75" customHeight="1">
      <c r="A518" s="8" t="s">
        <v>178</v>
      </c>
      <c r="B518" s="6"/>
      <c r="C518" s="6"/>
      <c r="D518" s="7">
        <f>100000/8</f>
        <v>12500</v>
      </c>
      <c r="E518" s="7"/>
      <c r="F518" s="7">
        <f>D518+E518</f>
        <v>12500</v>
      </c>
      <c r="G518" s="7">
        <v>732857.1435</v>
      </c>
      <c r="H518" s="7"/>
      <c r="I518" s="7"/>
      <c r="J518" s="7">
        <f>G518+H518</f>
        <v>732857.1435</v>
      </c>
      <c r="K518" s="7"/>
      <c r="L518" s="7"/>
      <c r="M518" s="7"/>
      <c r="N518" s="7">
        <f>150000/8</f>
        <v>18750</v>
      </c>
      <c r="O518" s="7"/>
      <c r="P518" s="7">
        <f>N518+O518</f>
        <v>18750</v>
      </c>
    </row>
    <row r="519" spans="1:17" ht="33.75">
      <c r="A519" s="34" t="s">
        <v>420</v>
      </c>
      <c r="B519" s="35"/>
      <c r="C519" s="35"/>
      <c r="D519" s="22"/>
      <c r="E519" s="36">
        <f>E521</f>
        <v>50000</v>
      </c>
      <c r="F519" s="36">
        <f>F521</f>
        <v>50000</v>
      </c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73"/>
    </row>
    <row r="520" spans="1:17" ht="11.25">
      <c r="A520" s="5" t="s">
        <v>4</v>
      </c>
      <c r="B520" s="6"/>
      <c r="C520" s="6"/>
      <c r="D520" s="2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3"/>
    </row>
    <row r="521" spans="1:17" ht="11.25">
      <c r="A521" s="8" t="s">
        <v>43</v>
      </c>
      <c r="B521" s="6"/>
      <c r="C521" s="6"/>
      <c r="D521" s="22"/>
      <c r="E521" s="7">
        <f>E523*E525</f>
        <v>50000</v>
      </c>
      <c r="F521" s="7">
        <f>F523*F525</f>
        <v>50000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4"/>
    </row>
    <row r="522" spans="1:17" ht="11.25">
      <c r="A522" s="5" t="s">
        <v>5</v>
      </c>
      <c r="B522" s="6"/>
      <c r="C522" s="6"/>
      <c r="D522" s="2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4"/>
    </row>
    <row r="523" spans="1:17" ht="22.5">
      <c r="A523" s="8" t="s">
        <v>196</v>
      </c>
      <c r="B523" s="6"/>
      <c r="C523" s="6"/>
      <c r="D523" s="22"/>
      <c r="E523" s="7">
        <v>1</v>
      </c>
      <c r="F523" s="7">
        <v>1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4">
        <v>5500</v>
      </c>
    </row>
    <row r="524" spans="1:17" ht="11.25">
      <c r="A524" s="5" t="s">
        <v>7</v>
      </c>
      <c r="B524" s="6"/>
      <c r="C524" s="6"/>
      <c r="D524" s="2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22.5">
      <c r="A525" s="8" t="s">
        <v>178</v>
      </c>
      <c r="B525" s="6"/>
      <c r="C525" s="6"/>
      <c r="D525" s="22"/>
      <c r="E525" s="7">
        <v>50000</v>
      </c>
      <c r="F525" s="7">
        <v>50000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33.75">
      <c r="A526" s="34" t="s">
        <v>421</v>
      </c>
      <c r="B526" s="35"/>
      <c r="C526" s="35"/>
      <c r="D526" s="36">
        <f>D528</f>
        <v>790000</v>
      </c>
      <c r="E526" s="36"/>
      <c r="F526" s="36">
        <f>F528</f>
        <v>790000</v>
      </c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24"/>
    </row>
    <row r="527" spans="1:17" ht="11.25">
      <c r="A527" s="5" t="s">
        <v>4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11.25">
      <c r="A528" s="8" t="s">
        <v>43</v>
      </c>
      <c r="B528" s="6"/>
      <c r="C528" s="6"/>
      <c r="D528" s="7">
        <f>D530*D532</f>
        <v>790000</v>
      </c>
      <c r="E528" s="7"/>
      <c r="F528" s="7">
        <f>F530*F532</f>
        <v>790000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5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196</v>
      </c>
      <c r="B530" s="6"/>
      <c r="C530" s="6"/>
      <c r="D530" s="7">
        <v>1</v>
      </c>
      <c r="E530" s="7"/>
      <c r="F530" s="7">
        <v>1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11.25">
      <c r="A531" s="5" t="s">
        <v>7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22.5">
      <c r="A532" s="8" t="s">
        <v>178</v>
      </c>
      <c r="B532" s="6"/>
      <c r="C532" s="6"/>
      <c r="D532" s="7">
        <v>790000</v>
      </c>
      <c r="E532" s="7"/>
      <c r="F532" s="7">
        <v>790000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36" customHeight="1">
      <c r="A533" s="34" t="s">
        <v>422</v>
      </c>
      <c r="B533" s="35"/>
      <c r="C533" s="35"/>
      <c r="D533" s="36"/>
      <c r="E533" s="36">
        <f>E535</f>
        <v>320000</v>
      </c>
      <c r="F533" s="36">
        <f>F535</f>
        <v>320000</v>
      </c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24"/>
    </row>
    <row r="534" spans="1:17" ht="11.25">
      <c r="A534" s="5" t="s">
        <v>4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11.25">
      <c r="A535" s="8" t="s">
        <v>43</v>
      </c>
      <c r="B535" s="6"/>
      <c r="C535" s="6"/>
      <c r="D535" s="7"/>
      <c r="E535" s="7">
        <f>E537*E539</f>
        <v>320000</v>
      </c>
      <c r="F535" s="7">
        <f>F537*F539</f>
        <v>320000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5" t="s">
        <v>5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22.5">
      <c r="A537" s="8" t="s">
        <v>196</v>
      </c>
      <c r="B537" s="6"/>
      <c r="C537" s="6"/>
      <c r="D537" s="7"/>
      <c r="E537" s="7">
        <v>1</v>
      </c>
      <c r="F537" s="7">
        <v>1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11.25">
      <c r="A538" s="5" t="s">
        <v>7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235" ht="11.25">
      <c r="A539" s="8" t="s">
        <v>330</v>
      </c>
      <c r="B539" s="6"/>
      <c r="C539" s="6"/>
      <c r="D539" s="7"/>
      <c r="E539" s="7">
        <v>320000</v>
      </c>
      <c r="F539" s="7">
        <v>320000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17" ht="24" customHeight="1">
      <c r="A540" s="34" t="s">
        <v>423</v>
      </c>
      <c r="B540" s="35"/>
      <c r="C540" s="35"/>
      <c r="D540" s="36"/>
      <c r="E540" s="36">
        <f>E542</f>
        <v>0</v>
      </c>
      <c r="F540" s="36">
        <f>F542</f>
        <v>0</v>
      </c>
      <c r="G540" s="36">
        <f>G542</f>
        <v>1952000</v>
      </c>
      <c r="H540" s="36"/>
      <c r="I540" s="36"/>
      <c r="J540" s="36">
        <f>J542</f>
        <v>1952000</v>
      </c>
      <c r="K540" s="36"/>
      <c r="L540" s="36"/>
      <c r="M540" s="36"/>
      <c r="N540" s="36"/>
      <c r="O540" s="36"/>
      <c r="P540" s="36"/>
      <c r="Q540" s="24"/>
    </row>
    <row r="541" spans="1:17" ht="11.25">
      <c r="A541" s="5" t="s">
        <v>4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11.25">
      <c r="A542" s="8" t="s">
        <v>43</v>
      </c>
      <c r="B542" s="6"/>
      <c r="C542" s="6"/>
      <c r="D542" s="7"/>
      <c r="E542" s="7">
        <f>E544*E546</f>
        <v>0</v>
      </c>
      <c r="F542" s="7">
        <f>F544*F546</f>
        <v>0</v>
      </c>
      <c r="G542" s="7">
        <f>G544*G546</f>
        <v>1952000</v>
      </c>
      <c r="H542" s="7"/>
      <c r="I542" s="7"/>
      <c r="J542" s="7">
        <f>G542</f>
        <v>1952000</v>
      </c>
      <c r="K542" s="7"/>
      <c r="L542" s="7"/>
      <c r="M542" s="7"/>
      <c r="N542" s="7"/>
      <c r="O542" s="7"/>
      <c r="P542" s="7"/>
      <c r="Q542" s="24"/>
    </row>
    <row r="543" spans="1:17" ht="11.25">
      <c r="A543" s="5" t="s">
        <v>5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196</v>
      </c>
      <c r="B544" s="6"/>
      <c r="C544" s="6"/>
      <c r="D544" s="7"/>
      <c r="E544" s="7">
        <v>0</v>
      </c>
      <c r="F544" s="7">
        <v>0</v>
      </c>
      <c r="G544" s="7">
        <v>1</v>
      </c>
      <c r="H544" s="7"/>
      <c r="I544" s="7"/>
      <c r="J544" s="7">
        <f>G544</f>
        <v>1</v>
      </c>
      <c r="K544" s="7"/>
      <c r="L544" s="7"/>
      <c r="M544" s="7"/>
      <c r="N544" s="7"/>
      <c r="O544" s="7"/>
      <c r="P544" s="7"/>
      <c r="Q544" s="24"/>
    </row>
    <row r="545" spans="1:17" ht="11.25">
      <c r="A545" s="5" t="s">
        <v>7</v>
      </c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235" ht="11.25">
      <c r="A546" s="8" t="s">
        <v>330</v>
      </c>
      <c r="B546" s="6"/>
      <c r="C546" s="6"/>
      <c r="D546" s="7"/>
      <c r="E546" s="7"/>
      <c r="F546" s="7">
        <v>0</v>
      </c>
      <c r="G546" s="7">
        <f>2300000-348000</f>
        <v>1952000</v>
      </c>
      <c r="H546" s="7"/>
      <c r="I546" s="7"/>
      <c r="J546" s="7">
        <f>G546</f>
        <v>1952000</v>
      </c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33.75">
      <c r="A547" s="34" t="s">
        <v>424</v>
      </c>
      <c r="B547" s="6"/>
      <c r="C547" s="6"/>
      <c r="D547" s="7"/>
      <c r="E547" s="7"/>
      <c r="F547" s="7"/>
      <c r="G547" s="36">
        <f>G549</f>
        <v>3200000</v>
      </c>
      <c r="H547" s="7"/>
      <c r="I547" s="7"/>
      <c r="J547" s="36">
        <f>G547</f>
        <v>3200000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5" t="s">
        <v>4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8" t="s">
        <v>43</v>
      </c>
      <c r="B549" s="6"/>
      <c r="C549" s="6"/>
      <c r="D549" s="7"/>
      <c r="E549" s="7"/>
      <c r="F549" s="7"/>
      <c r="G549" s="7">
        <v>3200000</v>
      </c>
      <c r="H549" s="7"/>
      <c r="I549" s="7"/>
      <c r="J549" s="7">
        <f>G549</f>
        <v>3200000</v>
      </c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5" t="s">
        <v>5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22.5">
      <c r="A551" s="8" t="s">
        <v>196</v>
      </c>
      <c r="B551" s="6"/>
      <c r="C551" s="6"/>
      <c r="D551" s="7"/>
      <c r="E551" s="7"/>
      <c r="F551" s="7"/>
      <c r="G551" s="7">
        <v>59</v>
      </c>
      <c r="H551" s="7"/>
      <c r="I551" s="7"/>
      <c r="J551" s="7">
        <f>G551</f>
        <v>59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5" t="s">
        <v>7</v>
      </c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8" t="s">
        <v>330</v>
      </c>
      <c r="B553" s="6"/>
      <c r="C553" s="6"/>
      <c r="D553" s="7"/>
      <c r="E553" s="7"/>
      <c r="F553" s="7"/>
      <c r="G553" s="7">
        <v>54237.29</v>
      </c>
      <c r="H553" s="7"/>
      <c r="I553" s="7"/>
      <c r="J553" s="7">
        <f>G553</f>
        <v>54237.29</v>
      </c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155" t="s">
        <v>429</v>
      </c>
      <c r="B554" s="6"/>
      <c r="C554" s="6"/>
      <c r="D554" s="7"/>
      <c r="E554" s="7"/>
      <c r="F554" s="7"/>
      <c r="G554" s="36"/>
      <c r="H554" s="36">
        <f>H556</f>
        <v>1000000</v>
      </c>
      <c r="I554" s="7"/>
      <c r="J554" s="36">
        <f>H554</f>
        <v>1000000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4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8" t="s">
        <v>43</v>
      </c>
      <c r="B556" s="6"/>
      <c r="C556" s="6"/>
      <c r="D556" s="7"/>
      <c r="E556" s="7"/>
      <c r="F556" s="7"/>
      <c r="G556" s="7"/>
      <c r="H556" s="7">
        <v>1000000</v>
      </c>
      <c r="I556" s="7"/>
      <c r="J556" s="7">
        <f>H556</f>
        <v>1000000</v>
      </c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5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8" t="s">
        <v>403</v>
      </c>
      <c r="B558" s="6"/>
      <c r="C558" s="6"/>
      <c r="D558" s="7"/>
      <c r="E558" s="7"/>
      <c r="F558" s="7"/>
      <c r="G558" s="7"/>
      <c r="H558" s="7">
        <v>1</v>
      </c>
      <c r="I558" s="7"/>
      <c r="J558" s="7">
        <f>H558</f>
        <v>1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5" t="s">
        <v>7</v>
      </c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8" t="s">
        <v>330</v>
      </c>
      <c r="B560" s="6"/>
      <c r="C560" s="6"/>
      <c r="D560" s="7"/>
      <c r="E560" s="7"/>
      <c r="F560" s="7"/>
      <c r="G560" s="7"/>
      <c r="H560" s="7">
        <v>1000000</v>
      </c>
      <c r="I560" s="7"/>
      <c r="J560" s="7">
        <f>H560</f>
        <v>1000000</v>
      </c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22.5">
      <c r="A561" s="155" t="s">
        <v>430</v>
      </c>
      <c r="B561" s="6"/>
      <c r="C561" s="6"/>
      <c r="D561" s="7"/>
      <c r="E561" s="7"/>
      <c r="F561" s="7"/>
      <c r="G561" s="36">
        <f>G563</f>
        <v>80000</v>
      </c>
      <c r="H561" s="36">
        <f>H563</f>
        <v>0</v>
      </c>
      <c r="I561" s="7"/>
      <c r="J561" s="36">
        <f>H561+G561</f>
        <v>80000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4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8" t="s">
        <v>43</v>
      </c>
      <c r="B563" s="6"/>
      <c r="C563" s="6"/>
      <c r="D563" s="7"/>
      <c r="E563" s="7"/>
      <c r="F563" s="7"/>
      <c r="G563" s="7">
        <f>G565*G567</f>
        <v>80000</v>
      </c>
      <c r="H563" s="7"/>
      <c r="I563" s="7"/>
      <c r="J563" s="7">
        <f>H563+G563</f>
        <v>80000</v>
      </c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5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8" t="s">
        <v>403</v>
      </c>
      <c r="B565" s="6"/>
      <c r="C565" s="6"/>
      <c r="D565" s="7"/>
      <c r="E565" s="7"/>
      <c r="F565" s="7"/>
      <c r="G565" s="7">
        <v>1</v>
      </c>
      <c r="H565" s="7"/>
      <c r="I565" s="7"/>
      <c r="J565" s="7">
        <f>H565+G565</f>
        <v>1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7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8" t="s">
        <v>330</v>
      </c>
      <c r="B567" s="6"/>
      <c r="C567" s="6"/>
      <c r="D567" s="7"/>
      <c r="E567" s="7"/>
      <c r="F567" s="7"/>
      <c r="G567" s="7">
        <v>80000</v>
      </c>
      <c r="H567" s="7"/>
      <c r="I567" s="7"/>
      <c r="J567" s="7">
        <f>H567+G567</f>
        <v>80000</v>
      </c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/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139" customFormat="1" ht="11.25">
      <c r="A569" s="152" t="s">
        <v>255</v>
      </c>
      <c r="B569" s="136"/>
      <c r="C569" s="136"/>
      <c r="D569" s="145">
        <f>D571</f>
        <v>1690000</v>
      </c>
      <c r="E569" s="145">
        <v>0</v>
      </c>
      <c r="F569" s="145">
        <f>D569</f>
        <v>1690000</v>
      </c>
      <c r="G569" s="145">
        <f>G571</f>
        <v>1800000</v>
      </c>
      <c r="H569" s="145"/>
      <c r="I569" s="145">
        <f>I571</f>
        <v>0</v>
      </c>
      <c r="J569" s="145">
        <f>J571</f>
        <v>1800000</v>
      </c>
      <c r="K569" s="145"/>
      <c r="L569" s="145"/>
      <c r="M569" s="145"/>
      <c r="N569" s="145">
        <f>N571</f>
        <v>1500000</v>
      </c>
      <c r="O569" s="145"/>
      <c r="P569" s="145">
        <f>P571</f>
        <v>1500000</v>
      </c>
      <c r="Q569" s="154"/>
    </row>
    <row r="570" spans="1:235" ht="54.75" customHeight="1">
      <c r="A570" s="8" t="s">
        <v>165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17" s="76" customFormat="1" ht="22.5">
      <c r="A571" s="34" t="s">
        <v>432</v>
      </c>
      <c r="B571" s="37"/>
      <c r="C571" s="37"/>
      <c r="D571" s="57">
        <f>D572+D579</f>
        <v>1690000</v>
      </c>
      <c r="E571" s="57"/>
      <c r="F571" s="57">
        <f>D571</f>
        <v>1690000</v>
      </c>
      <c r="G571" s="30">
        <f>G572+G579</f>
        <v>1800000</v>
      </c>
      <c r="H571" s="30"/>
      <c r="I571" s="30"/>
      <c r="J571" s="30">
        <f>G571</f>
        <v>1800000</v>
      </c>
      <c r="K571" s="30"/>
      <c r="L571" s="30"/>
      <c r="M571" s="30"/>
      <c r="N571" s="30">
        <f>N572+N579</f>
        <v>1500000</v>
      </c>
      <c r="O571" s="30"/>
      <c r="P571" s="30">
        <f>N571</f>
        <v>1500000</v>
      </c>
      <c r="Q571" s="75"/>
    </row>
    <row r="572" spans="1:17" s="79" customFormat="1" ht="45">
      <c r="A572" s="77" t="s">
        <v>433</v>
      </c>
      <c r="B572" s="35"/>
      <c r="C572" s="35"/>
      <c r="D572" s="45">
        <f>D576*D578+100000</f>
        <v>1400000</v>
      </c>
      <c r="E572" s="45"/>
      <c r="F572" s="45">
        <f>D572+E572</f>
        <v>1400000</v>
      </c>
      <c r="G572" s="36">
        <f>G576*G578</f>
        <v>1500000</v>
      </c>
      <c r="H572" s="36">
        <f aca="true" t="shared" si="62" ref="H572:O572">H576*H578</f>
        <v>0</v>
      </c>
      <c r="I572" s="36">
        <f t="shared" si="62"/>
        <v>0</v>
      </c>
      <c r="J572" s="36">
        <f>G572</f>
        <v>1500000</v>
      </c>
      <c r="K572" s="36">
        <f t="shared" si="62"/>
        <v>0</v>
      </c>
      <c r="L572" s="36">
        <f t="shared" si="62"/>
        <v>0</v>
      </c>
      <c r="M572" s="36">
        <f t="shared" si="62"/>
        <v>0</v>
      </c>
      <c r="N572" s="36">
        <f>N576*N578</f>
        <v>1300000</v>
      </c>
      <c r="O572" s="36">
        <f t="shared" si="62"/>
        <v>0</v>
      </c>
      <c r="P572" s="36">
        <f>N572</f>
        <v>1300000</v>
      </c>
      <c r="Q572" s="78"/>
    </row>
    <row r="573" spans="1:17" s="52" customFormat="1" ht="11.25">
      <c r="A573" s="5" t="s">
        <v>4</v>
      </c>
      <c r="B573" s="37"/>
      <c r="C573" s="37"/>
      <c r="D573" s="80"/>
      <c r="E573" s="80"/>
      <c r="F573" s="81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75"/>
    </row>
    <row r="574" spans="1:17" s="52" customFormat="1" ht="27.75" customHeight="1">
      <c r="A574" s="8" t="s">
        <v>166</v>
      </c>
      <c r="B574" s="37"/>
      <c r="C574" s="37"/>
      <c r="D574" s="49">
        <v>520</v>
      </c>
      <c r="E574" s="80"/>
      <c r="F574" s="81"/>
      <c r="G574" s="7">
        <v>500</v>
      </c>
      <c r="H574" s="30"/>
      <c r="I574" s="30"/>
      <c r="J574" s="7">
        <f>G574+H574</f>
        <v>500</v>
      </c>
      <c r="K574" s="30"/>
      <c r="L574" s="30"/>
      <c r="M574" s="30"/>
      <c r="N574" s="7">
        <v>520</v>
      </c>
      <c r="O574" s="7"/>
      <c r="P574" s="7">
        <f>N574+O574</f>
        <v>520</v>
      </c>
      <c r="Q574" s="75"/>
    </row>
    <row r="575" spans="1:17" s="52" customFormat="1" ht="11.25">
      <c r="A575" s="5" t="s">
        <v>5</v>
      </c>
      <c r="B575" s="37"/>
      <c r="C575" s="37"/>
      <c r="D575" s="80"/>
      <c r="E575" s="80"/>
      <c r="F575" s="81"/>
      <c r="G575" s="30"/>
      <c r="H575" s="30"/>
      <c r="I575" s="30"/>
      <c r="J575" s="7"/>
      <c r="K575" s="30"/>
      <c r="L575" s="30"/>
      <c r="M575" s="30"/>
      <c r="N575" s="30"/>
      <c r="O575" s="30"/>
      <c r="P575" s="7"/>
      <c r="Q575" s="75"/>
    </row>
    <row r="576" spans="1:17" s="52" customFormat="1" ht="22.5">
      <c r="A576" s="8" t="s">
        <v>167</v>
      </c>
      <c r="B576" s="37"/>
      <c r="C576" s="37"/>
      <c r="D576" s="49">
        <v>520</v>
      </c>
      <c r="E576" s="80"/>
      <c r="F576" s="81"/>
      <c r="G576" s="7">
        <f>G574</f>
        <v>500</v>
      </c>
      <c r="H576" s="7"/>
      <c r="I576" s="7"/>
      <c r="J576" s="7">
        <f>G576+H576</f>
        <v>500</v>
      </c>
      <c r="K576" s="7">
        <f>K574</f>
        <v>0</v>
      </c>
      <c r="L576" s="7">
        <f>L574</f>
        <v>0</v>
      </c>
      <c r="M576" s="7">
        <f>M574</f>
        <v>0</v>
      </c>
      <c r="N576" s="7">
        <v>520</v>
      </c>
      <c r="O576" s="7"/>
      <c r="P576" s="7">
        <f>N576+O576</f>
        <v>520</v>
      </c>
      <c r="Q576" s="75"/>
    </row>
    <row r="577" spans="1:17" s="52" customFormat="1" ht="11.25">
      <c r="A577" s="5" t="s">
        <v>7</v>
      </c>
      <c r="B577" s="37"/>
      <c r="C577" s="37"/>
      <c r="D577" s="80"/>
      <c r="E577" s="80"/>
      <c r="F577" s="81"/>
      <c r="G577" s="30"/>
      <c r="H577" s="30"/>
      <c r="I577" s="30"/>
      <c r="J577" s="7"/>
      <c r="K577" s="30"/>
      <c r="L577" s="30"/>
      <c r="M577" s="30"/>
      <c r="N577" s="30"/>
      <c r="O577" s="30"/>
      <c r="P577" s="7"/>
      <c r="Q577" s="75"/>
    </row>
    <row r="578" spans="1:17" s="52" customFormat="1" ht="17.25" customHeight="1">
      <c r="A578" s="8" t="s">
        <v>168</v>
      </c>
      <c r="B578" s="37"/>
      <c r="C578" s="37"/>
      <c r="D578" s="80">
        <v>2500</v>
      </c>
      <c r="E578" s="80"/>
      <c r="F578" s="81"/>
      <c r="G578" s="7">
        <v>3000</v>
      </c>
      <c r="H578" s="30"/>
      <c r="I578" s="30"/>
      <c r="J578" s="7">
        <f>G578+H578</f>
        <v>3000</v>
      </c>
      <c r="K578" s="30"/>
      <c r="L578" s="30"/>
      <c r="M578" s="30"/>
      <c r="N578" s="7">
        <v>2500</v>
      </c>
      <c r="O578" s="7"/>
      <c r="P578" s="7">
        <f>N578+O578</f>
        <v>2500</v>
      </c>
      <c r="Q578" s="75"/>
    </row>
    <row r="579" spans="1:17" s="83" customFormat="1" ht="65.25" customHeight="1">
      <c r="A579" s="77" t="s">
        <v>434</v>
      </c>
      <c r="B579" s="34"/>
      <c r="C579" s="34"/>
      <c r="D579" s="45">
        <f>D583*D586+90000</f>
        <v>290000</v>
      </c>
      <c r="E579" s="45"/>
      <c r="F579" s="45">
        <f>D579+E579</f>
        <v>290000</v>
      </c>
      <c r="G579" s="36">
        <f>G583*G586</f>
        <v>300000</v>
      </c>
      <c r="H579" s="36">
        <f aca="true" t="shared" si="63" ref="H579:P579">H583*H586</f>
        <v>0</v>
      </c>
      <c r="I579" s="36">
        <f t="shared" si="63"/>
        <v>0</v>
      </c>
      <c r="J579" s="36">
        <f t="shared" si="63"/>
        <v>300000</v>
      </c>
      <c r="K579" s="36">
        <f t="shared" si="63"/>
        <v>0</v>
      </c>
      <c r="L579" s="36">
        <f t="shared" si="63"/>
        <v>0</v>
      </c>
      <c r="M579" s="36">
        <f t="shared" si="63"/>
        <v>0</v>
      </c>
      <c r="N579" s="36">
        <f t="shared" si="63"/>
        <v>200000</v>
      </c>
      <c r="O579" s="36">
        <f t="shared" si="63"/>
        <v>0</v>
      </c>
      <c r="P579" s="36">
        <f t="shared" si="63"/>
        <v>200000</v>
      </c>
      <c r="Q579" s="82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33.75">
      <c r="A581" s="8" t="s">
        <v>166</v>
      </c>
      <c r="B581" s="6"/>
      <c r="C581" s="6"/>
      <c r="D581" s="44">
        <v>6</v>
      </c>
      <c r="E581" s="44"/>
      <c r="F581" s="44">
        <f>D581</f>
        <v>6</v>
      </c>
      <c r="G581" s="44">
        <v>6</v>
      </c>
      <c r="H581" s="44"/>
      <c r="I581" s="44"/>
      <c r="J581" s="7">
        <f>G581+H581</f>
        <v>6</v>
      </c>
      <c r="K581" s="44">
        <f>H581</f>
        <v>0</v>
      </c>
      <c r="L581" s="44">
        <f>J581</f>
        <v>6</v>
      </c>
      <c r="M581" s="44">
        <f>K581</f>
        <v>0</v>
      </c>
      <c r="N581" s="44">
        <v>4</v>
      </c>
      <c r="O581" s="44"/>
      <c r="P581" s="44">
        <f>N581</f>
        <v>4</v>
      </c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44"/>
      <c r="E582" s="44"/>
      <c r="F582" s="4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32.25" customHeight="1">
      <c r="A583" s="8" t="s">
        <v>167</v>
      </c>
      <c r="B583" s="6"/>
      <c r="C583" s="6"/>
      <c r="D583" s="44">
        <v>6</v>
      </c>
      <c r="E583" s="44"/>
      <c r="F583" s="44">
        <f>D583</f>
        <v>6</v>
      </c>
      <c r="G583" s="7">
        <v>6</v>
      </c>
      <c r="H583" s="7"/>
      <c r="I583" s="7"/>
      <c r="J583" s="7">
        <f>G583+H583</f>
        <v>6</v>
      </c>
      <c r="K583" s="7"/>
      <c r="L583" s="7"/>
      <c r="M583" s="7"/>
      <c r="N583" s="7">
        <v>4</v>
      </c>
      <c r="O583" s="7"/>
      <c r="P583" s="7">
        <f>N583</f>
        <v>4</v>
      </c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22.5">
      <c r="A584" s="8" t="s">
        <v>164</v>
      </c>
      <c r="B584" s="6"/>
      <c r="C584" s="6"/>
      <c r="D584" s="44"/>
      <c r="E584" s="44"/>
      <c r="F584" s="44">
        <f>D584</f>
        <v>0</v>
      </c>
      <c r="G584" s="7"/>
      <c r="H584" s="7"/>
      <c r="I584" s="7"/>
      <c r="J584" s="7">
        <f>G584+H584</f>
        <v>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44"/>
      <c r="E585" s="44"/>
      <c r="F585" s="4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>
      <c r="A586" s="8" t="s">
        <v>168</v>
      </c>
      <c r="B586" s="6"/>
      <c r="C586" s="6"/>
      <c r="D586" s="44">
        <f>200000/6</f>
        <v>33333.333333333336</v>
      </c>
      <c r="E586" s="44"/>
      <c r="F586" s="44">
        <f>D586</f>
        <v>33333.333333333336</v>
      </c>
      <c r="G586" s="7">
        <v>50000</v>
      </c>
      <c r="H586" s="7"/>
      <c r="I586" s="7"/>
      <c r="J586" s="7">
        <f>G586+H586</f>
        <v>50000</v>
      </c>
      <c r="K586" s="7"/>
      <c r="L586" s="7"/>
      <c r="M586" s="7"/>
      <c r="N586" s="7">
        <v>50000</v>
      </c>
      <c r="O586" s="7"/>
      <c r="P586" s="7">
        <f>N586</f>
        <v>50000</v>
      </c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37" t="s">
        <v>256</v>
      </c>
      <c r="B587" s="6"/>
      <c r="C587" s="6"/>
      <c r="D587" s="36">
        <f>D589</f>
        <v>0</v>
      </c>
      <c r="E587" s="36">
        <f>E589</f>
        <v>127913400</v>
      </c>
      <c r="F587" s="36">
        <f aca="true" t="shared" si="64" ref="F587:P587">F589</f>
        <v>127913400</v>
      </c>
      <c r="G587" s="36">
        <f t="shared" si="64"/>
        <v>0</v>
      </c>
      <c r="H587" s="36">
        <f t="shared" si="64"/>
        <v>88023272</v>
      </c>
      <c r="I587" s="36">
        <f t="shared" si="64"/>
        <v>0</v>
      </c>
      <c r="J587" s="36">
        <f t="shared" si="64"/>
        <v>88023272</v>
      </c>
      <c r="K587" s="36">
        <f t="shared" si="64"/>
        <v>0</v>
      </c>
      <c r="L587" s="36">
        <f t="shared" si="64"/>
        <v>0</v>
      </c>
      <c r="M587" s="36">
        <f t="shared" si="64"/>
        <v>0</v>
      </c>
      <c r="N587" s="36">
        <f t="shared" si="64"/>
        <v>0</v>
      </c>
      <c r="O587" s="36">
        <f t="shared" si="64"/>
        <v>0</v>
      </c>
      <c r="P587" s="36">
        <f t="shared" si="64"/>
        <v>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22.5">
      <c r="A588" s="8" t="s">
        <v>170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157" customFormat="1" ht="33.75">
      <c r="A589" s="155" t="s">
        <v>435</v>
      </c>
      <c r="B589" s="141"/>
      <c r="C589" s="141"/>
      <c r="D589" s="145"/>
      <c r="E589" s="145">
        <f>E591</f>
        <v>127913400</v>
      </c>
      <c r="F589" s="145">
        <f>D589+E589</f>
        <v>127913400</v>
      </c>
      <c r="G589" s="145"/>
      <c r="H589" s="145">
        <f>H593*H595</f>
        <v>88023272</v>
      </c>
      <c r="I589" s="145">
        <f>I591</f>
        <v>0</v>
      </c>
      <c r="J589" s="145">
        <f>H589+I589</f>
        <v>88023272</v>
      </c>
      <c r="K589" s="145"/>
      <c r="L589" s="145"/>
      <c r="M589" s="145"/>
      <c r="N589" s="145"/>
      <c r="O589" s="145">
        <f>O593*O595</f>
        <v>0</v>
      </c>
      <c r="P589" s="145">
        <f>O589</f>
        <v>0</v>
      </c>
      <c r="Q589" s="156"/>
    </row>
    <row r="590" spans="1:235" ht="11.25">
      <c r="A590" s="5" t="s">
        <v>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8" t="s">
        <v>43</v>
      </c>
      <c r="B591" s="6"/>
      <c r="C591" s="6"/>
      <c r="D591" s="7"/>
      <c r="E591" s="7">
        <f>127784300+129100</f>
        <v>127913400</v>
      </c>
      <c r="F591" s="7">
        <f>D591+E591</f>
        <v>127913400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5" t="s">
        <v>5</v>
      </c>
      <c r="B592" s="6"/>
      <c r="C592" s="6"/>
      <c r="D592" s="7"/>
      <c r="E592" s="7"/>
      <c r="F592" s="7">
        <f>D592+E592</f>
        <v>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33.75">
      <c r="A593" s="8" t="s">
        <v>171</v>
      </c>
      <c r="B593" s="6"/>
      <c r="C593" s="6"/>
      <c r="D593" s="7"/>
      <c r="E593" s="7">
        <v>10</v>
      </c>
      <c r="F593" s="7">
        <f>D593+E593</f>
        <v>10</v>
      </c>
      <c r="G593" s="7"/>
      <c r="H593" s="7">
        <v>5</v>
      </c>
      <c r="I593" s="7"/>
      <c r="J593" s="7">
        <v>5</v>
      </c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7</v>
      </c>
      <c r="B594" s="6"/>
      <c r="C594" s="6"/>
      <c r="D594" s="7"/>
      <c r="E594" s="7"/>
      <c r="F594" s="7">
        <f>D594+E594</f>
        <v>0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4.75" customHeight="1">
      <c r="A595" s="8" t="s">
        <v>172</v>
      </c>
      <c r="B595" s="6"/>
      <c r="C595" s="6"/>
      <c r="D595" s="7"/>
      <c r="E595" s="7">
        <f>399355600/9</f>
        <v>44372844.44444445</v>
      </c>
      <c r="F595" s="7">
        <f>D595+E595</f>
        <v>44372844.44444445</v>
      </c>
      <c r="G595" s="7"/>
      <c r="H595" s="7">
        <v>17604654.4</v>
      </c>
      <c r="I595" s="7"/>
      <c r="J595" s="7">
        <v>17592054.4</v>
      </c>
      <c r="K595" s="7"/>
      <c r="L595" s="7"/>
      <c r="M595" s="7"/>
      <c r="N595" s="7"/>
      <c r="O595" s="7"/>
      <c r="P595" s="85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37" t="s">
        <v>257</v>
      </c>
      <c r="B596" s="6"/>
      <c r="C596" s="6"/>
      <c r="D596" s="36">
        <f>D598</f>
        <v>760000</v>
      </c>
      <c r="E596" s="36">
        <f aca="true" t="shared" si="65" ref="E596:P596">E598</f>
        <v>1220000</v>
      </c>
      <c r="F596" s="36">
        <f t="shared" si="65"/>
        <v>1980000</v>
      </c>
      <c r="G596" s="36">
        <f t="shared" si="65"/>
        <v>0</v>
      </c>
      <c r="H596" s="36">
        <f t="shared" si="65"/>
        <v>7992500</v>
      </c>
      <c r="I596" s="36">
        <f t="shared" si="65"/>
        <v>7992500</v>
      </c>
      <c r="J596" s="36">
        <f t="shared" si="65"/>
        <v>7992500</v>
      </c>
      <c r="K596" s="36">
        <f t="shared" si="65"/>
        <v>0</v>
      </c>
      <c r="L596" s="36">
        <f t="shared" si="65"/>
        <v>0</v>
      </c>
      <c r="M596" s="36">
        <f t="shared" si="65"/>
        <v>0</v>
      </c>
      <c r="N596" s="36">
        <f t="shared" si="65"/>
        <v>760000</v>
      </c>
      <c r="O596" s="36">
        <f t="shared" si="65"/>
        <v>7240000</v>
      </c>
      <c r="P596" s="36">
        <f t="shared" si="65"/>
        <v>8000000</v>
      </c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67.5">
      <c r="A597" s="8" t="s">
        <v>396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17" s="39" customFormat="1" ht="36" customHeight="1">
      <c r="A598" s="34" t="s">
        <v>436</v>
      </c>
      <c r="B598" s="35"/>
      <c r="C598" s="35"/>
      <c r="D598" s="36">
        <f>D600</f>
        <v>760000</v>
      </c>
      <c r="E598" s="36">
        <f>E600</f>
        <v>1220000</v>
      </c>
      <c r="F598" s="36">
        <f>D598+E598</f>
        <v>1980000</v>
      </c>
      <c r="G598" s="36">
        <f>G600</f>
        <v>0</v>
      </c>
      <c r="H598" s="36">
        <f>H600</f>
        <v>7992500</v>
      </c>
      <c r="I598" s="36">
        <f>G598+H598</f>
        <v>7992500</v>
      </c>
      <c r="J598" s="36">
        <f>G598+H598</f>
        <v>7992500</v>
      </c>
      <c r="K598" s="36"/>
      <c r="L598" s="36"/>
      <c r="M598" s="36"/>
      <c r="N598" s="36">
        <f>N602*N604</f>
        <v>760000</v>
      </c>
      <c r="O598" s="36">
        <f>O602*O604</f>
        <v>7240000</v>
      </c>
      <c r="P598" s="36">
        <f>N598+O598</f>
        <v>8000000</v>
      </c>
      <c r="Q598" s="78"/>
    </row>
    <row r="599" spans="1:235" ht="11.25">
      <c r="A599" s="5" t="s">
        <v>4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8" t="s">
        <v>43</v>
      </c>
      <c r="B600" s="6"/>
      <c r="C600" s="6"/>
      <c r="D600" s="7">
        <f>D602*D604</f>
        <v>760000</v>
      </c>
      <c r="E600" s="7">
        <f>E602*E604</f>
        <v>1220000</v>
      </c>
      <c r="F600" s="7">
        <f>D600+E600</f>
        <v>1980000</v>
      </c>
      <c r="G600" s="7">
        <f>G602*G604</f>
        <v>0</v>
      </c>
      <c r="H600" s="7">
        <f>H602*H604</f>
        <v>7992500</v>
      </c>
      <c r="I600" s="7"/>
      <c r="J600" s="7">
        <f>G600+H600</f>
        <v>7992500</v>
      </c>
      <c r="K600" s="7"/>
      <c r="L600" s="7"/>
      <c r="M600" s="7"/>
      <c r="N600" s="7">
        <f>N602*N604</f>
        <v>760000</v>
      </c>
      <c r="O600" s="7">
        <f>O602*O604</f>
        <v>7240000</v>
      </c>
      <c r="P600" s="7">
        <f>N600+O600</f>
        <v>8000000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2.5">
      <c r="A602" s="8" t="s">
        <v>181</v>
      </c>
      <c r="B602" s="6"/>
      <c r="C602" s="6"/>
      <c r="D602" s="7">
        <v>1</v>
      </c>
      <c r="E602" s="7">
        <v>1</v>
      </c>
      <c r="F602" s="7">
        <f>D602+E602</f>
        <v>2</v>
      </c>
      <c r="G602" s="7">
        <v>0</v>
      </c>
      <c r="H602" s="7">
        <v>1</v>
      </c>
      <c r="I602" s="7"/>
      <c r="J602" s="7">
        <v>1</v>
      </c>
      <c r="K602" s="7"/>
      <c r="L602" s="7"/>
      <c r="M602" s="7"/>
      <c r="N602" s="7">
        <v>1</v>
      </c>
      <c r="O602" s="7">
        <v>1</v>
      </c>
      <c r="P602" s="7">
        <v>1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11.25">
      <c r="A603" s="5" t="s">
        <v>7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182</v>
      </c>
      <c r="B604" s="6"/>
      <c r="C604" s="6"/>
      <c r="D604" s="7">
        <v>760000</v>
      </c>
      <c r="E604" s="7">
        <v>1220000</v>
      </c>
      <c r="F604" s="7">
        <f>D604+E604</f>
        <v>1980000</v>
      </c>
      <c r="G604" s="7">
        <v>0</v>
      </c>
      <c r="H604" s="7">
        <f>7000000+992500</f>
        <v>7992500</v>
      </c>
      <c r="I604" s="7"/>
      <c r="J604" s="23">
        <f>J600/J602</f>
        <v>7992500</v>
      </c>
      <c r="K604" s="23"/>
      <c r="L604" s="23"/>
      <c r="M604" s="23"/>
      <c r="N604" s="23">
        <v>760000</v>
      </c>
      <c r="O604" s="23">
        <v>7240000</v>
      </c>
      <c r="P604" s="7">
        <f>N604+O604</f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17" s="52" customFormat="1" ht="11.25">
      <c r="A605" s="37" t="s">
        <v>346</v>
      </c>
      <c r="B605" s="37"/>
      <c r="C605" s="37"/>
      <c r="D605" s="30">
        <f>D609</f>
        <v>0</v>
      </c>
      <c r="E605" s="30">
        <f>E609</f>
        <v>2275980</v>
      </c>
      <c r="F605" s="30">
        <f>D605+E605</f>
        <v>2275980</v>
      </c>
      <c r="G605" s="30">
        <v>0</v>
      </c>
      <c r="H605" s="30">
        <f>H607</f>
        <v>1108600</v>
      </c>
      <c r="I605" s="30" t="e">
        <f>#REF!</f>
        <v>#REF!</v>
      </c>
      <c r="J605" s="129">
        <f>J607</f>
        <v>1108600</v>
      </c>
      <c r="K605" s="129" t="e">
        <f>#REF!</f>
        <v>#REF!</v>
      </c>
      <c r="L605" s="129" t="e">
        <f>#REF!</f>
        <v>#REF!</v>
      </c>
      <c r="M605" s="129" t="e">
        <f>#REF!</f>
        <v>#REF!</v>
      </c>
      <c r="N605" s="129">
        <v>0</v>
      </c>
      <c r="O605" s="129">
        <v>0</v>
      </c>
      <c r="P605" s="30">
        <v>0</v>
      </c>
      <c r="Q605" s="75" t="e">
        <f>#REF!</f>
        <v>#REF!</v>
      </c>
    </row>
    <row r="606" spans="1:235" ht="33.75">
      <c r="A606" s="8" t="s">
        <v>347</v>
      </c>
      <c r="B606" s="6"/>
      <c r="C606" s="6"/>
      <c r="D606" s="7"/>
      <c r="E606" s="7"/>
      <c r="F606" s="7"/>
      <c r="G606" s="7"/>
      <c r="H606" s="7"/>
      <c r="I606" s="7"/>
      <c r="J606" s="23"/>
      <c r="K606" s="23"/>
      <c r="L606" s="23"/>
      <c r="M606" s="23"/>
      <c r="N606" s="23"/>
      <c r="O606" s="23"/>
      <c r="P606" s="7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17" s="52" customFormat="1" ht="22.5">
      <c r="A607" s="34" t="s">
        <v>437</v>
      </c>
      <c r="B607" s="37"/>
      <c r="C607" s="37"/>
      <c r="D607" s="30"/>
      <c r="E607" s="30">
        <v>2275980</v>
      </c>
      <c r="F607" s="30">
        <v>2275980</v>
      </c>
      <c r="G607" s="30"/>
      <c r="H607" s="30">
        <f>H609</f>
        <v>1108600</v>
      </c>
      <c r="I607" s="30"/>
      <c r="J607" s="129">
        <f>H607</f>
        <v>1108600</v>
      </c>
      <c r="K607" s="129"/>
      <c r="L607" s="129"/>
      <c r="M607" s="129"/>
      <c r="N607" s="129"/>
      <c r="O607" s="129"/>
      <c r="P607" s="30"/>
      <c r="Q607" s="75"/>
    </row>
    <row r="608" spans="1:235" ht="11.25">
      <c r="A608" s="5" t="s">
        <v>4</v>
      </c>
      <c r="B608" s="6"/>
      <c r="C608" s="6"/>
      <c r="D608" s="7"/>
      <c r="E608" s="7"/>
      <c r="F608" s="7"/>
      <c r="G608" s="7"/>
      <c r="H608" s="7"/>
      <c r="I608" s="7"/>
      <c r="J608" s="23"/>
      <c r="K608" s="23"/>
      <c r="L608" s="23"/>
      <c r="M608" s="23"/>
      <c r="N608" s="23"/>
      <c r="O608" s="23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8" t="s">
        <v>43</v>
      </c>
      <c r="B609" s="6"/>
      <c r="C609" s="6"/>
      <c r="D609" s="7"/>
      <c r="E609" s="7">
        <f>2178000+97980</f>
        <v>2275980</v>
      </c>
      <c r="F609" s="7">
        <f>D609+E609</f>
        <v>2275980</v>
      </c>
      <c r="G609" s="7"/>
      <c r="H609" s="7">
        <v>1108600</v>
      </c>
      <c r="I609" s="7"/>
      <c r="J609" s="23">
        <f>H609</f>
        <v>1108600</v>
      </c>
      <c r="K609" s="23"/>
      <c r="L609" s="23"/>
      <c r="M609" s="23"/>
      <c r="N609" s="23"/>
      <c r="O609" s="23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5" t="s">
        <v>5</v>
      </c>
      <c r="B610" s="6"/>
      <c r="C610" s="6"/>
      <c r="D610" s="7"/>
      <c r="E610" s="7"/>
      <c r="F610" s="7"/>
      <c r="G610" s="7"/>
      <c r="H610" s="7"/>
      <c r="I610" s="7"/>
      <c r="J610" s="23"/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22.5">
      <c r="A611" s="8" t="s">
        <v>348</v>
      </c>
      <c r="B611" s="6"/>
      <c r="C611" s="6"/>
      <c r="D611" s="7"/>
      <c r="E611" s="7">
        <v>63</v>
      </c>
      <c r="F611" s="7">
        <v>63</v>
      </c>
      <c r="G611" s="7"/>
      <c r="H611" s="7">
        <v>22</v>
      </c>
      <c r="I611" s="7"/>
      <c r="J611" s="23">
        <f>H611</f>
        <v>22</v>
      </c>
      <c r="K611" s="23"/>
      <c r="L611" s="23"/>
      <c r="M611" s="23"/>
      <c r="N611" s="23"/>
      <c r="O611" s="23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1.25">
      <c r="A612" s="5" t="s">
        <v>7</v>
      </c>
      <c r="B612" s="6"/>
      <c r="C612" s="6"/>
      <c r="D612" s="7"/>
      <c r="E612" s="7"/>
      <c r="F612" s="7"/>
      <c r="G612" s="7"/>
      <c r="H612" s="7"/>
      <c r="I612" s="7"/>
      <c r="J612" s="23"/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22.5">
      <c r="A613" s="8" t="s">
        <v>349</v>
      </c>
      <c r="B613" s="6"/>
      <c r="C613" s="6"/>
      <c r="D613" s="7"/>
      <c r="E613" s="7">
        <v>36300</v>
      </c>
      <c r="F613" s="7">
        <v>36300</v>
      </c>
      <c r="G613" s="7"/>
      <c r="H613" s="7">
        <v>50390.91</v>
      </c>
      <c r="I613" s="7"/>
      <c r="J613" s="23">
        <f>H613</f>
        <v>50390.91</v>
      </c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1.25">
      <c r="A614" s="8"/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331</v>
      </c>
      <c r="B615" s="6"/>
      <c r="C615" s="6"/>
      <c r="D615" s="36">
        <f>D617</f>
        <v>3000000</v>
      </c>
      <c r="E615" s="36">
        <f aca="true" t="shared" si="66" ref="E615:Q615">E617</f>
        <v>0</v>
      </c>
      <c r="F615" s="36">
        <f t="shared" si="66"/>
        <v>3000000</v>
      </c>
      <c r="G615" s="36">
        <f t="shared" si="66"/>
        <v>3000000</v>
      </c>
      <c r="H615" s="36">
        <f t="shared" si="66"/>
        <v>0</v>
      </c>
      <c r="I615" s="36">
        <f t="shared" si="66"/>
        <v>0</v>
      </c>
      <c r="J615" s="36">
        <f t="shared" si="66"/>
        <v>3000000</v>
      </c>
      <c r="K615" s="36">
        <f t="shared" si="66"/>
        <v>0</v>
      </c>
      <c r="L615" s="36">
        <f t="shared" si="66"/>
        <v>0</v>
      </c>
      <c r="M615" s="36">
        <f t="shared" si="66"/>
        <v>0</v>
      </c>
      <c r="N615" s="36">
        <f t="shared" si="66"/>
        <v>0</v>
      </c>
      <c r="O615" s="36">
        <f t="shared" si="66"/>
        <v>0</v>
      </c>
      <c r="P615" s="36">
        <f t="shared" si="66"/>
        <v>0</v>
      </c>
      <c r="Q615" s="36">
        <f t="shared" si="66"/>
        <v>0</v>
      </c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22.5">
      <c r="A616" s="8" t="s">
        <v>260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7.5" customHeight="1">
      <c r="A617" s="34" t="s">
        <v>438</v>
      </c>
      <c r="B617" s="35"/>
      <c r="C617" s="35"/>
      <c r="D617" s="45">
        <f>D619</f>
        <v>3000000</v>
      </c>
      <c r="E617" s="45"/>
      <c r="F617" s="45">
        <f>D617+E617</f>
        <v>3000000</v>
      </c>
      <c r="G617" s="36">
        <f>G622*G624</f>
        <v>3000000</v>
      </c>
      <c r="H617" s="36"/>
      <c r="I617" s="36"/>
      <c r="J617" s="36">
        <f>J619</f>
        <v>3000000</v>
      </c>
      <c r="K617" s="36"/>
      <c r="L617" s="36"/>
      <c r="M617" s="36"/>
      <c r="N617" s="36">
        <f>N619</f>
        <v>0</v>
      </c>
      <c r="O617" s="36"/>
      <c r="P617" s="36">
        <f>N617</f>
        <v>0</v>
      </c>
      <c r="Q617" s="78"/>
    </row>
    <row r="618" spans="1:235" ht="11.25">
      <c r="A618" s="5" t="s">
        <v>4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0.5" customHeight="1">
      <c r="A619" s="8" t="s">
        <v>43</v>
      </c>
      <c r="B619" s="6"/>
      <c r="C619" s="6"/>
      <c r="D619" s="84">
        <f>D622*D624</f>
        <v>3000000</v>
      </c>
      <c r="E619" s="84"/>
      <c r="F619" s="84">
        <f>D619+E619</f>
        <v>3000000</v>
      </c>
      <c r="G619" s="7">
        <f>G622*G624</f>
        <v>3000000</v>
      </c>
      <c r="H619" s="7"/>
      <c r="I619" s="7"/>
      <c r="J619" s="7">
        <f>G619+H619</f>
        <v>3000000</v>
      </c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0.75" customHeight="1">
      <c r="A621" s="8" t="s">
        <v>169</v>
      </c>
      <c r="B621" s="6"/>
      <c r="C621" s="6"/>
      <c r="D621" s="84"/>
      <c r="E621" s="84"/>
      <c r="F621" s="84">
        <f>D621+E621</f>
        <v>0</v>
      </c>
      <c r="G621" s="84"/>
      <c r="H621" s="84"/>
      <c r="I621" s="84"/>
      <c r="J621" s="84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8" t="s">
        <v>176</v>
      </c>
      <c r="B622" s="6"/>
      <c r="C622" s="6"/>
      <c r="D622" s="84">
        <v>667</v>
      </c>
      <c r="E622" s="84"/>
      <c r="F622" s="84">
        <f>D622+E622</f>
        <v>667</v>
      </c>
      <c r="G622" s="84">
        <v>667</v>
      </c>
      <c r="H622" s="84"/>
      <c r="I622" s="84"/>
      <c r="J622" s="84">
        <f>G622+H622</f>
        <v>667</v>
      </c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0.5" customHeight="1">
      <c r="A623" s="5" t="s">
        <v>7</v>
      </c>
      <c r="B623" s="6"/>
      <c r="C623" s="6"/>
      <c r="D623" s="84"/>
      <c r="E623" s="84"/>
      <c r="F623" s="84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 customHeight="1">
      <c r="A624" s="8" t="s">
        <v>177</v>
      </c>
      <c r="B624" s="6"/>
      <c r="C624" s="6"/>
      <c r="D624" s="7">
        <f>3000000/667</f>
        <v>4497.751124437781</v>
      </c>
      <c r="E624" s="7"/>
      <c r="F624" s="84">
        <f>D624+E624</f>
        <v>4497.751124437781</v>
      </c>
      <c r="G624" s="7">
        <f>3000000/667</f>
        <v>4497.751124437781</v>
      </c>
      <c r="H624" s="7"/>
      <c r="I624" s="7"/>
      <c r="J624" s="7">
        <f>G624+H624</f>
        <v>4497.751124437781</v>
      </c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126" t="s">
        <v>332</v>
      </c>
      <c r="B625" s="6"/>
      <c r="C625" s="6"/>
      <c r="D625" s="30">
        <f>D626</f>
        <v>656000</v>
      </c>
      <c r="E625" s="30">
        <f>E626</f>
        <v>0</v>
      </c>
      <c r="F625" s="30">
        <f>F626</f>
        <v>656000</v>
      </c>
      <c r="G625" s="30">
        <f>G626</f>
        <v>819000</v>
      </c>
      <c r="H625" s="30"/>
      <c r="I625" s="30">
        <f>I626</f>
        <v>0</v>
      </c>
      <c r="J625" s="30">
        <f>G625</f>
        <v>819000</v>
      </c>
      <c r="K625" s="7"/>
      <c r="L625" s="7"/>
      <c r="M625" s="7"/>
      <c r="N625" s="30">
        <f>N626</f>
        <v>725000</v>
      </c>
      <c r="O625" s="30"/>
      <c r="P625" s="30">
        <f>N625</f>
        <v>725000</v>
      </c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39" customFormat="1" ht="22.5">
      <c r="A626" s="34" t="s">
        <v>439</v>
      </c>
      <c r="B626" s="35"/>
      <c r="C626" s="35"/>
      <c r="D626" s="36">
        <f>D628</f>
        <v>656000</v>
      </c>
      <c r="E626" s="36"/>
      <c r="F626" s="7">
        <f>D626</f>
        <v>656000</v>
      </c>
      <c r="G626" s="36">
        <f>G630*G632</f>
        <v>819000</v>
      </c>
      <c r="H626" s="36"/>
      <c r="I626" s="36"/>
      <c r="J626" s="36">
        <f>G626</f>
        <v>819000</v>
      </c>
      <c r="K626" s="36"/>
      <c r="L626" s="36"/>
      <c r="M626" s="36"/>
      <c r="N626" s="36">
        <f>N630*N632</f>
        <v>725000</v>
      </c>
      <c r="O626" s="36"/>
      <c r="P626" s="30">
        <f>N626</f>
        <v>725000</v>
      </c>
      <c r="Q626" s="78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8" t="s">
        <v>49</v>
      </c>
      <c r="B628" s="6"/>
      <c r="C628" s="6"/>
      <c r="D628" s="7">
        <f>D630*D632</f>
        <v>656000</v>
      </c>
      <c r="E628" s="7"/>
      <c r="F628" s="7">
        <f>D628</f>
        <v>656000</v>
      </c>
      <c r="G628" s="7">
        <v>819000</v>
      </c>
      <c r="H628" s="7"/>
      <c r="I628" s="7"/>
      <c r="J628" s="7">
        <f>G628</f>
        <v>819000</v>
      </c>
      <c r="K628" s="7"/>
      <c r="L628" s="7"/>
      <c r="M628" s="7"/>
      <c r="N628" s="7">
        <f>N630*N632</f>
        <v>725000</v>
      </c>
      <c r="O628" s="7"/>
      <c r="P628" s="7">
        <f>N628</f>
        <v>725000</v>
      </c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7.75" customHeight="1">
      <c r="A630" s="8" t="s">
        <v>48</v>
      </c>
      <c r="B630" s="6"/>
      <c r="C630" s="6"/>
      <c r="D630" s="7">
        <v>16</v>
      </c>
      <c r="E630" s="7"/>
      <c r="F630" s="7">
        <f>D630</f>
        <v>16</v>
      </c>
      <c r="G630" s="7">
        <v>16</v>
      </c>
      <c r="H630" s="7"/>
      <c r="I630" s="7"/>
      <c r="J630" s="7">
        <f>G630</f>
        <v>16</v>
      </c>
      <c r="K630" s="7"/>
      <c r="L630" s="7"/>
      <c r="M630" s="7"/>
      <c r="N630" s="7">
        <v>16</v>
      </c>
      <c r="O630" s="7"/>
      <c r="P630" s="7">
        <f>N630</f>
        <v>16</v>
      </c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33.75">
      <c r="A632" s="8" t="s">
        <v>50</v>
      </c>
      <c r="B632" s="6"/>
      <c r="C632" s="6"/>
      <c r="D632" s="7">
        <v>41000</v>
      </c>
      <c r="E632" s="7"/>
      <c r="F632" s="7">
        <v>41000</v>
      </c>
      <c r="G632" s="7">
        <v>51187.5</v>
      </c>
      <c r="H632" s="7"/>
      <c r="I632" s="7"/>
      <c r="J632" s="7">
        <f>G632</f>
        <v>51187.5</v>
      </c>
      <c r="K632" s="7"/>
      <c r="L632" s="7"/>
      <c r="M632" s="7"/>
      <c r="N632" s="7">
        <v>45312.5</v>
      </c>
      <c r="O632" s="7"/>
      <c r="P632" s="7">
        <f>N632</f>
        <v>45312.5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37" t="s">
        <v>359</v>
      </c>
      <c r="B633" s="6"/>
      <c r="C633" s="6"/>
      <c r="D633" s="36"/>
      <c r="E633" s="36">
        <f>E635+E648</f>
        <v>94580322</v>
      </c>
      <c r="F633" s="36">
        <f>D633+E633</f>
        <v>94580322</v>
      </c>
      <c r="G633" s="36">
        <f aca="true" t="shared" si="67" ref="G633:P633">G635+G648</f>
        <v>0</v>
      </c>
      <c r="H633" s="36">
        <f t="shared" si="67"/>
        <v>92000000</v>
      </c>
      <c r="I633" s="36">
        <f t="shared" si="67"/>
        <v>0</v>
      </c>
      <c r="J633" s="36">
        <f t="shared" si="67"/>
        <v>92000000</v>
      </c>
      <c r="K633" s="36">
        <f t="shared" si="67"/>
        <v>0</v>
      </c>
      <c r="L633" s="36">
        <f t="shared" si="67"/>
        <v>0</v>
      </c>
      <c r="M633" s="36">
        <f t="shared" si="67"/>
        <v>0</v>
      </c>
      <c r="N633" s="36">
        <f t="shared" si="67"/>
        <v>0</v>
      </c>
      <c r="O633" s="36">
        <f t="shared" si="67"/>
        <v>95000000</v>
      </c>
      <c r="P633" s="36">
        <f t="shared" si="67"/>
        <v>95000000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2.5">
      <c r="A634" s="8" t="s">
        <v>201</v>
      </c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17" s="39" customFormat="1" ht="22.5">
      <c r="A635" s="34" t="s">
        <v>440</v>
      </c>
      <c r="B635" s="35"/>
      <c r="C635" s="35"/>
      <c r="D635" s="86"/>
      <c r="E635" s="86">
        <f>E637+E643+E644+E645</f>
        <v>94580322</v>
      </c>
      <c r="F635" s="86">
        <f>D635+E635</f>
        <v>94580322</v>
      </c>
      <c r="G635" s="36">
        <f>G637</f>
        <v>0</v>
      </c>
      <c r="H635" s="36">
        <f>SUM(H637)</f>
        <v>92000000</v>
      </c>
      <c r="I635" s="36"/>
      <c r="J635" s="36">
        <f>G635+H635+I635</f>
        <v>92000000</v>
      </c>
      <c r="K635" s="36"/>
      <c r="L635" s="36"/>
      <c r="M635" s="36"/>
      <c r="N635" s="36"/>
      <c r="O635" s="36">
        <f>O637</f>
        <v>95000000</v>
      </c>
      <c r="P635" s="36">
        <f>N635+O635</f>
        <v>95000000</v>
      </c>
      <c r="Q635" s="78"/>
    </row>
    <row r="636" spans="1:17" s="39" customFormat="1" ht="11.25">
      <c r="A636" s="34" t="s">
        <v>4</v>
      </c>
      <c r="B636" s="35"/>
      <c r="C636" s="35"/>
      <c r="D636" s="86"/>
      <c r="E636" s="86"/>
      <c r="F636" s="8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78"/>
    </row>
    <row r="637" spans="1:17" s="39" customFormat="1" ht="11.25">
      <c r="A637" s="40" t="s">
        <v>43</v>
      </c>
      <c r="B637" s="41"/>
      <c r="C637" s="41"/>
      <c r="D637" s="80"/>
      <c r="E637" s="80">
        <f>E639*E641+1224322-0.03+30000+1000000+37400</f>
        <v>90291722</v>
      </c>
      <c r="F637" s="80">
        <f>F639*F641+1224322-0.03+30000+1000000</f>
        <v>90254322</v>
      </c>
      <c r="G637" s="87"/>
      <c r="H637" s="87">
        <v>92000000</v>
      </c>
      <c r="I637" s="87"/>
      <c r="J637" s="87">
        <f>H637</f>
        <v>92000000</v>
      </c>
      <c r="K637" s="87"/>
      <c r="L637" s="87"/>
      <c r="M637" s="87"/>
      <c r="N637" s="87"/>
      <c r="O637" s="87">
        <v>95000000</v>
      </c>
      <c r="P637" s="87">
        <f>O637</f>
        <v>95000000</v>
      </c>
      <c r="Q637" s="78"/>
    </row>
    <row r="638" spans="1:17" s="39" customFormat="1" ht="11.25">
      <c r="A638" s="34" t="s">
        <v>5</v>
      </c>
      <c r="B638" s="35"/>
      <c r="C638" s="35"/>
      <c r="D638" s="86"/>
      <c r="E638" s="86"/>
      <c r="F638" s="8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78"/>
    </row>
    <row r="639" spans="1:17" s="39" customFormat="1" ht="11.25">
      <c r="A639" s="40" t="s">
        <v>187</v>
      </c>
      <c r="B639" s="41"/>
      <c r="C639" s="41"/>
      <c r="D639" s="80"/>
      <c r="E639" s="80">
        <v>17</v>
      </c>
      <c r="F639" s="80">
        <v>17</v>
      </c>
      <c r="G639" s="87"/>
      <c r="H639" s="87">
        <v>11</v>
      </c>
      <c r="I639" s="87"/>
      <c r="J639" s="87">
        <f>H639</f>
        <v>11</v>
      </c>
      <c r="K639" s="87">
        <f>H639</f>
        <v>11</v>
      </c>
      <c r="L639" s="87">
        <f>J639</f>
        <v>11</v>
      </c>
      <c r="M639" s="87">
        <f>K639</f>
        <v>11</v>
      </c>
      <c r="N639" s="87"/>
      <c r="O639" s="87">
        <v>8</v>
      </c>
      <c r="P639" s="87">
        <f>O639</f>
        <v>8</v>
      </c>
      <c r="Q639" s="78"/>
    </row>
    <row r="640" spans="1:17" s="39" customFormat="1" ht="11.25">
      <c r="A640" s="40" t="s">
        <v>7</v>
      </c>
      <c r="B640" s="41"/>
      <c r="C640" s="41"/>
      <c r="D640" s="80"/>
      <c r="E640" s="80"/>
      <c r="F640" s="80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78"/>
    </row>
    <row r="641" spans="1:17" s="39" customFormat="1" ht="22.5">
      <c r="A641" s="40" t="s">
        <v>259</v>
      </c>
      <c r="B641" s="41"/>
      <c r="C641" s="41"/>
      <c r="D641" s="80"/>
      <c r="E641" s="87">
        <v>5176470.59</v>
      </c>
      <c r="F641" s="87">
        <v>5176470.59</v>
      </c>
      <c r="G641" s="87"/>
      <c r="H641" s="87">
        <f>SUM(H637)/H639</f>
        <v>8363636.363636363</v>
      </c>
      <c r="I641" s="87"/>
      <c r="J641" s="87">
        <f>SUM(J637)/J639</f>
        <v>8363636.363636363</v>
      </c>
      <c r="K641" s="87"/>
      <c r="L641" s="87"/>
      <c r="M641" s="87"/>
      <c r="N641" s="87"/>
      <c r="O641" s="87">
        <f>SUM(O637)/O639</f>
        <v>11875000</v>
      </c>
      <c r="P641" s="87">
        <f>SUM(P637)/P639</f>
        <v>11875000</v>
      </c>
      <c r="Q641" s="78"/>
    </row>
    <row r="642" spans="1:17" s="52" customFormat="1" ht="11.25">
      <c r="A642" s="34" t="s">
        <v>5</v>
      </c>
      <c r="B642" s="35"/>
      <c r="C642" s="35"/>
      <c r="D642" s="86"/>
      <c r="E642" s="86"/>
      <c r="F642" s="8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75"/>
    </row>
    <row r="643" spans="1:235" ht="33.75">
      <c r="A643" s="88" t="s">
        <v>278</v>
      </c>
      <c r="B643" s="29"/>
      <c r="C643" s="29"/>
      <c r="D643" s="89"/>
      <c r="E643" s="48">
        <v>621600</v>
      </c>
      <c r="F643" s="48">
        <v>621600</v>
      </c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88" t="s">
        <v>360</v>
      </c>
      <c r="B644" s="29"/>
      <c r="C644" s="29"/>
      <c r="D644" s="89"/>
      <c r="E644" s="48">
        <v>1247000</v>
      </c>
      <c r="F644" s="48">
        <f>E644</f>
        <v>1247000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33.75">
      <c r="A645" s="88" t="s">
        <v>368</v>
      </c>
      <c r="B645" s="29"/>
      <c r="C645" s="29"/>
      <c r="D645" s="89"/>
      <c r="E645" s="48">
        <v>2420000</v>
      </c>
      <c r="F645" s="48">
        <f>E645</f>
        <v>2420000</v>
      </c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17" s="91" customFormat="1" ht="13.5" customHeight="1">
      <c r="A646" s="37" t="s">
        <v>333</v>
      </c>
      <c r="B646" s="37"/>
      <c r="C646" s="37"/>
      <c r="D646" s="81">
        <f>SUM(D648)</f>
        <v>0</v>
      </c>
      <c r="E646" s="81"/>
      <c r="F646" s="81">
        <f>SUM(F648)</f>
        <v>0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90"/>
    </row>
    <row r="647" spans="1:17" s="22" customFormat="1" ht="20.25" customHeight="1">
      <c r="A647" s="8" t="s">
        <v>335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4"/>
    </row>
    <row r="648" spans="1:17" s="95" customFormat="1" ht="16.5" customHeight="1">
      <c r="A648" s="92" t="s">
        <v>441</v>
      </c>
      <c r="B648" s="93"/>
      <c r="C648" s="93"/>
      <c r="D648" s="94">
        <f>SUM(D650)</f>
        <v>0</v>
      </c>
      <c r="E648" s="94">
        <f>SUM(E650)</f>
        <v>0</v>
      </c>
      <c r="F648" s="94">
        <f>SUM(F650)</f>
        <v>0</v>
      </c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78"/>
    </row>
    <row r="649" spans="1:235" ht="11.25">
      <c r="A649" s="34" t="s">
        <v>4</v>
      </c>
      <c r="B649" s="6"/>
      <c r="C649" s="6"/>
      <c r="D649" s="84"/>
      <c r="E649" s="84"/>
      <c r="F649" s="8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5" customHeight="1">
      <c r="A650" s="40" t="s">
        <v>43</v>
      </c>
      <c r="B650" s="6"/>
      <c r="C650" s="6"/>
      <c r="D650" s="84">
        <v>0</v>
      </c>
      <c r="E650" s="84"/>
      <c r="F650" s="84">
        <f>SUM(D650:E650)</f>
        <v>0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17" s="52" customFormat="1" ht="11.25">
      <c r="A651" s="34" t="s">
        <v>5</v>
      </c>
      <c r="B651" s="37"/>
      <c r="C651" s="37"/>
      <c r="D651" s="81"/>
      <c r="E651" s="81"/>
      <c r="F651" s="81">
        <f>SUM(D651:E651)</f>
        <v>0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75"/>
    </row>
    <row r="652" spans="1:235" ht="13.5" customHeight="1">
      <c r="A652" s="34" t="s">
        <v>336</v>
      </c>
      <c r="B652" s="6"/>
      <c r="C652" s="6"/>
      <c r="D652" s="84">
        <v>0</v>
      </c>
      <c r="E652" s="84"/>
      <c r="F652" s="84">
        <f>SUM(D652:E652)</f>
        <v>0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17" s="52" customFormat="1" ht="16.5" customHeight="1">
      <c r="A653" s="34" t="s">
        <v>7</v>
      </c>
      <c r="B653" s="37"/>
      <c r="C653" s="37"/>
      <c r="D653" s="81"/>
      <c r="E653" s="81"/>
      <c r="F653" s="81"/>
      <c r="G653" s="81"/>
      <c r="H653" s="81"/>
      <c r="I653" s="81"/>
      <c r="J653" s="30"/>
      <c r="K653" s="81"/>
      <c r="L653" s="81"/>
      <c r="M653" s="81"/>
      <c r="N653" s="81"/>
      <c r="O653" s="81"/>
      <c r="P653" s="81"/>
      <c r="Q653" s="75"/>
    </row>
    <row r="654" spans="1:235" ht="11.25">
      <c r="A654" s="34" t="s">
        <v>334</v>
      </c>
      <c r="B654" s="6"/>
      <c r="C654" s="6"/>
      <c r="D654" s="84">
        <v>0</v>
      </c>
      <c r="E654" s="84"/>
      <c r="F654" s="84">
        <f>SUM(D654:E654)</f>
        <v>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37" t="s">
        <v>258</v>
      </c>
      <c r="B655" s="6"/>
      <c r="C655" s="6"/>
      <c r="D655" s="81">
        <f>D657</f>
        <v>0</v>
      </c>
      <c r="E655" s="81">
        <f>E657</f>
        <v>-20000</v>
      </c>
      <c r="F655" s="81">
        <f>F657</f>
        <v>-20000</v>
      </c>
      <c r="G655" s="81">
        <f aca="true" t="shared" si="68" ref="G655:Q655">G657</f>
        <v>0</v>
      </c>
      <c r="H655" s="81">
        <f t="shared" si="68"/>
        <v>-2054092</v>
      </c>
      <c r="I655" s="81">
        <f t="shared" si="68"/>
        <v>0</v>
      </c>
      <c r="J655" s="81">
        <f t="shared" si="68"/>
        <v>-2054092</v>
      </c>
      <c r="K655" s="81">
        <f t="shared" si="68"/>
        <v>0</v>
      </c>
      <c r="L655" s="81">
        <f t="shared" si="68"/>
        <v>0</v>
      </c>
      <c r="M655" s="81">
        <f t="shared" si="68"/>
        <v>0</v>
      </c>
      <c r="N655" s="81">
        <f t="shared" si="68"/>
        <v>0</v>
      </c>
      <c r="O655" s="81">
        <f t="shared" si="68"/>
        <v>0</v>
      </c>
      <c r="P655" s="81">
        <f t="shared" si="68"/>
        <v>0</v>
      </c>
      <c r="Q655" s="81">
        <f t="shared" si="68"/>
        <v>0</v>
      </c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7.25" customHeight="1">
      <c r="A656" s="8" t="s">
        <v>198</v>
      </c>
      <c r="B656" s="6"/>
      <c r="C656" s="6"/>
      <c r="D656" s="84"/>
      <c r="E656" s="84"/>
      <c r="F656" s="84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17" s="52" customFormat="1" ht="22.5">
      <c r="A657" s="34" t="s">
        <v>443</v>
      </c>
      <c r="B657" s="37"/>
      <c r="C657" s="37"/>
      <c r="D657" s="81"/>
      <c r="E657" s="81">
        <f>E659</f>
        <v>-20000</v>
      </c>
      <c r="F657" s="81">
        <f>D657+E657</f>
        <v>-20000</v>
      </c>
      <c r="G657" s="30"/>
      <c r="H657" s="36">
        <f>H659</f>
        <v>-2054092</v>
      </c>
      <c r="I657" s="36"/>
      <c r="J657" s="36">
        <f>H657</f>
        <v>-2054092</v>
      </c>
      <c r="K657" s="36"/>
      <c r="L657" s="36"/>
      <c r="M657" s="36"/>
      <c r="N657" s="36"/>
      <c r="O657" s="36">
        <f>O659</f>
        <v>0</v>
      </c>
      <c r="P657" s="36">
        <f>O657</f>
        <v>0</v>
      </c>
      <c r="Q657" s="75"/>
    </row>
    <row r="658" spans="1:235" ht="11.25">
      <c r="A658" s="5" t="s">
        <v>4</v>
      </c>
      <c r="B658" s="6"/>
      <c r="C658" s="6"/>
      <c r="D658" s="84"/>
      <c r="E658" s="84"/>
      <c r="F658" s="84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22.5">
      <c r="A659" s="8" t="s">
        <v>200</v>
      </c>
      <c r="B659" s="6"/>
      <c r="C659" s="6"/>
      <c r="D659" s="49"/>
      <c r="E659" s="49">
        <f>E661*E663</f>
        <v>-20000</v>
      </c>
      <c r="F659" s="49">
        <f>F661*F663</f>
        <v>-20000</v>
      </c>
      <c r="G659" s="87"/>
      <c r="H659" s="87">
        <f>H661*H663</f>
        <v>-2054092</v>
      </c>
      <c r="I659" s="87"/>
      <c r="J659" s="87">
        <f>H659</f>
        <v>-2054092</v>
      </c>
      <c r="K659" s="87"/>
      <c r="L659" s="87"/>
      <c r="M659" s="87"/>
      <c r="N659" s="87"/>
      <c r="O659" s="87"/>
      <c r="P659" s="87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5" t="s">
        <v>5</v>
      </c>
      <c r="B660" s="6"/>
      <c r="C660" s="6"/>
      <c r="D660" s="49"/>
      <c r="E660" s="49"/>
      <c r="F660" s="49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22.5">
      <c r="A661" s="8" t="s">
        <v>199</v>
      </c>
      <c r="B661" s="6"/>
      <c r="C661" s="6"/>
      <c r="D661" s="49"/>
      <c r="E661" s="49">
        <v>1</v>
      </c>
      <c r="F661" s="49">
        <f>D661+E661</f>
        <v>1</v>
      </c>
      <c r="G661" s="87"/>
      <c r="H661" s="96">
        <v>1</v>
      </c>
      <c r="I661" s="87"/>
      <c r="J661" s="96">
        <f>H661</f>
        <v>1</v>
      </c>
      <c r="K661" s="87"/>
      <c r="L661" s="87"/>
      <c r="M661" s="87"/>
      <c r="N661" s="87"/>
      <c r="O661" s="96"/>
      <c r="P661" s="96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34" t="s">
        <v>7</v>
      </c>
      <c r="B662" s="6"/>
      <c r="C662" s="6"/>
      <c r="D662" s="49"/>
      <c r="E662" s="49"/>
      <c r="F662" s="49"/>
      <c r="G662" s="87"/>
      <c r="H662" s="96"/>
      <c r="I662" s="87"/>
      <c r="J662" s="96"/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40" t="s">
        <v>342</v>
      </c>
      <c r="B663" s="6"/>
      <c r="C663" s="6"/>
      <c r="D663" s="49"/>
      <c r="E663" s="49">
        <v>-20000</v>
      </c>
      <c r="F663" s="49">
        <f>E663</f>
        <v>-20000</v>
      </c>
      <c r="G663" s="87"/>
      <c r="H663" s="87">
        <v>-2054092</v>
      </c>
      <c r="I663" s="87"/>
      <c r="J663" s="87">
        <f>H663</f>
        <v>-2054092</v>
      </c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37" t="s">
        <v>305</v>
      </c>
      <c r="B664" s="6"/>
      <c r="C664" s="6"/>
      <c r="D664" s="49"/>
      <c r="E664" s="49"/>
      <c r="F664" s="49"/>
      <c r="G664" s="81">
        <f>G666</f>
        <v>0</v>
      </c>
      <c r="H664" s="81">
        <f>H666</f>
        <v>-740000</v>
      </c>
      <c r="I664" s="81">
        <f>I666</f>
        <v>0</v>
      </c>
      <c r="J664" s="81">
        <f>J666</f>
        <v>-740000</v>
      </c>
      <c r="K664" s="87"/>
      <c r="L664" s="87"/>
      <c r="M664" s="87"/>
      <c r="N664" s="87"/>
      <c r="O664" s="96"/>
      <c r="P664" s="96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8" t="s">
        <v>198</v>
      </c>
      <c r="B665" s="6"/>
      <c r="C665" s="6"/>
      <c r="D665" s="49"/>
      <c r="E665" s="49"/>
      <c r="F665" s="49"/>
      <c r="G665" s="7"/>
      <c r="H665" s="7"/>
      <c r="I665" s="7"/>
      <c r="J665" s="7"/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22.5">
      <c r="A666" s="34" t="s">
        <v>442</v>
      </c>
      <c r="B666" s="6"/>
      <c r="C666" s="6"/>
      <c r="D666" s="49"/>
      <c r="E666" s="49"/>
      <c r="F666" s="49"/>
      <c r="G666" s="30"/>
      <c r="H666" s="36">
        <f>H668</f>
        <v>-740000</v>
      </c>
      <c r="I666" s="36"/>
      <c r="J666" s="36">
        <f>H666</f>
        <v>-740000</v>
      </c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5" t="s">
        <v>4</v>
      </c>
      <c r="B667" s="6"/>
      <c r="C667" s="6"/>
      <c r="D667" s="49"/>
      <c r="E667" s="49"/>
      <c r="F667" s="49"/>
      <c r="G667" s="7"/>
      <c r="H667" s="7"/>
      <c r="I667" s="7"/>
      <c r="J667" s="7"/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22.5">
      <c r="A668" s="8" t="s">
        <v>200</v>
      </c>
      <c r="B668" s="6"/>
      <c r="C668" s="6"/>
      <c r="D668" s="49"/>
      <c r="E668" s="49"/>
      <c r="F668" s="49"/>
      <c r="G668" s="87"/>
      <c r="H668" s="87">
        <f>H670*H672</f>
        <v>-740000</v>
      </c>
      <c r="I668" s="87"/>
      <c r="J668" s="87">
        <f>H668</f>
        <v>-740000</v>
      </c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5" t="s">
        <v>5</v>
      </c>
      <c r="B669" s="6"/>
      <c r="C669" s="6"/>
      <c r="D669" s="49"/>
      <c r="E669" s="49"/>
      <c r="F669" s="49"/>
      <c r="G669" s="87"/>
      <c r="H669" s="87"/>
      <c r="I669" s="87"/>
      <c r="J669" s="87"/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2.5">
      <c r="A670" s="8" t="s">
        <v>199</v>
      </c>
      <c r="B670" s="6"/>
      <c r="C670" s="6"/>
      <c r="D670" s="49"/>
      <c r="E670" s="49"/>
      <c r="F670" s="49"/>
      <c r="G670" s="87"/>
      <c r="H670" s="96">
        <v>1</v>
      </c>
      <c r="I670" s="87"/>
      <c r="J670" s="96">
        <f>H670</f>
        <v>1</v>
      </c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34" t="s">
        <v>7</v>
      </c>
      <c r="B671" s="6"/>
      <c r="C671" s="6"/>
      <c r="D671" s="49"/>
      <c r="E671" s="49"/>
      <c r="F671" s="49"/>
      <c r="G671" s="87"/>
      <c r="H671" s="96"/>
      <c r="I671" s="87"/>
      <c r="J671" s="96"/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2.5">
      <c r="A672" s="40" t="s">
        <v>342</v>
      </c>
      <c r="B672" s="6"/>
      <c r="C672" s="6"/>
      <c r="D672" s="49"/>
      <c r="E672" s="49"/>
      <c r="F672" s="49"/>
      <c r="G672" s="87"/>
      <c r="H672" s="87">
        <v>-740000</v>
      </c>
      <c r="I672" s="87"/>
      <c r="J672" s="87">
        <f>H672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3.5" customHeight="1">
      <c r="A673" s="37" t="s">
        <v>265</v>
      </c>
      <c r="B673" s="6"/>
      <c r="C673" s="6"/>
      <c r="D673" s="81">
        <f>D675</f>
        <v>0</v>
      </c>
      <c r="E673" s="81">
        <f aca="true" t="shared" si="69" ref="E673:P673">E675</f>
        <v>74070200</v>
      </c>
      <c r="F673" s="81">
        <f t="shared" si="69"/>
        <v>74070200</v>
      </c>
      <c r="G673" s="81">
        <f t="shared" si="69"/>
        <v>0</v>
      </c>
      <c r="H673" s="81">
        <f t="shared" si="69"/>
        <v>0</v>
      </c>
      <c r="I673" s="81">
        <f t="shared" si="69"/>
        <v>0</v>
      </c>
      <c r="J673" s="81">
        <f t="shared" si="69"/>
        <v>0</v>
      </c>
      <c r="K673" s="81">
        <f t="shared" si="69"/>
        <v>0</v>
      </c>
      <c r="L673" s="81">
        <f t="shared" si="69"/>
        <v>0</v>
      </c>
      <c r="M673" s="81">
        <f t="shared" si="69"/>
        <v>0</v>
      </c>
      <c r="N673" s="81">
        <f t="shared" si="69"/>
        <v>0</v>
      </c>
      <c r="O673" s="81">
        <f t="shared" si="69"/>
        <v>0</v>
      </c>
      <c r="P673" s="81">
        <f t="shared" si="69"/>
        <v>0</v>
      </c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1.75" customHeight="1">
      <c r="A674" s="8" t="s">
        <v>261</v>
      </c>
      <c r="B674" s="6"/>
      <c r="C674" s="6"/>
      <c r="D674" s="84"/>
      <c r="E674" s="84"/>
      <c r="F674" s="84"/>
      <c r="G674" s="7"/>
      <c r="H674" s="7"/>
      <c r="I674" s="7"/>
      <c r="J674" s="7"/>
      <c r="K674" s="7"/>
      <c r="L674" s="7"/>
      <c r="M674" s="7"/>
      <c r="N674" s="7"/>
      <c r="O674" s="7"/>
      <c r="P674" s="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21.75" customHeight="1">
      <c r="A675" s="34" t="s">
        <v>444</v>
      </c>
      <c r="B675" s="37"/>
      <c r="C675" s="37"/>
      <c r="D675" s="81"/>
      <c r="E675" s="81">
        <f>E677</f>
        <v>74070200</v>
      </c>
      <c r="F675" s="81">
        <f>D675+E675</f>
        <v>74070200</v>
      </c>
      <c r="G675" s="30"/>
      <c r="H675" s="36">
        <f>H677</f>
        <v>0</v>
      </c>
      <c r="I675" s="36"/>
      <c r="J675" s="36">
        <f>H675</f>
        <v>0</v>
      </c>
      <c r="K675" s="36"/>
      <c r="L675" s="36"/>
      <c r="M675" s="36"/>
      <c r="N675" s="36"/>
      <c r="O675" s="36">
        <f>O677</f>
        <v>0</v>
      </c>
      <c r="P675" s="36">
        <f>O675</f>
        <v>0</v>
      </c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1.75" customHeight="1">
      <c r="A676" s="5" t="s">
        <v>4</v>
      </c>
      <c r="B676" s="6"/>
      <c r="C676" s="6"/>
      <c r="D676" s="84"/>
      <c r="E676" s="84"/>
      <c r="F676" s="84"/>
      <c r="G676" s="7"/>
      <c r="H676" s="7"/>
      <c r="I676" s="7"/>
      <c r="J676" s="7"/>
      <c r="K676" s="7"/>
      <c r="L676" s="7"/>
      <c r="M676" s="7"/>
      <c r="N676" s="7"/>
      <c r="O676" s="7"/>
      <c r="P676" s="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21.75" customHeight="1">
      <c r="A677" s="8" t="s">
        <v>264</v>
      </c>
      <c r="B677" s="6"/>
      <c r="C677" s="6"/>
      <c r="D677" s="49"/>
      <c r="E677" s="49">
        <v>74070200</v>
      </c>
      <c r="F677" s="49">
        <f>D677+E677</f>
        <v>74070200</v>
      </c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5" t="s">
        <v>5</v>
      </c>
      <c r="B678" s="6"/>
      <c r="C678" s="6"/>
      <c r="D678" s="49"/>
      <c r="E678" s="49"/>
      <c r="F678" s="49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8" t="s">
        <v>262</v>
      </c>
      <c r="B679" s="6"/>
      <c r="C679" s="6"/>
      <c r="D679" s="49"/>
      <c r="E679" s="49">
        <v>1</v>
      </c>
      <c r="F679" s="49">
        <f>D679+E679</f>
        <v>1</v>
      </c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5" t="s">
        <v>7</v>
      </c>
      <c r="B680" s="6"/>
      <c r="C680" s="6"/>
      <c r="D680" s="49"/>
      <c r="E680" s="49"/>
      <c r="F680" s="49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8" t="s">
        <v>263</v>
      </c>
      <c r="B681" s="127"/>
      <c r="C681" s="127"/>
      <c r="D681" s="36"/>
      <c r="E681" s="87">
        <f>E677/E679</f>
        <v>74070200</v>
      </c>
      <c r="F681" s="49">
        <f>D681+E681</f>
        <v>74070200</v>
      </c>
      <c r="G681" s="128"/>
      <c r="H681" s="128"/>
      <c r="I681" s="128"/>
      <c r="J681" s="30"/>
      <c r="K681" s="30"/>
      <c r="L681" s="30"/>
      <c r="M681" s="30"/>
      <c r="N681" s="30"/>
      <c r="O681" s="30"/>
      <c r="P681" s="30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 customHeight="1">
      <c r="A682" s="97"/>
      <c r="B682" s="98"/>
      <c r="C682" s="98"/>
      <c r="D682" s="99"/>
      <c r="E682" s="4"/>
      <c r="F682" s="4"/>
      <c r="G682" s="4"/>
      <c r="H682" s="4"/>
      <c r="I682" s="4"/>
      <c r="J682" s="100"/>
      <c r="K682" s="100"/>
      <c r="L682" s="100"/>
      <c r="M682" s="100"/>
      <c r="N682" s="100"/>
      <c r="O682" s="100"/>
      <c r="P682" s="100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0.5" customHeight="1">
      <c r="A683" s="97"/>
      <c r="B683" s="98"/>
      <c r="C683" s="98"/>
      <c r="D683" s="99"/>
      <c r="E683" s="4"/>
      <c r="F683" s="4"/>
      <c r="G683" s="4"/>
      <c r="H683" s="4"/>
      <c r="I683" s="4"/>
      <c r="J683" s="100"/>
      <c r="K683" s="100"/>
      <c r="L683" s="100"/>
      <c r="M683" s="100"/>
      <c r="N683" s="100"/>
      <c r="O683" s="100"/>
      <c r="P683" s="100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9.75" customHeight="1">
      <c r="A684" s="98"/>
      <c r="B684" s="98"/>
      <c r="C684" s="98"/>
      <c r="D684" s="99"/>
      <c r="E684" s="2"/>
      <c r="F684" s="2"/>
      <c r="G684" s="2"/>
      <c r="H684" s="2"/>
      <c r="I684" s="2"/>
      <c r="J684" s="100"/>
      <c r="K684" s="100"/>
      <c r="L684" s="100"/>
      <c r="M684" s="100"/>
      <c r="N684" s="100"/>
      <c r="O684" s="100"/>
      <c r="P684" s="100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6.75" customHeight="1">
      <c r="A685" s="98"/>
      <c r="B685" s="98"/>
      <c r="C685" s="98"/>
      <c r="D685" s="99"/>
      <c r="E685" s="2"/>
      <c r="F685" s="2"/>
      <c r="G685" s="2"/>
      <c r="H685" s="2"/>
      <c r="I685" s="2"/>
      <c r="J685" s="100"/>
      <c r="K685" s="100"/>
      <c r="L685" s="100"/>
      <c r="M685" s="100"/>
      <c r="N685" s="100"/>
      <c r="O685" s="100"/>
      <c r="P685" s="10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20.25" customHeight="1">
      <c r="A686" s="166" t="s">
        <v>453</v>
      </c>
      <c r="B686" s="166"/>
      <c r="C686" s="166"/>
      <c r="D686" s="166"/>
      <c r="E686" s="102"/>
      <c r="F686" s="103"/>
      <c r="G686" s="104"/>
      <c r="H686" s="104"/>
      <c r="I686" s="104"/>
      <c r="J686" s="105"/>
      <c r="K686" s="105"/>
      <c r="L686" s="105"/>
      <c r="M686" s="105"/>
      <c r="N686" s="104"/>
      <c r="O686" s="177" t="s">
        <v>454</v>
      </c>
      <c r="P686" s="177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8.25" customHeight="1">
      <c r="A687" s="101"/>
      <c r="B687" s="101"/>
      <c r="C687" s="101"/>
      <c r="D687" s="102"/>
      <c r="E687" s="102"/>
      <c r="F687" s="103"/>
      <c r="G687" s="104"/>
      <c r="H687" s="104"/>
      <c r="I687" s="104"/>
      <c r="J687" s="105"/>
      <c r="K687" s="105"/>
      <c r="L687" s="105"/>
      <c r="M687" s="105"/>
      <c r="N687" s="104"/>
      <c r="O687" s="106"/>
      <c r="P687" s="106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6.75" customHeight="1">
      <c r="A688" s="101"/>
      <c r="B688" s="101"/>
      <c r="C688" s="101"/>
      <c r="D688" s="102"/>
      <c r="E688" s="102"/>
      <c r="F688" s="103"/>
      <c r="G688" s="104"/>
      <c r="H688" s="104"/>
      <c r="I688" s="104"/>
      <c r="J688" s="105"/>
      <c r="K688" s="105"/>
      <c r="L688" s="105"/>
      <c r="M688" s="105"/>
      <c r="N688" s="104"/>
      <c r="O688" s="106"/>
      <c r="P688" s="106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8.75" customHeight="1">
      <c r="A689" s="165" t="s">
        <v>452</v>
      </c>
      <c r="B689" s="165"/>
      <c r="C689" s="107"/>
      <c r="D689" s="108"/>
      <c r="E689" s="102"/>
      <c r="F689" s="104"/>
      <c r="G689" s="102"/>
      <c r="H689" s="102"/>
      <c r="I689" s="102"/>
      <c r="J689" s="109"/>
      <c r="K689" s="109"/>
      <c r="L689" s="109"/>
      <c r="M689" s="109"/>
      <c r="N689" s="109"/>
      <c r="O689" s="109"/>
      <c r="P689" s="109"/>
      <c r="Q689" s="11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 customHeight="1">
      <c r="A690" s="28" t="s">
        <v>150</v>
      </c>
      <c r="B690" s="28"/>
      <c r="C690" s="11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8.5" customHeight="1">
      <c r="A691" s="112"/>
      <c r="B691" s="113"/>
      <c r="C691" s="114"/>
      <c r="D691" s="115"/>
      <c r="E691" s="115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</sheetData>
  <sheetProtection/>
  <mergeCells count="20">
    <mergeCell ref="A686:D686"/>
    <mergeCell ref="J8:P8"/>
    <mergeCell ref="F13:G13"/>
    <mergeCell ref="J2:L2"/>
    <mergeCell ref="A12:P12"/>
    <mergeCell ref="O686:P686"/>
    <mergeCell ref="N14:P14"/>
    <mergeCell ref="N15:O15"/>
    <mergeCell ref="P15:P16"/>
    <mergeCell ref="J15:J16"/>
    <mergeCell ref="K15:M15"/>
    <mergeCell ref="A14:A16"/>
    <mergeCell ref="B14:B16"/>
    <mergeCell ref="C14:C16"/>
    <mergeCell ref="D15:E15"/>
    <mergeCell ref="G14:J14"/>
    <mergeCell ref="A689:B689"/>
    <mergeCell ref="F15:F16"/>
    <mergeCell ref="D14:F14"/>
    <mergeCell ref="G15:I15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landscape" paperSize="9" scale="73" r:id="rId1"/>
  <rowBreaks count="1" manualBreakCount="1">
    <brk id="6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2019-04-22T15:24:32Z</cp:lastPrinted>
  <dcterms:created xsi:type="dcterms:W3CDTF">2014-04-22T08:24:49Z</dcterms:created>
  <dcterms:modified xsi:type="dcterms:W3CDTF">2019-04-22T15:24:35Z</dcterms:modified>
  <cp:category/>
  <cp:version/>
  <cp:contentType/>
  <cp:contentStatus/>
</cp:coreProperties>
</file>