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февраль\БЮДЖЕТ\проект\СМР\"/>
    </mc:Choice>
  </mc:AlternateContent>
  <bookViews>
    <workbookView xWindow="0" yWindow="0" windowWidth="19200" windowHeight="11460" tabRatio="462" activeTab="1"/>
  </bookViews>
  <sheets>
    <sheet name="дод 2" sheetId="1" r:id="rId1"/>
    <sheet name="дод 3" sheetId="3" r:id="rId2"/>
  </sheets>
  <definedNames>
    <definedName name="_xlnm.Print_Titles" localSheetId="0">'дод 2'!$9:$11</definedName>
    <definedName name="_xlnm.Print_Titles" localSheetId="1">'дод 3'!$10:$12</definedName>
    <definedName name="_xlnm.Print_Area" localSheetId="0">'дод 2'!$A$1:$P$286</definedName>
    <definedName name="_xlnm.Print_Area" localSheetId="1">'дод 3'!$A$1:$O$219</definedName>
  </definedNames>
  <calcPr calcId="162913"/>
</workbook>
</file>

<file path=xl/calcChain.xml><?xml version="1.0" encoding="utf-8"?>
<calcChain xmlns="http://schemas.openxmlformats.org/spreadsheetml/2006/main">
  <c r="E272" i="1" l="1"/>
  <c r="F44" i="1"/>
  <c r="O226" i="1" l="1"/>
  <c r="K226" i="1"/>
  <c r="F42" i="1" l="1"/>
  <c r="O201" i="1" l="1"/>
  <c r="K201" i="1"/>
  <c r="F201" i="1"/>
  <c r="K232" i="1"/>
  <c r="O232" i="1"/>
  <c r="O231" i="1"/>
  <c r="K231" i="1"/>
  <c r="F186" i="1"/>
  <c r="F168" i="1"/>
  <c r="F155" i="1"/>
  <c r="F15" i="1"/>
  <c r="I200" i="1"/>
  <c r="O167" i="1"/>
  <c r="K167" i="1"/>
  <c r="F99" i="1"/>
  <c r="F55" i="1"/>
  <c r="F62" i="1"/>
  <c r="O36" i="1"/>
  <c r="K36" i="1"/>
  <c r="F36" i="1"/>
  <c r="E36" i="1" s="1"/>
  <c r="O234" i="1"/>
  <c r="K234" i="1"/>
  <c r="O208" i="1"/>
  <c r="K208" i="1"/>
  <c r="F14" i="1"/>
  <c r="O214" i="1"/>
  <c r="L214" i="1"/>
  <c r="C44" i="1" l="1"/>
  <c r="O99" i="1" l="1"/>
  <c r="K99" i="1"/>
  <c r="I196" i="1"/>
  <c r="F196" i="1"/>
  <c r="O103" i="1" l="1"/>
  <c r="K103" i="1"/>
  <c r="O74" i="1"/>
  <c r="K74" i="1"/>
  <c r="F271" i="1" l="1"/>
  <c r="F82" i="1" l="1"/>
  <c r="G56" i="1"/>
  <c r="F56" i="1"/>
  <c r="E66" i="1" l="1"/>
  <c r="F52" i="1"/>
  <c r="G52" i="1"/>
  <c r="H52" i="1"/>
  <c r="I52" i="1"/>
  <c r="K52" i="1"/>
  <c r="L52" i="1"/>
  <c r="M52" i="1"/>
  <c r="N52" i="1"/>
  <c r="O52" i="1"/>
  <c r="O55" i="1"/>
  <c r="K55" i="1"/>
  <c r="G55" i="1"/>
  <c r="G65" i="1"/>
  <c r="F65" i="1"/>
  <c r="F81" i="1"/>
  <c r="F121" i="1" l="1"/>
  <c r="F226" i="1"/>
  <c r="F268" i="1" l="1"/>
  <c r="F273" i="1"/>
  <c r="E273" i="1" s="1"/>
  <c r="E184" i="3"/>
  <c r="E183" i="3" s="1"/>
  <c r="F184" i="3"/>
  <c r="F183" i="3" s="1"/>
  <c r="G184" i="3"/>
  <c r="G183" i="3" s="1"/>
  <c r="H184" i="3"/>
  <c r="H183" i="3" s="1"/>
  <c r="I184" i="3"/>
  <c r="I183" i="3" s="1"/>
  <c r="J184" i="3"/>
  <c r="J183" i="3" s="1"/>
  <c r="K184" i="3"/>
  <c r="K183" i="3" s="1"/>
  <c r="L184" i="3"/>
  <c r="L183" i="3" s="1"/>
  <c r="M184" i="3"/>
  <c r="M183" i="3" s="1"/>
  <c r="N184" i="3"/>
  <c r="N183" i="3" s="1"/>
  <c r="G78" i="1"/>
  <c r="H78" i="1"/>
  <c r="I78" i="1"/>
  <c r="K78" i="1"/>
  <c r="L78" i="1"/>
  <c r="M78" i="1"/>
  <c r="N78" i="1"/>
  <c r="O78" i="1"/>
  <c r="J104" i="1"/>
  <c r="E104" i="1"/>
  <c r="P104" i="1" s="1"/>
  <c r="O184" i="3" s="1"/>
  <c r="O183" i="3" s="1"/>
  <c r="C104" i="1"/>
  <c r="D104" i="1"/>
  <c r="B104" i="1"/>
  <c r="D184" i="3" l="1"/>
  <c r="D183" i="3" s="1"/>
  <c r="O233" i="1"/>
  <c r="K233" i="1"/>
  <c r="K206" i="1"/>
  <c r="O206" i="1"/>
  <c r="O242" i="1" l="1"/>
  <c r="K39" i="1"/>
  <c r="K242" i="1" l="1"/>
  <c r="F87" i="1"/>
  <c r="F83" i="1"/>
  <c r="O54" i="1"/>
  <c r="K54" i="1"/>
  <c r="F78" i="1" l="1"/>
  <c r="F21" i="1"/>
  <c r="O39" i="1" l="1"/>
  <c r="O267" i="1" l="1"/>
  <c r="K267" i="1"/>
  <c r="F45" i="1" l="1"/>
  <c r="F257" i="1" l="1"/>
  <c r="K110" i="1" l="1"/>
  <c r="O110" i="1"/>
  <c r="K175" i="1"/>
  <c r="O175" i="1"/>
  <c r="F202" i="1"/>
  <c r="G191" i="1"/>
  <c r="H191" i="1"/>
  <c r="I191" i="1"/>
  <c r="L191" i="1"/>
  <c r="M191" i="1"/>
  <c r="N191" i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46" i="1"/>
  <c r="F14" i="3" l="1"/>
  <c r="G14" i="3"/>
  <c r="H14" i="3"/>
  <c r="J14" i="3"/>
  <c r="K14" i="3"/>
  <c r="L14" i="3"/>
  <c r="M14" i="3"/>
  <c r="F246" i="1"/>
  <c r="E14" i="3" s="1"/>
  <c r="F40" i="1" l="1"/>
  <c r="O183" i="1"/>
  <c r="N26" i="3" s="1"/>
  <c r="F18" i="1" l="1"/>
  <c r="F194" i="1" l="1"/>
  <c r="F191" i="1" s="1"/>
  <c r="O202" i="1" l="1"/>
  <c r="K202" i="1"/>
  <c r="K191" i="1" s="1"/>
  <c r="E175" i="1"/>
  <c r="K13" i="1" l="1"/>
  <c r="C269" i="1"/>
  <c r="D269" i="1"/>
  <c r="B269" i="1"/>
  <c r="C258" i="1"/>
  <c r="D258" i="1"/>
  <c r="B258" i="1"/>
  <c r="C249" i="1"/>
  <c r="D249" i="1"/>
  <c r="B249" i="1"/>
  <c r="C213" i="1"/>
  <c r="D213" i="1"/>
  <c r="B213" i="1"/>
  <c r="F265" i="1"/>
  <c r="G265" i="1"/>
  <c r="H265" i="1"/>
  <c r="I265" i="1"/>
  <c r="K265" i="1"/>
  <c r="L265" i="1"/>
  <c r="M265" i="1"/>
  <c r="N265" i="1"/>
  <c r="O265" i="1"/>
  <c r="F266" i="1"/>
  <c r="G266" i="1"/>
  <c r="H266" i="1"/>
  <c r="I266" i="1"/>
  <c r="K266" i="1"/>
  <c r="L266" i="1"/>
  <c r="M266" i="1"/>
  <c r="N266" i="1"/>
  <c r="O266" i="1"/>
  <c r="F255" i="1"/>
  <c r="G255" i="1"/>
  <c r="H255" i="1"/>
  <c r="I255" i="1"/>
  <c r="K255" i="1"/>
  <c r="L255" i="1"/>
  <c r="M255" i="1"/>
  <c r="N255" i="1"/>
  <c r="O255" i="1"/>
  <c r="F245" i="1"/>
  <c r="G245" i="1"/>
  <c r="H245" i="1"/>
  <c r="I245" i="1"/>
  <c r="K245" i="1"/>
  <c r="L245" i="1"/>
  <c r="M245" i="1"/>
  <c r="N245" i="1"/>
  <c r="O245" i="1"/>
  <c r="F223" i="1"/>
  <c r="G223" i="1"/>
  <c r="H223" i="1"/>
  <c r="I223" i="1"/>
  <c r="K223" i="1"/>
  <c r="L223" i="1"/>
  <c r="M223" i="1"/>
  <c r="N223" i="1"/>
  <c r="F224" i="1"/>
  <c r="G224" i="1"/>
  <c r="H224" i="1"/>
  <c r="I224" i="1"/>
  <c r="K224" i="1"/>
  <c r="L224" i="1"/>
  <c r="M224" i="1"/>
  <c r="N224" i="1"/>
  <c r="F192" i="1"/>
  <c r="G192" i="1"/>
  <c r="H192" i="1"/>
  <c r="I192" i="1"/>
  <c r="K192" i="1"/>
  <c r="L192" i="1"/>
  <c r="M192" i="1"/>
  <c r="N192" i="1"/>
  <c r="O192" i="1"/>
  <c r="F180" i="1"/>
  <c r="G180" i="1"/>
  <c r="H180" i="1"/>
  <c r="I180" i="1"/>
  <c r="K180" i="1"/>
  <c r="L180" i="1"/>
  <c r="M180" i="1"/>
  <c r="N180" i="1"/>
  <c r="F181" i="1"/>
  <c r="G181" i="1"/>
  <c r="H181" i="1"/>
  <c r="I181" i="1"/>
  <c r="K181" i="1"/>
  <c r="L181" i="1"/>
  <c r="M181" i="1"/>
  <c r="N181" i="1"/>
  <c r="O181" i="1"/>
  <c r="F173" i="1"/>
  <c r="G173" i="1"/>
  <c r="H173" i="1"/>
  <c r="I173" i="1"/>
  <c r="K173" i="1"/>
  <c r="L173" i="1"/>
  <c r="M173" i="1"/>
  <c r="N173" i="1"/>
  <c r="F174" i="1"/>
  <c r="G174" i="1"/>
  <c r="H174" i="1"/>
  <c r="I174" i="1"/>
  <c r="K174" i="1"/>
  <c r="L174" i="1"/>
  <c r="M174" i="1"/>
  <c r="N174" i="1"/>
  <c r="O174" i="1"/>
  <c r="F108" i="1"/>
  <c r="G108" i="1"/>
  <c r="H108" i="1"/>
  <c r="I108" i="1"/>
  <c r="K108" i="1"/>
  <c r="L108" i="1"/>
  <c r="M108" i="1"/>
  <c r="N108" i="1"/>
  <c r="F109" i="1"/>
  <c r="G109" i="1"/>
  <c r="H109" i="1"/>
  <c r="I109" i="1"/>
  <c r="K109" i="1"/>
  <c r="L109" i="1"/>
  <c r="M109" i="1"/>
  <c r="N109" i="1"/>
  <c r="O109" i="1"/>
  <c r="F79" i="1"/>
  <c r="G79" i="1"/>
  <c r="H79" i="1"/>
  <c r="I79" i="1"/>
  <c r="K79" i="1"/>
  <c r="L79" i="1"/>
  <c r="M79" i="1"/>
  <c r="N79" i="1"/>
  <c r="O79" i="1"/>
  <c r="H51" i="1"/>
  <c r="I51" i="1"/>
  <c r="K51" i="1"/>
  <c r="L51" i="1"/>
  <c r="M51" i="1"/>
  <c r="N51" i="1"/>
  <c r="F13" i="1"/>
  <c r="G13" i="1"/>
  <c r="H13" i="1"/>
  <c r="I13" i="1"/>
  <c r="L13" i="1"/>
  <c r="M13" i="1"/>
  <c r="N13" i="1"/>
  <c r="F51" i="1" l="1"/>
  <c r="G51" i="1"/>
  <c r="E179" i="3" l="1"/>
  <c r="F179" i="3"/>
  <c r="G179" i="3"/>
  <c r="H179" i="3"/>
  <c r="J179" i="3"/>
  <c r="K179" i="3"/>
  <c r="L179" i="3"/>
  <c r="M179" i="3"/>
  <c r="N179" i="3"/>
  <c r="J213" i="1"/>
  <c r="E213" i="1"/>
  <c r="E182" i="3"/>
  <c r="F182" i="3"/>
  <c r="G182" i="3"/>
  <c r="H182" i="3"/>
  <c r="J182" i="3"/>
  <c r="K182" i="3"/>
  <c r="L182" i="3"/>
  <c r="M182" i="3"/>
  <c r="N182" i="3"/>
  <c r="J269" i="1"/>
  <c r="E269" i="1"/>
  <c r="P269" i="1" l="1"/>
  <c r="P213" i="1"/>
  <c r="J15" i="3"/>
  <c r="J18" i="3"/>
  <c r="J19" i="3"/>
  <c r="J20" i="3"/>
  <c r="J21" i="3"/>
  <c r="J22" i="3"/>
  <c r="J23" i="3"/>
  <c r="J24" i="3"/>
  <c r="J25" i="3"/>
  <c r="J29" i="3"/>
  <c r="J30" i="3"/>
  <c r="J31" i="3"/>
  <c r="J32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20" i="3"/>
  <c r="J121" i="3"/>
  <c r="J122" i="3"/>
  <c r="J123" i="3"/>
  <c r="J125" i="3"/>
  <c r="J126" i="3"/>
  <c r="J127" i="3"/>
  <c r="J128" i="3"/>
  <c r="J129" i="3"/>
  <c r="J130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9" i="3"/>
  <c r="J148" i="3" s="1"/>
  <c r="J152" i="3"/>
  <c r="J153" i="3"/>
  <c r="J154" i="3"/>
  <c r="J155" i="3"/>
  <c r="J156" i="3"/>
  <c r="J157" i="3"/>
  <c r="J158" i="3"/>
  <c r="J159" i="3"/>
  <c r="J160" i="3"/>
  <c r="J161" i="3"/>
  <c r="J151" i="3" s="1"/>
  <c r="J162" i="3"/>
  <c r="J165" i="3"/>
  <c r="J166" i="3"/>
  <c r="J167" i="3"/>
  <c r="J168" i="3"/>
  <c r="J169" i="3"/>
  <c r="J170" i="3"/>
  <c r="J171" i="3"/>
  <c r="J164" i="3" s="1"/>
  <c r="J173" i="3"/>
  <c r="J172" i="3" s="1"/>
  <c r="J175" i="3"/>
  <c r="J176" i="3"/>
  <c r="J177" i="3"/>
  <c r="J178" i="3"/>
  <c r="J180" i="3"/>
  <c r="J181" i="3"/>
  <c r="J187" i="3"/>
  <c r="J188" i="3"/>
  <c r="J190" i="3"/>
  <c r="J189" i="3" s="1"/>
  <c r="J192" i="3"/>
  <c r="J193" i="3"/>
  <c r="J195" i="3"/>
  <c r="J194" i="3" s="1"/>
  <c r="J196" i="3"/>
  <c r="J197" i="3"/>
  <c r="J201" i="3"/>
  <c r="J200" i="3" s="1"/>
  <c r="J204" i="3"/>
  <c r="J202" i="3" s="1"/>
  <c r="J205" i="3"/>
  <c r="J203" i="3" s="1"/>
  <c r="J199" i="3" s="1"/>
  <c r="J207" i="3"/>
  <c r="J206" i="3" s="1"/>
  <c r="J209" i="3"/>
  <c r="J208" i="3" s="1"/>
  <c r="K264" i="1"/>
  <c r="K254" i="1"/>
  <c r="K252" i="1"/>
  <c r="K251" i="1" s="1"/>
  <c r="K244" i="1"/>
  <c r="K219" i="1"/>
  <c r="K218" i="1" s="1"/>
  <c r="K179" i="1"/>
  <c r="K172" i="1"/>
  <c r="K77" i="1"/>
  <c r="J132" i="3" l="1"/>
  <c r="K107" i="1"/>
  <c r="K190" i="1"/>
  <c r="J174" i="3"/>
  <c r="J163" i="3"/>
  <c r="J131" i="3"/>
  <c r="J124" i="3"/>
  <c r="J119" i="3"/>
  <c r="J55" i="3"/>
  <c r="J33" i="3"/>
  <c r="K50" i="1"/>
  <c r="K222" i="1"/>
  <c r="J150" i="3"/>
  <c r="J56" i="3"/>
  <c r="J34" i="3"/>
  <c r="J17" i="3"/>
  <c r="J16" i="3"/>
  <c r="J186" i="3"/>
  <c r="J191" i="3"/>
  <c r="K12" i="1"/>
  <c r="J13" i="3"/>
  <c r="J198" i="3"/>
  <c r="K277" i="1" l="1"/>
  <c r="K278" i="1"/>
  <c r="J185" i="3"/>
  <c r="J147" i="3"/>
  <c r="J210" i="3" l="1"/>
  <c r="J211" i="3"/>
  <c r="J213" i="3"/>
  <c r="E162" i="3"/>
  <c r="F162" i="3"/>
  <c r="G162" i="3"/>
  <c r="H162" i="3"/>
  <c r="K162" i="3"/>
  <c r="L162" i="3"/>
  <c r="M162" i="3"/>
  <c r="N162" i="3"/>
  <c r="J258" i="1"/>
  <c r="E258" i="1"/>
  <c r="O253" i="1"/>
  <c r="O220" i="1"/>
  <c r="O217" i="1"/>
  <c r="O193" i="1"/>
  <c r="O184" i="1"/>
  <c r="O173" i="1"/>
  <c r="O150" i="1"/>
  <c r="O71" i="1"/>
  <c r="O65" i="1"/>
  <c r="O59" i="1"/>
  <c r="O28" i="1"/>
  <c r="O24" i="1"/>
  <c r="J214" i="3" l="1"/>
  <c r="K288" i="1"/>
  <c r="K289" i="1"/>
  <c r="K287" i="1"/>
  <c r="K290" i="1"/>
  <c r="O191" i="1"/>
  <c r="N14" i="3"/>
  <c r="O51" i="1"/>
  <c r="P258" i="1"/>
  <c r="O180" i="1"/>
  <c r="O108" i="1"/>
  <c r="J249" i="1"/>
  <c r="I162" i="3" s="1"/>
  <c r="E249" i="1"/>
  <c r="P249" i="1" l="1"/>
  <c r="O162" i="3" s="1"/>
  <c r="D162" i="3"/>
  <c r="E157" i="3" l="1"/>
  <c r="F157" i="3"/>
  <c r="G157" i="3"/>
  <c r="H157" i="3"/>
  <c r="K157" i="3"/>
  <c r="L157" i="3"/>
  <c r="M157" i="3"/>
  <c r="E156" i="3"/>
  <c r="F156" i="3"/>
  <c r="G156" i="3"/>
  <c r="H156" i="3"/>
  <c r="K156" i="3"/>
  <c r="L156" i="3"/>
  <c r="M156" i="3"/>
  <c r="E152" i="3"/>
  <c r="F152" i="3"/>
  <c r="G152" i="3"/>
  <c r="H152" i="3"/>
  <c r="K152" i="3"/>
  <c r="L152" i="3"/>
  <c r="M152" i="3"/>
  <c r="E160" i="3"/>
  <c r="F160" i="3"/>
  <c r="G160" i="3"/>
  <c r="H160" i="3"/>
  <c r="K160" i="3"/>
  <c r="L160" i="3"/>
  <c r="M160" i="3"/>
  <c r="E161" i="3"/>
  <c r="E151" i="3" s="1"/>
  <c r="F161" i="3"/>
  <c r="F151" i="3" s="1"/>
  <c r="G161" i="3"/>
  <c r="G151" i="3" s="1"/>
  <c r="H161" i="3"/>
  <c r="H151" i="3" s="1"/>
  <c r="K161" i="3"/>
  <c r="K151" i="3" s="1"/>
  <c r="L161" i="3"/>
  <c r="L151" i="3" s="1"/>
  <c r="M161" i="3"/>
  <c r="M151" i="3" s="1"/>
  <c r="E159" i="3"/>
  <c r="F159" i="3"/>
  <c r="G159" i="3"/>
  <c r="H159" i="3"/>
  <c r="K159" i="3"/>
  <c r="L159" i="3"/>
  <c r="M159" i="3"/>
  <c r="N159" i="3"/>
  <c r="E181" i="3"/>
  <c r="F181" i="3"/>
  <c r="G181" i="3"/>
  <c r="H181" i="3"/>
  <c r="L181" i="3"/>
  <c r="M181" i="3"/>
  <c r="E153" i="3"/>
  <c r="F153" i="3"/>
  <c r="G153" i="3"/>
  <c r="H153" i="3"/>
  <c r="K153" i="3"/>
  <c r="L153" i="3"/>
  <c r="M153" i="3"/>
  <c r="E154" i="3"/>
  <c r="F154" i="3"/>
  <c r="G154" i="3"/>
  <c r="H154" i="3"/>
  <c r="K154" i="3"/>
  <c r="L154" i="3"/>
  <c r="M154" i="3"/>
  <c r="E155" i="3"/>
  <c r="F155" i="3"/>
  <c r="G155" i="3"/>
  <c r="H155" i="3"/>
  <c r="K155" i="3"/>
  <c r="L155" i="3"/>
  <c r="M155" i="3"/>
  <c r="E168" i="3"/>
  <c r="F168" i="3"/>
  <c r="G168" i="3"/>
  <c r="H168" i="3"/>
  <c r="K168" i="3"/>
  <c r="L168" i="3"/>
  <c r="M168" i="3"/>
  <c r="N168" i="3"/>
  <c r="E170" i="3"/>
  <c r="F170" i="3"/>
  <c r="G170" i="3"/>
  <c r="H170" i="3"/>
  <c r="L170" i="3"/>
  <c r="M170" i="3"/>
  <c r="E171" i="3"/>
  <c r="E164" i="3" s="1"/>
  <c r="F171" i="3"/>
  <c r="F164" i="3" s="1"/>
  <c r="G171" i="3"/>
  <c r="G164" i="3" s="1"/>
  <c r="H171" i="3"/>
  <c r="H164" i="3" s="1"/>
  <c r="L171" i="3"/>
  <c r="L164" i="3" s="1"/>
  <c r="M171" i="3"/>
  <c r="M164" i="3" s="1"/>
  <c r="E158" i="3"/>
  <c r="F158" i="3"/>
  <c r="G158" i="3"/>
  <c r="H158" i="3"/>
  <c r="K158" i="3"/>
  <c r="L158" i="3"/>
  <c r="M158" i="3"/>
  <c r="N158" i="3"/>
  <c r="E178" i="3"/>
  <c r="F178" i="3"/>
  <c r="G178" i="3"/>
  <c r="H178" i="3"/>
  <c r="K178" i="3"/>
  <c r="L178" i="3"/>
  <c r="M178" i="3"/>
  <c r="N178" i="3"/>
  <c r="E177" i="3"/>
  <c r="F177" i="3"/>
  <c r="G177" i="3"/>
  <c r="H177" i="3"/>
  <c r="K177" i="3"/>
  <c r="L177" i="3"/>
  <c r="M177" i="3"/>
  <c r="F175" i="3"/>
  <c r="G175" i="3"/>
  <c r="K175" i="3"/>
  <c r="L175" i="3"/>
  <c r="M175" i="3"/>
  <c r="N175" i="3"/>
  <c r="F149" i="3"/>
  <c r="F148" i="3" s="1"/>
  <c r="G149" i="3"/>
  <c r="G148" i="3" s="1"/>
  <c r="K149" i="3"/>
  <c r="K148" i="3" s="1"/>
  <c r="L149" i="3"/>
  <c r="L148" i="3" s="1"/>
  <c r="M149" i="3"/>
  <c r="M148" i="3" s="1"/>
  <c r="N149" i="3"/>
  <c r="N148" i="3" s="1"/>
  <c r="F176" i="3"/>
  <c r="G176" i="3"/>
  <c r="H176" i="3"/>
  <c r="K176" i="3"/>
  <c r="L176" i="3"/>
  <c r="M176" i="3"/>
  <c r="F180" i="3"/>
  <c r="G180" i="3"/>
  <c r="H180" i="3"/>
  <c r="K180" i="3"/>
  <c r="L180" i="3"/>
  <c r="M180" i="3"/>
  <c r="N180" i="3"/>
  <c r="F173" i="3"/>
  <c r="F172" i="3" s="1"/>
  <c r="G173" i="3"/>
  <c r="G172" i="3" s="1"/>
  <c r="H173" i="3"/>
  <c r="H172" i="3" s="1"/>
  <c r="K173" i="3"/>
  <c r="K172" i="3" s="1"/>
  <c r="L173" i="3"/>
  <c r="L172" i="3" s="1"/>
  <c r="M173" i="3"/>
  <c r="M172" i="3" s="1"/>
  <c r="F169" i="3"/>
  <c r="G169" i="3"/>
  <c r="H169" i="3"/>
  <c r="K169" i="3"/>
  <c r="L169" i="3"/>
  <c r="M169" i="3"/>
  <c r="N169" i="3"/>
  <c r="E166" i="3"/>
  <c r="F166" i="3"/>
  <c r="G166" i="3"/>
  <c r="K166" i="3"/>
  <c r="L166" i="3"/>
  <c r="M166" i="3"/>
  <c r="N166" i="3"/>
  <c r="E167" i="3"/>
  <c r="F167" i="3"/>
  <c r="G167" i="3"/>
  <c r="L167" i="3"/>
  <c r="M167" i="3"/>
  <c r="E165" i="3"/>
  <c r="F165" i="3"/>
  <c r="G165" i="3"/>
  <c r="K165" i="3"/>
  <c r="L165" i="3"/>
  <c r="M165" i="3"/>
  <c r="N165" i="3"/>
  <c r="E201" i="3"/>
  <c r="E200" i="3" s="1"/>
  <c r="F201" i="3"/>
  <c r="F200" i="3" s="1"/>
  <c r="G201" i="3"/>
  <c r="G200" i="3" s="1"/>
  <c r="H201" i="3"/>
  <c r="H200" i="3" s="1"/>
  <c r="K201" i="3"/>
  <c r="K200" i="3" s="1"/>
  <c r="L201" i="3"/>
  <c r="L200" i="3" s="1"/>
  <c r="M201" i="3"/>
  <c r="M200" i="3" s="1"/>
  <c r="N201" i="3"/>
  <c r="N200" i="3" s="1"/>
  <c r="F209" i="3"/>
  <c r="F208" i="3" s="1"/>
  <c r="G209" i="3"/>
  <c r="G208" i="3" s="1"/>
  <c r="H209" i="3"/>
  <c r="H208" i="3" s="1"/>
  <c r="K209" i="3"/>
  <c r="K208" i="3" s="1"/>
  <c r="L209" i="3"/>
  <c r="L208" i="3" s="1"/>
  <c r="M209" i="3"/>
  <c r="M208" i="3" s="1"/>
  <c r="F207" i="3"/>
  <c r="F206" i="3" s="1"/>
  <c r="G207" i="3"/>
  <c r="G206" i="3" s="1"/>
  <c r="H207" i="3"/>
  <c r="H206" i="3" s="1"/>
  <c r="K207" i="3"/>
  <c r="K206" i="3" s="1"/>
  <c r="L207" i="3"/>
  <c r="L206" i="3" s="1"/>
  <c r="M207" i="3"/>
  <c r="M206" i="3" s="1"/>
  <c r="E204" i="3"/>
  <c r="E202" i="3" s="1"/>
  <c r="F204" i="3"/>
  <c r="F202" i="3" s="1"/>
  <c r="G204" i="3"/>
  <c r="G202" i="3" s="1"/>
  <c r="H204" i="3"/>
  <c r="H202" i="3" s="1"/>
  <c r="K204" i="3"/>
  <c r="K202" i="3" s="1"/>
  <c r="L204" i="3"/>
  <c r="L202" i="3" s="1"/>
  <c r="M204" i="3"/>
  <c r="M202" i="3" s="1"/>
  <c r="N204" i="3"/>
  <c r="N202" i="3" s="1"/>
  <c r="E205" i="3"/>
  <c r="E203" i="3" s="1"/>
  <c r="E199" i="3" s="1"/>
  <c r="F205" i="3"/>
  <c r="F203" i="3" s="1"/>
  <c r="F199" i="3" s="1"/>
  <c r="G205" i="3"/>
  <c r="G203" i="3" s="1"/>
  <c r="G199" i="3" s="1"/>
  <c r="H205" i="3"/>
  <c r="H203" i="3" s="1"/>
  <c r="H199" i="3" s="1"/>
  <c r="K205" i="3"/>
  <c r="K203" i="3" s="1"/>
  <c r="K199" i="3" s="1"/>
  <c r="L205" i="3"/>
  <c r="L203" i="3" s="1"/>
  <c r="L199" i="3" s="1"/>
  <c r="M205" i="3"/>
  <c r="M203" i="3" s="1"/>
  <c r="M199" i="3" s="1"/>
  <c r="N205" i="3"/>
  <c r="N203" i="3" s="1"/>
  <c r="N199" i="3" s="1"/>
  <c r="F196" i="3"/>
  <c r="G196" i="3"/>
  <c r="H196" i="3"/>
  <c r="K196" i="3"/>
  <c r="L196" i="3"/>
  <c r="M196" i="3"/>
  <c r="N196" i="3"/>
  <c r="E197" i="3"/>
  <c r="F197" i="3"/>
  <c r="G197" i="3"/>
  <c r="H197" i="3"/>
  <c r="K197" i="3"/>
  <c r="L197" i="3"/>
  <c r="M197" i="3"/>
  <c r="N197" i="3"/>
  <c r="D197" i="3"/>
  <c r="E193" i="3"/>
  <c r="F193" i="3"/>
  <c r="G193" i="3"/>
  <c r="H193" i="3"/>
  <c r="L193" i="3"/>
  <c r="M193" i="3"/>
  <c r="E192" i="3"/>
  <c r="F192" i="3"/>
  <c r="G192" i="3"/>
  <c r="H192" i="3"/>
  <c r="K192" i="3"/>
  <c r="L192" i="3"/>
  <c r="M192" i="3"/>
  <c r="N192" i="3"/>
  <c r="F195" i="3"/>
  <c r="F194" i="3" s="1"/>
  <c r="G195" i="3"/>
  <c r="G194" i="3" s="1"/>
  <c r="H195" i="3"/>
  <c r="H194" i="3" s="1"/>
  <c r="K195" i="3"/>
  <c r="K194" i="3" s="1"/>
  <c r="L195" i="3"/>
  <c r="L194" i="3" s="1"/>
  <c r="M195" i="3"/>
  <c r="M194" i="3" s="1"/>
  <c r="N195" i="3"/>
  <c r="N194" i="3" s="1"/>
  <c r="F190" i="3"/>
  <c r="F189" i="3" s="1"/>
  <c r="H190" i="3"/>
  <c r="H189" i="3" s="1"/>
  <c r="K190" i="3"/>
  <c r="K189" i="3" s="1"/>
  <c r="L190" i="3"/>
  <c r="L189" i="3" s="1"/>
  <c r="M190" i="3"/>
  <c r="M189" i="3" s="1"/>
  <c r="N190" i="3"/>
  <c r="N189" i="3" s="1"/>
  <c r="F146" i="3"/>
  <c r="K146" i="3"/>
  <c r="L146" i="3"/>
  <c r="M146" i="3"/>
  <c r="N146" i="3"/>
  <c r="E145" i="3"/>
  <c r="F145" i="3"/>
  <c r="G145" i="3"/>
  <c r="K145" i="3"/>
  <c r="L145" i="3"/>
  <c r="M145" i="3"/>
  <c r="E143" i="3"/>
  <c r="F143" i="3"/>
  <c r="G143" i="3"/>
  <c r="H143" i="3"/>
  <c r="K143" i="3"/>
  <c r="L143" i="3"/>
  <c r="M143" i="3"/>
  <c r="N143" i="3"/>
  <c r="E142" i="3"/>
  <c r="F142" i="3"/>
  <c r="G142" i="3"/>
  <c r="H142" i="3"/>
  <c r="K142" i="3"/>
  <c r="L142" i="3"/>
  <c r="M142" i="3"/>
  <c r="F139" i="3"/>
  <c r="K139" i="3"/>
  <c r="L139" i="3"/>
  <c r="M139" i="3"/>
  <c r="E140" i="3"/>
  <c r="F140" i="3"/>
  <c r="G140" i="3"/>
  <c r="H140" i="3"/>
  <c r="K140" i="3"/>
  <c r="L140" i="3"/>
  <c r="M140" i="3"/>
  <c r="N140" i="3"/>
  <c r="E141" i="3"/>
  <c r="F141" i="3"/>
  <c r="G141" i="3"/>
  <c r="H141" i="3"/>
  <c r="K141" i="3"/>
  <c r="L141" i="3"/>
  <c r="M141" i="3"/>
  <c r="N141" i="3"/>
  <c r="E138" i="3"/>
  <c r="F138" i="3"/>
  <c r="G138" i="3"/>
  <c r="K138" i="3"/>
  <c r="L138" i="3"/>
  <c r="M138" i="3"/>
  <c r="N138" i="3"/>
  <c r="F137" i="3"/>
  <c r="G137" i="3"/>
  <c r="H137" i="3"/>
  <c r="K137" i="3"/>
  <c r="L137" i="3"/>
  <c r="M137" i="3"/>
  <c r="N137" i="3"/>
  <c r="E136" i="3"/>
  <c r="F136" i="3"/>
  <c r="G136" i="3"/>
  <c r="H136" i="3"/>
  <c r="K136" i="3"/>
  <c r="L136" i="3"/>
  <c r="M136" i="3"/>
  <c r="F135" i="3"/>
  <c r="G135" i="3"/>
  <c r="H135" i="3"/>
  <c r="K135" i="3"/>
  <c r="L135" i="3"/>
  <c r="M135" i="3"/>
  <c r="F134" i="3"/>
  <c r="G134" i="3"/>
  <c r="K134" i="3"/>
  <c r="L134" i="3"/>
  <c r="M134" i="3"/>
  <c r="E133" i="3"/>
  <c r="F133" i="3"/>
  <c r="G133" i="3"/>
  <c r="H133" i="3"/>
  <c r="K133" i="3"/>
  <c r="L133" i="3"/>
  <c r="M133" i="3"/>
  <c r="G108" i="3"/>
  <c r="H108" i="3"/>
  <c r="K108" i="3"/>
  <c r="L108" i="3"/>
  <c r="M108" i="3"/>
  <c r="N108" i="3"/>
  <c r="F123" i="3"/>
  <c r="G123" i="3"/>
  <c r="H123" i="3"/>
  <c r="K123" i="3"/>
  <c r="L123" i="3"/>
  <c r="M123" i="3"/>
  <c r="N123" i="3"/>
  <c r="H122" i="3"/>
  <c r="K122" i="3"/>
  <c r="L122" i="3"/>
  <c r="M122" i="3"/>
  <c r="H120" i="3"/>
  <c r="L120" i="3"/>
  <c r="M120" i="3"/>
  <c r="E144" i="3"/>
  <c r="F144" i="3"/>
  <c r="G144" i="3"/>
  <c r="H144" i="3"/>
  <c r="K144" i="3"/>
  <c r="L144" i="3"/>
  <c r="M144" i="3"/>
  <c r="F187" i="3"/>
  <c r="G187" i="3"/>
  <c r="H187" i="3"/>
  <c r="K187" i="3"/>
  <c r="L187" i="3"/>
  <c r="M187" i="3"/>
  <c r="F188" i="3"/>
  <c r="H188" i="3"/>
  <c r="L188" i="3"/>
  <c r="N188" i="3"/>
  <c r="H129" i="3"/>
  <c r="L129" i="3"/>
  <c r="M129" i="3"/>
  <c r="F130" i="3"/>
  <c r="G130" i="3"/>
  <c r="H130" i="3"/>
  <c r="K130" i="3"/>
  <c r="L130" i="3"/>
  <c r="M130" i="3"/>
  <c r="N130" i="3"/>
  <c r="F128" i="3"/>
  <c r="G128" i="3"/>
  <c r="H128" i="3"/>
  <c r="K128" i="3"/>
  <c r="L128" i="3"/>
  <c r="M128" i="3"/>
  <c r="H127" i="3"/>
  <c r="K127" i="3"/>
  <c r="L127" i="3"/>
  <c r="M127" i="3"/>
  <c r="F125" i="3"/>
  <c r="G125" i="3"/>
  <c r="H125" i="3"/>
  <c r="K125" i="3"/>
  <c r="L125" i="3"/>
  <c r="M125" i="3"/>
  <c r="N125" i="3"/>
  <c r="F126" i="3"/>
  <c r="G126" i="3"/>
  <c r="H126" i="3"/>
  <c r="K126" i="3"/>
  <c r="L126" i="3"/>
  <c r="M126" i="3"/>
  <c r="N126" i="3"/>
  <c r="H121" i="3"/>
  <c r="K121" i="3"/>
  <c r="L121" i="3"/>
  <c r="M121" i="3"/>
  <c r="N121" i="3"/>
  <c r="F118" i="3"/>
  <c r="G118" i="3"/>
  <c r="H118" i="3"/>
  <c r="K118" i="3"/>
  <c r="L118" i="3"/>
  <c r="M118" i="3"/>
  <c r="G117" i="3"/>
  <c r="H117" i="3"/>
  <c r="K117" i="3"/>
  <c r="L117" i="3"/>
  <c r="M117" i="3"/>
  <c r="F99" i="3"/>
  <c r="G99" i="3"/>
  <c r="H99" i="3"/>
  <c r="K99" i="3"/>
  <c r="L99" i="3"/>
  <c r="M99" i="3"/>
  <c r="N99" i="3"/>
  <c r="H98" i="3"/>
  <c r="K98" i="3"/>
  <c r="L98" i="3"/>
  <c r="M98" i="3"/>
  <c r="E97" i="3"/>
  <c r="F97" i="3"/>
  <c r="G97" i="3"/>
  <c r="H97" i="3"/>
  <c r="K97" i="3"/>
  <c r="L97" i="3"/>
  <c r="M97" i="3"/>
  <c r="N97" i="3"/>
  <c r="F115" i="3"/>
  <c r="G115" i="3"/>
  <c r="H115" i="3"/>
  <c r="K115" i="3"/>
  <c r="L115" i="3"/>
  <c r="M115" i="3"/>
  <c r="N115" i="3"/>
  <c r="F116" i="3"/>
  <c r="G116" i="3"/>
  <c r="H116" i="3"/>
  <c r="K116" i="3"/>
  <c r="L116" i="3"/>
  <c r="M116" i="3"/>
  <c r="N116" i="3"/>
  <c r="E109" i="3"/>
  <c r="F109" i="3"/>
  <c r="G109" i="3"/>
  <c r="H109" i="3"/>
  <c r="K109" i="3"/>
  <c r="L109" i="3"/>
  <c r="M109" i="3"/>
  <c r="E110" i="3"/>
  <c r="F110" i="3"/>
  <c r="G110" i="3"/>
  <c r="H110" i="3"/>
  <c r="K110" i="3"/>
  <c r="L110" i="3"/>
  <c r="M110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E113" i="3"/>
  <c r="F113" i="3"/>
  <c r="G113" i="3"/>
  <c r="H113" i="3"/>
  <c r="K113" i="3"/>
  <c r="L113" i="3"/>
  <c r="M113" i="3"/>
  <c r="E114" i="3"/>
  <c r="F114" i="3"/>
  <c r="G114" i="3"/>
  <c r="H114" i="3"/>
  <c r="K114" i="3"/>
  <c r="L114" i="3"/>
  <c r="M114" i="3"/>
  <c r="E107" i="3"/>
  <c r="F107" i="3"/>
  <c r="G107" i="3"/>
  <c r="H107" i="3"/>
  <c r="K107" i="3"/>
  <c r="L107" i="3"/>
  <c r="M107" i="3"/>
  <c r="N107" i="3"/>
  <c r="F105" i="3"/>
  <c r="G105" i="3"/>
  <c r="H105" i="3"/>
  <c r="K105" i="3"/>
  <c r="L105" i="3"/>
  <c r="M105" i="3"/>
  <c r="N105" i="3"/>
  <c r="F106" i="3"/>
  <c r="G106" i="3"/>
  <c r="H106" i="3"/>
  <c r="K106" i="3"/>
  <c r="L106" i="3"/>
  <c r="M106" i="3"/>
  <c r="N106" i="3"/>
  <c r="E102" i="3"/>
  <c r="F102" i="3"/>
  <c r="G102" i="3"/>
  <c r="H102" i="3"/>
  <c r="K102" i="3"/>
  <c r="L102" i="3"/>
  <c r="M102" i="3"/>
  <c r="N102" i="3"/>
  <c r="E103" i="3"/>
  <c r="F103" i="3"/>
  <c r="G103" i="3"/>
  <c r="H103" i="3"/>
  <c r="K103" i="3"/>
  <c r="L103" i="3"/>
  <c r="M103" i="3"/>
  <c r="N103" i="3"/>
  <c r="F104" i="3"/>
  <c r="G104" i="3"/>
  <c r="H104" i="3"/>
  <c r="K104" i="3"/>
  <c r="L104" i="3"/>
  <c r="M104" i="3"/>
  <c r="N104" i="3"/>
  <c r="F101" i="3"/>
  <c r="G101" i="3"/>
  <c r="H101" i="3"/>
  <c r="K101" i="3"/>
  <c r="L101" i="3"/>
  <c r="M101" i="3"/>
  <c r="N101" i="3"/>
  <c r="G96" i="3"/>
  <c r="H96" i="3"/>
  <c r="K96" i="3"/>
  <c r="L96" i="3"/>
  <c r="M96" i="3"/>
  <c r="N96" i="3"/>
  <c r="E85" i="3"/>
  <c r="F85" i="3"/>
  <c r="G85" i="3"/>
  <c r="H85" i="3"/>
  <c r="K85" i="3"/>
  <c r="L85" i="3"/>
  <c r="M85" i="3"/>
  <c r="N85" i="3"/>
  <c r="E86" i="3"/>
  <c r="F86" i="3"/>
  <c r="G86" i="3"/>
  <c r="H86" i="3"/>
  <c r="K86" i="3"/>
  <c r="L86" i="3"/>
  <c r="M86" i="3"/>
  <c r="N86" i="3"/>
  <c r="E87" i="3"/>
  <c r="F87" i="3"/>
  <c r="G87" i="3"/>
  <c r="H87" i="3"/>
  <c r="K87" i="3"/>
  <c r="L87" i="3"/>
  <c r="M87" i="3"/>
  <c r="N87" i="3"/>
  <c r="E88" i="3"/>
  <c r="F88" i="3"/>
  <c r="G88" i="3"/>
  <c r="H88" i="3"/>
  <c r="K88" i="3"/>
  <c r="L88" i="3"/>
  <c r="M88" i="3"/>
  <c r="N88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F91" i="3"/>
  <c r="G91" i="3"/>
  <c r="H91" i="3"/>
  <c r="K91" i="3"/>
  <c r="L91" i="3"/>
  <c r="M91" i="3"/>
  <c r="N91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E95" i="3"/>
  <c r="F95" i="3"/>
  <c r="G95" i="3"/>
  <c r="H95" i="3"/>
  <c r="K95" i="3"/>
  <c r="L95" i="3"/>
  <c r="M95" i="3"/>
  <c r="N95" i="3"/>
  <c r="E70" i="3"/>
  <c r="F70" i="3"/>
  <c r="G70" i="3"/>
  <c r="H70" i="3"/>
  <c r="K70" i="3"/>
  <c r="L70" i="3"/>
  <c r="M70" i="3"/>
  <c r="N70" i="3"/>
  <c r="E71" i="3"/>
  <c r="F71" i="3"/>
  <c r="G71" i="3"/>
  <c r="H71" i="3"/>
  <c r="K71" i="3"/>
  <c r="L71" i="3"/>
  <c r="M71" i="3"/>
  <c r="N71" i="3"/>
  <c r="F72" i="3"/>
  <c r="G72" i="3"/>
  <c r="H72" i="3"/>
  <c r="K72" i="3"/>
  <c r="L72" i="3"/>
  <c r="M72" i="3"/>
  <c r="N72" i="3"/>
  <c r="F73" i="3"/>
  <c r="G73" i="3"/>
  <c r="H73" i="3"/>
  <c r="K73" i="3"/>
  <c r="L73" i="3"/>
  <c r="M73" i="3"/>
  <c r="N73" i="3"/>
  <c r="E74" i="3"/>
  <c r="F74" i="3"/>
  <c r="G74" i="3"/>
  <c r="H74" i="3"/>
  <c r="K74" i="3"/>
  <c r="L74" i="3"/>
  <c r="M74" i="3"/>
  <c r="N74" i="3"/>
  <c r="E75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F78" i="3"/>
  <c r="G78" i="3"/>
  <c r="H78" i="3"/>
  <c r="K78" i="3"/>
  <c r="L78" i="3"/>
  <c r="M78" i="3"/>
  <c r="N78" i="3"/>
  <c r="F79" i="3"/>
  <c r="G79" i="3"/>
  <c r="H79" i="3"/>
  <c r="K79" i="3"/>
  <c r="L79" i="3"/>
  <c r="M79" i="3"/>
  <c r="N79" i="3"/>
  <c r="E80" i="3"/>
  <c r="F80" i="3"/>
  <c r="G80" i="3"/>
  <c r="H80" i="3"/>
  <c r="K80" i="3"/>
  <c r="L80" i="3"/>
  <c r="M80" i="3"/>
  <c r="N80" i="3"/>
  <c r="E81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F84" i="3"/>
  <c r="G84" i="3"/>
  <c r="H84" i="3"/>
  <c r="K84" i="3"/>
  <c r="L84" i="3"/>
  <c r="M84" i="3"/>
  <c r="N84" i="3"/>
  <c r="M119" i="3" l="1"/>
  <c r="M131" i="3"/>
  <c r="K131" i="3"/>
  <c r="L163" i="3"/>
  <c r="G163" i="3"/>
  <c r="M124" i="3"/>
  <c r="L119" i="3"/>
  <c r="L131" i="3"/>
  <c r="F131" i="3"/>
  <c r="L132" i="3"/>
  <c r="H132" i="3"/>
  <c r="L124" i="3"/>
  <c r="H124" i="3"/>
  <c r="H119" i="3"/>
  <c r="M132" i="3"/>
  <c r="K132" i="3"/>
  <c r="G132" i="3"/>
  <c r="F132" i="3"/>
  <c r="E132" i="3"/>
  <c r="M163" i="3"/>
  <c r="F163" i="3"/>
  <c r="L174" i="3"/>
  <c r="G174" i="3"/>
  <c r="M150" i="3"/>
  <c r="K150" i="3"/>
  <c r="G150" i="3"/>
  <c r="M174" i="3"/>
  <c r="F174" i="3"/>
  <c r="L150" i="3"/>
  <c r="H150" i="3"/>
  <c r="F150" i="3"/>
  <c r="E150" i="3"/>
  <c r="F191" i="3"/>
  <c r="H198" i="3"/>
  <c r="M198" i="3"/>
  <c r="K198" i="3"/>
  <c r="H186" i="3"/>
  <c r="F186" i="3"/>
  <c r="F198" i="3"/>
  <c r="M191" i="3"/>
  <c r="H191" i="3"/>
  <c r="E191" i="3"/>
  <c r="L191" i="3"/>
  <c r="G191" i="3"/>
  <c r="L198" i="3"/>
  <c r="G198" i="3"/>
  <c r="L186" i="3"/>
  <c r="F100" i="3"/>
  <c r="G100" i="3"/>
  <c r="H100" i="3"/>
  <c r="K100" i="3"/>
  <c r="L100" i="3"/>
  <c r="M100" i="3"/>
  <c r="N100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N67" i="3"/>
  <c r="F65" i="3"/>
  <c r="G65" i="3"/>
  <c r="H65" i="3"/>
  <c r="K65" i="3"/>
  <c r="L65" i="3"/>
  <c r="M65" i="3"/>
  <c r="E66" i="3"/>
  <c r="F66" i="3"/>
  <c r="G66" i="3"/>
  <c r="H66" i="3"/>
  <c r="K66" i="3"/>
  <c r="L66" i="3"/>
  <c r="M66" i="3"/>
  <c r="N66" i="3"/>
  <c r="F68" i="3"/>
  <c r="G68" i="3"/>
  <c r="H68" i="3"/>
  <c r="K68" i="3"/>
  <c r="L68" i="3"/>
  <c r="M68" i="3"/>
  <c r="N68" i="3"/>
  <c r="E61" i="3"/>
  <c r="F61" i="3"/>
  <c r="G61" i="3"/>
  <c r="H61" i="3"/>
  <c r="K61" i="3"/>
  <c r="L61" i="3"/>
  <c r="M61" i="3"/>
  <c r="N61" i="3"/>
  <c r="E62" i="3"/>
  <c r="F62" i="3"/>
  <c r="G62" i="3"/>
  <c r="H62" i="3"/>
  <c r="K62" i="3"/>
  <c r="L62" i="3"/>
  <c r="M62" i="3"/>
  <c r="N62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F57" i="3"/>
  <c r="G57" i="3"/>
  <c r="H57" i="3"/>
  <c r="K57" i="3"/>
  <c r="L57" i="3"/>
  <c r="M57" i="3"/>
  <c r="N57" i="3"/>
  <c r="F58" i="3"/>
  <c r="G58" i="3"/>
  <c r="H58" i="3"/>
  <c r="K58" i="3"/>
  <c r="L58" i="3"/>
  <c r="M58" i="3"/>
  <c r="N58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51" i="3"/>
  <c r="G51" i="3"/>
  <c r="H51" i="3"/>
  <c r="K51" i="3"/>
  <c r="L51" i="3"/>
  <c r="M51" i="3"/>
  <c r="N51" i="3"/>
  <c r="E52" i="3"/>
  <c r="F52" i="3"/>
  <c r="G52" i="3"/>
  <c r="H52" i="3"/>
  <c r="K52" i="3"/>
  <c r="L52" i="3"/>
  <c r="M52" i="3"/>
  <c r="N52" i="3"/>
  <c r="F53" i="3"/>
  <c r="G53" i="3"/>
  <c r="H53" i="3"/>
  <c r="K53" i="3"/>
  <c r="L53" i="3"/>
  <c r="M53" i="3"/>
  <c r="N53" i="3"/>
  <c r="F54" i="3"/>
  <c r="G54" i="3"/>
  <c r="H54" i="3"/>
  <c r="K54" i="3"/>
  <c r="L54" i="3"/>
  <c r="M54" i="3"/>
  <c r="N54" i="3"/>
  <c r="F47" i="3"/>
  <c r="G47" i="3"/>
  <c r="H47" i="3"/>
  <c r="K47" i="3"/>
  <c r="L47" i="3"/>
  <c r="M47" i="3"/>
  <c r="N47" i="3"/>
  <c r="E48" i="3"/>
  <c r="F48" i="3"/>
  <c r="G48" i="3"/>
  <c r="H48" i="3"/>
  <c r="K48" i="3"/>
  <c r="L48" i="3"/>
  <c r="M48" i="3"/>
  <c r="N48" i="3"/>
  <c r="F49" i="3"/>
  <c r="G49" i="3"/>
  <c r="H49" i="3"/>
  <c r="K49" i="3"/>
  <c r="L49" i="3"/>
  <c r="M49" i="3"/>
  <c r="N49" i="3"/>
  <c r="F50" i="3"/>
  <c r="G50" i="3"/>
  <c r="H50" i="3"/>
  <c r="K50" i="3"/>
  <c r="L50" i="3"/>
  <c r="M50" i="3"/>
  <c r="N50" i="3"/>
  <c r="F43" i="3"/>
  <c r="G43" i="3"/>
  <c r="H43" i="3"/>
  <c r="K43" i="3"/>
  <c r="L43" i="3"/>
  <c r="M43" i="3"/>
  <c r="F44" i="3"/>
  <c r="G44" i="3"/>
  <c r="H44" i="3"/>
  <c r="K44" i="3"/>
  <c r="L44" i="3"/>
  <c r="M44" i="3"/>
  <c r="N44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35" i="3"/>
  <c r="G35" i="3"/>
  <c r="H35" i="3"/>
  <c r="L35" i="3"/>
  <c r="M35" i="3"/>
  <c r="F36" i="3"/>
  <c r="G36" i="3"/>
  <c r="H36" i="3"/>
  <c r="K36" i="3"/>
  <c r="L36" i="3"/>
  <c r="M36" i="3"/>
  <c r="N36" i="3"/>
  <c r="F37" i="3"/>
  <c r="G37" i="3"/>
  <c r="H37" i="3"/>
  <c r="K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N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8" i="3"/>
  <c r="L18" i="3"/>
  <c r="M18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5" i="3"/>
  <c r="G15" i="3"/>
  <c r="H15" i="3"/>
  <c r="K15" i="3"/>
  <c r="L15" i="3"/>
  <c r="M15" i="3"/>
  <c r="N15" i="3"/>
  <c r="M17" i="3" l="1"/>
  <c r="K17" i="3"/>
  <c r="G17" i="3"/>
  <c r="M16" i="3"/>
  <c r="H16" i="3"/>
  <c r="M34" i="3"/>
  <c r="K34" i="3"/>
  <c r="G34" i="3"/>
  <c r="L33" i="3"/>
  <c r="G33" i="3"/>
  <c r="M56" i="3"/>
  <c r="K56" i="3"/>
  <c r="G56" i="3"/>
  <c r="M55" i="3"/>
  <c r="K55" i="3"/>
  <c r="L17" i="3"/>
  <c r="H17" i="3"/>
  <c r="L16" i="3"/>
  <c r="N34" i="3"/>
  <c r="L34" i="3"/>
  <c r="H34" i="3"/>
  <c r="F34" i="3"/>
  <c r="M33" i="3"/>
  <c r="H33" i="3"/>
  <c r="F33" i="3"/>
  <c r="L56" i="3"/>
  <c r="H56" i="3"/>
  <c r="F56" i="3"/>
  <c r="L55" i="3"/>
  <c r="H55" i="3"/>
  <c r="F185" i="3"/>
  <c r="G147" i="3"/>
  <c r="M147" i="3"/>
  <c r="H185" i="3"/>
  <c r="H13" i="3"/>
  <c r="F147" i="3"/>
  <c r="L185" i="3"/>
  <c r="L147" i="3"/>
  <c r="M211" i="3" l="1"/>
  <c r="N288" i="1" s="1"/>
  <c r="G211" i="3"/>
  <c r="H288" i="1" s="1"/>
  <c r="I264" i="1"/>
  <c r="M264" i="1"/>
  <c r="N264" i="1"/>
  <c r="G252" i="1"/>
  <c r="G251" i="1" s="1"/>
  <c r="I252" i="1"/>
  <c r="I251" i="1" s="1"/>
  <c r="L252" i="1"/>
  <c r="L251" i="1" s="1"/>
  <c r="M252" i="1"/>
  <c r="M251" i="1" s="1"/>
  <c r="N252" i="1"/>
  <c r="N251" i="1" s="1"/>
  <c r="O252" i="1"/>
  <c r="O251" i="1" s="1"/>
  <c r="H219" i="1"/>
  <c r="I219" i="1"/>
  <c r="I218" i="1" s="1"/>
  <c r="L219" i="1"/>
  <c r="L218" i="1" s="1"/>
  <c r="M219" i="1"/>
  <c r="M218" i="1" s="1"/>
  <c r="N219" i="1"/>
  <c r="N218" i="1" s="1"/>
  <c r="J15" i="1"/>
  <c r="I15" i="3" s="1"/>
  <c r="J16" i="1"/>
  <c r="J17" i="1"/>
  <c r="J19" i="1"/>
  <c r="J20" i="1"/>
  <c r="J21" i="1"/>
  <c r="J22" i="1"/>
  <c r="J23" i="1"/>
  <c r="I121" i="3" s="1"/>
  <c r="J25" i="1"/>
  <c r="J26" i="1"/>
  <c r="I125" i="3" s="1"/>
  <c r="J27" i="1"/>
  <c r="I126" i="3" s="1"/>
  <c r="J31" i="1"/>
  <c r="I130" i="3" s="1"/>
  <c r="J32" i="1"/>
  <c r="J33" i="1"/>
  <c r="I166" i="3" s="1"/>
  <c r="J35" i="1"/>
  <c r="I169" i="3" s="1"/>
  <c r="J37" i="1"/>
  <c r="J38" i="1"/>
  <c r="J40" i="1"/>
  <c r="I180" i="3" s="1"/>
  <c r="J42" i="1"/>
  <c r="J45" i="1"/>
  <c r="I190" i="3" s="1"/>
  <c r="I189" i="3" s="1"/>
  <c r="J47" i="1"/>
  <c r="I195" i="3" s="1"/>
  <c r="I194" i="3" s="1"/>
  <c r="J48" i="1"/>
  <c r="J53" i="1"/>
  <c r="J57" i="1"/>
  <c r="I21" i="3" s="1"/>
  <c r="J58" i="1"/>
  <c r="I22" i="3" s="1"/>
  <c r="J60" i="1"/>
  <c r="I24" i="3" s="1"/>
  <c r="J64" i="1"/>
  <c r="I29" i="3" s="1"/>
  <c r="J66" i="1"/>
  <c r="I31" i="3" s="1"/>
  <c r="J67" i="1"/>
  <c r="I32" i="3" s="1"/>
  <c r="J68" i="1"/>
  <c r="J69" i="1"/>
  <c r="I100" i="3" s="1"/>
  <c r="J70" i="1"/>
  <c r="J76" i="1"/>
  <c r="J82" i="1"/>
  <c r="J84" i="1"/>
  <c r="I38" i="3" s="1"/>
  <c r="J85" i="1"/>
  <c r="I39" i="3" s="1"/>
  <c r="J86" i="1"/>
  <c r="I40" i="3" s="1"/>
  <c r="J87" i="1"/>
  <c r="I41" i="3" s="1"/>
  <c r="J88" i="1"/>
  <c r="I42" i="3" s="1"/>
  <c r="J90" i="1"/>
  <c r="J92" i="1"/>
  <c r="I46" i="3" s="1"/>
  <c r="J93" i="1"/>
  <c r="I47" i="3" s="1"/>
  <c r="J94" i="1"/>
  <c r="I48" i="3" s="1"/>
  <c r="J95" i="1"/>
  <c r="I49" i="3" s="1"/>
  <c r="J96" i="1"/>
  <c r="I50" i="3" s="1"/>
  <c r="J97" i="1"/>
  <c r="I51" i="3" s="1"/>
  <c r="J98" i="1"/>
  <c r="I52" i="3" s="1"/>
  <c r="J99" i="1"/>
  <c r="I53" i="3" s="1"/>
  <c r="J100" i="1"/>
  <c r="I54" i="3" s="1"/>
  <c r="J105" i="1"/>
  <c r="J106" i="1"/>
  <c r="J111" i="1"/>
  <c r="I57" i="3" s="1"/>
  <c r="J112" i="1"/>
  <c r="J113" i="1"/>
  <c r="I59" i="3" s="1"/>
  <c r="J114" i="1"/>
  <c r="I60" i="3" s="1"/>
  <c r="J115" i="1"/>
  <c r="I61" i="3" s="1"/>
  <c r="J116" i="1"/>
  <c r="I62" i="3" s="1"/>
  <c r="J117" i="1"/>
  <c r="I63" i="3" s="1"/>
  <c r="J118" i="1"/>
  <c r="I64" i="3" s="1"/>
  <c r="J120" i="1"/>
  <c r="I66" i="3" s="1"/>
  <c r="J121" i="1"/>
  <c r="J122" i="1"/>
  <c r="I68" i="3" s="1"/>
  <c r="J123" i="1"/>
  <c r="I69" i="3" s="1"/>
  <c r="J124" i="1"/>
  <c r="I70" i="3" s="1"/>
  <c r="J125" i="1"/>
  <c r="I71" i="3" s="1"/>
  <c r="J126" i="1"/>
  <c r="I72" i="3" s="1"/>
  <c r="J127" i="1"/>
  <c r="I73" i="3" s="1"/>
  <c r="J128" i="1"/>
  <c r="I74" i="3" s="1"/>
  <c r="J129" i="1"/>
  <c r="I75" i="3" s="1"/>
  <c r="J130" i="1"/>
  <c r="I76" i="3" s="1"/>
  <c r="J131" i="1"/>
  <c r="I77" i="3" s="1"/>
  <c r="J132" i="1"/>
  <c r="I78" i="3" s="1"/>
  <c r="J133" i="1"/>
  <c r="I79" i="3" s="1"/>
  <c r="J134" i="1"/>
  <c r="I80" i="3" s="1"/>
  <c r="J135" i="1"/>
  <c r="I81" i="3" s="1"/>
  <c r="J136" i="1"/>
  <c r="I82" i="3" s="1"/>
  <c r="J137" i="1"/>
  <c r="I83" i="3" s="1"/>
  <c r="J138" i="1"/>
  <c r="I84" i="3" s="1"/>
  <c r="J139" i="1"/>
  <c r="I85" i="3" s="1"/>
  <c r="J140" i="1"/>
  <c r="I86" i="3" s="1"/>
  <c r="J141" i="1"/>
  <c r="I87" i="3" s="1"/>
  <c r="J142" i="1"/>
  <c r="I88" i="3" s="1"/>
  <c r="J143" i="1"/>
  <c r="I89" i="3" s="1"/>
  <c r="J144" i="1"/>
  <c r="I90" i="3" s="1"/>
  <c r="J145" i="1"/>
  <c r="I91" i="3" s="1"/>
  <c r="J146" i="1"/>
  <c r="I92" i="3" s="1"/>
  <c r="J147" i="1"/>
  <c r="I93" i="3" s="1"/>
  <c r="J148" i="1"/>
  <c r="I94" i="3" s="1"/>
  <c r="J149" i="1"/>
  <c r="I95" i="3" s="1"/>
  <c r="J150" i="1"/>
  <c r="I96" i="3" s="1"/>
  <c r="J151" i="1"/>
  <c r="I101" i="3" s="1"/>
  <c r="J152" i="1"/>
  <c r="I102" i="3" s="1"/>
  <c r="J153" i="1"/>
  <c r="I103" i="3" s="1"/>
  <c r="J154" i="1"/>
  <c r="I104" i="3" s="1"/>
  <c r="J155" i="1"/>
  <c r="I105" i="3" s="1"/>
  <c r="J156" i="1"/>
  <c r="I106" i="3" s="1"/>
  <c r="J157" i="1"/>
  <c r="I107" i="3" s="1"/>
  <c r="J158" i="1"/>
  <c r="J161" i="1"/>
  <c r="I111" i="3" s="1"/>
  <c r="J162" i="1"/>
  <c r="I112" i="3" s="1"/>
  <c r="J165" i="1"/>
  <c r="I115" i="3" s="1"/>
  <c r="J166" i="1"/>
  <c r="I116" i="3" s="1"/>
  <c r="J169" i="1"/>
  <c r="J170" i="1"/>
  <c r="J171" i="1"/>
  <c r="J176" i="1"/>
  <c r="I97" i="3" s="1"/>
  <c r="J177" i="1"/>
  <c r="J186" i="1"/>
  <c r="J188" i="1"/>
  <c r="J181" i="1" s="1"/>
  <c r="J189" i="1"/>
  <c r="J194" i="1"/>
  <c r="J199" i="1"/>
  <c r="I137" i="3" s="1"/>
  <c r="J200" i="1"/>
  <c r="I138" i="3" s="1"/>
  <c r="J202" i="1"/>
  <c r="J203" i="1"/>
  <c r="J204" i="1"/>
  <c r="J205" i="1"/>
  <c r="J209" i="1"/>
  <c r="J215" i="1"/>
  <c r="I192" i="3" s="1"/>
  <c r="J217" i="1"/>
  <c r="J221" i="1"/>
  <c r="J228" i="1"/>
  <c r="J236" i="1"/>
  <c r="J239" i="1"/>
  <c r="J243" i="1"/>
  <c r="J247" i="1"/>
  <c r="J248" i="1"/>
  <c r="I158" i="3" s="1"/>
  <c r="J253" i="1"/>
  <c r="J252" i="1" s="1"/>
  <c r="J251" i="1" s="1"/>
  <c r="J257" i="1"/>
  <c r="I149" i="3" s="1"/>
  <c r="I148" i="3" s="1"/>
  <c r="J259" i="1"/>
  <c r="J261" i="1"/>
  <c r="I178" i="3" s="1"/>
  <c r="J262" i="1"/>
  <c r="J263" i="1"/>
  <c r="J268" i="1"/>
  <c r="J271" i="1"/>
  <c r="I196" i="3" s="1"/>
  <c r="J272" i="1"/>
  <c r="I197" i="3" s="1"/>
  <c r="J273" i="1"/>
  <c r="I201" i="3" s="1"/>
  <c r="I200" i="3" s="1"/>
  <c r="J274" i="1"/>
  <c r="I204" i="3" s="1"/>
  <c r="I202" i="3" s="1"/>
  <c r="J275" i="1"/>
  <c r="J266" i="1" s="1"/>
  <c r="E275" i="1"/>
  <c r="E274" i="1"/>
  <c r="E270" i="1"/>
  <c r="E268" i="1"/>
  <c r="E263" i="1"/>
  <c r="E261" i="1"/>
  <c r="E260" i="1"/>
  <c r="E250" i="1"/>
  <c r="E248" i="1"/>
  <c r="E243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8" i="1"/>
  <c r="E227" i="1"/>
  <c r="E225" i="1"/>
  <c r="E217" i="1"/>
  <c r="E216" i="1"/>
  <c r="E215" i="1"/>
  <c r="E214" i="1"/>
  <c r="E212" i="1"/>
  <c r="E211" i="1"/>
  <c r="E210" i="1"/>
  <c r="E209" i="1"/>
  <c r="E208" i="1"/>
  <c r="E207" i="1"/>
  <c r="E206" i="1"/>
  <c r="E204" i="1"/>
  <c r="E203" i="1"/>
  <c r="E198" i="1"/>
  <c r="E195" i="1"/>
  <c r="E194" i="1"/>
  <c r="E189" i="1"/>
  <c r="E188" i="1"/>
  <c r="E187" i="1"/>
  <c r="E178" i="1"/>
  <c r="E177" i="1"/>
  <c r="E176" i="1"/>
  <c r="E169" i="1"/>
  <c r="E164" i="1"/>
  <c r="E163" i="1"/>
  <c r="E162" i="1"/>
  <c r="E161" i="1"/>
  <c r="E160" i="1"/>
  <c r="E159" i="1"/>
  <c r="E157" i="1"/>
  <c r="E153" i="1"/>
  <c r="E152" i="1"/>
  <c r="E149" i="1"/>
  <c r="E148" i="1"/>
  <c r="E147" i="1"/>
  <c r="E144" i="1"/>
  <c r="E143" i="1"/>
  <c r="E142" i="1"/>
  <c r="E141" i="1"/>
  <c r="E140" i="1"/>
  <c r="E139" i="1"/>
  <c r="E137" i="1"/>
  <c r="E136" i="1"/>
  <c r="E135" i="1"/>
  <c r="E134" i="1"/>
  <c r="E131" i="1"/>
  <c r="E130" i="1"/>
  <c r="E129" i="1"/>
  <c r="E128" i="1"/>
  <c r="E125" i="1"/>
  <c r="E124" i="1"/>
  <c r="E120" i="1"/>
  <c r="E118" i="1"/>
  <c r="E117" i="1"/>
  <c r="E116" i="1"/>
  <c r="E115" i="1"/>
  <c r="E106" i="1"/>
  <c r="E105" i="1"/>
  <c r="E102" i="1"/>
  <c r="E101" i="1"/>
  <c r="E98" i="1"/>
  <c r="E94" i="1"/>
  <c r="E76" i="1"/>
  <c r="E75" i="1"/>
  <c r="E74" i="1"/>
  <c r="E73" i="1"/>
  <c r="E72" i="1"/>
  <c r="E68" i="1"/>
  <c r="E67" i="1"/>
  <c r="E58" i="1"/>
  <c r="E46" i="1"/>
  <c r="E41" i="1"/>
  <c r="E39" i="1"/>
  <c r="E37" i="1"/>
  <c r="E266" i="1" l="1"/>
  <c r="E224" i="1"/>
  <c r="E192" i="1"/>
  <c r="I141" i="3"/>
  <c r="E181" i="1"/>
  <c r="E174" i="1"/>
  <c r="I58" i="3"/>
  <c r="I36" i="3"/>
  <c r="M172" i="1"/>
  <c r="I172" i="1"/>
  <c r="G172" i="1"/>
  <c r="G190" i="1"/>
  <c r="N172" i="1"/>
  <c r="L172" i="1"/>
  <c r="G222" i="1"/>
  <c r="I182" i="3"/>
  <c r="D179" i="3"/>
  <c r="H211" i="3"/>
  <c r="I288" i="1" s="1"/>
  <c r="N254" i="1"/>
  <c r="L254" i="1"/>
  <c r="M254" i="1"/>
  <c r="G254" i="1"/>
  <c r="I244" i="1"/>
  <c r="N244" i="1"/>
  <c r="M244" i="1"/>
  <c r="D61" i="3"/>
  <c r="D66" i="3"/>
  <c r="D71" i="3"/>
  <c r="D88" i="3"/>
  <c r="D94" i="3"/>
  <c r="D112" i="3"/>
  <c r="D97" i="3"/>
  <c r="D136" i="3"/>
  <c r="D153" i="3"/>
  <c r="D193" i="3"/>
  <c r="D63" i="3"/>
  <c r="D86" i="3"/>
  <c r="D90" i="3"/>
  <c r="D102" i="3"/>
  <c r="D114" i="3"/>
  <c r="D144" i="3"/>
  <c r="D141" i="3"/>
  <c r="D155" i="3"/>
  <c r="D177" i="3"/>
  <c r="P274" i="1"/>
  <c r="O204" i="3" s="1"/>
  <c r="O202" i="3" s="1"/>
  <c r="D70" i="3"/>
  <c r="D85" i="3"/>
  <c r="D109" i="3"/>
  <c r="D113" i="3"/>
  <c r="P189" i="1"/>
  <c r="D133" i="3"/>
  <c r="D142" i="3"/>
  <c r="D154" i="3"/>
  <c r="D170" i="3"/>
  <c r="D201" i="3"/>
  <c r="D200" i="3" s="1"/>
  <c r="H218" i="1"/>
  <c r="P194" i="1"/>
  <c r="P263" i="1"/>
  <c r="L211" i="3"/>
  <c r="M288" i="1" s="1"/>
  <c r="D181" i="3"/>
  <c r="D160" i="3"/>
  <c r="P76" i="1"/>
  <c r="P106" i="1"/>
  <c r="P169" i="1"/>
  <c r="D156" i="3"/>
  <c r="D159" i="3"/>
  <c r="P268" i="1"/>
  <c r="P272" i="1"/>
  <c r="O197" i="3" s="1"/>
  <c r="I108" i="3"/>
  <c r="N50" i="1"/>
  <c r="M77" i="1"/>
  <c r="I77" i="1"/>
  <c r="G77" i="1"/>
  <c r="N179" i="1"/>
  <c r="M190" i="1"/>
  <c r="P37" i="1"/>
  <c r="P58" i="1"/>
  <c r="O22" i="3" s="1"/>
  <c r="D22" i="3"/>
  <c r="P67" i="1"/>
  <c r="O32" i="3" s="1"/>
  <c r="D32" i="3"/>
  <c r="P98" i="1"/>
  <c r="O52" i="3" s="1"/>
  <c r="D52" i="3"/>
  <c r="D62" i="3"/>
  <c r="P118" i="1"/>
  <c r="O64" i="3" s="1"/>
  <c r="D64" i="3"/>
  <c r="P128" i="1"/>
  <c r="O74" i="3" s="1"/>
  <c r="D74" i="3"/>
  <c r="P130" i="1"/>
  <c r="O76" i="3" s="1"/>
  <c r="D76" i="3"/>
  <c r="P134" i="1"/>
  <c r="O80" i="3" s="1"/>
  <c r="D80" i="3"/>
  <c r="P136" i="1"/>
  <c r="O82" i="3" s="1"/>
  <c r="D82" i="3"/>
  <c r="P141" i="1"/>
  <c r="O87" i="3" s="1"/>
  <c r="D87" i="3"/>
  <c r="P143" i="1"/>
  <c r="O89" i="3" s="1"/>
  <c r="D89" i="3"/>
  <c r="P147" i="1"/>
  <c r="O93" i="3" s="1"/>
  <c r="D93" i="3"/>
  <c r="P149" i="1"/>
  <c r="O95" i="3" s="1"/>
  <c r="D95" i="3"/>
  <c r="P153" i="1"/>
  <c r="O103" i="3" s="1"/>
  <c r="D103" i="3"/>
  <c r="P161" i="1"/>
  <c r="O111" i="3" s="1"/>
  <c r="D111" i="3"/>
  <c r="D143" i="3"/>
  <c r="D140" i="3"/>
  <c r="P215" i="1"/>
  <c r="O192" i="3" s="1"/>
  <c r="D192" i="3"/>
  <c r="D152" i="3"/>
  <c r="P261" i="1"/>
  <c r="O178" i="3" s="1"/>
  <c r="D178" i="3"/>
  <c r="D204" i="3"/>
  <c r="D202" i="3" s="1"/>
  <c r="I205" i="3"/>
  <c r="I203" i="3" s="1"/>
  <c r="I199" i="3" s="1"/>
  <c r="I168" i="3"/>
  <c r="I146" i="3"/>
  <c r="I44" i="3"/>
  <c r="I175" i="3"/>
  <c r="I99" i="3"/>
  <c r="D31" i="3"/>
  <c r="D161" i="3"/>
  <c r="D151" i="3" s="1"/>
  <c r="P94" i="1"/>
  <c r="O48" i="3" s="1"/>
  <c r="D48" i="3"/>
  <c r="P129" i="1"/>
  <c r="O75" i="3" s="1"/>
  <c r="D75" i="3"/>
  <c r="P131" i="1"/>
  <c r="O77" i="3" s="1"/>
  <c r="D77" i="3"/>
  <c r="P135" i="1"/>
  <c r="O81" i="3" s="1"/>
  <c r="D81" i="3"/>
  <c r="P137" i="1"/>
  <c r="O83" i="3" s="1"/>
  <c r="D83" i="3"/>
  <c r="P157" i="1"/>
  <c r="O107" i="3" s="1"/>
  <c r="D107" i="3"/>
  <c r="D110" i="3"/>
  <c r="D157" i="3"/>
  <c r="D168" i="3"/>
  <c r="D171" i="3"/>
  <c r="D164" i="3" s="1"/>
  <c r="P248" i="1"/>
  <c r="O158" i="3" s="1"/>
  <c r="D158" i="3"/>
  <c r="D205" i="3"/>
  <c r="D203" i="3" s="1"/>
  <c r="D199" i="3" s="1"/>
  <c r="I159" i="3"/>
  <c r="I140" i="3"/>
  <c r="I143" i="3"/>
  <c r="I67" i="3"/>
  <c r="I165" i="3"/>
  <c r="I123" i="3"/>
  <c r="P68" i="1"/>
  <c r="P105" i="1"/>
  <c r="P117" i="1"/>
  <c r="O63" i="3" s="1"/>
  <c r="P120" i="1"/>
  <c r="O66" i="3" s="1"/>
  <c r="P142" i="1"/>
  <c r="O88" i="3" s="1"/>
  <c r="P144" i="1"/>
  <c r="O90" i="3" s="1"/>
  <c r="P148" i="1"/>
  <c r="O94" i="3" s="1"/>
  <c r="P162" i="1"/>
  <c r="O112" i="3" s="1"/>
  <c r="P228" i="1"/>
  <c r="P273" i="1"/>
  <c r="O201" i="3" s="1"/>
  <c r="O200" i="3" s="1"/>
  <c r="M12" i="1"/>
  <c r="N107" i="1"/>
  <c r="L107" i="1"/>
  <c r="M179" i="1"/>
  <c r="N190" i="1"/>
  <c r="P188" i="1"/>
  <c r="P181" i="1" s="1"/>
  <c r="I107" i="1"/>
  <c r="P203" i="1"/>
  <c r="P177" i="1"/>
  <c r="M50" i="1"/>
  <c r="I50" i="1"/>
  <c r="P66" i="1"/>
  <c r="P115" i="1"/>
  <c r="O61" i="3" s="1"/>
  <c r="P139" i="1"/>
  <c r="O85" i="3" s="1"/>
  <c r="P204" i="1"/>
  <c r="P125" i="1"/>
  <c r="O71" i="3" s="1"/>
  <c r="P176" i="1"/>
  <c r="P217" i="1"/>
  <c r="P236" i="1"/>
  <c r="P243" i="1"/>
  <c r="P239" i="1"/>
  <c r="P209" i="1"/>
  <c r="P152" i="1"/>
  <c r="P140" i="1"/>
  <c r="O86" i="3" s="1"/>
  <c r="P124" i="1"/>
  <c r="O70" i="3" s="1"/>
  <c r="P116" i="1"/>
  <c r="N77" i="1"/>
  <c r="P275" i="1"/>
  <c r="P266" i="1" s="1"/>
  <c r="M107" i="1"/>
  <c r="I179" i="1"/>
  <c r="I34" i="3" l="1"/>
  <c r="D132" i="3"/>
  <c r="D150" i="3"/>
  <c r="D191" i="3"/>
  <c r="H254" i="1"/>
  <c r="H107" i="1"/>
  <c r="H222" i="1"/>
  <c r="N278" i="1"/>
  <c r="N290" i="1" s="1"/>
  <c r="H278" i="1"/>
  <c r="H290" i="1" s="1"/>
  <c r="O102" i="3"/>
  <c r="O168" i="3"/>
  <c r="O140" i="3"/>
  <c r="O205" i="3"/>
  <c r="O203" i="3" s="1"/>
  <c r="O199" i="3" s="1"/>
  <c r="O62" i="3"/>
  <c r="O159" i="3"/>
  <c r="O97" i="3"/>
  <c r="O141" i="3"/>
  <c r="O31" i="3"/>
  <c r="O143" i="3"/>
  <c r="I278" i="1"/>
  <c r="I290" i="1" s="1"/>
  <c r="M278" i="1"/>
  <c r="M290" i="1" s="1"/>
  <c r="G139" i="3" l="1"/>
  <c r="H214" i="3"/>
  <c r="G214" i="3"/>
  <c r="M214" i="3"/>
  <c r="L214" i="3"/>
  <c r="G244" i="1"/>
  <c r="H138" i="3"/>
  <c r="F120" i="3"/>
  <c r="E120" i="3"/>
  <c r="E96" i="3"/>
  <c r="E45" i="3"/>
  <c r="E43" i="3"/>
  <c r="E46" i="3"/>
  <c r="E44" i="3"/>
  <c r="E36" i="3"/>
  <c r="E19" i="3"/>
  <c r="E18" i="3"/>
  <c r="E195" i="3"/>
  <c r="E194" i="3" s="1"/>
  <c r="H167" i="3"/>
  <c r="F122" i="3"/>
  <c r="E122" i="3"/>
  <c r="F121" i="3"/>
  <c r="E121" i="3"/>
  <c r="F119" i="3" l="1"/>
  <c r="J201" i="1"/>
  <c r="J230" i="1"/>
  <c r="J234" i="1"/>
  <c r="P234" i="1" s="1"/>
  <c r="E28" i="1"/>
  <c r="E47" i="1"/>
  <c r="E55" i="1"/>
  <c r="E90" i="1"/>
  <c r="E89" i="1"/>
  <c r="E150" i="1"/>
  <c r="G179" i="1"/>
  <c r="E23" i="1"/>
  <c r="E24" i="1"/>
  <c r="E25" i="1"/>
  <c r="E34" i="1"/>
  <c r="E54" i="1"/>
  <c r="E82" i="1"/>
  <c r="E92" i="1"/>
  <c r="E91" i="1"/>
  <c r="E184" i="1"/>
  <c r="E185" i="1"/>
  <c r="E200" i="1"/>
  <c r="E246" i="1"/>
  <c r="F252" i="1"/>
  <c r="F251" i="1" s="1"/>
  <c r="E253" i="1"/>
  <c r="E35" i="3"/>
  <c r="E47" i="3"/>
  <c r="D45" i="3" l="1"/>
  <c r="D36" i="3"/>
  <c r="D167" i="3"/>
  <c r="D96" i="3"/>
  <c r="D43" i="3"/>
  <c r="D44" i="3"/>
  <c r="D19" i="3"/>
  <c r="D120" i="3"/>
  <c r="D18" i="3"/>
  <c r="P200" i="1"/>
  <c r="O138" i="3" s="1"/>
  <c r="D138" i="3"/>
  <c r="P92" i="1"/>
  <c r="O46" i="3" s="1"/>
  <c r="D46" i="3"/>
  <c r="P25" i="1"/>
  <c r="P47" i="1"/>
  <c r="O195" i="3" s="1"/>
  <c r="O194" i="3" s="1"/>
  <c r="D195" i="3"/>
  <c r="D194" i="3" s="1"/>
  <c r="D122" i="3"/>
  <c r="P23" i="1"/>
  <c r="O121" i="3" s="1"/>
  <c r="D121" i="3"/>
  <c r="P230" i="1"/>
  <c r="E81" i="1"/>
  <c r="P82" i="1"/>
  <c r="E93" i="1"/>
  <c r="E252" i="1"/>
  <c r="P253" i="1"/>
  <c r="P252" i="1" s="1"/>
  <c r="P251" i="1" s="1"/>
  <c r="P150" i="1"/>
  <c r="P90" i="1"/>
  <c r="O36" i="3" l="1"/>
  <c r="E251" i="1"/>
  <c r="D47" i="3"/>
  <c r="D35" i="3"/>
  <c r="O96" i="3"/>
  <c r="O44" i="3"/>
  <c r="L264" i="1"/>
  <c r="J270" i="1"/>
  <c r="P270" i="1" s="1"/>
  <c r="P93" i="1"/>
  <c r="O47" i="3" s="1"/>
  <c r="H175" i="3"/>
  <c r="H174" i="3" s="1"/>
  <c r="H149" i="3"/>
  <c r="H148" i="3" s="1"/>
  <c r="J242" i="1"/>
  <c r="N155" i="3"/>
  <c r="N154" i="3"/>
  <c r="N153" i="3"/>
  <c r="G219" i="1"/>
  <c r="G218" i="1" s="1"/>
  <c r="N156" i="3"/>
  <c r="N152" i="3"/>
  <c r="E137" i="3"/>
  <c r="N134" i="3"/>
  <c r="H134" i="3"/>
  <c r="E134" i="3"/>
  <c r="N133" i="3"/>
  <c r="E196" i="1" l="1"/>
  <c r="J196" i="1"/>
  <c r="I134" i="3" s="1"/>
  <c r="E199" i="1"/>
  <c r="J231" i="1"/>
  <c r="I153" i="3" s="1"/>
  <c r="J232" i="1"/>
  <c r="I154" i="3" s="1"/>
  <c r="J233" i="1"/>
  <c r="I155" i="3" s="1"/>
  <c r="I254" i="1"/>
  <c r="J195" i="1"/>
  <c r="I133" i="3" s="1"/>
  <c r="J206" i="1"/>
  <c r="I152" i="3" s="1"/>
  <c r="J207" i="1"/>
  <c r="I156" i="3" s="1"/>
  <c r="J216" i="1"/>
  <c r="P216" i="1" s="1"/>
  <c r="E168" i="1"/>
  <c r="E105" i="3"/>
  <c r="E60" i="3"/>
  <c r="E59" i="3"/>
  <c r="E58" i="3"/>
  <c r="E57" i="3"/>
  <c r="N43" i="3"/>
  <c r="N35" i="3"/>
  <c r="N25" i="3"/>
  <c r="N19" i="3"/>
  <c r="N18" i="3"/>
  <c r="F18" i="3"/>
  <c r="N187" i="3"/>
  <c r="N186" i="3" s="1"/>
  <c r="E15" i="3"/>
  <c r="E188" i="3"/>
  <c r="E50" i="3"/>
  <c r="E49" i="3"/>
  <c r="E173" i="3"/>
  <c r="E172" i="3" s="1"/>
  <c r="G188" i="3" l="1"/>
  <c r="G186" i="3" s="1"/>
  <c r="D134" i="3"/>
  <c r="E38" i="1"/>
  <c r="E69" i="1"/>
  <c r="P199" i="1"/>
  <c r="O137" i="3" s="1"/>
  <c r="D137" i="3"/>
  <c r="E96" i="1"/>
  <c r="E44" i="1"/>
  <c r="E14" i="1"/>
  <c r="J74" i="1"/>
  <c r="J89" i="1"/>
  <c r="I43" i="3" s="1"/>
  <c r="E103" i="1"/>
  <c r="E111" i="1"/>
  <c r="E113" i="1"/>
  <c r="E155" i="1"/>
  <c r="P196" i="1"/>
  <c r="O134" i="3" s="1"/>
  <c r="E95" i="1"/>
  <c r="E121" i="1"/>
  <c r="E15" i="1"/>
  <c r="E43" i="1"/>
  <c r="J43" i="1"/>
  <c r="I187" i="3" s="1"/>
  <c r="J61" i="1"/>
  <c r="I25" i="3" s="1"/>
  <c r="J71" i="1"/>
  <c r="E70" i="1"/>
  <c r="E112" i="1"/>
  <c r="E114" i="1"/>
  <c r="P207" i="1"/>
  <c r="O156" i="3" s="1"/>
  <c r="P206" i="1"/>
  <c r="O152" i="3" s="1"/>
  <c r="P195" i="1"/>
  <c r="O133" i="3" s="1"/>
  <c r="P233" i="1"/>
  <c r="O155" i="3" s="1"/>
  <c r="P232" i="1"/>
  <c r="O154" i="3" s="1"/>
  <c r="P231" i="1"/>
  <c r="O153" i="3" s="1"/>
  <c r="E130" i="3"/>
  <c r="E209" i="3"/>
  <c r="E208" i="3" s="1"/>
  <c r="D58" i="3" l="1"/>
  <c r="D49" i="3"/>
  <c r="D105" i="3"/>
  <c r="D57" i="3"/>
  <c r="D188" i="3"/>
  <c r="D50" i="3"/>
  <c r="D173" i="3"/>
  <c r="D172" i="3" s="1"/>
  <c r="P121" i="1"/>
  <c r="P74" i="1"/>
  <c r="P114" i="1"/>
  <c r="O60" i="3" s="1"/>
  <c r="D60" i="3"/>
  <c r="P15" i="1"/>
  <c r="O15" i="3" s="1"/>
  <c r="D15" i="3"/>
  <c r="P113" i="1"/>
  <c r="O59" i="3" s="1"/>
  <c r="D59" i="3"/>
  <c r="P69" i="1"/>
  <c r="P38" i="1"/>
  <c r="E49" i="1"/>
  <c r="P112" i="1"/>
  <c r="P43" i="1"/>
  <c r="P95" i="1"/>
  <c r="P96" i="1"/>
  <c r="E31" i="1"/>
  <c r="P70" i="1"/>
  <c r="P155" i="1"/>
  <c r="O105" i="3" s="1"/>
  <c r="P111" i="1"/>
  <c r="P89" i="1"/>
  <c r="O43" i="3" s="1"/>
  <c r="N120" i="3"/>
  <c r="D209" i="3" l="1"/>
  <c r="D208" i="3" s="1"/>
  <c r="O57" i="3"/>
  <c r="P31" i="1"/>
  <c r="O130" i="3" s="1"/>
  <c r="D130" i="3"/>
  <c r="O50" i="3"/>
  <c r="O49" i="3"/>
  <c r="O58" i="3"/>
  <c r="E40" i="3"/>
  <c r="K171" i="3"/>
  <c r="K170" i="3"/>
  <c r="O241" i="1"/>
  <c r="O240" i="1"/>
  <c r="N139" i="3"/>
  <c r="E139" i="3"/>
  <c r="I205" i="1"/>
  <c r="N136" i="3"/>
  <c r="E123" i="3"/>
  <c r="E119" i="3" s="1"/>
  <c r="E104" i="3"/>
  <c r="E106" i="3"/>
  <c r="E101" i="3"/>
  <c r="E92" i="3"/>
  <c r="E91" i="3"/>
  <c r="E79" i="3"/>
  <c r="E78" i="3"/>
  <c r="E73" i="3"/>
  <c r="E72" i="3"/>
  <c r="N65" i="3"/>
  <c r="N45" i="3"/>
  <c r="E39" i="3"/>
  <c r="E25" i="3"/>
  <c r="N209" i="3"/>
  <c r="N208" i="3" s="1"/>
  <c r="E48" i="1"/>
  <c r="N128" i="3"/>
  <c r="E128" i="3"/>
  <c r="N127" i="3"/>
  <c r="E126" i="3"/>
  <c r="N98" i="3"/>
  <c r="N171" i="3" l="1"/>
  <c r="N164" i="3" s="1"/>
  <c r="O224" i="1"/>
  <c r="N170" i="3"/>
  <c r="O223" i="1"/>
  <c r="K164" i="3"/>
  <c r="K211" i="3" s="1"/>
  <c r="L288" i="1" s="1"/>
  <c r="P48" i="1"/>
  <c r="J18" i="1"/>
  <c r="I98" i="3" s="1"/>
  <c r="E27" i="1"/>
  <c r="J29" i="1"/>
  <c r="I128" i="3" s="1"/>
  <c r="E42" i="1"/>
  <c r="E61" i="1"/>
  <c r="E85" i="1"/>
  <c r="J91" i="1"/>
  <c r="I45" i="3" s="1"/>
  <c r="J110" i="1"/>
  <c r="E127" i="1"/>
  <c r="E133" i="1"/>
  <c r="E146" i="1"/>
  <c r="E156" i="1"/>
  <c r="E186" i="1"/>
  <c r="E226" i="1"/>
  <c r="J226" i="1"/>
  <c r="I139" i="3" s="1"/>
  <c r="L278" i="1"/>
  <c r="J241" i="1"/>
  <c r="I171" i="3" s="1"/>
  <c r="I164" i="3" s="1"/>
  <c r="J210" i="1"/>
  <c r="J28" i="1"/>
  <c r="I127" i="3" s="1"/>
  <c r="E29" i="1"/>
  <c r="J49" i="1"/>
  <c r="I209" i="3" s="1"/>
  <c r="I208" i="3" s="1"/>
  <c r="E62" i="1"/>
  <c r="J119" i="1"/>
  <c r="I65" i="3" s="1"/>
  <c r="E126" i="1"/>
  <c r="E132" i="1"/>
  <c r="E145" i="1"/>
  <c r="E151" i="1"/>
  <c r="E154" i="1"/>
  <c r="J198" i="1"/>
  <c r="I136" i="3" s="1"/>
  <c r="E205" i="1"/>
  <c r="J240" i="1"/>
  <c r="I170" i="3" s="1"/>
  <c r="E86" i="1"/>
  <c r="E23" i="3"/>
  <c r="E149" i="3"/>
  <c r="E148" i="3" s="1"/>
  <c r="E135" i="3"/>
  <c r="N117" i="3"/>
  <c r="E65" i="3"/>
  <c r="E68" i="3"/>
  <c r="E41" i="3"/>
  <c r="E37" i="3"/>
  <c r="E127" i="3"/>
  <c r="E29" i="3"/>
  <c r="N30" i="3"/>
  <c r="F23" i="3"/>
  <c r="F21" i="3"/>
  <c r="E21" i="3"/>
  <c r="F19" i="3"/>
  <c r="L290" i="1" l="1"/>
  <c r="D27" i="3"/>
  <c r="K214" i="3"/>
  <c r="G18" i="3"/>
  <c r="G19" i="3"/>
  <c r="G23" i="3"/>
  <c r="G120" i="3"/>
  <c r="D72" i="3"/>
  <c r="D128" i="3"/>
  <c r="D123" i="3"/>
  <c r="D119" i="3" s="1"/>
  <c r="D106" i="3"/>
  <c r="D73" i="3"/>
  <c r="G25" i="3"/>
  <c r="G29" i="3"/>
  <c r="H252" i="1"/>
  <c r="P205" i="1"/>
  <c r="D91" i="3"/>
  <c r="D92" i="3"/>
  <c r="P86" i="1"/>
  <c r="O40" i="3" s="1"/>
  <c r="D40" i="3"/>
  <c r="P154" i="1"/>
  <c r="O104" i="3" s="1"/>
  <c r="D104" i="3"/>
  <c r="P132" i="1"/>
  <c r="O78" i="3" s="1"/>
  <c r="D78" i="3"/>
  <c r="P85" i="1"/>
  <c r="O39" i="3" s="1"/>
  <c r="D39" i="3"/>
  <c r="P27" i="1"/>
  <c r="O126" i="3" s="1"/>
  <c r="D126" i="3"/>
  <c r="P151" i="1"/>
  <c r="O101" i="3" s="1"/>
  <c r="D101" i="3"/>
  <c r="P133" i="1"/>
  <c r="O79" i="3" s="1"/>
  <c r="D79" i="3"/>
  <c r="P61" i="1"/>
  <c r="O25" i="3" s="1"/>
  <c r="D25" i="3"/>
  <c r="E57" i="1"/>
  <c r="J65" i="1"/>
  <c r="I30" i="3" s="1"/>
  <c r="E80" i="1"/>
  <c r="E83" i="1"/>
  <c r="E110" i="1"/>
  <c r="E119" i="1"/>
  <c r="J167" i="1"/>
  <c r="I117" i="3" s="1"/>
  <c r="E171" i="1"/>
  <c r="J185" i="1"/>
  <c r="E193" i="1"/>
  <c r="E197" i="1"/>
  <c r="E257" i="1"/>
  <c r="P240" i="1"/>
  <c r="P198" i="1"/>
  <c r="O136" i="3" s="1"/>
  <c r="P49" i="1"/>
  <c r="O209" i="3" s="1"/>
  <c r="O208" i="3" s="1"/>
  <c r="P29" i="1"/>
  <c r="O128" i="3" s="1"/>
  <c r="P28" i="1"/>
  <c r="P241" i="1"/>
  <c r="P226" i="1"/>
  <c r="P156" i="1"/>
  <c r="P146" i="1"/>
  <c r="P127" i="1"/>
  <c r="P91" i="1"/>
  <c r="E64" i="1"/>
  <c r="E71" i="1"/>
  <c r="E87" i="1"/>
  <c r="E122" i="1"/>
  <c r="E123" i="1"/>
  <c r="F172" i="1"/>
  <c r="J182" i="1"/>
  <c r="E183" i="1"/>
  <c r="E256" i="1"/>
  <c r="E267" i="1"/>
  <c r="E59" i="1"/>
  <c r="P145" i="1"/>
  <c r="P126" i="1"/>
  <c r="P210" i="1"/>
  <c r="P186" i="1"/>
  <c r="O123" i="3" s="1"/>
  <c r="P42" i="1"/>
  <c r="E190" i="3"/>
  <c r="E189" i="3" s="1"/>
  <c r="N173" i="3"/>
  <c r="N172" i="3" s="1"/>
  <c r="O34" i="1"/>
  <c r="H166" i="3"/>
  <c r="H165" i="3"/>
  <c r="E129" i="3"/>
  <c r="D26" i="3" l="1"/>
  <c r="E173" i="1"/>
  <c r="N167" i="3"/>
  <c r="N163" i="3" s="1"/>
  <c r="O13" i="1"/>
  <c r="H163" i="3"/>
  <c r="H147" i="3" s="1"/>
  <c r="G16" i="3"/>
  <c r="G13" i="3"/>
  <c r="G122" i="3"/>
  <c r="G129" i="3"/>
  <c r="G190" i="3"/>
  <c r="G189" i="3" s="1"/>
  <c r="G185" i="3" s="1"/>
  <c r="D65" i="3"/>
  <c r="P171" i="1"/>
  <c r="H264" i="1"/>
  <c r="H244" i="1"/>
  <c r="G121" i="3"/>
  <c r="G127" i="3"/>
  <c r="D23" i="3"/>
  <c r="D127" i="3"/>
  <c r="D135" i="3"/>
  <c r="H179" i="1"/>
  <c r="D37" i="3"/>
  <c r="H251" i="1"/>
  <c r="H172" i="1"/>
  <c r="H77" i="1"/>
  <c r="O72" i="3"/>
  <c r="O91" i="3"/>
  <c r="P123" i="1"/>
  <c r="P87" i="1"/>
  <c r="O41" i="3" s="1"/>
  <c r="D41" i="3"/>
  <c r="O45" i="3"/>
  <c r="O73" i="3"/>
  <c r="O92" i="3"/>
  <c r="O106" i="3"/>
  <c r="O171" i="3"/>
  <c r="O164" i="3" s="1"/>
  <c r="O170" i="3"/>
  <c r="P257" i="1"/>
  <c r="O149" i="3" s="1"/>
  <c r="O148" i="3" s="1"/>
  <c r="D149" i="3"/>
  <c r="D148" i="3" s="1"/>
  <c r="P57" i="1"/>
  <c r="O21" i="3" s="1"/>
  <c r="D21" i="3"/>
  <c r="P122" i="1"/>
  <c r="O68" i="3" s="1"/>
  <c r="D68" i="3"/>
  <c r="P64" i="1"/>
  <c r="O29" i="3" s="1"/>
  <c r="D29" i="3"/>
  <c r="J14" i="1"/>
  <c r="E30" i="1"/>
  <c r="E33" i="1"/>
  <c r="J39" i="1"/>
  <c r="I179" i="3" s="1"/>
  <c r="E45" i="1"/>
  <c r="P185" i="1"/>
  <c r="P119" i="1"/>
  <c r="E32" i="1"/>
  <c r="J36" i="1"/>
  <c r="I173" i="3" s="1"/>
  <c r="I172" i="3" s="1"/>
  <c r="P71" i="1"/>
  <c r="P110" i="1"/>
  <c r="G119" i="3" l="1"/>
  <c r="G124" i="3"/>
  <c r="D166" i="3"/>
  <c r="D129" i="3"/>
  <c r="D165" i="3"/>
  <c r="E172" i="1"/>
  <c r="H50" i="1"/>
  <c r="I12" i="1"/>
  <c r="O127" i="3"/>
  <c r="O65" i="3"/>
  <c r="P45" i="1"/>
  <c r="O190" i="3" s="1"/>
  <c r="O189" i="3" s="1"/>
  <c r="D190" i="3"/>
  <c r="D189" i="3" s="1"/>
  <c r="P36" i="1"/>
  <c r="O173" i="3" s="1"/>
  <c r="O172" i="3" s="1"/>
  <c r="P32" i="1"/>
  <c r="P39" i="1"/>
  <c r="O179" i="3" s="1"/>
  <c r="P33" i="1"/>
  <c r="O166" i="3" s="1"/>
  <c r="P14" i="1"/>
  <c r="E30" i="3"/>
  <c r="E16" i="3" s="1"/>
  <c r="N114" i="3"/>
  <c r="N113" i="3"/>
  <c r="O165" i="3" l="1"/>
  <c r="J164" i="1"/>
  <c r="I114" i="3" s="1"/>
  <c r="E65" i="1"/>
  <c r="J163" i="1"/>
  <c r="I113" i="3" s="1"/>
  <c r="F190" i="1"/>
  <c r="N161" i="3"/>
  <c r="N151" i="3" s="1"/>
  <c r="N160" i="3"/>
  <c r="F221" i="1"/>
  <c r="E221" i="1" s="1"/>
  <c r="N193" i="3"/>
  <c r="N191" i="3" s="1"/>
  <c r="N185" i="3" s="1"/>
  <c r="E53" i="3"/>
  <c r="N23" i="3"/>
  <c r="N129" i="3"/>
  <c r="N124" i="3" s="1"/>
  <c r="F20" i="3"/>
  <c r="E20" i="3"/>
  <c r="N144" i="3"/>
  <c r="N132" i="3" s="1"/>
  <c r="D162" i="1"/>
  <c r="N110" i="3"/>
  <c r="N56" i="3" s="1"/>
  <c r="N109" i="3"/>
  <c r="E146" i="3"/>
  <c r="E131" i="3" s="1"/>
  <c r="N20" i="3"/>
  <c r="E116" i="3"/>
  <c r="E56" i="3" s="1"/>
  <c r="E38" i="3"/>
  <c r="E42" i="3"/>
  <c r="E54" i="3"/>
  <c r="E24" i="3"/>
  <c r="N207" i="3"/>
  <c r="N206" i="3" s="1"/>
  <c r="N198" i="3" s="1"/>
  <c r="K188" i="3"/>
  <c r="K186" i="3" s="1"/>
  <c r="J212" i="1"/>
  <c r="P212" i="1" s="1"/>
  <c r="N181" i="3"/>
  <c r="N177" i="3"/>
  <c r="N135" i="3"/>
  <c r="N145" i="3"/>
  <c r="N142" i="3"/>
  <c r="K129" i="3"/>
  <c r="K124" i="3" s="1"/>
  <c r="K120" i="3"/>
  <c r="K119" i="3" s="1"/>
  <c r="N122" i="3"/>
  <c r="N119" i="3" s="1"/>
  <c r="N118" i="3"/>
  <c r="K35" i="3"/>
  <c r="K33" i="3" s="1"/>
  <c r="N37" i="3"/>
  <c r="N33" i="3" s="1"/>
  <c r="K18" i="3"/>
  <c r="K19" i="3"/>
  <c r="K13" i="3"/>
  <c r="L13" i="3"/>
  <c r="L210" i="3" s="1"/>
  <c r="M287" i="1" s="1"/>
  <c r="M188" i="3"/>
  <c r="M186" i="3" s="1"/>
  <c r="M185" i="3" s="1"/>
  <c r="M13" i="3"/>
  <c r="H139" i="3"/>
  <c r="H146" i="3"/>
  <c r="H145" i="3"/>
  <c r="E125" i="3"/>
  <c r="E124" i="3" s="1"/>
  <c r="E207" i="3"/>
  <c r="E206" i="3" s="1"/>
  <c r="E198" i="3" s="1"/>
  <c r="E187" i="3"/>
  <c r="E186" i="3" s="1"/>
  <c r="E196" i="3"/>
  <c r="E169" i="3"/>
  <c r="E163" i="3" s="1"/>
  <c r="E175" i="3"/>
  <c r="E176" i="3"/>
  <c r="E180" i="3"/>
  <c r="E67" i="3"/>
  <c r="E69" i="3"/>
  <c r="E84" i="3"/>
  <c r="E98" i="3"/>
  <c r="E99" i="3"/>
  <c r="E100" i="3"/>
  <c r="E108" i="3"/>
  <c r="E118" i="3"/>
  <c r="E115" i="3"/>
  <c r="E51" i="3"/>
  <c r="E33" i="3" s="1"/>
  <c r="F127" i="3"/>
  <c r="F129" i="3"/>
  <c r="F96" i="3"/>
  <c r="F98" i="3"/>
  <c r="F108" i="3"/>
  <c r="F117" i="3"/>
  <c r="F29" i="3"/>
  <c r="F30" i="3"/>
  <c r="G264" i="1"/>
  <c r="D160" i="1"/>
  <c r="B210" i="1"/>
  <c r="C203" i="1"/>
  <c r="B203" i="1"/>
  <c r="C248" i="1"/>
  <c r="D248" i="1"/>
  <c r="B248" i="1"/>
  <c r="C48" i="1"/>
  <c r="D48" i="1"/>
  <c r="B48" i="1"/>
  <c r="C205" i="1"/>
  <c r="D205" i="1"/>
  <c r="B205" i="1"/>
  <c r="C227" i="1"/>
  <c r="D227" i="1"/>
  <c r="B227" i="1"/>
  <c r="C209" i="1"/>
  <c r="D209" i="1"/>
  <c r="B209" i="1"/>
  <c r="C170" i="1"/>
  <c r="D170" i="1"/>
  <c r="B170" i="1"/>
  <c r="C239" i="1"/>
  <c r="D239" i="1"/>
  <c r="B239" i="1"/>
  <c r="C243" i="1"/>
  <c r="B243" i="1"/>
  <c r="C237" i="1"/>
  <c r="D237" i="1"/>
  <c r="B237" i="1"/>
  <c r="C210" i="1"/>
  <c r="D210" i="1"/>
  <c r="C198" i="1"/>
  <c r="D198" i="1"/>
  <c r="B198" i="1"/>
  <c r="C101" i="1"/>
  <c r="D101" i="1"/>
  <c r="B101" i="1"/>
  <c r="C72" i="1"/>
  <c r="D72" i="1"/>
  <c r="B72" i="1"/>
  <c r="C263" i="1"/>
  <c r="D263" i="1"/>
  <c r="B263" i="1"/>
  <c r="C122" i="1"/>
  <c r="D122" i="1"/>
  <c r="B122" i="1"/>
  <c r="D76" i="1"/>
  <c r="C76" i="1"/>
  <c r="B76" i="1"/>
  <c r="C49" i="1"/>
  <c r="D49" i="1"/>
  <c r="B49" i="1"/>
  <c r="C23" i="1"/>
  <c r="D23" i="1"/>
  <c r="B23" i="1"/>
  <c r="C235" i="1"/>
  <c r="D235" i="1"/>
  <c r="B235" i="1"/>
  <c r="C91" i="1"/>
  <c r="D91" i="1"/>
  <c r="B91" i="1"/>
  <c r="C70" i="1"/>
  <c r="D70" i="1"/>
  <c r="B70" i="1"/>
  <c r="D166" i="1"/>
  <c r="C165" i="1"/>
  <c r="B165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45" i="1"/>
  <c r="C145" i="1"/>
  <c r="D145" i="1"/>
  <c r="D146" i="1"/>
  <c r="B147" i="1"/>
  <c r="C147" i="1"/>
  <c r="D147" i="1"/>
  <c r="D148" i="1"/>
  <c r="B124" i="1"/>
  <c r="C124" i="1"/>
  <c r="D124" i="1"/>
  <c r="D125" i="1"/>
  <c r="B126" i="1"/>
  <c r="C126" i="1"/>
  <c r="D126" i="1"/>
  <c r="D127" i="1"/>
  <c r="B128" i="1"/>
  <c r="C128" i="1"/>
  <c r="D128" i="1"/>
  <c r="D129" i="1"/>
  <c r="B130" i="1"/>
  <c r="C130" i="1"/>
  <c r="D130" i="1"/>
  <c r="D131" i="1"/>
  <c r="B132" i="1"/>
  <c r="C132" i="1"/>
  <c r="D132" i="1"/>
  <c r="D133" i="1"/>
  <c r="B134" i="1"/>
  <c r="C134" i="1"/>
  <c r="D134" i="1"/>
  <c r="D135" i="1"/>
  <c r="B136" i="1"/>
  <c r="C136" i="1"/>
  <c r="D136" i="1"/>
  <c r="D137" i="1"/>
  <c r="B111" i="1"/>
  <c r="C111" i="1"/>
  <c r="D111" i="1"/>
  <c r="D112" i="1"/>
  <c r="B113" i="1"/>
  <c r="C113" i="1"/>
  <c r="D113" i="1"/>
  <c r="D114" i="1"/>
  <c r="B115" i="1"/>
  <c r="C115" i="1"/>
  <c r="D115" i="1"/>
  <c r="D116" i="1"/>
  <c r="B117" i="1"/>
  <c r="C117" i="1"/>
  <c r="D117" i="1"/>
  <c r="D118" i="1"/>
  <c r="B93" i="1"/>
  <c r="C93" i="1"/>
  <c r="D93" i="1"/>
  <c r="D94" i="1"/>
  <c r="B95" i="1"/>
  <c r="C95" i="1"/>
  <c r="D95" i="1"/>
  <c r="D96" i="1"/>
  <c r="B152" i="1"/>
  <c r="C152" i="1"/>
  <c r="D152" i="1"/>
  <c r="B153" i="1"/>
  <c r="C153" i="1"/>
  <c r="D153" i="1"/>
  <c r="C149" i="1"/>
  <c r="D149" i="1"/>
  <c r="B149" i="1"/>
  <c r="C276" i="1"/>
  <c r="D276" i="1"/>
  <c r="B276" i="1"/>
  <c r="C250" i="1"/>
  <c r="B250" i="1"/>
  <c r="C247" i="1"/>
  <c r="D247" i="1"/>
  <c r="B247" i="1"/>
  <c r="D99" i="1"/>
  <c r="C99" i="1"/>
  <c r="B99" i="1"/>
  <c r="C97" i="1"/>
  <c r="D97" i="1"/>
  <c r="B97" i="1"/>
  <c r="C41" i="1"/>
  <c r="B41" i="1"/>
  <c r="C35" i="1"/>
  <c r="D35" i="1"/>
  <c r="B35" i="1"/>
  <c r="C171" i="1"/>
  <c r="D171" i="1"/>
  <c r="B171" i="1"/>
  <c r="C169" i="1"/>
  <c r="D169" i="1"/>
  <c r="B169" i="1"/>
  <c r="C167" i="1"/>
  <c r="D167" i="1"/>
  <c r="C168" i="1"/>
  <c r="D168" i="1"/>
  <c r="B168" i="1"/>
  <c r="B167" i="1"/>
  <c r="C158" i="1"/>
  <c r="D158" i="1"/>
  <c r="B158" i="1"/>
  <c r="C157" i="1"/>
  <c r="D157" i="1"/>
  <c r="B157" i="1"/>
  <c r="C156" i="1"/>
  <c r="D156" i="1"/>
  <c r="B156" i="1"/>
  <c r="C155" i="1"/>
  <c r="D155" i="1"/>
  <c r="B155" i="1"/>
  <c r="C154" i="1"/>
  <c r="D154" i="1"/>
  <c r="B154" i="1"/>
  <c r="C151" i="1"/>
  <c r="D151" i="1"/>
  <c r="B151" i="1"/>
  <c r="C150" i="1"/>
  <c r="D150" i="1"/>
  <c r="B150" i="1"/>
  <c r="C138" i="1"/>
  <c r="D138" i="1"/>
  <c r="B138" i="1"/>
  <c r="C123" i="1"/>
  <c r="D123" i="1"/>
  <c r="B123" i="1"/>
  <c r="C121" i="1"/>
  <c r="D121" i="1"/>
  <c r="B121" i="1"/>
  <c r="C120" i="1"/>
  <c r="D120" i="1"/>
  <c r="B120" i="1"/>
  <c r="C119" i="1"/>
  <c r="D119" i="1"/>
  <c r="B119" i="1"/>
  <c r="C103" i="1"/>
  <c r="D103" i="1"/>
  <c r="B103" i="1"/>
  <c r="C89" i="1"/>
  <c r="D89" i="1"/>
  <c r="B89" i="1"/>
  <c r="C87" i="1"/>
  <c r="D87" i="1"/>
  <c r="B87" i="1"/>
  <c r="C85" i="1"/>
  <c r="D85" i="1"/>
  <c r="B85" i="1"/>
  <c r="C83" i="1"/>
  <c r="D83" i="1"/>
  <c r="B83" i="1"/>
  <c r="C81" i="1"/>
  <c r="D81" i="1"/>
  <c r="B81" i="1"/>
  <c r="C75" i="1"/>
  <c r="D75" i="1"/>
  <c r="B75" i="1"/>
  <c r="C74" i="1"/>
  <c r="D74" i="1"/>
  <c r="B74" i="1"/>
  <c r="C71" i="1"/>
  <c r="D71" i="1"/>
  <c r="B71" i="1"/>
  <c r="D69" i="1"/>
  <c r="C69" i="1"/>
  <c r="B69" i="1"/>
  <c r="C65" i="1"/>
  <c r="C67" i="1"/>
  <c r="D67" i="1"/>
  <c r="B67" i="1"/>
  <c r="B65" i="1"/>
  <c r="C64" i="1"/>
  <c r="D64" i="1"/>
  <c r="B64" i="1"/>
  <c r="C62" i="1"/>
  <c r="D62" i="1"/>
  <c r="B62" i="1"/>
  <c r="C61" i="1"/>
  <c r="D61" i="1"/>
  <c r="B61" i="1"/>
  <c r="C59" i="1"/>
  <c r="D59" i="1"/>
  <c r="B59" i="1"/>
  <c r="C57" i="1"/>
  <c r="D57" i="1"/>
  <c r="B57" i="1"/>
  <c r="C55" i="1"/>
  <c r="D55" i="1"/>
  <c r="B55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76" i="1"/>
  <c r="C176" i="1"/>
  <c r="B176" i="1"/>
  <c r="C183" i="1"/>
  <c r="D183" i="1"/>
  <c r="B183" i="1"/>
  <c r="C184" i="1"/>
  <c r="D184" i="1"/>
  <c r="B184" i="1"/>
  <c r="C185" i="1"/>
  <c r="D185" i="1"/>
  <c r="C186" i="1"/>
  <c r="D186" i="1"/>
  <c r="B186" i="1"/>
  <c r="B185" i="1"/>
  <c r="C189" i="1"/>
  <c r="D189" i="1"/>
  <c r="B189" i="1"/>
  <c r="C194" i="1"/>
  <c r="D194" i="1"/>
  <c r="B194" i="1"/>
  <c r="C199" i="1"/>
  <c r="D199" i="1"/>
  <c r="B199" i="1"/>
  <c r="C197" i="1"/>
  <c r="D197" i="1"/>
  <c r="B197" i="1"/>
  <c r="C196" i="1"/>
  <c r="D196" i="1"/>
  <c r="B196" i="1"/>
  <c r="C195" i="1"/>
  <c r="D195" i="1"/>
  <c r="B195" i="1"/>
  <c r="C200" i="1"/>
  <c r="D200" i="1"/>
  <c r="B200" i="1"/>
  <c r="C201" i="1"/>
  <c r="D201" i="1"/>
  <c r="B201" i="1"/>
  <c r="C202" i="1"/>
  <c r="D202" i="1"/>
  <c r="B202" i="1"/>
  <c r="C206" i="1"/>
  <c r="D206" i="1"/>
  <c r="B206" i="1"/>
  <c r="C207" i="1"/>
  <c r="D207" i="1"/>
  <c r="B207" i="1"/>
  <c r="C208" i="1"/>
  <c r="D208" i="1"/>
  <c r="B208" i="1"/>
  <c r="C212" i="1"/>
  <c r="D212" i="1"/>
  <c r="B212" i="1"/>
  <c r="C215" i="1"/>
  <c r="D215" i="1"/>
  <c r="B215" i="1"/>
  <c r="C216" i="1"/>
  <c r="D216" i="1"/>
  <c r="B216" i="1"/>
  <c r="C217" i="1"/>
  <c r="D217" i="1"/>
  <c r="B217" i="1"/>
  <c r="C226" i="1"/>
  <c r="D226" i="1"/>
  <c r="B226" i="1"/>
  <c r="C229" i="1"/>
  <c r="D229" i="1"/>
  <c r="B229" i="1"/>
  <c r="C230" i="1"/>
  <c r="D230" i="1"/>
  <c r="B230" i="1"/>
  <c r="C233" i="1"/>
  <c r="D233" i="1"/>
  <c r="B233" i="1"/>
  <c r="C232" i="1"/>
  <c r="D232" i="1"/>
  <c r="B232" i="1"/>
  <c r="C231" i="1"/>
  <c r="D231" i="1"/>
  <c r="B231" i="1"/>
  <c r="C234" i="1"/>
  <c r="D234" i="1"/>
  <c r="B234" i="1"/>
  <c r="C242" i="1"/>
  <c r="D242" i="1"/>
  <c r="B242" i="1"/>
  <c r="C221" i="1"/>
  <c r="D221" i="1"/>
  <c r="B221" i="1"/>
  <c r="C257" i="1"/>
  <c r="D257" i="1"/>
  <c r="B257" i="1"/>
  <c r="C259" i="1"/>
  <c r="D259" i="1"/>
  <c r="B259" i="1"/>
  <c r="C260" i="1"/>
  <c r="D260" i="1"/>
  <c r="B260" i="1"/>
  <c r="C261" i="1"/>
  <c r="D261" i="1"/>
  <c r="B261" i="1"/>
  <c r="C262" i="1"/>
  <c r="D262" i="1"/>
  <c r="B262" i="1"/>
  <c r="C268" i="1"/>
  <c r="D268" i="1"/>
  <c r="B268" i="1"/>
  <c r="C270" i="1"/>
  <c r="D270" i="1"/>
  <c r="B270" i="1"/>
  <c r="C271" i="1"/>
  <c r="D271" i="1"/>
  <c r="B271" i="1"/>
  <c r="C272" i="1"/>
  <c r="D272" i="1"/>
  <c r="B272" i="1"/>
  <c r="C273" i="1"/>
  <c r="D273" i="1"/>
  <c r="B273" i="1"/>
  <c r="C267" i="1"/>
  <c r="B267" i="1"/>
  <c r="C256" i="1"/>
  <c r="B256" i="1"/>
  <c r="C253" i="1"/>
  <c r="B253" i="1"/>
  <c r="C246" i="1"/>
  <c r="B246" i="1"/>
  <c r="C225" i="1"/>
  <c r="B225" i="1"/>
  <c r="C220" i="1"/>
  <c r="B220" i="1"/>
  <c r="C193" i="1"/>
  <c r="B193" i="1"/>
  <c r="C182" i="1"/>
  <c r="B182" i="1"/>
  <c r="C175" i="1"/>
  <c r="B175" i="1"/>
  <c r="C110" i="1"/>
  <c r="B110" i="1"/>
  <c r="C80" i="1"/>
  <c r="B80" i="1"/>
  <c r="C53" i="1"/>
  <c r="B53" i="1"/>
  <c r="C14" i="1"/>
  <c r="B14" i="1"/>
  <c r="D267" i="1"/>
  <c r="D256" i="1"/>
  <c r="D253" i="1"/>
  <c r="D246" i="1"/>
  <c r="D225" i="1"/>
  <c r="D220" i="1"/>
  <c r="D193" i="1"/>
  <c r="D182" i="1"/>
  <c r="D175" i="1"/>
  <c r="D110" i="1"/>
  <c r="D80" i="1"/>
  <c r="D53" i="1"/>
  <c r="D14" i="1"/>
  <c r="M210" i="3" l="1"/>
  <c r="N287" i="1" s="1"/>
  <c r="F16" i="3"/>
  <c r="N17" i="3"/>
  <c r="N211" i="3" s="1"/>
  <c r="O288" i="1" s="1"/>
  <c r="E174" i="3"/>
  <c r="E147" i="3" s="1"/>
  <c r="H131" i="3"/>
  <c r="H210" i="3" s="1"/>
  <c r="I287" i="1" s="1"/>
  <c r="N131" i="3"/>
  <c r="N55" i="3"/>
  <c r="E17" i="3"/>
  <c r="F55" i="3"/>
  <c r="F124" i="3"/>
  <c r="K16" i="3"/>
  <c r="E34" i="3"/>
  <c r="F17" i="3"/>
  <c r="F211" i="3" s="1"/>
  <c r="G288" i="1" s="1"/>
  <c r="N16" i="3"/>
  <c r="G146" i="3"/>
  <c r="G131" i="3" s="1"/>
  <c r="G98" i="3"/>
  <c r="G55" i="3" s="1"/>
  <c r="P221" i="1"/>
  <c r="D30" i="3"/>
  <c r="D16" i="3" s="1"/>
  <c r="E117" i="3"/>
  <c r="E55" i="3" s="1"/>
  <c r="E13" i="3"/>
  <c r="N13" i="3"/>
  <c r="J46" i="1"/>
  <c r="K193" i="3"/>
  <c r="K191" i="3" s="1"/>
  <c r="K185" i="3" s="1"/>
  <c r="F13" i="3"/>
  <c r="E185" i="3"/>
  <c r="K181" i="3"/>
  <c r="K174" i="3" s="1"/>
  <c r="N176" i="3"/>
  <c r="N174" i="3" s="1"/>
  <c r="J235" i="1"/>
  <c r="N157" i="3"/>
  <c r="N150" i="3" s="1"/>
  <c r="G50" i="1"/>
  <c r="F179" i="1"/>
  <c r="E182" i="1"/>
  <c r="F77" i="1"/>
  <c r="E97" i="1"/>
  <c r="F107" i="1"/>
  <c r="E167" i="1"/>
  <c r="E158" i="1"/>
  <c r="E19" i="1"/>
  <c r="E138" i="1"/>
  <c r="E17" i="1"/>
  <c r="E262" i="1"/>
  <c r="E259" i="1"/>
  <c r="E35" i="1"/>
  <c r="E271" i="1"/>
  <c r="F264" i="1"/>
  <c r="E276" i="1"/>
  <c r="E229" i="1"/>
  <c r="I222" i="1"/>
  <c r="N222" i="1"/>
  <c r="M222" i="1"/>
  <c r="O254" i="1"/>
  <c r="J256" i="1"/>
  <c r="O219" i="1"/>
  <c r="O218" i="1" s="1"/>
  <c r="J220" i="1"/>
  <c r="J219" i="1" s="1"/>
  <c r="J218" i="1" s="1"/>
  <c r="O172" i="1"/>
  <c r="J175" i="1"/>
  <c r="J173" i="1" s="1"/>
  <c r="J62" i="1"/>
  <c r="I27" i="3" s="1"/>
  <c r="L179" i="1"/>
  <c r="J183" i="1"/>
  <c r="I26" i="3" s="1"/>
  <c r="L50" i="1"/>
  <c r="J54" i="1"/>
  <c r="L77" i="1"/>
  <c r="J81" i="1"/>
  <c r="I35" i="3" s="1"/>
  <c r="J24" i="1"/>
  <c r="J30" i="1"/>
  <c r="I129" i="3" s="1"/>
  <c r="I124" i="3" s="1"/>
  <c r="J229" i="1"/>
  <c r="I145" i="3" s="1"/>
  <c r="J260" i="1"/>
  <c r="I177" i="3" s="1"/>
  <c r="J214" i="1"/>
  <c r="J41" i="1"/>
  <c r="J103" i="1"/>
  <c r="J44" i="1"/>
  <c r="I188" i="3" s="1"/>
  <c r="I186" i="3" s="1"/>
  <c r="E100" i="1"/>
  <c r="E88" i="1"/>
  <c r="E84" i="1"/>
  <c r="E166" i="1"/>
  <c r="J63" i="1"/>
  <c r="I28" i="3" s="1"/>
  <c r="E247" i="1"/>
  <c r="E245" i="1" s="1"/>
  <c r="F244" i="1"/>
  <c r="J178" i="1"/>
  <c r="G278" i="1"/>
  <c r="J75" i="1"/>
  <c r="E202" i="1"/>
  <c r="P163" i="1"/>
  <c r="O113" i="3" s="1"/>
  <c r="P65" i="1"/>
  <c r="G107" i="1"/>
  <c r="F219" i="1"/>
  <c r="F218" i="1" s="1"/>
  <c r="E220" i="1"/>
  <c r="E53" i="1"/>
  <c r="F50" i="1"/>
  <c r="E165" i="1"/>
  <c r="E22" i="1"/>
  <c r="E21" i="1"/>
  <c r="E20" i="1"/>
  <c r="E18" i="1"/>
  <c r="E16" i="1"/>
  <c r="E40" i="1"/>
  <c r="E242" i="1"/>
  <c r="F222" i="1"/>
  <c r="E170" i="1"/>
  <c r="E26" i="1"/>
  <c r="E201" i="1"/>
  <c r="I190" i="1"/>
  <c r="N12" i="1"/>
  <c r="N277" i="1" s="1"/>
  <c r="N289" i="1" s="1"/>
  <c r="O264" i="1"/>
  <c r="J267" i="1"/>
  <c r="O244" i="1"/>
  <c r="J246" i="1"/>
  <c r="L222" i="1"/>
  <c r="J225" i="1"/>
  <c r="J193" i="1"/>
  <c r="J80" i="1"/>
  <c r="J55" i="1"/>
  <c r="I19" i="3" s="1"/>
  <c r="J83" i="1"/>
  <c r="I37" i="3" s="1"/>
  <c r="J168" i="1"/>
  <c r="I118" i="3" s="1"/>
  <c r="J184" i="1"/>
  <c r="I120" i="3" s="1"/>
  <c r="J227" i="1"/>
  <c r="I142" i="3" s="1"/>
  <c r="J197" i="1"/>
  <c r="I135" i="3" s="1"/>
  <c r="J250" i="1"/>
  <c r="J276" i="1"/>
  <c r="E60" i="1"/>
  <c r="J56" i="1"/>
  <c r="J159" i="1"/>
  <c r="J160" i="1"/>
  <c r="E56" i="1"/>
  <c r="E52" i="1" s="1"/>
  <c r="E63" i="1"/>
  <c r="J59" i="1"/>
  <c r="I23" i="3" s="1"/>
  <c r="E99" i="1"/>
  <c r="J208" i="1"/>
  <c r="O50" i="1"/>
  <c r="J72" i="1"/>
  <c r="J73" i="1"/>
  <c r="O77" i="1"/>
  <c r="J101" i="1"/>
  <c r="J102" i="1"/>
  <c r="J79" i="1" s="1"/>
  <c r="O179" i="1"/>
  <c r="J187" i="1"/>
  <c r="J211" i="1"/>
  <c r="J192" i="1" s="1"/>
  <c r="J237" i="1"/>
  <c r="J238" i="1"/>
  <c r="J224" i="1" s="1"/>
  <c r="P164" i="1"/>
  <c r="O114" i="3" s="1"/>
  <c r="J52" i="1" l="1"/>
  <c r="G210" i="3"/>
  <c r="H287" i="1" s="1"/>
  <c r="E78" i="1"/>
  <c r="G290" i="1"/>
  <c r="F210" i="3"/>
  <c r="G287" i="1" s="1"/>
  <c r="E210" i="3"/>
  <c r="F287" i="1" s="1"/>
  <c r="I176" i="3"/>
  <c r="J78" i="1"/>
  <c r="J77" i="1" s="1"/>
  <c r="D14" i="3"/>
  <c r="D13" i="3" s="1"/>
  <c r="J191" i="1"/>
  <c r="D28" i="3"/>
  <c r="I14" i="3"/>
  <c r="I13" i="3" s="1"/>
  <c r="E191" i="1"/>
  <c r="I277" i="1"/>
  <c r="I289" i="1" s="1"/>
  <c r="M277" i="1"/>
  <c r="M289" i="1" s="1"/>
  <c r="J265" i="1"/>
  <c r="J264" i="1" s="1"/>
  <c r="E265" i="1"/>
  <c r="J255" i="1"/>
  <c r="J254" i="1" s="1"/>
  <c r="E255" i="1"/>
  <c r="E254" i="1" s="1"/>
  <c r="J223" i="1"/>
  <c r="J245" i="1"/>
  <c r="E223" i="1"/>
  <c r="J180" i="1"/>
  <c r="J179" i="1" s="1"/>
  <c r="E180" i="1"/>
  <c r="I144" i="3"/>
  <c r="I132" i="3" s="1"/>
  <c r="J174" i="1"/>
  <c r="I110" i="3"/>
  <c r="I56" i="3" s="1"/>
  <c r="J109" i="1"/>
  <c r="I109" i="3"/>
  <c r="J108" i="1"/>
  <c r="E109" i="1"/>
  <c r="E108" i="1"/>
  <c r="I55" i="3"/>
  <c r="E79" i="1"/>
  <c r="I20" i="3"/>
  <c r="I17" i="3" s="1"/>
  <c r="E51" i="1"/>
  <c r="I18" i="3"/>
  <c r="I16" i="3" s="1"/>
  <c r="J51" i="1"/>
  <c r="J50" i="1" s="1"/>
  <c r="I122" i="3"/>
  <c r="E13" i="1"/>
  <c r="E12" i="1" s="1"/>
  <c r="I119" i="3"/>
  <c r="I131" i="3"/>
  <c r="L190" i="1"/>
  <c r="O190" i="1"/>
  <c r="I33" i="3"/>
  <c r="D182" i="3"/>
  <c r="I207" i="3"/>
  <c r="I206" i="3" s="1"/>
  <c r="I198" i="3" s="1"/>
  <c r="E211" i="3"/>
  <c r="F288" i="1" s="1"/>
  <c r="F254" i="1"/>
  <c r="L244" i="1"/>
  <c r="D139" i="3"/>
  <c r="D116" i="3"/>
  <c r="D56" i="3" s="1"/>
  <c r="D54" i="3"/>
  <c r="D207" i="3"/>
  <c r="D206" i="3" s="1"/>
  <c r="D198" i="3" s="1"/>
  <c r="D196" i="3"/>
  <c r="D175" i="3"/>
  <c r="D84" i="3"/>
  <c r="D51" i="3"/>
  <c r="H190" i="1"/>
  <c r="D20" i="3"/>
  <c r="D125" i="3"/>
  <c r="D124" i="3" s="1"/>
  <c r="D67" i="3"/>
  <c r="D98" i="3"/>
  <c r="D38" i="3"/>
  <c r="D145" i="3"/>
  <c r="D169" i="3"/>
  <c r="D163" i="3" s="1"/>
  <c r="D99" i="3"/>
  <c r="F214" i="3"/>
  <c r="N147" i="3"/>
  <c r="N210" i="3" s="1"/>
  <c r="O287" i="1" s="1"/>
  <c r="I160" i="3"/>
  <c r="P60" i="1"/>
  <c r="O24" i="3" s="1"/>
  <c r="D24" i="3"/>
  <c r="P170" i="1"/>
  <c r="O187" i="3" s="1"/>
  <c r="D187" i="3"/>
  <c r="D186" i="3" s="1"/>
  <c r="P242" i="1"/>
  <c r="D176" i="3"/>
  <c r="P20" i="1"/>
  <c r="O100" i="3" s="1"/>
  <c r="D100" i="3"/>
  <c r="P165" i="1"/>
  <c r="O115" i="3" s="1"/>
  <c r="D115" i="3"/>
  <c r="P88" i="1"/>
  <c r="O42" i="3" s="1"/>
  <c r="D42" i="3"/>
  <c r="P17" i="1"/>
  <c r="O69" i="3" s="1"/>
  <c r="D69" i="3"/>
  <c r="P158" i="1"/>
  <c r="O108" i="3" s="1"/>
  <c r="D108" i="3"/>
  <c r="P46" i="1"/>
  <c r="I193" i="3"/>
  <c r="I191" i="3" s="1"/>
  <c r="I185" i="3" s="1"/>
  <c r="I161" i="3"/>
  <c r="P99" i="1"/>
  <c r="O53" i="3" s="1"/>
  <c r="D53" i="3"/>
  <c r="P40" i="1"/>
  <c r="O180" i="3" s="1"/>
  <c r="D180" i="3"/>
  <c r="P22" i="1"/>
  <c r="D118" i="3"/>
  <c r="G12" i="1"/>
  <c r="G277" i="1" s="1"/>
  <c r="O30" i="3"/>
  <c r="P202" i="1"/>
  <c r="D146" i="3"/>
  <c r="I181" i="3"/>
  <c r="D117" i="3"/>
  <c r="P235" i="1"/>
  <c r="I157" i="3"/>
  <c r="P63" i="1"/>
  <c r="O28" i="3" s="1"/>
  <c r="O107" i="1"/>
  <c r="O222" i="1"/>
  <c r="F278" i="1"/>
  <c r="O278" i="1"/>
  <c r="O290" i="1" s="1"/>
  <c r="P208" i="1"/>
  <c r="P56" i="1"/>
  <c r="P159" i="1"/>
  <c r="P184" i="1"/>
  <c r="O120" i="3" s="1"/>
  <c r="P83" i="1"/>
  <c r="O37" i="3" s="1"/>
  <c r="P80" i="1"/>
  <c r="P193" i="1"/>
  <c r="P225" i="1"/>
  <c r="P246" i="1"/>
  <c r="P267" i="1"/>
  <c r="P26" i="1"/>
  <c r="P16" i="1"/>
  <c r="P53" i="1"/>
  <c r="P247" i="1"/>
  <c r="P84" i="1"/>
  <c r="P260" i="1"/>
  <c r="O177" i="3" s="1"/>
  <c r="P24" i="1"/>
  <c r="P81" i="1"/>
  <c r="O35" i="3" s="1"/>
  <c r="P183" i="1"/>
  <c r="O26" i="3" s="1"/>
  <c r="P62" i="1"/>
  <c r="O27" i="3" s="1"/>
  <c r="J172" i="1"/>
  <c r="P175" i="1"/>
  <c r="P271" i="1"/>
  <c r="P238" i="1"/>
  <c r="P224" i="1" s="1"/>
  <c r="P237" i="1"/>
  <c r="P211" i="1"/>
  <c r="P192" i="1" s="1"/>
  <c r="P187" i="1"/>
  <c r="P102" i="1"/>
  <c r="P101" i="1"/>
  <c r="P73" i="1"/>
  <c r="P72" i="1"/>
  <c r="P59" i="1"/>
  <c r="O23" i="3" s="1"/>
  <c r="P160" i="1"/>
  <c r="P250" i="1"/>
  <c r="P197" i="1"/>
  <c r="O135" i="3" s="1"/>
  <c r="P227" i="1"/>
  <c r="O142" i="3" s="1"/>
  <c r="P168" i="1"/>
  <c r="P55" i="1"/>
  <c r="O19" i="3" s="1"/>
  <c r="P201" i="1"/>
  <c r="F12" i="1"/>
  <c r="P18" i="1"/>
  <c r="P21" i="1"/>
  <c r="E219" i="1"/>
  <c r="P220" i="1"/>
  <c r="P219" i="1" s="1"/>
  <c r="P218" i="1" s="1"/>
  <c r="P75" i="1"/>
  <c r="P178" i="1"/>
  <c r="P174" i="1" s="1"/>
  <c r="P166" i="1"/>
  <c r="O116" i="3" s="1"/>
  <c r="P100" i="1"/>
  <c r="P44" i="1"/>
  <c r="O188" i="3" s="1"/>
  <c r="P103" i="1"/>
  <c r="P41" i="1"/>
  <c r="P214" i="1"/>
  <c r="P30" i="1"/>
  <c r="O129" i="3" s="1"/>
  <c r="O12" i="1"/>
  <c r="P54" i="1"/>
  <c r="O18" i="3" s="1"/>
  <c r="P256" i="1"/>
  <c r="P229" i="1"/>
  <c r="O145" i="3" s="1"/>
  <c r="P276" i="1"/>
  <c r="P35" i="1"/>
  <c r="O169" i="3" s="1"/>
  <c r="P259" i="1"/>
  <c r="O175" i="3" s="1"/>
  <c r="P262" i="1"/>
  <c r="O182" i="3" s="1"/>
  <c r="P138" i="1"/>
  <c r="P19" i="1"/>
  <c r="P167" i="1"/>
  <c r="P97" i="1"/>
  <c r="O51" i="3" s="1"/>
  <c r="P182" i="1"/>
  <c r="P52" i="1" l="1"/>
  <c r="I174" i="3"/>
  <c r="P78" i="1"/>
  <c r="P77" i="1" s="1"/>
  <c r="G289" i="1"/>
  <c r="F290" i="1"/>
  <c r="O277" i="1"/>
  <c r="O289" i="1" s="1"/>
  <c r="F277" i="1"/>
  <c r="O14" i="3"/>
  <c r="O13" i="3" s="1"/>
  <c r="L213" i="3"/>
  <c r="O196" i="3"/>
  <c r="P265" i="1"/>
  <c r="P264" i="1" s="1"/>
  <c r="P245" i="1"/>
  <c r="P244" i="1" s="1"/>
  <c r="P255" i="1"/>
  <c r="P223" i="1"/>
  <c r="P222" i="1" s="1"/>
  <c r="P191" i="1"/>
  <c r="P180" i="1"/>
  <c r="P179" i="1" s="1"/>
  <c r="P173" i="1"/>
  <c r="P172" i="1" s="1"/>
  <c r="O84" i="3"/>
  <c r="P108" i="1"/>
  <c r="O110" i="3"/>
  <c r="O56" i="3" s="1"/>
  <c r="P109" i="1"/>
  <c r="O38" i="3"/>
  <c r="P79" i="1"/>
  <c r="P51" i="1"/>
  <c r="P50" i="1" s="1"/>
  <c r="O20" i="3"/>
  <c r="O17" i="3" s="1"/>
  <c r="I150" i="3"/>
  <c r="O16" i="3"/>
  <c r="O33" i="3"/>
  <c r="J190" i="1"/>
  <c r="I151" i="3"/>
  <c r="I211" i="3" s="1"/>
  <c r="J288" i="1" s="1"/>
  <c r="D34" i="3"/>
  <c r="D17" i="3"/>
  <c r="D33" i="3"/>
  <c r="D131" i="3"/>
  <c r="D55" i="3"/>
  <c r="D174" i="3"/>
  <c r="D147" i="3" s="1"/>
  <c r="O139" i="3"/>
  <c r="O207" i="3"/>
  <c r="O206" i="3" s="1"/>
  <c r="O198" i="3" s="1"/>
  <c r="J244" i="1"/>
  <c r="D185" i="3"/>
  <c r="F213" i="3"/>
  <c r="E179" i="1"/>
  <c r="E50" i="1"/>
  <c r="E278" i="1"/>
  <c r="E218" i="1"/>
  <c r="E190" i="1"/>
  <c r="E244" i="1"/>
  <c r="H213" i="3"/>
  <c r="N214" i="3"/>
  <c r="H12" i="1"/>
  <c r="H277" i="1" s="1"/>
  <c r="H289" i="1" s="1"/>
  <c r="E214" i="3"/>
  <c r="M213" i="3"/>
  <c r="O176" i="3"/>
  <c r="O118" i="3"/>
  <c r="O117" i="3"/>
  <c r="O99" i="3"/>
  <c r="O181" i="3"/>
  <c r="O144" i="3"/>
  <c r="O132" i="3" s="1"/>
  <c r="O160" i="3"/>
  <c r="O161" i="3"/>
  <c r="O151" i="3" s="1"/>
  <c r="O109" i="3"/>
  <c r="O54" i="3"/>
  <c r="O98" i="3"/>
  <c r="O122" i="3"/>
  <c r="O119" i="3" s="1"/>
  <c r="O67" i="3"/>
  <c r="O125" i="3"/>
  <c r="O124" i="3" s="1"/>
  <c r="O157" i="3"/>
  <c r="O146" i="3"/>
  <c r="O193" i="3"/>
  <c r="O191" i="3" s="1"/>
  <c r="O186" i="3"/>
  <c r="E264" i="1"/>
  <c r="J222" i="1"/>
  <c r="J278" i="1"/>
  <c r="J107" i="1"/>
  <c r="J290" i="1" l="1"/>
  <c r="D210" i="3"/>
  <c r="E287" i="1" s="1"/>
  <c r="E213" i="3"/>
  <c r="F289" i="1"/>
  <c r="O34" i="3"/>
  <c r="O211" i="3" s="1"/>
  <c r="P288" i="1" s="1"/>
  <c r="O150" i="3"/>
  <c r="P107" i="1"/>
  <c r="O55" i="3"/>
  <c r="O174" i="3"/>
  <c r="O131" i="3"/>
  <c r="P190" i="1"/>
  <c r="P254" i="1"/>
  <c r="D211" i="3"/>
  <c r="O185" i="3"/>
  <c r="N213" i="3"/>
  <c r="I214" i="3"/>
  <c r="E222" i="1"/>
  <c r="E107" i="1"/>
  <c r="E77" i="1"/>
  <c r="P278" i="1"/>
  <c r="D214" i="3" l="1"/>
  <c r="E288" i="1"/>
  <c r="P290" i="1"/>
  <c r="E290" i="1"/>
  <c r="E277" i="1"/>
  <c r="O214" i="3"/>
  <c r="G213" i="3"/>
  <c r="E289" i="1" l="1"/>
  <c r="D213" i="3"/>
  <c r="K167" i="3" l="1"/>
  <c r="L12" i="1"/>
  <c r="L277" i="1" s="1"/>
  <c r="J34" i="1"/>
  <c r="J13" i="1" l="1"/>
  <c r="J12" i="1" s="1"/>
  <c r="K163" i="3"/>
  <c r="K147" i="3" s="1"/>
  <c r="K210" i="3" s="1"/>
  <c r="P34" i="1"/>
  <c r="I167" i="3"/>
  <c r="L289" i="1" l="1"/>
  <c r="L287" i="1"/>
  <c r="J277" i="1"/>
  <c r="O167" i="3"/>
  <c r="O163" i="3" s="1"/>
  <c r="O147" i="3" s="1"/>
  <c r="O210" i="3" s="1"/>
  <c r="P287" i="1" s="1"/>
  <c r="P13" i="1"/>
  <c r="P12" i="1" s="1"/>
  <c r="P277" i="1" s="1"/>
  <c r="K213" i="3"/>
  <c r="I163" i="3"/>
  <c r="I147" i="3" s="1"/>
  <c r="I210" i="3" s="1"/>
  <c r="J287" i="1" s="1"/>
  <c r="P289" i="1" l="1"/>
  <c r="J289" i="1"/>
  <c r="O213" i="3"/>
  <c r="I213" i="3"/>
</calcChain>
</file>

<file path=xl/comments1.xml><?xml version="1.0" encoding="utf-8"?>
<comments xmlns="http://schemas.openxmlformats.org/spreadsheetml/2006/main">
  <authors>
    <author>User</author>
  </authors>
  <commentList>
    <comment ref="B19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<sst xmlns="http://schemas.openxmlformats.org/spreadsheetml/2006/main" count="834" uniqueCount="583">
  <si>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</si>
  <si>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</si>
  <si>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</si>
  <si>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</si>
  <si>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</si>
  <si>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</si>
  <si>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</si>
  <si>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</si>
  <si>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</si>
  <si>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</si>
  <si>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</si>
  <si>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</si>
  <si>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</si>
  <si>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</si>
  <si>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</si>
  <si>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</si>
  <si>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</si>
  <si>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</si>
  <si>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</si>
  <si>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</si>
  <si>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</si>
  <si>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</si>
  <si>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</si>
  <si>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</si>
  <si>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</si>
  <si>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</si>
  <si>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</si>
  <si>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</si>
  <si>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</si>
  <si>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</si>
  <si>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</si>
  <si>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</si>
  <si>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</si>
  <si>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</si>
  <si>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</si>
  <si>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</si>
  <si>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</si>
  <si>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</si>
  <si>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</si>
  <si>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</si>
  <si>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</si>
  <si>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</si>
  <si>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</si>
  <si>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</si>
  <si>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</si>
  <si>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</si>
  <si>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</si>
  <si>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</si>
  <si>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</si>
  <si>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</si>
  <si>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</si>
  <si>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</si>
  <si>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</si>
  <si>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</si>
  <si>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</si>
  <si>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</si>
  <si>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</si>
  <si>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</si>
  <si>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</si>
  <si>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</si>
  <si>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</si>
  <si>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</si>
  <si>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</si>
  <si>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</si>
  <si>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</si>
  <si>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</si>
  <si>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</si>
  <si>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</si>
  <si>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</si>
  <si>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</si>
  <si>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</si>
  <si>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</si>
  <si>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</si>
  <si>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</si>
  <si>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</si>
  <si>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</si>
  <si>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</si>
  <si>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</si>
  <si>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</si>
  <si>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</si>
  <si>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</si>
  <si>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</si>
  <si>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</si>
  <si>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</si>
  <si>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</si>
  <si>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</si>
  <si>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</si>
  <si>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</si>
  <si>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</si>
  <si>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</si>
  <si>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</si>
  <si>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</si>
  <si>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</si>
  <si>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</si>
  <si>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</si>
  <si>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</si>
  <si>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</si>
  <si>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</si>
  <si>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</si>
  <si>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</si>
  <si>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</si>
  <si>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</si>
  <si>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</si>
  <si>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</si>
  <si>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</si>
  <si>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</si>
  <si>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</si>
  <si>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</si>
  <si>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</si>
  <si>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</si>
  <si>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</si>
  <si>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</si>
  <si>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</si>
  <si>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</si>
  <si>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</si>
  <si>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</si>
  <si>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</si>
  <si>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</si>
  <si>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</si>
  <si>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</si>
  <si>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</si>
  <si>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</si>
  <si>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</si>
  <si>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</si>
  <si>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</si>
  <si>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</si>
  <si>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</si>
  <si>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</si>
  <si>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</si>
  <si>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</si>
  <si>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</si>
  <si>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</si>
  <si>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</si>
  <si>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</si>
  <si>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</si>
  <si>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</si>
  <si>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</si>
  <si>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</si>
  <si>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</si>
  <si>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</si>
  <si>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</si>
  <si>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</si>
  <si>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</si>
  <si>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</si>
  <si>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</si>
  <si>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</si>
  <si>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</si>
  <si>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</si>
  <si>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</si>
  <si>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</si>
  <si>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</si>
  <si>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</si>
  <si>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</si>
  <si>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</si>
  <si>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</si>
  <si>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</si>
  <si>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</si>
  <si>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</si>
  <si>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</si>
  <si>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</si>
  <si>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</si>
  <si>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</si>
  <si>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</si>
  <si>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</si>
  <si>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</si>
  <si>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</si>
  <si>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</si>
  <si>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</si>
  <si>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</si>
  <si>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</si>
  <si>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</si>
  <si>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</si>
  <si>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</si>
  <si>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</si>
  <si>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</si>
  <si>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</si>
  <si>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</si>
  <si>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</si>
  <si>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</si>
  <si>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</si>
  <si>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</si>
  <si>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</si>
  <si>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</si>
  <si>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</si>
  <si>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</si>
  <si>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</si>
  <si>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</si>
  <si>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</si>
  <si>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</si>
  <si>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</si>
  <si>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</si>
  <si>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</si>
  <si>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</si>
  <si>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</si>
  <si>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</si>
  <si>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</si>
  <si>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</si>
  <si>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</si>
  <si>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</si>
  <si>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</si>
  <si>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</si>
  <si>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</si>
  <si>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</si>
  <si>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</si>
  <si>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</si>
  <si>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</si>
  <si>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</si>
  <si>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</si>
  <si>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</si>
  <si>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</si>
  <si>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</si>
  <si>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</si>
  <si>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</si>
  <si>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</si>
  <si>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</si>
  <si>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</si>
  <si>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</si>
  <si>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</si>
  <si>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</si>
  <si>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</si>
  <si>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</si>
  <si>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</si>
  <si>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</si>
  <si>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</si>
  <si>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</si>
  <si>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</si>
  <si>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</si>
  <si>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</si>
  <si>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</si>
  <si>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</si>
  <si>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</si>
  <si>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</si>
  <si>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</si>
  <si>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</si>
  <si>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</si>
  <si>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</si>
  <si>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</si>
  <si>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</si>
  <si>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</si>
  <si>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</si>
  <si>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</si>
  <si>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</si>
  <si>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</si>
  <si>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</si>
  <si>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</si>
  <si>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</si>
  <si>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</si>
  <si>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</si>
  <si>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</si>
  <si>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</si>
  <si>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</si>
  <si>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</si>
  <si>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</si>
  <si>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</si>
  <si>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</si>
  <si>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</si>
  <si>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</si>
  <si>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</si>
  <si>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</si>
  <si>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</si>
  <si>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</si>
  <si>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</si>
  <si>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</si>
  <si>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</si>
  <si>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</si>
  <si>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</si>
  <si>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</si>
  <si>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</si>
  <si>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</si>
  <si>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</si>
  <si>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</si>
  <si>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</si>
  <si>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</si>
  <si>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</si>
  <si>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</si>
  <si>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</si>
  <si>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</si>
  <si>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</si>
  <si>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</si>
  <si>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</si>
  <si>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</si>
  <si>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</si>
  <si>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</si>
  <si>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</si>
  <si>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</si>
  <si>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</si>
  <si>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</si>
  <si>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</si>
  <si>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</si>
  <si>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</si>
  <si>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</si>
  <si>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</si>
  <si>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</si>
  <si>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</si>
  <si>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</si>
  <si>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</si>
  <si>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</si>
  <si>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</si>
  <si>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</si>
  <si>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</si>
  <si>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</si>
  <si>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</si>
  <si>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</si>
  <si>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</si>
  <si>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</si>
  <si>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</si>
  <si>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</si>
  <si>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</si>
  <si>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</si>
  <si>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</si>
  <si>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</si>
  <si>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</si>
  <si>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</si>
  <si>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</si>
  <si>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</si>
  <si>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</si>
  <si>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</si>
  <si>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</si>
  <si>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</si>
  <si>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</si>
  <si>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</si>
  <si>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</si>
  <si>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</si>
  <si>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</si>
  <si>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</si>
  <si>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</si>
  <si>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</si>
  <si>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</si>
  <si>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</si>
  <si>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</si>
  <si>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</si>
  <si>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</si>
  <si>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</si>
  <si>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</si>
  <si>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</si>
  <si>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</si>
  <si>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</si>
  <si>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</si>
  <si>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</si>
  <si>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</si>
  <si>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</si>
  <si>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</si>
  <si>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</si>
  <si>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</si>
  <si>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</si>
  <si>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</si>
  <si>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</si>
  <si>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</si>
  <si>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</si>
  <si>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</si>
  <si>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</si>
  <si>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</si>
  <si>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</si>
  <si>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</si>
  <si>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</si>
  <si>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</si>
  <si>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</si>
  <si>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</si>
  <si>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</si>
  <si>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</si>
  <si>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</si>
  <si>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</si>
  <si>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</si>
  <si>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</si>
  <si>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</si>
  <si>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</si>
  <si>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</si>
  <si>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</si>
  <si>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</si>
  <si>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</si>
  <si>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</si>
  <si>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</si>
  <si>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</si>
  <si>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</si>
  <si>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</si>
  <si>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</si>
  <si>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</si>
  <si>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</si>
  <si>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</si>
  <si>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</si>
  <si>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</si>
  <si>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</si>
  <si>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</si>
  <si>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</si>
  <si>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</si>
  <si>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</si>
  <si>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</si>
  <si>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</si>
  <si>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</si>
  <si>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</si>
  <si>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</si>
  <si>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</si>
  <si>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</si>
  <si>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</si>
  <si>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</si>
  <si>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</si>
  <si>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</si>
  <si>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</si>
  <si>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</si>
  <si>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</si>
  <si>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</si>
  <si>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</si>
  <si>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</si>
  <si>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</si>
  <si>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</si>
  <si>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</si>
  <si>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</si>
  <si>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</si>
  <si>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</si>
  <si>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</si>
  <si>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</si>
  <si>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</si>
  <si>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</si>
  <si>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</si>
  <si>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</si>
  <si>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</si>
  <si>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</si>
  <si>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</si>
  <si>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</si>
  <si>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</si>
  <si>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</si>
  <si>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</si>
  <si>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</si>
  <si>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</si>
  <si>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</si>
  <si>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</si>
  <si>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</si>
  <si>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</si>
  <si>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</si>
  <si>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</si>
  <si>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</si>
  <si>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</si>
  <si>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</si>
  <si>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</si>
  <si>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</si>
  <si>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</si>
  <si>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</si>
  <si>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</si>
  <si>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</si>
  <si>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</si>
  <si>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</si>
  <si>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</si>
  <si>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</si>
  <si>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</si>
  <si>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</si>
  <si>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</si>
  <si>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</si>
  <si>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</si>
  <si>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</si>
  <si>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</si>
  <si>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</si>
  <si>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</si>
  <si>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</si>
  <si>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</si>
  <si>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</si>
  <si>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</si>
  <si>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</si>
  <si>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</si>
  <si>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</si>
  <si>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</si>
  <si>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</si>
  <si>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</si>
  <si>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</si>
  <si>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</si>
  <si>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</si>
  <si>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</si>
  <si>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</si>
  <si>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</si>
  <si>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</si>
  <si>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</si>
  <si>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</si>
  <si>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</si>
  <si>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</si>
  <si>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</si>
  <si>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</si>
  <si>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</si>
  <si>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</si>
  <si>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</si>
  <si>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</si>
  <si>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</si>
  <si>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</si>
  <si>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</si>
  <si>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</si>
  <si>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</si>
  <si>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</si>
  <si>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</si>
  <si>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</si>
  <si>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</si>
  <si>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</si>
  <si>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</si>
  <si>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</si>
  <si>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</si>
  <si>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</si>
  <si>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</si>
  <si>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</si>
  <si>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</si>
  <si>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</si>
  <si>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</si>
  <si>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</si>
  <si>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</si>
  <si>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</si>
  <si>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</si>
  <si>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</si>
  <si>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</si>
  <si>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</si>
  <si>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</si>
  <si>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</si>
  <si>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</si>
  <si>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</si>
  <si>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</si>
  <si>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</si>
  <si>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</si>
  <si>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</si>
  <si>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</si>
  <si>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</si>
  <si>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</si>
  <si>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</si>
  <si>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</si>
  <si>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</si>
  <si>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</si>
  <si>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</si>
  <si>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</si>
  <si>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</si>
  <si>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</si>
  <si>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</si>
  <si>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</si>
  <si>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</si>
  <si>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</si>
  <si>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</si>
  <si>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</si>
  <si>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</si>
  <si>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</si>
  <si>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</si>
  <si>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</si>
  <si>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</si>
  <si>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</si>
  <si>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</si>
  <si>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</si>
  <si>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</si>
  <si>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</si>
  <si>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</si>
  <si>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</si>
  <si>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</si>
  <si>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</si>
  <si>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</si>
  <si>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</si>
  <si>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</si>
  <si>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</si>
  <si>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</si>
  <si>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</si>
  <si>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</si>
  <si>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</si>
  <si>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</si>
  <si>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</si>
  <si>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</si>
  <si>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</si>
  <si>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</si>
  <si>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</si>
  <si>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</si>
  <si>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</si>
  <si>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</si>
  <si>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</si>
  <si>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</si>
  <si>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</si>
  <si>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</si>
  <si>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</si>
  <si>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</si>
  <si>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</si>
  <si>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</si>
  <si>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</si>
  <si>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</si>
  <si>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</si>
  <si>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 xml:space="preserve">                Додаток № 3</t>
  </si>
  <si>
    <t>Сумський міський голова</t>
  </si>
  <si>
    <t>О.М. Лисенко</t>
  </si>
  <si>
    <t>Виконавець: Липова С.А.</t>
  </si>
  <si>
    <t>до     рішення    Сумської     міської     ради</t>
  </si>
  <si>
    <t xml:space="preserve">«Про   внесення   змін   та  доповнень  до </t>
  </si>
  <si>
    <t>міського  бюджету  м.  Суми  на  2019  рік»</t>
  </si>
  <si>
    <t xml:space="preserve">                Додаток № 2</t>
  </si>
  <si>
    <r>
      <t xml:space="preserve">від  </t>
    </r>
    <r>
      <rPr>
        <sz val="20"/>
        <color theme="0"/>
        <rFont val="Times New Roman"/>
        <family val="1"/>
        <charset val="204"/>
      </rPr>
      <t xml:space="preserve"> 27   лютого</t>
    </r>
    <r>
      <rPr>
        <sz val="20"/>
        <rFont val="Times New Roman"/>
        <family val="1"/>
        <charset val="204"/>
      </rPr>
      <t xml:space="preserve">   2019 року   № </t>
    </r>
    <r>
      <rPr>
        <sz val="20"/>
        <color theme="0"/>
        <rFont val="Times New Roman"/>
        <family val="1"/>
        <charset val="204"/>
      </rPr>
      <t>4279</t>
    </r>
    <r>
      <rPr>
        <sz val="20"/>
        <rFont val="Times New Roman"/>
        <family val="1"/>
        <charset val="204"/>
      </rPr>
      <t xml:space="preserve"> - МР</t>
    </r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</si>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</sst>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0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1" fillId="24" borderId="0" applyNumberFormat="0" applyBorder="0" applyAlignment="0" applyProtection="0"/>
    <xf numFmtId="0" fontId="41" fillId="30" borderId="0" applyNumberFormat="0" applyBorder="0" applyAlignment="0" applyProtection="0"/>
    <xf numFmtId="0" fontId="42" fillId="36" borderId="0" applyNumberFormat="0" applyBorder="0" applyAlignment="0" applyProtection="0"/>
    <xf numFmtId="0" fontId="41" fillId="25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26" borderId="0" applyNumberFormat="0" applyBorder="0" applyAlignment="0" applyProtection="0"/>
    <xf numFmtId="0" fontId="41" fillId="32" borderId="0" applyNumberFormat="0" applyBorder="0" applyAlignment="0" applyProtection="0"/>
    <xf numFmtId="0" fontId="42" fillId="38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2" fillId="39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2" fillId="40" borderId="0" applyNumberFormat="0" applyBorder="0" applyAlignment="0" applyProtection="0"/>
    <xf numFmtId="0" fontId="41" fillId="29" borderId="0" applyNumberFormat="0" applyBorder="0" applyAlignment="0" applyProtection="0"/>
    <xf numFmtId="0" fontId="41" fillId="35" borderId="0" applyNumberFormat="0" applyBorder="0" applyAlignment="0" applyProtection="0"/>
    <xf numFmtId="0" fontId="42" fillId="41" borderId="0" applyNumberFormat="0" applyBorder="0" applyAlignment="0" applyProtection="0"/>
  </cellStyleXfs>
  <cellXfs count="165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49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0" fontId="31" fillId="0" borderId="0" xfId="0" applyFont="1" applyFill="1"/>
    <xf numFmtId="49" fontId="32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" fontId="21" fillId="0" borderId="7" xfId="0" applyNumberFormat="1" applyFont="1" applyFill="1" applyBorder="1" applyAlignment="1"/>
    <xf numFmtId="4" fontId="29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/>
    <xf numFmtId="4" fontId="3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5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/>
    <xf numFmtId="4" fontId="23" fillId="0" borderId="0" xfId="0" applyNumberFormat="1" applyFont="1" applyFill="1" applyAlignment="1" applyProtection="1"/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/>
    <xf numFmtId="3" fontId="35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26" fillId="0" borderId="7" xfId="0" applyNumberFormat="1" applyFont="1" applyFill="1" applyBorder="1"/>
    <xf numFmtId="4" fontId="23" fillId="0" borderId="7" xfId="0" applyNumberFormat="1" applyFont="1" applyFill="1" applyBorder="1" applyAlignment="1">
      <alignment vertical="center"/>
    </xf>
    <xf numFmtId="4" fontId="43" fillId="0" borderId="7" xfId="0" applyNumberFormat="1" applyFont="1" applyFill="1" applyBorder="1" applyAlignment="1">
      <alignment vertical="center"/>
    </xf>
    <xf numFmtId="3" fontId="24" fillId="43" borderId="0" xfId="0" applyNumberFormat="1" applyFont="1" applyFill="1" applyAlignment="1">
      <alignment vertical="center"/>
    </xf>
    <xf numFmtId="3" fontId="27" fillId="43" borderId="0" xfId="0" applyNumberFormat="1" applyFont="1" applyFill="1" applyAlignment="1">
      <alignment vertical="center"/>
    </xf>
    <xf numFmtId="4" fontId="23" fillId="0" borderId="0" xfId="0" applyNumberFormat="1" applyFont="1" applyFill="1" applyBorder="1"/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4" fontId="24" fillId="0" borderId="9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vertical="center"/>
    </xf>
    <xf numFmtId="4" fontId="23" fillId="0" borderId="7" xfId="29" applyNumberFormat="1" applyFont="1" applyFill="1" applyBorder="1" applyAlignment="1">
      <alignment vertical="center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" fontId="23" fillId="0" borderId="7" xfId="0" applyNumberFormat="1" applyFont="1" applyFill="1" applyBorder="1" applyAlignment="1">
      <alignment horizontal="right" vertical="center"/>
    </xf>
    <xf numFmtId="4" fontId="23" fillId="0" borderId="7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/>
    <xf numFmtId="49" fontId="23" fillId="0" borderId="0" xfId="0" applyNumberFormat="1" applyFont="1" applyFill="1" applyAlignment="1">
      <alignment horizontal="center" vertical="center" textRotation="180"/>
    </xf>
    <xf numFmtId="49" fontId="27" fillId="43" borderId="0" xfId="0" applyNumberFormat="1" applyFont="1" applyFill="1" applyAlignment="1">
      <alignment horizontal="center" vertical="center" textRotation="180"/>
    </xf>
    <xf numFmtId="3" fontId="26" fillId="0" borderId="9" xfId="0" applyNumberFormat="1" applyFont="1" applyFill="1" applyBorder="1"/>
    <xf numFmtId="49" fontId="45" fillId="0" borderId="0" xfId="0" applyNumberFormat="1" applyFont="1" applyFill="1" applyAlignment="1">
      <alignment horizontal="center" vertical="center" textRotation="180"/>
    </xf>
    <xf numFmtId="49" fontId="45" fillId="0" borderId="0" xfId="0" applyNumberFormat="1" applyFont="1" applyFill="1" applyBorder="1" applyAlignment="1">
      <alignment horizontal="center" vertical="center" textRotation="180"/>
    </xf>
    <xf numFmtId="49" fontId="21" fillId="0" borderId="0" xfId="0" applyNumberFormat="1" applyFont="1" applyFill="1" applyBorder="1" applyAlignment="1">
      <alignment vertical="center"/>
    </xf>
    <xf numFmtId="49" fontId="3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/>
    <xf numFmtId="0" fontId="31" fillId="0" borderId="7" xfId="0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Alignment="1" applyProtection="1"/>
    <xf numFmtId="4" fontId="23" fillId="0" borderId="0" xfId="0" applyNumberFormat="1" applyFont="1" applyFill="1" applyBorder="1" applyAlignment="1">
      <alignment horizontal="right"/>
    </xf>
    <xf numFmtId="0" fontId="28" fillId="0" borderId="0" xfId="0" applyFont="1" applyFill="1"/>
    <xf numFmtId="0" fontId="28" fillId="0" borderId="0" xfId="0" applyNumberFormat="1" applyFont="1" applyFill="1" applyAlignment="1" applyProtection="1"/>
    <xf numFmtId="0" fontId="28" fillId="0" borderId="0" xfId="0" applyFont="1" applyFill="1" applyBorder="1"/>
    <xf numFmtId="49" fontId="35" fillId="0" borderId="0" xfId="0" applyNumberFormat="1" applyFont="1" applyFill="1" applyBorder="1" applyAlignment="1">
      <alignment vertical="center"/>
    </xf>
    <xf numFmtId="49" fontId="35" fillId="0" borderId="14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" fontId="23" fillId="0" borderId="0" xfId="0" applyNumberFormat="1" applyFont="1" applyFill="1" applyAlignment="1" applyProtection="1">
      <alignment horizontal="center" wrapText="1"/>
    </xf>
    <xf numFmtId="4" fontId="23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vertical="center"/>
    </xf>
    <xf numFmtId="49" fontId="35" fillId="0" borderId="0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textRotation="180"/>
    </xf>
    <xf numFmtId="49" fontId="23" fillId="0" borderId="0" xfId="0" applyNumberFormat="1" applyFont="1" applyFill="1" applyBorder="1" applyAlignment="1">
      <alignment horizontal="center" vertical="center" textRotation="180"/>
    </xf>
    <xf numFmtId="49" fontId="23" fillId="0" borderId="0" xfId="0" applyNumberFormat="1" applyFont="1" applyFill="1" applyAlignment="1">
      <alignment horizontal="center" vertical="center" textRotation="180"/>
    </xf>
    <xf numFmtId="3" fontId="3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 vertical="center" textRotation="180"/>
    </xf>
    <xf numFmtId="49" fontId="28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 applyProtection="1">
      <alignment horizontal="left" vertical="center"/>
    </xf>
    <xf numFmtId="49" fontId="39" fillId="0" borderId="0" xfId="0" applyNumberFormat="1" applyFont="1" applyFill="1" applyBorder="1" applyAlignment="1" applyProtection="1">
      <alignment horizontal="left" vertical="center"/>
    </xf>
    <xf numFmtId="49" fontId="40" fillId="0" borderId="0" xfId="0" applyNumberFormat="1" applyFont="1" applyFill="1" applyBorder="1" applyAlignment="1">
      <alignment horizontal="left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Q306"/>
  <sheetViews>
    <sheetView showGridLines="0" showZeros="0" view="pageBreakPreview" topLeftCell="A261" zoomScale="60" zoomScaleNormal="40" workbookViewId="0">
      <selection activeCell="E272" sqref="E272"/>
    </sheetView>
  </sheetViews>
  <sheetFormatPr defaultColWidth="9.1640625" defaultRowHeight="15" x14ac:dyDescent="0.25"/>
  <cols>
    <col min="1" max="1" width="21.1640625" style="62" customWidth="1"/>
    <col min="2" max="2" width="17.5" style="62" customWidth="1"/>
    <col min="3" max="3" width="18" style="62" customWidth="1"/>
    <col min="4" max="4" width="65.5" style="86" customWidth="1"/>
    <col min="5" max="5" width="24.1640625" style="65" customWidth="1"/>
    <col min="6" max="6" width="21.83203125" style="65" customWidth="1"/>
    <col min="7" max="7" width="19.33203125" style="65" customWidth="1"/>
    <col min="8" max="8" width="20.1640625" style="65" customWidth="1"/>
    <col min="9" max="9" width="18" style="65" customWidth="1"/>
    <col min="10" max="11" width="20.83203125" style="65" customWidth="1"/>
    <col min="12" max="12" width="19.33203125" style="65" customWidth="1"/>
    <col min="13" max="13" width="16.6640625" style="65" customWidth="1"/>
    <col min="14" max="14" width="16.5" style="65" customWidth="1"/>
    <col min="15" max="15" width="19.1640625" style="65" customWidth="1"/>
    <col min="16" max="16" width="22.1640625" style="87" customWidth="1"/>
    <col min="17" max="17" width="7.6640625" style="112" customWidth="1"/>
    <col min="18" max="16384" width="9.1640625" style="67"/>
  </cols>
  <sheetData>
    <row r="1" spans="1:17" ht="22.5" customHeight="1" x14ac:dyDescent="0.25">
      <c r="L1" s="146" t="s">
        <v>579</v>
      </c>
      <c r="M1" s="146"/>
      <c r="N1" s="146"/>
      <c r="O1" s="146"/>
      <c r="P1" s="131"/>
      <c r="Q1" s="144"/>
    </row>
    <row r="2" spans="1:17" ht="22.5" customHeight="1" x14ac:dyDescent="0.25">
      <c r="L2" s="131" t="s">
        <v>576</v>
      </c>
      <c r="M2" s="131"/>
      <c r="N2" s="131"/>
      <c r="O2" s="131"/>
      <c r="P2" s="131"/>
      <c r="Q2" s="144"/>
    </row>
    <row r="3" spans="1:17" ht="22.5" customHeight="1" x14ac:dyDescent="0.25">
      <c r="L3" s="131" t="s">
        <v>577</v>
      </c>
      <c r="M3" s="131"/>
      <c r="N3" s="131"/>
      <c r="O3" s="131"/>
      <c r="P3" s="131"/>
      <c r="Q3" s="144"/>
    </row>
    <row r="4" spans="1:17" ht="22.5" customHeight="1" x14ac:dyDescent="0.25">
      <c r="L4" s="134" t="s">
        <v>578</v>
      </c>
      <c r="M4" s="134"/>
      <c r="N4" s="134"/>
      <c r="O4" s="134"/>
      <c r="P4" s="134"/>
      <c r="Q4" s="144"/>
    </row>
    <row r="5" spans="1:17" ht="22.5" customHeight="1" x14ac:dyDescent="0.25">
      <c r="L5" s="147" t="s">
        <v>580</v>
      </c>
      <c r="M5" s="147"/>
      <c r="N5" s="147"/>
      <c r="O5" s="147"/>
      <c r="P5" s="147"/>
      <c r="Q5" s="144"/>
    </row>
    <row r="6" spans="1:17" ht="32.25" customHeight="1" x14ac:dyDescent="0.25">
      <c r="L6" s="148"/>
      <c r="M6" s="148"/>
      <c r="N6" s="148"/>
      <c r="O6" s="148"/>
      <c r="P6" s="148"/>
      <c r="Q6" s="144"/>
    </row>
    <row r="7" spans="1:17" s="63" customFormat="1" ht="48" customHeight="1" x14ac:dyDescent="0.35">
      <c r="A7" s="62"/>
      <c r="B7" s="62"/>
      <c r="C7" s="62"/>
      <c r="D7" s="149" t="s">
        <v>554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4"/>
    </row>
    <row r="8" spans="1:17" ht="17.25" customHeight="1" x14ac:dyDescent="0.25">
      <c r="D8" s="64"/>
      <c r="P8" s="66" t="s">
        <v>304</v>
      </c>
      <c r="Q8" s="144"/>
    </row>
    <row r="9" spans="1:17" s="68" customFormat="1" ht="30" customHeight="1" x14ac:dyDescent="0.2">
      <c r="A9" s="136" t="s">
        <v>559</v>
      </c>
      <c r="B9" s="136" t="s">
        <v>560</v>
      </c>
      <c r="C9" s="136" t="s">
        <v>561</v>
      </c>
      <c r="D9" s="136" t="s">
        <v>564</v>
      </c>
      <c r="E9" s="136" t="s">
        <v>296</v>
      </c>
      <c r="F9" s="136"/>
      <c r="G9" s="136"/>
      <c r="H9" s="136"/>
      <c r="I9" s="136"/>
      <c r="J9" s="139" t="s">
        <v>297</v>
      </c>
      <c r="K9" s="140"/>
      <c r="L9" s="140"/>
      <c r="M9" s="140"/>
      <c r="N9" s="140"/>
      <c r="O9" s="141"/>
      <c r="P9" s="136" t="s">
        <v>298</v>
      </c>
      <c r="Q9" s="144"/>
    </row>
    <row r="10" spans="1:17" s="68" customFormat="1" ht="25.5" customHeight="1" x14ac:dyDescent="0.2">
      <c r="A10" s="136"/>
      <c r="B10" s="136"/>
      <c r="C10" s="136"/>
      <c r="D10" s="136"/>
      <c r="E10" s="136" t="s">
        <v>562</v>
      </c>
      <c r="F10" s="136" t="s">
        <v>299</v>
      </c>
      <c r="G10" s="136" t="s">
        <v>300</v>
      </c>
      <c r="H10" s="136"/>
      <c r="I10" s="136" t="s">
        <v>301</v>
      </c>
      <c r="J10" s="136" t="s">
        <v>562</v>
      </c>
      <c r="K10" s="137" t="s">
        <v>563</v>
      </c>
      <c r="L10" s="136" t="s">
        <v>299</v>
      </c>
      <c r="M10" s="136" t="s">
        <v>300</v>
      </c>
      <c r="N10" s="136"/>
      <c r="O10" s="136" t="s">
        <v>301</v>
      </c>
      <c r="P10" s="136"/>
      <c r="Q10" s="144"/>
    </row>
    <row r="11" spans="1:17" s="68" customFormat="1" ht="49.5" customHeight="1" x14ac:dyDescent="0.2">
      <c r="A11" s="136"/>
      <c r="B11" s="136"/>
      <c r="C11" s="136"/>
      <c r="D11" s="136"/>
      <c r="E11" s="136"/>
      <c r="F11" s="136"/>
      <c r="G11" s="98" t="s">
        <v>302</v>
      </c>
      <c r="H11" s="98" t="s">
        <v>303</v>
      </c>
      <c r="I11" s="136"/>
      <c r="J11" s="136"/>
      <c r="K11" s="138"/>
      <c r="L11" s="136"/>
      <c r="M11" s="98" t="s">
        <v>302</v>
      </c>
      <c r="N11" s="98" t="s">
        <v>303</v>
      </c>
      <c r="O11" s="136"/>
      <c r="P11" s="136"/>
      <c r="Q11" s="144"/>
    </row>
    <row r="12" spans="1:17" s="90" customFormat="1" ht="19.5" customHeight="1" x14ac:dyDescent="0.2">
      <c r="A12" s="99" t="s">
        <v>202</v>
      </c>
      <c r="B12" s="99"/>
      <c r="C12" s="99"/>
      <c r="D12" s="100" t="s">
        <v>58</v>
      </c>
      <c r="E12" s="101">
        <f>E13</f>
        <v>161337366</v>
      </c>
      <c r="F12" s="101">
        <f t="shared" ref="F12:P12" si="0">F13</f>
        <v>150337366</v>
      </c>
      <c r="G12" s="101">
        <f t="shared" si="0"/>
        <v>83486640</v>
      </c>
      <c r="H12" s="101">
        <f t="shared" si="0"/>
        <v>4753621</v>
      </c>
      <c r="I12" s="101">
        <f t="shared" si="0"/>
        <v>11000000</v>
      </c>
      <c r="J12" s="101">
        <f t="shared" si="0"/>
        <v>70763053</v>
      </c>
      <c r="K12" s="101">
        <f t="shared" si="0"/>
        <v>70187900</v>
      </c>
      <c r="L12" s="101">
        <f t="shared" si="0"/>
        <v>575153</v>
      </c>
      <c r="M12" s="101">
        <f t="shared" si="0"/>
        <v>158895</v>
      </c>
      <c r="N12" s="101">
        <f t="shared" si="0"/>
        <v>56455</v>
      </c>
      <c r="O12" s="101">
        <f t="shared" si="0"/>
        <v>70187900</v>
      </c>
      <c r="P12" s="101">
        <f t="shared" si="0"/>
        <v>232100419</v>
      </c>
      <c r="Q12" s="144"/>
    </row>
    <row r="13" spans="1:17" s="91" customFormat="1" ht="19.5" customHeight="1" x14ac:dyDescent="0.2">
      <c r="A13" s="102" t="s">
        <v>203</v>
      </c>
      <c r="B13" s="102"/>
      <c r="C13" s="102"/>
      <c r="D13" s="103" t="s">
        <v>58</v>
      </c>
      <c r="E13" s="104">
        <f>E14+E15+E16+E17+E18+E19+E20+E21+E22+E23+E24+E25+E26+E27+E28+E29+E30+E31+E32+E33+E34+E35+E36+E37+E38+E39+E40+E41+E42+E43+E44+E45+E46+E47+E48+E49</f>
        <v>161337366</v>
      </c>
      <c r="F13" s="104">
        <f t="shared" ref="F13:P13" si="1">F14+F15+F16+F17+F18+F19+F20+F21+F22+F23+F24+F25+F26+F27+F28+F29+F30+F31+F32+F33+F34+F35+F36+F37+F38+F39+F40+F41+F42+F43+F44+F45+F46+F47+F48+F49</f>
        <v>150337366</v>
      </c>
      <c r="G13" s="104">
        <f t="shared" si="1"/>
        <v>83486640</v>
      </c>
      <c r="H13" s="104">
        <f t="shared" si="1"/>
        <v>4753621</v>
      </c>
      <c r="I13" s="104">
        <f t="shared" si="1"/>
        <v>11000000</v>
      </c>
      <c r="J13" s="104">
        <f t="shared" si="1"/>
        <v>70763053</v>
      </c>
      <c r="K13" s="104">
        <f t="shared" si="1"/>
        <v>70187900</v>
      </c>
      <c r="L13" s="104">
        <f t="shared" si="1"/>
        <v>575153</v>
      </c>
      <c r="M13" s="104">
        <f t="shared" si="1"/>
        <v>158895</v>
      </c>
      <c r="N13" s="104">
        <f t="shared" si="1"/>
        <v>56455</v>
      </c>
      <c r="O13" s="104">
        <f t="shared" si="1"/>
        <v>70187900</v>
      </c>
      <c r="P13" s="104">
        <f t="shared" si="1"/>
        <v>232100419</v>
      </c>
      <c r="Q13" s="144"/>
    </row>
    <row r="14" spans="1:17" s="71" customFormat="1" ht="53.25" customHeight="1" x14ac:dyDescent="0.2">
      <c r="A14" s="69" t="s">
        <v>204</v>
      </c>
      <c r="B14" s="69" t="str">
        <f>'дод 3'!A14</f>
        <v>0160</v>
      </c>
      <c r="C14" s="69" t="str">
        <f>'дод 3'!B14</f>
        <v>0111</v>
      </c>
      <c r="D14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4" s="88">
        <f t="shared" ref="E14:E49" si="2">F14+I14</f>
        <v>93435600</v>
      </c>
      <c r="F14" s="88">
        <f>93735600+100000-400000</f>
        <v>93435600</v>
      </c>
      <c r="G14" s="88">
        <v>67900413</v>
      </c>
      <c r="H14" s="88">
        <v>2571728</v>
      </c>
      <c r="I14" s="88"/>
      <c r="J14" s="88">
        <f t="shared" ref="J14:J64" si="3">L14+O14</f>
        <v>2000000</v>
      </c>
      <c r="K14" s="88">
        <v>2000000</v>
      </c>
      <c r="L14" s="88"/>
      <c r="M14" s="88"/>
      <c r="N14" s="88"/>
      <c r="O14" s="88">
        <v>2000000</v>
      </c>
      <c r="P14" s="88">
        <f t="shared" ref="P14:P49" si="4">E14+J14</f>
        <v>95435600</v>
      </c>
      <c r="Q14" s="144"/>
    </row>
    <row r="15" spans="1:17" s="71" customFormat="1" ht="27" customHeight="1" x14ac:dyDescent="0.2">
      <c r="A15" s="69" t="s">
        <v>316</v>
      </c>
      <c r="B15" s="69" t="str">
        <f>'дод 3'!A15</f>
        <v>0180</v>
      </c>
      <c r="C15" s="69" t="str">
        <f>'дод 3'!B15</f>
        <v>0133</v>
      </c>
      <c r="D15" s="72" t="str">
        <f>'дод 3'!C15</f>
        <v>Інша діяльність у сфері державного управління</v>
      </c>
      <c r="E15" s="88">
        <f t="shared" si="2"/>
        <v>210000</v>
      </c>
      <c r="F15" s="88">
        <f>200000+10000</f>
        <v>210000</v>
      </c>
      <c r="G15" s="88"/>
      <c r="H15" s="88"/>
      <c r="I15" s="88"/>
      <c r="J15" s="88">
        <f t="shared" si="3"/>
        <v>0</v>
      </c>
      <c r="K15" s="88"/>
      <c r="L15" s="88"/>
      <c r="M15" s="88"/>
      <c r="N15" s="88"/>
      <c r="O15" s="88"/>
      <c r="P15" s="88">
        <f t="shared" si="4"/>
        <v>210000</v>
      </c>
      <c r="Q15" s="144"/>
    </row>
    <row r="16" spans="1:17" s="71" customFormat="1" ht="45.75" customHeight="1" x14ac:dyDescent="0.2">
      <c r="A16" s="69" t="s">
        <v>332</v>
      </c>
      <c r="B16" s="69" t="str">
        <f>'дод 3'!A67</f>
        <v>3033</v>
      </c>
      <c r="C16" s="69" t="str">
        <f>'дод 3'!B67</f>
        <v>1070</v>
      </c>
      <c r="D16" s="72" t="str">
        <f>'дод 3'!C67</f>
        <v>Компенсаційні виплати на пільговий проїзд автомобільним транспортом окремим категоріям громадян</v>
      </c>
      <c r="E16" s="88">
        <f t="shared" si="2"/>
        <v>116396</v>
      </c>
      <c r="F16" s="88">
        <v>116396</v>
      </c>
      <c r="G16" s="88"/>
      <c r="H16" s="88"/>
      <c r="I16" s="88"/>
      <c r="J16" s="88">
        <f t="shared" si="3"/>
        <v>0</v>
      </c>
      <c r="K16" s="88"/>
      <c r="L16" s="88"/>
      <c r="M16" s="88"/>
      <c r="N16" s="88"/>
      <c r="O16" s="88"/>
      <c r="P16" s="88">
        <f t="shared" si="4"/>
        <v>116396</v>
      </c>
      <c r="Q16" s="144"/>
    </row>
    <row r="17" spans="1:17" s="71" customFormat="1" ht="46.5" customHeight="1" x14ac:dyDescent="0.2">
      <c r="A17" s="69" t="s">
        <v>205</v>
      </c>
      <c r="B17" s="69" t="str">
        <f>'дод 3'!A69</f>
        <v>3036</v>
      </c>
      <c r="C17" s="69" t="str">
        <f>'дод 3'!B69</f>
        <v>1070</v>
      </c>
      <c r="D17" s="72" t="str">
        <f>'дод 3'!C69</f>
        <v>Компенсаційні виплати на пільговий проїзд електротранспортом окремим категоріям громадян</v>
      </c>
      <c r="E17" s="88">
        <f t="shared" si="2"/>
        <v>253530</v>
      </c>
      <c r="F17" s="88">
        <v>253530</v>
      </c>
      <c r="G17" s="88"/>
      <c r="H17" s="88"/>
      <c r="I17" s="88"/>
      <c r="J17" s="88">
        <f t="shared" si="3"/>
        <v>0</v>
      </c>
      <c r="K17" s="88"/>
      <c r="L17" s="88"/>
      <c r="M17" s="88"/>
      <c r="N17" s="88"/>
      <c r="O17" s="88"/>
      <c r="P17" s="88">
        <f t="shared" si="4"/>
        <v>253530</v>
      </c>
      <c r="Q17" s="144"/>
    </row>
    <row r="18" spans="1:17" s="71" customFormat="1" ht="36" customHeight="1" x14ac:dyDescent="0.2">
      <c r="A18" s="69" t="s">
        <v>206</v>
      </c>
      <c r="B18" s="69" t="str">
        <f>'дод 3'!A98</f>
        <v>3121</v>
      </c>
      <c r="C18" s="69" t="str">
        <f>'дод 3'!B98</f>
        <v>1040</v>
      </c>
      <c r="D18" s="72" t="str">
        <f>'дод 3'!C98</f>
        <v>Утримання та забезпечення діяльності центрів соціальних служб для сім’ї, дітей та молоді</v>
      </c>
      <c r="E18" s="88">
        <f t="shared" si="2"/>
        <v>2260500</v>
      </c>
      <c r="F18" s="88">
        <f>2195500+65000</f>
        <v>2260500</v>
      </c>
      <c r="G18" s="88">
        <v>1724250</v>
      </c>
      <c r="H18" s="88">
        <v>53204</v>
      </c>
      <c r="I18" s="88"/>
      <c r="J18" s="88">
        <f t="shared" si="3"/>
        <v>0</v>
      </c>
      <c r="K18" s="88"/>
      <c r="L18" s="88"/>
      <c r="M18" s="88"/>
      <c r="N18" s="88"/>
      <c r="O18" s="88"/>
      <c r="P18" s="88">
        <f t="shared" si="4"/>
        <v>2260500</v>
      </c>
      <c r="Q18" s="144"/>
    </row>
    <row r="19" spans="1:17" s="71" customFormat="1" ht="51" customHeight="1" x14ac:dyDescent="0.2">
      <c r="A19" s="69" t="s">
        <v>207</v>
      </c>
      <c r="B19" s="69" t="str">
        <f>'дод 3'!A99</f>
        <v>3131</v>
      </c>
      <c r="C19" s="69" t="str">
        <f>'дод 3'!B99</f>
        <v>1040</v>
      </c>
      <c r="D19" s="72" t="str">
        <f>'дод 3'!C99</f>
        <v>Здійснення заходів та реалізація проектів на виконання Державної цільової соціальної програми «Молодь України»</v>
      </c>
      <c r="E19" s="88">
        <f t="shared" si="2"/>
        <v>800000</v>
      </c>
      <c r="F19" s="88">
        <v>800000</v>
      </c>
      <c r="G19" s="88"/>
      <c r="H19" s="88"/>
      <c r="I19" s="88"/>
      <c r="J19" s="88">
        <f t="shared" si="3"/>
        <v>0</v>
      </c>
      <c r="K19" s="88"/>
      <c r="L19" s="88"/>
      <c r="M19" s="88"/>
      <c r="N19" s="88"/>
      <c r="O19" s="88"/>
      <c r="P19" s="88">
        <f t="shared" si="4"/>
        <v>800000</v>
      </c>
      <c r="Q19" s="144"/>
    </row>
    <row r="20" spans="1:17" s="71" customFormat="1" ht="60" customHeight="1" x14ac:dyDescent="0.2">
      <c r="A20" s="69" t="s">
        <v>208</v>
      </c>
      <c r="B20" s="69" t="str">
        <f>'дод 3'!A100</f>
        <v>3140</v>
      </c>
      <c r="C20" s="69" t="str">
        <f>'дод 3'!B100</f>
        <v>1040</v>
      </c>
      <c r="D20" s="72" t="str">
        <f>'дод 3'!C100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88">
        <f t="shared" si="2"/>
        <v>488000</v>
      </c>
      <c r="F20" s="88">
        <v>488000</v>
      </c>
      <c r="G20" s="88"/>
      <c r="H20" s="88"/>
      <c r="I20" s="88"/>
      <c r="J20" s="88">
        <f t="shared" si="3"/>
        <v>0</v>
      </c>
      <c r="K20" s="88"/>
      <c r="L20" s="88"/>
      <c r="M20" s="88"/>
      <c r="N20" s="88"/>
      <c r="O20" s="88"/>
      <c r="P20" s="88">
        <f t="shared" si="4"/>
        <v>488000</v>
      </c>
      <c r="Q20" s="144"/>
    </row>
    <row r="21" spans="1:17" s="71" customFormat="1" ht="37.5" customHeight="1" x14ac:dyDescent="0.2">
      <c r="A21" s="69" t="s">
        <v>398</v>
      </c>
      <c r="B21" s="69" t="str">
        <f>'дод 3'!A117</f>
        <v>3241</v>
      </c>
      <c r="C21" s="69" t="str">
        <f>'дод 3'!B117</f>
        <v>1090</v>
      </c>
      <c r="D21" s="72" t="str">
        <f>'дод 3'!C117</f>
        <v>Забезпечення діяльності інших закладів у сфері соціального захисту і соціального забезпечення</v>
      </c>
      <c r="E21" s="88">
        <f t="shared" si="2"/>
        <v>1028700</v>
      </c>
      <c r="F21" s="88">
        <f>973700+55000</f>
        <v>1028700</v>
      </c>
      <c r="G21" s="88">
        <v>720662</v>
      </c>
      <c r="H21" s="88">
        <v>114491</v>
      </c>
      <c r="I21" s="88"/>
      <c r="J21" s="88">
        <f t="shared" si="3"/>
        <v>0</v>
      </c>
      <c r="K21" s="88"/>
      <c r="L21" s="88"/>
      <c r="M21" s="88"/>
      <c r="N21" s="88"/>
      <c r="O21" s="88"/>
      <c r="P21" s="88">
        <f t="shared" si="4"/>
        <v>1028700</v>
      </c>
      <c r="Q21" s="144"/>
    </row>
    <row r="22" spans="1:17" s="71" customFormat="1" ht="33.75" customHeight="1" x14ac:dyDescent="0.2">
      <c r="A22" s="69" t="s">
        <v>399</v>
      </c>
      <c r="B22" s="69" t="str">
        <f>'дод 3'!A118</f>
        <v>3242</v>
      </c>
      <c r="C22" s="69" t="str">
        <f>'дод 3'!B118</f>
        <v>1090</v>
      </c>
      <c r="D22" s="72" t="str">
        <f>'дод 3'!C118</f>
        <v>Інші заходи у сфері соціального захисту і соціального забезпечення</v>
      </c>
      <c r="E22" s="88">
        <f t="shared" si="2"/>
        <v>238590</v>
      </c>
      <c r="F22" s="88">
        <v>238590</v>
      </c>
      <c r="G22" s="88"/>
      <c r="H22" s="88"/>
      <c r="I22" s="88"/>
      <c r="J22" s="88">
        <f t="shared" si="3"/>
        <v>0</v>
      </c>
      <c r="K22" s="88"/>
      <c r="L22" s="88"/>
      <c r="M22" s="88"/>
      <c r="N22" s="88"/>
      <c r="O22" s="88"/>
      <c r="P22" s="88">
        <f t="shared" si="4"/>
        <v>238590</v>
      </c>
      <c r="Q22" s="144"/>
    </row>
    <row r="23" spans="1:17" s="71" customFormat="1" ht="33.75" customHeight="1" x14ac:dyDescent="0.2">
      <c r="A23" s="69" t="s">
        <v>486</v>
      </c>
      <c r="B23" s="69" t="str">
        <f>'дод 3'!A121</f>
        <v>4060</v>
      </c>
      <c r="C23" s="69" t="str">
        <f>'дод 3'!B121</f>
        <v>0828</v>
      </c>
      <c r="D23" s="72" t="str">
        <f>'дод 3'!C121</f>
        <v>Забезпечення діяльності палаців i будинків культури, клубів, центрів дозвілля та iнших клубних закладів</v>
      </c>
      <c r="E23" s="88">
        <f t="shared" si="2"/>
        <v>2487400</v>
      </c>
      <c r="F23" s="105">
        <v>2487400</v>
      </c>
      <c r="G23" s="88">
        <v>1067040</v>
      </c>
      <c r="H23" s="88">
        <v>409840</v>
      </c>
      <c r="I23" s="88"/>
      <c r="J23" s="88">
        <f t="shared" si="3"/>
        <v>20000</v>
      </c>
      <c r="K23" s="88">
        <v>20000</v>
      </c>
      <c r="L23" s="88"/>
      <c r="M23" s="88"/>
      <c r="N23" s="88"/>
      <c r="O23" s="88">
        <v>20000</v>
      </c>
      <c r="P23" s="88">
        <f t="shared" si="4"/>
        <v>2507400</v>
      </c>
      <c r="Q23" s="144"/>
    </row>
    <row r="24" spans="1:17" s="71" customFormat="1" ht="30.75" customHeight="1" x14ac:dyDescent="0.2">
      <c r="A24" s="69" t="s">
        <v>396</v>
      </c>
      <c r="B24" s="69" t="str">
        <f>'дод 3'!A122</f>
        <v>4081</v>
      </c>
      <c r="C24" s="69" t="str">
        <f>'дод 3'!B122</f>
        <v>0829</v>
      </c>
      <c r="D24" s="72" t="str">
        <f>'дод 3'!C122</f>
        <v xml:space="preserve">Забезпечення діяльності інших закладів в галузі культури і мистецтва </v>
      </c>
      <c r="E24" s="88">
        <f t="shared" si="2"/>
        <v>2598000</v>
      </c>
      <c r="F24" s="88">
        <v>2598000</v>
      </c>
      <c r="G24" s="88">
        <v>1268300</v>
      </c>
      <c r="H24" s="88">
        <v>95365</v>
      </c>
      <c r="I24" s="88"/>
      <c r="J24" s="88">
        <f t="shared" si="3"/>
        <v>23000</v>
      </c>
      <c r="K24" s="88">
        <v>23000</v>
      </c>
      <c r="L24" s="88"/>
      <c r="M24" s="88"/>
      <c r="N24" s="88"/>
      <c r="O24" s="88">
        <f>23000</f>
        <v>23000</v>
      </c>
      <c r="P24" s="88">
        <f t="shared" si="4"/>
        <v>2621000</v>
      </c>
      <c r="Q24" s="144"/>
    </row>
    <row r="25" spans="1:17" s="71" customFormat="1" ht="25.5" customHeight="1" x14ac:dyDescent="0.2">
      <c r="A25" s="69" t="s">
        <v>397</v>
      </c>
      <c r="B25" s="69" t="str">
        <f>'дод 3'!A123</f>
        <v>4082</v>
      </c>
      <c r="C25" s="69" t="str">
        <f>'дод 3'!B123</f>
        <v>0829</v>
      </c>
      <c r="D25" s="72" t="str">
        <f>'дод 3'!C123</f>
        <v>Інші заходи в галузі культури і мистецтва</v>
      </c>
      <c r="E25" s="88">
        <f t="shared" si="2"/>
        <v>429100</v>
      </c>
      <c r="F25" s="88">
        <v>429100</v>
      </c>
      <c r="G25" s="88"/>
      <c r="H25" s="88"/>
      <c r="I25" s="88"/>
      <c r="J25" s="88">
        <f t="shared" si="3"/>
        <v>0</v>
      </c>
      <c r="K25" s="88"/>
      <c r="L25" s="88"/>
      <c r="M25" s="88"/>
      <c r="N25" s="88"/>
      <c r="O25" s="88"/>
      <c r="P25" s="88">
        <f t="shared" si="4"/>
        <v>429100</v>
      </c>
      <c r="Q25" s="144"/>
    </row>
    <row r="26" spans="1:17" s="71" customFormat="1" ht="36.75" customHeight="1" x14ac:dyDescent="0.2">
      <c r="A26" s="73" t="s">
        <v>209</v>
      </c>
      <c r="B26" s="73" t="str">
        <f>'дод 3'!A125</f>
        <v>5011</v>
      </c>
      <c r="C26" s="73" t="str">
        <f>'дод 3'!B125</f>
        <v>0810</v>
      </c>
      <c r="D26" s="70" t="str">
        <f>'дод 3'!C125</f>
        <v>Проведення навчально-тренувальних зборів і змагань з олімпійських видів спорту</v>
      </c>
      <c r="E26" s="88">
        <f t="shared" si="2"/>
        <v>750000</v>
      </c>
      <c r="F26" s="88">
        <v>750000</v>
      </c>
      <c r="G26" s="88"/>
      <c r="H26" s="88"/>
      <c r="I26" s="88"/>
      <c r="J26" s="88">
        <f t="shared" si="3"/>
        <v>0</v>
      </c>
      <c r="K26" s="88"/>
      <c r="L26" s="88"/>
      <c r="M26" s="88"/>
      <c r="N26" s="88"/>
      <c r="O26" s="88"/>
      <c r="P26" s="88">
        <f t="shared" si="4"/>
        <v>750000</v>
      </c>
      <c r="Q26" s="144"/>
    </row>
    <row r="27" spans="1:17" s="71" customFormat="1" ht="34.5" customHeight="1" x14ac:dyDescent="0.2">
      <c r="A27" s="73" t="s">
        <v>210</v>
      </c>
      <c r="B27" s="73" t="str">
        <f>'дод 3'!A126</f>
        <v>5012</v>
      </c>
      <c r="C27" s="73" t="str">
        <f>'дод 3'!B126</f>
        <v>0810</v>
      </c>
      <c r="D27" s="70" t="str">
        <f>'дод 3'!C126</f>
        <v>Проведення навчально-тренувальних зборів і змагань з неолімпійських видів спорту</v>
      </c>
      <c r="E27" s="88">
        <f t="shared" si="2"/>
        <v>750000</v>
      </c>
      <c r="F27" s="88">
        <v>750000</v>
      </c>
      <c r="G27" s="88"/>
      <c r="H27" s="88"/>
      <c r="I27" s="88"/>
      <c r="J27" s="88">
        <f t="shared" si="3"/>
        <v>0</v>
      </c>
      <c r="K27" s="88"/>
      <c r="L27" s="88"/>
      <c r="M27" s="88"/>
      <c r="N27" s="88"/>
      <c r="O27" s="88"/>
      <c r="P27" s="88">
        <f t="shared" si="4"/>
        <v>750000</v>
      </c>
      <c r="Q27" s="144"/>
    </row>
    <row r="28" spans="1:17" s="71" customFormat="1" ht="39" customHeight="1" x14ac:dyDescent="0.2">
      <c r="A28" s="73" t="s">
        <v>211</v>
      </c>
      <c r="B28" s="73" t="str">
        <f>'дод 3'!A127</f>
        <v>5031</v>
      </c>
      <c r="C28" s="73" t="str">
        <f>'дод 3'!B127</f>
        <v>0810</v>
      </c>
      <c r="D28" s="70" t="str">
        <f>'дод 3'!C127</f>
        <v>Утримання та навчально-тренувальна робота комунальних дитячо-юнацьких спортивних шкіл</v>
      </c>
      <c r="E28" s="88">
        <f t="shared" si="2"/>
        <v>10041300</v>
      </c>
      <c r="F28" s="88">
        <v>10041300</v>
      </c>
      <c r="G28" s="88">
        <v>7398000</v>
      </c>
      <c r="H28" s="88">
        <v>659700</v>
      </c>
      <c r="I28" s="88"/>
      <c r="J28" s="88">
        <f t="shared" si="3"/>
        <v>200000</v>
      </c>
      <c r="K28" s="88">
        <v>200000</v>
      </c>
      <c r="L28" s="88"/>
      <c r="M28" s="88"/>
      <c r="N28" s="88"/>
      <c r="O28" s="88">
        <f>200000</f>
        <v>200000</v>
      </c>
      <c r="P28" s="88">
        <f t="shared" si="4"/>
        <v>10241300</v>
      </c>
      <c r="Q28" s="144"/>
    </row>
    <row r="29" spans="1:17" s="71" customFormat="1" ht="42" customHeight="1" x14ac:dyDescent="0.2">
      <c r="A29" s="73" t="s">
        <v>212</v>
      </c>
      <c r="B29" s="73" t="str">
        <f>'дод 3'!A128</f>
        <v>5032</v>
      </c>
      <c r="C29" s="73" t="str">
        <f>'дод 3'!B128</f>
        <v>0810</v>
      </c>
      <c r="D29" s="70" t="str">
        <f>'дод 3'!C128</f>
        <v>Фінансова підтримка дитячо-юнацьких спортивних шкіл фізкультурно-спортивних товариств</v>
      </c>
      <c r="E29" s="88">
        <f t="shared" si="2"/>
        <v>8727300</v>
      </c>
      <c r="F29" s="88">
        <v>8727300</v>
      </c>
      <c r="G29" s="88"/>
      <c r="H29" s="88"/>
      <c r="I29" s="88"/>
      <c r="J29" s="88">
        <f t="shared" si="3"/>
        <v>0</v>
      </c>
      <c r="K29" s="88"/>
      <c r="L29" s="88"/>
      <c r="M29" s="88"/>
      <c r="N29" s="88"/>
      <c r="O29" s="88"/>
      <c r="P29" s="88">
        <f t="shared" si="4"/>
        <v>8727300</v>
      </c>
      <c r="Q29" s="144"/>
    </row>
    <row r="30" spans="1:17" s="71" customFormat="1" ht="56.25" customHeight="1" x14ac:dyDescent="0.2">
      <c r="A30" s="73" t="s">
        <v>213</v>
      </c>
      <c r="B30" s="73" t="str">
        <f>'дод 3'!A129</f>
        <v>5061</v>
      </c>
      <c r="C30" s="73" t="str">
        <f>'дод 3'!B129</f>
        <v>0810</v>
      </c>
      <c r="D30" s="70" t="str">
        <f>'дод 3'!C129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88">
        <f t="shared" si="2"/>
        <v>3511500</v>
      </c>
      <c r="F30" s="88">
        <v>3511500</v>
      </c>
      <c r="G30" s="88">
        <v>2106300</v>
      </c>
      <c r="H30" s="88">
        <v>486300</v>
      </c>
      <c r="I30" s="88"/>
      <c r="J30" s="88">
        <f t="shared" si="3"/>
        <v>385389</v>
      </c>
      <c r="K30" s="88">
        <v>135000</v>
      </c>
      <c r="L30" s="88">
        <v>250389</v>
      </c>
      <c r="M30" s="88">
        <v>158895</v>
      </c>
      <c r="N30" s="88">
        <v>55055</v>
      </c>
      <c r="O30" s="88">
        <v>135000</v>
      </c>
      <c r="P30" s="88">
        <f t="shared" si="4"/>
        <v>3896889</v>
      </c>
      <c r="Q30" s="144"/>
    </row>
    <row r="31" spans="1:17" s="71" customFormat="1" ht="39" customHeight="1" x14ac:dyDescent="0.2">
      <c r="A31" s="73" t="s">
        <v>214</v>
      </c>
      <c r="B31" s="73" t="str">
        <f>'дод 3'!A130</f>
        <v>5062</v>
      </c>
      <c r="C31" s="73" t="str">
        <f>'дод 3'!B130</f>
        <v>0810</v>
      </c>
      <c r="D31" s="70" t="str">
        <f>'дод 3'!C130</f>
        <v>Підтримка спорту вищих досягнень та організацій, які здійснюють фізкультурно-спортивну діяльність в регіоні</v>
      </c>
      <c r="E31" s="88">
        <f t="shared" si="2"/>
        <v>6057200</v>
      </c>
      <c r="F31" s="88">
        <v>6057200</v>
      </c>
      <c r="G31" s="88"/>
      <c r="H31" s="88"/>
      <c r="I31" s="88"/>
      <c r="J31" s="88">
        <f t="shared" si="3"/>
        <v>0</v>
      </c>
      <c r="K31" s="88"/>
      <c r="L31" s="88"/>
      <c r="M31" s="88"/>
      <c r="N31" s="88"/>
      <c r="O31" s="88"/>
      <c r="P31" s="88">
        <f t="shared" si="4"/>
        <v>6057200</v>
      </c>
      <c r="Q31" s="144"/>
    </row>
    <row r="32" spans="1:17" s="71" customFormat="1" ht="31.5" customHeight="1" x14ac:dyDescent="0.2">
      <c r="A32" s="73" t="s">
        <v>215</v>
      </c>
      <c r="B32" s="73" t="str">
        <f>'дод 3'!A165</f>
        <v>7412</v>
      </c>
      <c r="C32" s="73" t="str">
        <f>'дод 3'!B165</f>
        <v>0451</v>
      </c>
      <c r="D32" s="70" t="str">
        <f>'дод 3'!C165</f>
        <v>Регулювання цін на послуги місцевого автотранспорту</v>
      </c>
      <c r="E32" s="88">
        <f t="shared" si="2"/>
        <v>4000000</v>
      </c>
      <c r="F32" s="88"/>
      <c r="G32" s="88"/>
      <c r="H32" s="88"/>
      <c r="I32" s="88">
        <v>4000000</v>
      </c>
      <c r="J32" s="88">
        <f t="shared" si="3"/>
        <v>0</v>
      </c>
      <c r="K32" s="88"/>
      <c r="L32" s="88"/>
      <c r="M32" s="88"/>
      <c r="N32" s="88"/>
      <c r="O32" s="88"/>
      <c r="P32" s="88">
        <f t="shared" si="4"/>
        <v>4000000</v>
      </c>
      <c r="Q32" s="144"/>
    </row>
    <row r="33" spans="1:17" s="71" customFormat="1" ht="30" x14ac:dyDescent="0.2">
      <c r="A33" s="73" t="s">
        <v>216</v>
      </c>
      <c r="B33" s="73" t="str">
        <f>'дод 3'!A166</f>
        <v>7422</v>
      </c>
      <c r="C33" s="73" t="str">
        <f>'дод 3'!B166</f>
        <v>0453</v>
      </c>
      <c r="D33" s="70" t="str">
        <f>'дод 3'!C166</f>
        <v>Регулювання цін на послуги місцевого наземного електротранспорту</v>
      </c>
      <c r="E33" s="88">
        <f t="shared" si="2"/>
        <v>7000000</v>
      </c>
      <c r="F33" s="88"/>
      <c r="G33" s="88"/>
      <c r="H33" s="88"/>
      <c r="I33" s="88">
        <v>7000000</v>
      </c>
      <c r="J33" s="88">
        <f t="shared" si="3"/>
        <v>0</v>
      </c>
      <c r="K33" s="88"/>
      <c r="L33" s="88"/>
      <c r="M33" s="88"/>
      <c r="N33" s="88"/>
      <c r="O33" s="88"/>
      <c r="P33" s="88">
        <f t="shared" si="4"/>
        <v>7000000</v>
      </c>
      <c r="Q33" s="144"/>
    </row>
    <row r="34" spans="1:17" s="71" customFormat="1" ht="21.75" hidden="1" customHeight="1" x14ac:dyDescent="0.2">
      <c r="A34" s="73" t="s">
        <v>307</v>
      </c>
      <c r="B34" s="73" t="str">
        <f>'дод 3'!A167</f>
        <v>7426</v>
      </c>
      <c r="C34" s="73" t="str">
        <f>'дод 3'!B167</f>
        <v>0453</v>
      </c>
      <c r="D34" s="70" t="str">
        <f>'дод 3'!C167</f>
        <v>Інші заходи у сфері електротранспорту</v>
      </c>
      <c r="E34" s="88">
        <f t="shared" si="2"/>
        <v>0</v>
      </c>
      <c r="F34" s="88"/>
      <c r="G34" s="88"/>
      <c r="H34" s="88"/>
      <c r="I34" s="88"/>
      <c r="J34" s="88">
        <f t="shared" si="3"/>
        <v>0</v>
      </c>
      <c r="K34" s="88"/>
      <c r="L34" s="88"/>
      <c r="M34" s="88"/>
      <c r="N34" s="88"/>
      <c r="O34" s="88">
        <f>810000+680000-1490000</f>
        <v>0</v>
      </c>
      <c r="P34" s="88">
        <f t="shared" si="4"/>
        <v>0</v>
      </c>
      <c r="Q34" s="144"/>
    </row>
    <row r="35" spans="1:17" s="71" customFormat="1" ht="21.75" hidden="1" customHeight="1" x14ac:dyDescent="0.2">
      <c r="A35" s="73" t="s">
        <v>409</v>
      </c>
      <c r="B35" s="73" t="str">
        <f>'дод 3'!A169</f>
        <v>7450</v>
      </c>
      <c r="C35" s="73" t="str">
        <f>'дод 3'!B169</f>
        <v>0456</v>
      </c>
      <c r="D35" s="70" t="str">
        <f>'дод 3'!C169</f>
        <v xml:space="preserve">Інша діяльність у сфері транспорту </v>
      </c>
      <c r="E35" s="88">
        <f t="shared" si="2"/>
        <v>0</v>
      </c>
      <c r="F35" s="88"/>
      <c r="G35" s="88"/>
      <c r="H35" s="88"/>
      <c r="I35" s="88"/>
      <c r="J35" s="88">
        <f t="shared" si="3"/>
        <v>0</v>
      </c>
      <c r="K35" s="88"/>
      <c r="L35" s="88"/>
      <c r="M35" s="88"/>
      <c r="N35" s="88"/>
      <c r="O35" s="88"/>
      <c r="P35" s="88">
        <f t="shared" si="4"/>
        <v>0</v>
      </c>
      <c r="Q35" s="144"/>
    </row>
    <row r="36" spans="1:17" s="71" customFormat="1" ht="32.25" customHeight="1" x14ac:dyDescent="0.2">
      <c r="A36" s="73" t="s">
        <v>308</v>
      </c>
      <c r="B36" s="73" t="str">
        <f>'дод 3'!A173</f>
        <v>7530</v>
      </c>
      <c r="C36" s="73" t="str">
        <f>'дод 3'!B173</f>
        <v>0460</v>
      </c>
      <c r="D36" s="70" t="str">
        <f>'дод 3'!C173</f>
        <v>Інші заходи у сфері зв'язку, телекомунікації та інформатики</v>
      </c>
      <c r="E36" s="88">
        <f>F36+I36</f>
        <v>10063860</v>
      </c>
      <c r="F36" s="88">
        <f>6802500+2861360+400000</f>
        <v>10063860</v>
      </c>
      <c r="G36" s="88"/>
      <c r="H36" s="88"/>
      <c r="I36" s="88"/>
      <c r="J36" s="88">
        <f t="shared" si="3"/>
        <v>3787500</v>
      </c>
      <c r="K36" s="88">
        <f>3197500+590000</f>
        <v>3787500</v>
      </c>
      <c r="L36" s="88"/>
      <c r="M36" s="88"/>
      <c r="N36" s="88"/>
      <c r="O36" s="88">
        <f>3197500+590000</f>
        <v>3787500</v>
      </c>
      <c r="P36" s="88">
        <f t="shared" si="4"/>
        <v>13851360</v>
      </c>
      <c r="Q36" s="144"/>
    </row>
    <row r="37" spans="1:17" s="71" customFormat="1" ht="25.5" customHeight="1" x14ac:dyDescent="0.2">
      <c r="A37" s="73" t="s">
        <v>217</v>
      </c>
      <c r="B37" s="73" t="str">
        <f>'дод 3'!A175</f>
        <v>7610</v>
      </c>
      <c r="C37" s="73" t="str">
        <f>'дод 3'!B175</f>
        <v>0411</v>
      </c>
      <c r="D37" s="70" t="str">
        <f>'дод 3'!C175</f>
        <v>Сприяння розвитку малого та середнього підприємництва</v>
      </c>
      <c r="E37" s="88">
        <f t="shared" si="2"/>
        <v>100000</v>
      </c>
      <c r="F37" s="88">
        <v>100000</v>
      </c>
      <c r="G37" s="88"/>
      <c r="H37" s="88"/>
      <c r="I37" s="88"/>
      <c r="J37" s="88">
        <f t="shared" si="3"/>
        <v>0</v>
      </c>
      <c r="K37" s="88"/>
      <c r="L37" s="88"/>
      <c r="M37" s="88"/>
      <c r="N37" s="88"/>
      <c r="O37" s="88"/>
      <c r="P37" s="88">
        <f t="shared" si="4"/>
        <v>100000</v>
      </c>
      <c r="Q37" s="144"/>
    </row>
    <row r="38" spans="1:17" s="71" customFormat="1" ht="18.75" hidden="1" customHeight="1" x14ac:dyDescent="0.2">
      <c r="A38" s="73" t="s">
        <v>333</v>
      </c>
      <c r="B38" s="73" t="str">
        <f>'дод 3'!A176</f>
        <v>7640</v>
      </c>
      <c r="C38" s="73" t="str">
        <f>'дод 3'!B176</f>
        <v>0470</v>
      </c>
      <c r="D38" s="70" t="str">
        <f>'дод 3'!C176</f>
        <v>Заходи з енергозбереження</v>
      </c>
      <c r="E38" s="88">
        <f t="shared" si="2"/>
        <v>0</v>
      </c>
      <c r="F38" s="88"/>
      <c r="G38" s="88"/>
      <c r="H38" s="88"/>
      <c r="I38" s="88"/>
      <c r="J38" s="88">
        <f t="shared" si="3"/>
        <v>0</v>
      </c>
      <c r="K38" s="88"/>
      <c r="L38" s="88"/>
      <c r="M38" s="88"/>
      <c r="N38" s="88"/>
      <c r="O38" s="88"/>
      <c r="P38" s="88">
        <f t="shared" si="4"/>
        <v>0</v>
      </c>
      <c r="Q38" s="144"/>
    </row>
    <row r="39" spans="1:17" s="71" customFormat="1" ht="31.5" customHeight="1" x14ac:dyDescent="0.2">
      <c r="A39" s="73" t="s">
        <v>218</v>
      </c>
      <c r="B39" s="73" t="str">
        <f>'дод 3'!A179</f>
        <v>7670</v>
      </c>
      <c r="C39" s="73" t="str">
        <f>'дод 3'!B179</f>
        <v>0490</v>
      </c>
      <c r="D39" s="70" t="str">
        <f>'дод 3'!C179</f>
        <v>Внески до статутного капіталу суб’єктів господарювання</v>
      </c>
      <c r="E39" s="88">
        <f t="shared" si="2"/>
        <v>0</v>
      </c>
      <c r="F39" s="88"/>
      <c r="G39" s="88"/>
      <c r="H39" s="88"/>
      <c r="I39" s="88"/>
      <c r="J39" s="88">
        <f t="shared" si="3"/>
        <v>61989300</v>
      </c>
      <c r="K39" s="88">
        <f>36900000+25089300</f>
        <v>61989300</v>
      </c>
      <c r="L39" s="88"/>
      <c r="M39" s="88"/>
      <c r="N39" s="88"/>
      <c r="O39" s="88">
        <f>36900000+25089300</f>
        <v>61989300</v>
      </c>
      <c r="P39" s="88">
        <f t="shared" si="4"/>
        <v>61989300</v>
      </c>
      <c r="Q39" s="144"/>
    </row>
    <row r="40" spans="1:17" s="71" customFormat="1" ht="43.5" customHeight="1" x14ac:dyDescent="0.2">
      <c r="A40" s="73" t="s">
        <v>322</v>
      </c>
      <c r="B40" s="73" t="str">
        <f>'дод 3'!A180</f>
        <v>7680</v>
      </c>
      <c r="C40" s="73" t="str">
        <f>'дод 3'!B180</f>
        <v>0490</v>
      </c>
      <c r="D40" s="70" t="str">
        <f>'дод 3'!C180</f>
        <v>Членські внески до асоціацій органів місцевого самоврядування</v>
      </c>
      <c r="E40" s="88">
        <f t="shared" si="2"/>
        <v>243690</v>
      </c>
      <c r="F40" s="88">
        <f>158690+85000</f>
        <v>243690</v>
      </c>
      <c r="G40" s="88"/>
      <c r="H40" s="88"/>
      <c r="I40" s="88"/>
      <c r="J40" s="88">
        <f t="shared" si="3"/>
        <v>0</v>
      </c>
      <c r="K40" s="88"/>
      <c r="L40" s="88"/>
      <c r="M40" s="88"/>
      <c r="N40" s="88"/>
      <c r="O40" s="88"/>
      <c r="P40" s="88">
        <f t="shared" si="4"/>
        <v>243690</v>
      </c>
      <c r="Q40" s="142"/>
    </row>
    <row r="41" spans="1:17" s="71" customFormat="1" ht="104.25" customHeight="1" x14ac:dyDescent="0.2">
      <c r="A41" s="73" t="s">
        <v>394</v>
      </c>
      <c r="B41" s="73" t="str">
        <f>'дод 3'!A181</f>
        <v>7691</v>
      </c>
      <c r="C41" s="73" t="str">
        <f>'дод 3'!B181</f>
        <v>0490</v>
      </c>
      <c r="D41" s="70" t="s">
        <v>416</v>
      </c>
      <c r="E41" s="88">
        <f t="shared" si="2"/>
        <v>0</v>
      </c>
      <c r="F41" s="88"/>
      <c r="G41" s="88"/>
      <c r="H41" s="88"/>
      <c r="I41" s="88"/>
      <c r="J41" s="88">
        <f t="shared" si="3"/>
        <v>59464</v>
      </c>
      <c r="K41" s="88"/>
      <c r="L41" s="88">
        <v>59464</v>
      </c>
      <c r="M41" s="88"/>
      <c r="N41" s="88"/>
      <c r="O41" s="88"/>
      <c r="P41" s="88">
        <f t="shared" si="4"/>
        <v>59464</v>
      </c>
      <c r="Q41" s="142"/>
    </row>
    <row r="42" spans="1:17" s="71" customFormat="1" ht="23.25" customHeight="1" x14ac:dyDescent="0.2">
      <c r="A42" s="73" t="s">
        <v>315</v>
      </c>
      <c r="B42" s="73" t="str">
        <f>'дод 3'!A182</f>
        <v>7693</v>
      </c>
      <c r="C42" s="73" t="str">
        <f>'дод 3'!B182</f>
        <v>0490</v>
      </c>
      <c r="D42" s="70" t="str">
        <f>'дод 3'!C182</f>
        <v>Інші заходи, пов'язані з економічною діяльністю</v>
      </c>
      <c r="E42" s="88">
        <f t="shared" si="2"/>
        <v>2628100</v>
      </c>
      <c r="F42" s="88">
        <f>2172100+93000+450000-87000</f>
        <v>2628100</v>
      </c>
      <c r="G42" s="88">
        <v>37557</v>
      </c>
      <c r="H42" s="88"/>
      <c r="I42" s="88"/>
      <c r="J42" s="88">
        <f t="shared" si="3"/>
        <v>25900</v>
      </c>
      <c r="K42" s="88">
        <v>25900</v>
      </c>
      <c r="L42" s="88"/>
      <c r="M42" s="88"/>
      <c r="N42" s="88"/>
      <c r="O42" s="88">
        <v>25900</v>
      </c>
      <c r="P42" s="88">
        <f t="shared" si="4"/>
        <v>2654000</v>
      </c>
      <c r="Q42" s="142"/>
    </row>
    <row r="43" spans="1:17" s="71" customFormat="1" ht="34.5" customHeight="1" x14ac:dyDescent="0.2">
      <c r="A43" s="73" t="s">
        <v>219</v>
      </c>
      <c r="B43" s="73" t="str">
        <f>'дод 3'!A187</f>
        <v>8110</v>
      </c>
      <c r="C43" s="73" t="str">
        <f>'дод 3'!B187</f>
        <v>0320</v>
      </c>
      <c r="D43" s="70" t="str">
        <f>'дод 3'!C187</f>
        <v>Заходи із запобігання та ліквідації надзвичайних ситуацій та наслідків стихійного лиха</v>
      </c>
      <c r="E43" s="88">
        <f t="shared" si="2"/>
        <v>450600</v>
      </c>
      <c r="F43" s="88">
        <v>450600</v>
      </c>
      <c r="G43" s="88"/>
      <c r="H43" s="88">
        <v>6500</v>
      </c>
      <c r="I43" s="88"/>
      <c r="J43" s="88">
        <f t="shared" si="3"/>
        <v>2007200</v>
      </c>
      <c r="K43" s="88">
        <v>2007200</v>
      </c>
      <c r="L43" s="88"/>
      <c r="M43" s="88"/>
      <c r="N43" s="88"/>
      <c r="O43" s="88">
        <v>2007200</v>
      </c>
      <c r="P43" s="88">
        <f t="shared" si="4"/>
        <v>2457800</v>
      </c>
      <c r="Q43" s="142"/>
    </row>
    <row r="44" spans="1:17" s="71" customFormat="1" ht="19.5" customHeight="1" x14ac:dyDescent="0.2">
      <c r="A44" s="73" t="s">
        <v>295</v>
      </c>
      <c r="B44" s="73" t="str">
        <f>'дод 3'!A188</f>
        <v>8120</v>
      </c>
      <c r="C44" s="73" t="str">
        <f>'дод 3'!B188</f>
        <v>0320</v>
      </c>
      <c r="D44" s="70" t="str">
        <f>'дод 3'!C188</f>
        <v>Заходи з організації рятування на водах</v>
      </c>
      <c r="E44" s="88">
        <f t="shared" si="2"/>
        <v>1698200</v>
      </c>
      <c r="F44" s="88">
        <f>1698200+37510-37510+5000-5000</f>
        <v>1698200</v>
      </c>
      <c r="G44" s="88">
        <v>1264118</v>
      </c>
      <c r="H44" s="88">
        <v>86593</v>
      </c>
      <c r="I44" s="88"/>
      <c r="J44" s="88">
        <f t="shared" si="3"/>
        <v>5300</v>
      </c>
      <c r="K44" s="88"/>
      <c r="L44" s="88">
        <v>5300</v>
      </c>
      <c r="M44" s="88"/>
      <c r="N44" s="88">
        <v>1400</v>
      </c>
      <c r="O44" s="88"/>
      <c r="P44" s="88">
        <f t="shared" si="4"/>
        <v>1703500</v>
      </c>
      <c r="Q44" s="142"/>
    </row>
    <row r="45" spans="1:17" s="71" customFormat="1" ht="21.75" customHeight="1" x14ac:dyDescent="0.2">
      <c r="A45" s="73" t="s">
        <v>318</v>
      </c>
      <c r="B45" s="73" t="str">
        <f>'дод 3'!A190</f>
        <v>8230</v>
      </c>
      <c r="C45" s="73" t="str">
        <f>'дод 3'!B190</f>
        <v>0380</v>
      </c>
      <c r="D45" s="70" t="str">
        <f>'дод 3'!C190</f>
        <v>Інші заходи громадського порядку та безпеки</v>
      </c>
      <c r="E45" s="88">
        <f t="shared" si="2"/>
        <v>819800</v>
      </c>
      <c r="F45" s="88">
        <f>789800+30000</f>
        <v>819800</v>
      </c>
      <c r="G45" s="88"/>
      <c r="H45" s="88">
        <v>269900</v>
      </c>
      <c r="I45" s="88"/>
      <c r="J45" s="88">
        <f t="shared" si="3"/>
        <v>0</v>
      </c>
      <c r="K45" s="88"/>
      <c r="L45" s="88"/>
      <c r="M45" s="88"/>
      <c r="N45" s="88"/>
      <c r="O45" s="88"/>
      <c r="P45" s="88">
        <f t="shared" si="4"/>
        <v>819800</v>
      </c>
      <c r="Q45" s="142"/>
    </row>
    <row r="46" spans="1:17" s="71" customFormat="1" ht="23.25" customHeight="1" x14ac:dyDescent="0.2">
      <c r="A46" s="69" t="s">
        <v>220</v>
      </c>
      <c r="B46" s="69" t="str">
        <f>'дод 3'!A193</f>
        <v>8340</v>
      </c>
      <c r="C46" s="69" t="str">
        <f>'дод 3'!B193</f>
        <v>0540</v>
      </c>
      <c r="D46" s="72" t="str">
        <f>'дод 3'!C193</f>
        <v>Природоохоронні заходи за рахунок цільових фондів</v>
      </c>
      <c r="E46" s="88">
        <f t="shared" si="2"/>
        <v>0</v>
      </c>
      <c r="F46" s="88"/>
      <c r="G46" s="88"/>
      <c r="H46" s="88"/>
      <c r="I46" s="88"/>
      <c r="J46" s="88">
        <f t="shared" si="3"/>
        <v>260000</v>
      </c>
      <c r="K46" s="88"/>
      <c r="L46" s="88">
        <v>260000</v>
      </c>
      <c r="M46" s="88"/>
      <c r="N46" s="88"/>
      <c r="O46" s="88"/>
      <c r="P46" s="88">
        <f t="shared" si="4"/>
        <v>260000</v>
      </c>
      <c r="Q46" s="142"/>
    </row>
    <row r="47" spans="1:17" s="71" customFormat="1" ht="26.25" customHeight="1" x14ac:dyDescent="0.2">
      <c r="A47" s="73" t="s">
        <v>329</v>
      </c>
      <c r="B47" s="73" t="str">
        <f>'дод 3'!A195</f>
        <v>8420</v>
      </c>
      <c r="C47" s="73" t="str">
        <f>'дод 3'!B195</f>
        <v>0830</v>
      </c>
      <c r="D47" s="70" t="str">
        <f>'дод 3'!C195</f>
        <v>Інші заходи у сфері засобів масової інформації</v>
      </c>
      <c r="E47" s="88">
        <f t="shared" si="2"/>
        <v>150000</v>
      </c>
      <c r="F47" s="88">
        <v>150000</v>
      </c>
      <c r="G47" s="88"/>
      <c r="H47" s="88"/>
      <c r="I47" s="88"/>
      <c r="J47" s="88">
        <f t="shared" si="3"/>
        <v>0</v>
      </c>
      <c r="K47" s="88"/>
      <c r="L47" s="88"/>
      <c r="M47" s="88"/>
      <c r="N47" s="88"/>
      <c r="O47" s="88"/>
      <c r="P47" s="88">
        <f t="shared" si="4"/>
        <v>150000</v>
      </c>
      <c r="Q47" s="142"/>
    </row>
    <row r="48" spans="1:17" s="71" customFormat="1" ht="24" hidden="1" customHeight="1" x14ac:dyDescent="0.2">
      <c r="A48" s="73" t="s">
        <v>521</v>
      </c>
      <c r="B48" s="73" t="str">
        <f>'дод 3'!A207</f>
        <v>9770</v>
      </c>
      <c r="C48" s="73" t="str">
        <f>'дод 3'!B207</f>
        <v>0180</v>
      </c>
      <c r="D48" s="74" t="str">
        <f>'дод 3'!C207</f>
        <v xml:space="preserve">Інші субвенції з місцевого бюджету </v>
      </c>
      <c r="E48" s="88">
        <f t="shared" si="2"/>
        <v>0</v>
      </c>
      <c r="F48" s="88"/>
      <c r="G48" s="88"/>
      <c r="H48" s="88"/>
      <c r="I48" s="88"/>
      <c r="J48" s="88">
        <f t="shared" si="3"/>
        <v>0</v>
      </c>
      <c r="K48" s="88"/>
      <c r="L48" s="88"/>
      <c r="M48" s="88"/>
      <c r="N48" s="88"/>
      <c r="O48" s="88"/>
      <c r="P48" s="88">
        <f t="shared" si="4"/>
        <v>0</v>
      </c>
      <c r="Q48" s="142"/>
    </row>
    <row r="49" spans="1:17" s="71" customFormat="1" ht="35.25" hidden="1" customHeight="1" x14ac:dyDescent="0.2">
      <c r="A49" s="73" t="s">
        <v>492</v>
      </c>
      <c r="B49" s="73" t="str">
        <f>'дод 3'!A209</f>
        <v>9800</v>
      </c>
      <c r="C49" s="73" t="str">
        <f>'дод 3'!B209</f>
        <v>0180</v>
      </c>
      <c r="D49" s="70" t="str">
        <f>'дод 3'!C209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88">
        <f t="shared" si="2"/>
        <v>0</v>
      </c>
      <c r="F49" s="88"/>
      <c r="G49" s="88"/>
      <c r="H49" s="88"/>
      <c r="I49" s="88"/>
      <c r="J49" s="88">
        <f t="shared" si="3"/>
        <v>0</v>
      </c>
      <c r="K49" s="88"/>
      <c r="L49" s="88"/>
      <c r="M49" s="88"/>
      <c r="N49" s="88"/>
      <c r="O49" s="88"/>
      <c r="P49" s="88">
        <f t="shared" si="4"/>
        <v>0</v>
      </c>
      <c r="Q49" s="142"/>
    </row>
    <row r="50" spans="1:17" s="90" customFormat="1" ht="23.25" customHeight="1" x14ac:dyDescent="0.2">
      <c r="A50" s="106" t="s">
        <v>221</v>
      </c>
      <c r="B50" s="106"/>
      <c r="C50" s="106"/>
      <c r="D50" s="95" t="s">
        <v>41</v>
      </c>
      <c r="E50" s="96">
        <f>E51</f>
        <v>844021403</v>
      </c>
      <c r="F50" s="96">
        <f t="shared" ref="F50:P50" si="5">F51</f>
        <v>844021403</v>
      </c>
      <c r="G50" s="96">
        <f t="shared" si="5"/>
        <v>553468467</v>
      </c>
      <c r="H50" s="96">
        <f t="shared" si="5"/>
        <v>79736030</v>
      </c>
      <c r="I50" s="96">
        <f t="shared" si="5"/>
        <v>0</v>
      </c>
      <c r="J50" s="96">
        <f t="shared" si="5"/>
        <v>64312625</v>
      </c>
      <c r="K50" s="96">
        <f t="shared" si="5"/>
        <v>20853786</v>
      </c>
      <c r="L50" s="96">
        <f t="shared" si="5"/>
        <v>43301839</v>
      </c>
      <c r="M50" s="96">
        <f t="shared" si="5"/>
        <v>3455421</v>
      </c>
      <c r="N50" s="96">
        <f t="shared" si="5"/>
        <v>2628089</v>
      </c>
      <c r="O50" s="96">
        <f t="shared" si="5"/>
        <v>21010786</v>
      </c>
      <c r="P50" s="96">
        <f t="shared" si="5"/>
        <v>908334028</v>
      </c>
      <c r="Q50" s="142"/>
    </row>
    <row r="51" spans="1:17" s="91" customFormat="1" ht="26.25" customHeight="1" x14ac:dyDescent="0.2">
      <c r="A51" s="107" t="s">
        <v>222</v>
      </c>
      <c r="B51" s="107"/>
      <c r="C51" s="107"/>
      <c r="D51" s="103" t="s">
        <v>41</v>
      </c>
      <c r="E51" s="104">
        <f>E53+E54+E55+E57+E59+E61+E62+E64+E65+E67+E69+E70+E71+E72+E74+E75+E76</f>
        <v>844021403</v>
      </c>
      <c r="F51" s="104">
        <f t="shared" ref="F51:P51" si="6">F53+F54+F55+F57+F59+F61+F62+F64+F65+F67+F69+F70+F71+F72+F74+F75+F76</f>
        <v>844021403</v>
      </c>
      <c r="G51" s="104">
        <f t="shared" si="6"/>
        <v>553468467</v>
      </c>
      <c r="H51" s="104">
        <f t="shared" si="6"/>
        <v>79736030</v>
      </c>
      <c r="I51" s="104">
        <f t="shared" si="6"/>
        <v>0</v>
      </c>
      <c r="J51" s="104">
        <f t="shared" si="6"/>
        <v>64312625</v>
      </c>
      <c r="K51" s="104">
        <f t="shared" si="6"/>
        <v>20853786</v>
      </c>
      <c r="L51" s="104">
        <f t="shared" si="6"/>
        <v>43301839</v>
      </c>
      <c r="M51" s="104">
        <f t="shared" si="6"/>
        <v>3455421</v>
      </c>
      <c r="N51" s="104">
        <f t="shared" si="6"/>
        <v>2628089</v>
      </c>
      <c r="O51" s="104">
        <f t="shared" si="6"/>
        <v>21010786</v>
      </c>
      <c r="P51" s="104">
        <f t="shared" si="6"/>
        <v>908334028</v>
      </c>
      <c r="Q51" s="142"/>
    </row>
    <row r="52" spans="1:17" s="91" customFormat="1" ht="18.75" customHeight="1" x14ac:dyDescent="0.2">
      <c r="A52" s="107"/>
      <c r="B52" s="107"/>
      <c r="C52" s="107"/>
      <c r="D52" s="103" t="s">
        <v>345</v>
      </c>
      <c r="E52" s="104">
        <f>E56+E58+E60+E63+E66+E68+E73</f>
        <v>313312583</v>
      </c>
      <c r="F52" s="104">
        <f t="shared" ref="F52:P52" si="7">F56+F58+F60+F63+F66+F68+F73</f>
        <v>313312583</v>
      </c>
      <c r="G52" s="104">
        <f t="shared" si="7"/>
        <v>256919167</v>
      </c>
      <c r="H52" s="104">
        <f t="shared" si="7"/>
        <v>0</v>
      </c>
      <c r="I52" s="104">
        <f t="shared" si="7"/>
        <v>0</v>
      </c>
      <c r="J52" s="104">
        <f t="shared" si="7"/>
        <v>134786</v>
      </c>
      <c r="K52" s="104">
        <f t="shared" si="7"/>
        <v>134786</v>
      </c>
      <c r="L52" s="104">
        <f t="shared" si="7"/>
        <v>0</v>
      </c>
      <c r="M52" s="104">
        <f t="shared" si="7"/>
        <v>0</v>
      </c>
      <c r="N52" s="104">
        <f t="shared" si="7"/>
        <v>0</v>
      </c>
      <c r="O52" s="104">
        <f t="shared" si="7"/>
        <v>134786</v>
      </c>
      <c r="P52" s="104">
        <f t="shared" si="7"/>
        <v>313447369</v>
      </c>
      <c r="Q52" s="142"/>
    </row>
    <row r="53" spans="1:17" s="71" customFormat="1" ht="46.5" customHeight="1" x14ac:dyDescent="0.2">
      <c r="A53" s="69" t="s">
        <v>223</v>
      </c>
      <c r="B53" s="69" t="str">
        <f>'дод 3'!A14</f>
        <v>0160</v>
      </c>
      <c r="C53" s="69" t="str">
        <f>'дод 3'!B14</f>
        <v>0111</v>
      </c>
      <c r="D53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53" s="88">
        <f t="shared" ref="E53:E66" si="8">F53+I53</f>
        <v>3327600</v>
      </c>
      <c r="F53" s="88">
        <v>3327600</v>
      </c>
      <c r="G53" s="88">
        <v>2597420</v>
      </c>
      <c r="H53" s="88">
        <v>47700</v>
      </c>
      <c r="I53" s="88"/>
      <c r="J53" s="88">
        <f t="shared" si="3"/>
        <v>0</v>
      </c>
      <c r="K53" s="88"/>
      <c r="L53" s="88"/>
      <c r="M53" s="88"/>
      <c r="N53" s="88"/>
      <c r="O53" s="88"/>
      <c r="P53" s="88">
        <f t="shared" ref="P53:P76" si="9">E53+J53</f>
        <v>3327600</v>
      </c>
      <c r="Q53" s="142"/>
    </row>
    <row r="54" spans="1:17" s="71" customFormat="1" ht="21.75" customHeight="1" x14ac:dyDescent="0.2">
      <c r="A54" s="69" t="s">
        <v>224</v>
      </c>
      <c r="B54" s="69" t="str">
        <f>'дод 3'!A18</f>
        <v>1010</v>
      </c>
      <c r="C54" s="69" t="str">
        <f>'дод 3'!B18</f>
        <v>0910</v>
      </c>
      <c r="D54" s="72" t="str">
        <f>'дод 3'!C18</f>
        <v>Надання дошкільної освіти</v>
      </c>
      <c r="E54" s="88">
        <f t="shared" si="8"/>
        <v>213029620</v>
      </c>
      <c r="F54" s="88">
        <v>213029620</v>
      </c>
      <c r="G54" s="88">
        <v>134790000</v>
      </c>
      <c r="H54" s="88">
        <v>25657600</v>
      </c>
      <c r="I54" s="88"/>
      <c r="J54" s="88">
        <f t="shared" si="3"/>
        <v>21512311</v>
      </c>
      <c r="K54" s="88">
        <f>3500000+1163000+600000</f>
        <v>5263000</v>
      </c>
      <c r="L54" s="88">
        <v>16249311</v>
      </c>
      <c r="M54" s="88"/>
      <c r="N54" s="88"/>
      <c r="O54" s="88">
        <f>3500000+1163000+600000</f>
        <v>5263000</v>
      </c>
      <c r="P54" s="88">
        <f t="shared" si="9"/>
        <v>234541931</v>
      </c>
      <c r="Q54" s="142"/>
    </row>
    <row r="55" spans="1:17" s="71" customFormat="1" ht="69" customHeight="1" x14ac:dyDescent="0.2">
      <c r="A55" s="69" t="s">
        <v>225</v>
      </c>
      <c r="B55" s="69" t="str">
        <f>'дод 3'!A19</f>
        <v>1020</v>
      </c>
      <c r="C55" s="69" t="str">
        <f>'дод 3'!B19</f>
        <v>0921</v>
      </c>
      <c r="D55" s="72" t="str">
        <f>'дод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5" s="88">
        <f t="shared" si="8"/>
        <v>466090523</v>
      </c>
      <c r="F55" s="88">
        <f>462250840-2399200+2855820+1033063+2350000</f>
        <v>466090523</v>
      </c>
      <c r="G55" s="88">
        <f>319037700-1969800+2344680+550403</f>
        <v>319962983</v>
      </c>
      <c r="H55" s="88">
        <v>39027550</v>
      </c>
      <c r="I55" s="88"/>
      <c r="J55" s="88">
        <f t="shared" si="3"/>
        <v>30331808</v>
      </c>
      <c r="K55" s="88">
        <f>7400000+1000000+1890000+900000+134786</f>
        <v>11324786</v>
      </c>
      <c r="L55" s="88">
        <v>19007022</v>
      </c>
      <c r="M55" s="88">
        <v>939364</v>
      </c>
      <c r="N55" s="88">
        <v>38709</v>
      </c>
      <c r="O55" s="88">
        <f>7400000+1000000+1890000+900000+134786</f>
        <v>11324786</v>
      </c>
      <c r="P55" s="88">
        <f t="shared" si="9"/>
        <v>496422331</v>
      </c>
      <c r="Q55" s="142"/>
    </row>
    <row r="56" spans="1:17" s="71" customFormat="1" x14ac:dyDescent="0.2">
      <c r="A56" s="69"/>
      <c r="B56" s="69"/>
      <c r="C56" s="69"/>
      <c r="D56" s="70" t="s">
        <v>345</v>
      </c>
      <c r="E56" s="88">
        <f t="shared" si="8"/>
        <v>293627963</v>
      </c>
      <c r="F56" s="88">
        <f>294994100-2399200+1033063</f>
        <v>293627963</v>
      </c>
      <c r="G56" s="88">
        <f>242195500-1969800+550403</f>
        <v>240776103</v>
      </c>
      <c r="H56" s="88"/>
      <c r="I56" s="88"/>
      <c r="J56" s="88">
        <f t="shared" si="3"/>
        <v>134786</v>
      </c>
      <c r="K56" s="88">
        <v>134786</v>
      </c>
      <c r="L56" s="88"/>
      <c r="M56" s="88"/>
      <c r="N56" s="88"/>
      <c r="O56" s="88">
        <v>134786</v>
      </c>
      <c r="P56" s="88">
        <f t="shared" si="9"/>
        <v>293762749</v>
      </c>
      <c r="Q56" s="142"/>
    </row>
    <row r="57" spans="1:17" s="71" customFormat="1" ht="31.5" customHeight="1" x14ac:dyDescent="0.2">
      <c r="A57" s="69" t="s">
        <v>352</v>
      </c>
      <c r="B57" s="69" t="str">
        <f>'дод 3'!A21</f>
        <v>1030</v>
      </c>
      <c r="C57" s="69" t="str">
        <f>'дод 3'!B21</f>
        <v>0921</v>
      </c>
      <c r="D57" s="72" t="str">
        <f>'дод 3'!C21</f>
        <v>Надання загальної середньої освіти вечiрнiми (змінними) школами</v>
      </c>
      <c r="E57" s="88">
        <f t="shared" si="8"/>
        <v>946850</v>
      </c>
      <c r="F57" s="88">
        <v>946850</v>
      </c>
      <c r="G57" s="88">
        <v>775000</v>
      </c>
      <c r="H57" s="88"/>
      <c r="I57" s="88"/>
      <c r="J57" s="88">
        <f t="shared" si="3"/>
        <v>0</v>
      </c>
      <c r="K57" s="88"/>
      <c r="L57" s="88"/>
      <c r="M57" s="88"/>
      <c r="N57" s="88"/>
      <c r="O57" s="88"/>
      <c r="P57" s="88">
        <f t="shared" si="9"/>
        <v>946850</v>
      </c>
      <c r="Q57" s="142"/>
    </row>
    <row r="58" spans="1:17" s="71" customFormat="1" ht="17.25" customHeight="1" x14ac:dyDescent="0.2">
      <c r="A58" s="69"/>
      <c r="B58" s="69"/>
      <c r="C58" s="69"/>
      <c r="D58" s="70" t="s">
        <v>345</v>
      </c>
      <c r="E58" s="88">
        <f t="shared" si="8"/>
        <v>945500</v>
      </c>
      <c r="F58" s="88">
        <v>945500</v>
      </c>
      <c r="G58" s="88">
        <v>775000</v>
      </c>
      <c r="H58" s="88"/>
      <c r="I58" s="88"/>
      <c r="J58" s="88">
        <f t="shared" si="3"/>
        <v>0</v>
      </c>
      <c r="K58" s="88"/>
      <c r="L58" s="88"/>
      <c r="M58" s="88"/>
      <c r="N58" s="88"/>
      <c r="O58" s="88"/>
      <c r="P58" s="88">
        <f t="shared" si="9"/>
        <v>945500</v>
      </c>
      <c r="Q58" s="142"/>
    </row>
    <row r="59" spans="1:17" s="71" customFormat="1" ht="72" customHeight="1" x14ac:dyDescent="0.2">
      <c r="A59" s="69" t="s">
        <v>293</v>
      </c>
      <c r="B59" s="69" t="str">
        <f>'дод 3'!A23</f>
        <v>1070</v>
      </c>
      <c r="C59" s="69" t="str">
        <f>'дод 3'!B23</f>
        <v>0922</v>
      </c>
      <c r="D59" s="72" t="str">
        <f>'дод 3'!C23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59" s="88">
        <f t="shared" si="8"/>
        <v>8801450</v>
      </c>
      <c r="F59" s="88">
        <v>8801450</v>
      </c>
      <c r="G59" s="88">
        <v>6226400</v>
      </c>
      <c r="H59" s="88">
        <v>758850</v>
      </c>
      <c r="I59" s="88"/>
      <c r="J59" s="88">
        <f t="shared" si="3"/>
        <v>150000</v>
      </c>
      <c r="K59" s="88">
        <v>150000</v>
      </c>
      <c r="L59" s="88"/>
      <c r="M59" s="88"/>
      <c r="N59" s="88"/>
      <c r="O59" s="88">
        <f>150000</f>
        <v>150000</v>
      </c>
      <c r="P59" s="88">
        <f t="shared" si="9"/>
        <v>8951450</v>
      </c>
      <c r="Q59" s="142"/>
    </row>
    <row r="60" spans="1:17" s="71" customFormat="1" ht="24" customHeight="1" x14ac:dyDescent="0.2">
      <c r="A60" s="69"/>
      <c r="B60" s="69"/>
      <c r="C60" s="69"/>
      <c r="D60" s="70" t="s">
        <v>345</v>
      </c>
      <c r="E60" s="88">
        <f t="shared" si="8"/>
        <v>6060400</v>
      </c>
      <c r="F60" s="88">
        <v>6060400</v>
      </c>
      <c r="G60" s="88">
        <v>4975700</v>
      </c>
      <c r="H60" s="88"/>
      <c r="I60" s="88"/>
      <c r="J60" s="88">
        <f t="shared" si="3"/>
        <v>0</v>
      </c>
      <c r="K60" s="88"/>
      <c r="L60" s="88"/>
      <c r="M60" s="88"/>
      <c r="N60" s="88"/>
      <c r="O60" s="88"/>
      <c r="P60" s="88">
        <f t="shared" si="9"/>
        <v>6060400</v>
      </c>
      <c r="Q60" s="142"/>
    </row>
    <row r="61" spans="1:17" s="71" customFormat="1" ht="32.25" customHeight="1" x14ac:dyDescent="0.2">
      <c r="A61" s="69" t="s">
        <v>294</v>
      </c>
      <c r="B61" s="69" t="str">
        <f>'дод 3'!A25</f>
        <v>1090</v>
      </c>
      <c r="C61" s="69" t="str">
        <f>'дод 3'!B25</f>
        <v>0960</v>
      </c>
      <c r="D61" s="72" t="str">
        <f>'дод 3'!C25</f>
        <v xml:space="preserve">Надання позашкільної освіти позашкільними закладами освіти, заходи із позашкільної роботи з дітьми </v>
      </c>
      <c r="E61" s="88">
        <f t="shared" si="8"/>
        <v>24404580</v>
      </c>
      <c r="F61" s="88">
        <v>24404580</v>
      </c>
      <c r="G61" s="88">
        <v>17339000</v>
      </c>
      <c r="H61" s="88">
        <v>2843070</v>
      </c>
      <c r="I61" s="88"/>
      <c r="J61" s="88">
        <f t="shared" si="3"/>
        <v>300000</v>
      </c>
      <c r="K61" s="88">
        <v>300000</v>
      </c>
      <c r="L61" s="88"/>
      <c r="M61" s="88"/>
      <c r="N61" s="88"/>
      <c r="O61" s="88">
        <v>300000</v>
      </c>
      <c r="P61" s="88">
        <f t="shared" si="9"/>
        <v>24704580</v>
      </c>
      <c r="Q61" s="142"/>
    </row>
    <row r="62" spans="1:17" s="71" customFormat="1" ht="33.75" customHeight="1" x14ac:dyDescent="0.2">
      <c r="A62" s="69" t="s">
        <v>292</v>
      </c>
      <c r="B62" s="69" t="str">
        <f>'дод 3'!A27</f>
        <v>1110</v>
      </c>
      <c r="C62" s="69" t="str">
        <f>'дод 3'!B27</f>
        <v>0930</v>
      </c>
      <c r="D62" s="72" t="str">
        <f>'дод 3'!C27</f>
        <v>Підготовка кадрів професійно-технічними закладами та іншими закладами освіти</v>
      </c>
      <c r="E62" s="88">
        <f t="shared" si="8"/>
        <v>102175500</v>
      </c>
      <c r="F62" s="88">
        <f>101675500+500000</f>
        <v>102175500</v>
      </c>
      <c r="G62" s="88">
        <v>59049100</v>
      </c>
      <c r="H62" s="88">
        <v>10451100</v>
      </c>
      <c r="I62" s="88">
        <v>0</v>
      </c>
      <c r="J62" s="88">
        <f t="shared" si="3"/>
        <v>7717506</v>
      </c>
      <c r="K62" s="88"/>
      <c r="L62" s="88">
        <v>7600506</v>
      </c>
      <c r="M62" s="88">
        <v>2516057</v>
      </c>
      <c r="N62" s="88">
        <v>2589380</v>
      </c>
      <c r="O62" s="88">
        <v>117000</v>
      </c>
      <c r="P62" s="88">
        <f t="shared" si="9"/>
        <v>109893006</v>
      </c>
      <c r="Q62" s="142"/>
    </row>
    <row r="63" spans="1:17" s="71" customFormat="1" ht="15.75" customHeight="1" x14ac:dyDescent="0.2">
      <c r="A63" s="69"/>
      <c r="B63" s="69"/>
      <c r="C63" s="69"/>
      <c r="D63" s="70" t="s">
        <v>345</v>
      </c>
      <c r="E63" s="88">
        <f t="shared" si="8"/>
        <v>11500000</v>
      </c>
      <c r="F63" s="88">
        <v>11500000</v>
      </c>
      <c r="G63" s="88">
        <v>9426200</v>
      </c>
      <c r="H63" s="88"/>
      <c r="I63" s="88"/>
      <c r="J63" s="88">
        <f t="shared" si="3"/>
        <v>0</v>
      </c>
      <c r="K63" s="88"/>
      <c r="L63" s="88"/>
      <c r="M63" s="88"/>
      <c r="N63" s="88"/>
      <c r="O63" s="88"/>
      <c r="P63" s="88">
        <f t="shared" si="9"/>
        <v>11500000</v>
      </c>
      <c r="Q63" s="142"/>
    </row>
    <row r="64" spans="1:17" s="71" customFormat="1" ht="21" customHeight="1" x14ac:dyDescent="0.2">
      <c r="A64" s="69" t="s">
        <v>226</v>
      </c>
      <c r="B64" s="69" t="str">
        <f>'дод 3'!A29</f>
        <v>1150</v>
      </c>
      <c r="C64" s="69" t="str">
        <f>'дод 3'!B29</f>
        <v>0990</v>
      </c>
      <c r="D64" s="72" t="str">
        <f>'дод 3'!C29</f>
        <v xml:space="preserve">Методичне забезпечення діяльності навчальних закладів  </v>
      </c>
      <c r="E64" s="88">
        <f t="shared" si="8"/>
        <v>2838770</v>
      </c>
      <c r="F64" s="88">
        <v>2838770</v>
      </c>
      <c r="G64" s="88">
        <v>2189100</v>
      </c>
      <c r="H64" s="88">
        <v>127170</v>
      </c>
      <c r="I64" s="88"/>
      <c r="J64" s="88">
        <f t="shared" si="3"/>
        <v>0</v>
      </c>
      <c r="K64" s="88"/>
      <c r="L64" s="88"/>
      <c r="M64" s="88"/>
      <c r="N64" s="88"/>
      <c r="O64" s="88"/>
      <c r="P64" s="88">
        <f t="shared" si="9"/>
        <v>2838770</v>
      </c>
      <c r="Q64" s="142"/>
    </row>
    <row r="65" spans="1:17" s="71" customFormat="1" ht="26.25" customHeight="1" x14ac:dyDescent="0.2">
      <c r="A65" s="69" t="s">
        <v>400</v>
      </c>
      <c r="B65" s="69" t="str">
        <f>'дод 3'!A30</f>
        <v>1161</v>
      </c>
      <c r="C65" s="69" t="str">
        <f>'дод 3'!B30</f>
        <v>0990</v>
      </c>
      <c r="D65" s="72" t="s">
        <v>371</v>
      </c>
      <c r="E65" s="88">
        <f t="shared" si="8"/>
        <v>9685900</v>
      </c>
      <c r="F65" s="88">
        <f>8507180+1178720</f>
        <v>9685900</v>
      </c>
      <c r="G65" s="88">
        <f>6061800+966164</f>
        <v>7027964</v>
      </c>
      <c r="H65" s="88">
        <v>603390</v>
      </c>
      <c r="I65" s="88"/>
      <c r="J65" s="88">
        <f t="shared" ref="J65:J114" si="10">L65+O65</f>
        <v>170000</v>
      </c>
      <c r="K65" s="88">
        <v>170000</v>
      </c>
      <c r="L65" s="88"/>
      <c r="M65" s="88"/>
      <c r="N65" s="88"/>
      <c r="O65" s="88">
        <f>170000</f>
        <v>170000</v>
      </c>
      <c r="P65" s="88">
        <f t="shared" si="9"/>
        <v>9855900</v>
      </c>
      <c r="Q65" s="142"/>
    </row>
    <row r="66" spans="1:17" s="71" customFormat="1" ht="18.75" customHeight="1" x14ac:dyDescent="0.2">
      <c r="A66" s="69"/>
      <c r="B66" s="69"/>
      <c r="C66" s="69"/>
      <c r="D66" s="70" t="s">
        <v>345</v>
      </c>
      <c r="E66" s="88">
        <f t="shared" si="8"/>
        <v>1178720</v>
      </c>
      <c r="F66" s="88">
        <v>1178720</v>
      </c>
      <c r="G66" s="88">
        <v>966164</v>
      </c>
      <c r="H66" s="88"/>
      <c r="I66" s="88"/>
      <c r="J66" s="88">
        <f t="shared" si="10"/>
        <v>0</v>
      </c>
      <c r="K66" s="88"/>
      <c r="L66" s="88"/>
      <c r="M66" s="88"/>
      <c r="N66" s="88"/>
      <c r="O66" s="88"/>
      <c r="P66" s="88">
        <f t="shared" si="9"/>
        <v>1178720</v>
      </c>
      <c r="Q66" s="142"/>
    </row>
    <row r="67" spans="1:17" s="71" customFormat="1" ht="20.25" customHeight="1" x14ac:dyDescent="0.2">
      <c r="A67" s="69" t="s">
        <v>401</v>
      </c>
      <c r="B67" s="69" t="str">
        <f>'дод 3'!A32</f>
        <v>1162</v>
      </c>
      <c r="C67" s="69" t="str">
        <f>'дод 3'!B32</f>
        <v>0990</v>
      </c>
      <c r="D67" s="72" t="str">
        <f>'дод 3'!C32</f>
        <v>Інші програми та заходи у сфері освіти</v>
      </c>
      <c r="E67" s="88">
        <f t="shared" ref="E67:E76" si="11">F67+I67</f>
        <v>90400</v>
      </c>
      <c r="F67" s="88">
        <v>90400</v>
      </c>
      <c r="G67" s="88"/>
      <c r="H67" s="88"/>
      <c r="I67" s="88"/>
      <c r="J67" s="88">
        <f t="shared" si="10"/>
        <v>0</v>
      </c>
      <c r="K67" s="88"/>
      <c r="L67" s="88"/>
      <c r="M67" s="88"/>
      <c r="N67" s="88"/>
      <c r="O67" s="88"/>
      <c r="P67" s="88">
        <f t="shared" si="9"/>
        <v>90400</v>
      </c>
      <c r="Q67" s="142"/>
    </row>
    <row r="68" spans="1:17" s="71" customFormat="1" ht="20.25" hidden="1" customHeight="1" x14ac:dyDescent="0.2">
      <c r="A68" s="69"/>
      <c r="B68" s="69"/>
      <c r="C68" s="69"/>
      <c r="D68" s="70" t="s">
        <v>345</v>
      </c>
      <c r="E68" s="88">
        <f t="shared" si="11"/>
        <v>0</v>
      </c>
      <c r="F68" s="88"/>
      <c r="G68" s="88"/>
      <c r="H68" s="88"/>
      <c r="I68" s="88"/>
      <c r="J68" s="88">
        <f t="shared" si="10"/>
        <v>0</v>
      </c>
      <c r="K68" s="88"/>
      <c r="L68" s="88"/>
      <c r="M68" s="88"/>
      <c r="N68" s="88"/>
      <c r="O68" s="88"/>
      <c r="P68" s="88">
        <f t="shared" si="9"/>
        <v>0</v>
      </c>
      <c r="Q68" s="142"/>
    </row>
    <row r="69" spans="1:17" s="71" customFormat="1" ht="64.5" customHeight="1" x14ac:dyDescent="0.2">
      <c r="A69" s="69" t="s">
        <v>227</v>
      </c>
      <c r="B69" s="69" t="str">
        <f>'дод 3'!A100</f>
        <v>3140</v>
      </c>
      <c r="C69" s="69" t="str">
        <f>'дод 3'!B100</f>
        <v>1040</v>
      </c>
      <c r="D69" s="72" t="str">
        <f>'дод 3'!C100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9" s="88">
        <f t="shared" si="11"/>
        <v>7301000</v>
      </c>
      <c r="F69" s="88">
        <v>7301000</v>
      </c>
      <c r="G69" s="88"/>
      <c r="H69" s="88"/>
      <c r="I69" s="88"/>
      <c r="J69" s="88">
        <f t="shared" si="10"/>
        <v>0</v>
      </c>
      <c r="K69" s="88"/>
      <c r="L69" s="88"/>
      <c r="M69" s="88"/>
      <c r="N69" s="88"/>
      <c r="O69" s="88"/>
      <c r="P69" s="88">
        <f t="shared" si="9"/>
        <v>7301000</v>
      </c>
      <c r="Q69" s="142"/>
    </row>
    <row r="70" spans="1:17" s="71" customFormat="1" ht="31.5" customHeight="1" x14ac:dyDescent="0.2">
      <c r="A70" s="69" t="s">
        <v>479</v>
      </c>
      <c r="B70" s="69" t="str">
        <f>'дод 3'!A118</f>
        <v>3242</v>
      </c>
      <c r="C70" s="69" t="str">
        <f>'дод 3'!B118</f>
        <v>1090</v>
      </c>
      <c r="D70" s="72" t="str">
        <f>'дод 3'!C118</f>
        <v>Інші заходи у сфері соціального захисту і соціального забезпечення</v>
      </c>
      <c r="E70" s="88">
        <f t="shared" si="11"/>
        <v>56110</v>
      </c>
      <c r="F70" s="88">
        <v>56110</v>
      </c>
      <c r="G70" s="88"/>
      <c r="H70" s="88"/>
      <c r="I70" s="88"/>
      <c r="J70" s="88">
        <f t="shared" si="10"/>
        <v>0</v>
      </c>
      <c r="K70" s="88"/>
      <c r="L70" s="88"/>
      <c r="M70" s="88"/>
      <c r="N70" s="88"/>
      <c r="O70" s="88"/>
      <c r="P70" s="88">
        <f t="shared" si="9"/>
        <v>56110</v>
      </c>
      <c r="Q70" s="142"/>
    </row>
    <row r="71" spans="1:17" s="71" customFormat="1" ht="33" customHeight="1" x14ac:dyDescent="0.2">
      <c r="A71" s="69" t="s">
        <v>228</v>
      </c>
      <c r="B71" s="69" t="str">
        <f>'дод 3'!A127</f>
        <v>5031</v>
      </c>
      <c r="C71" s="69" t="str">
        <f>'дод 3'!B127</f>
        <v>0810</v>
      </c>
      <c r="D71" s="72" t="str">
        <f>'дод 3'!C127</f>
        <v>Утримання та навчально-тренувальна робота комунальних дитячо-юнацьких спортивних шкіл</v>
      </c>
      <c r="E71" s="88">
        <f t="shared" si="11"/>
        <v>4846100</v>
      </c>
      <c r="F71" s="88">
        <v>4846100</v>
      </c>
      <c r="G71" s="88">
        <v>3511500</v>
      </c>
      <c r="H71" s="88">
        <v>219600</v>
      </c>
      <c r="I71" s="88"/>
      <c r="J71" s="88">
        <f t="shared" si="10"/>
        <v>50000</v>
      </c>
      <c r="K71" s="88">
        <v>50000</v>
      </c>
      <c r="L71" s="88"/>
      <c r="M71" s="88"/>
      <c r="N71" s="88"/>
      <c r="O71" s="88">
        <f>50000</f>
        <v>50000</v>
      </c>
      <c r="P71" s="88">
        <f t="shared" si="9"/>
        <v>4896100</v>
      </c>
      <c r="Q71" s="142"/>
    </row>
    <row r="72" spans="1:17" s="71" customFormat="1" ht="39.75" hidden="1" customHeight="1" x14ac:dyDescent="0.2">
      <c r="A72" s="69" t="s">
        <v>500</v>
      </c>
      <c r="B72" s="69" t="str">
        <f>'дод 3'!A160</f>
        <v>7363</v>
      </c>
      <c r="C72" s="69" t="str">
        <f>'дод 3'!B160</f>
        <v>0490</v>
      </c>
      <c r="D72" s="72" t="str">
        <f>'дод 3'!C160</f>
        <v>Виконання інвестиційних проектів в рамках здійснення заходів щодо соціально-економічного розвитку окремих територій</v>
      </c>
      <c r="E72" s="88">
        <f t="shared" si="11"/>
        <v>0</v>
      </c>
      <c r="F72" s="88"/>
      <c r="G72" s="88"/>
      <c r="H72" s="88"/>
      <c r="I72" s="88"/>
      <c r="J72" s="88">
        <f t="shared" si="10"/>
        <v>0</v>
      </c>
      <c r="K72" s="88"/>
      <c r="L72" s="88"/>
      <c r="M72" s="88"/>
      <c r="N72" s="88"/>
      <c r="O72" s="88"/>
      <c r="P72" s="88">
        <f t="shared" si="9"/>
        <v>0</v>
      </c>
      <c r="Q72" s="142"/>
    </row>
    <row r="73" spans="1:17" s="71" customFormat="1" ht="19.5" hidden="1" customHeight="1" x14ac:dyDescent="0.2">
      <c r="A73" s="69"/>
      <c r="B73" s="69"/>
      <c r="C73" s="69"/>
      <c r="D73" s="70" t="s">
        <v>345</v>
      </c>
      <c r="E73" s="88">
        <f t="shared" si="11"/>
        <v>0</v>
      </c>
      <c r="F73" s="88"/>
      <c r="G73" s="88"/>
      <c r="H73" s="88"/>
      <c r="I73" s="88"/>
      <c r="J73" s="88">
        <f t="shared" si="10"/>
        <v>0</v>
      </c>
      <c r="K73" s="88"/>
      <c r="L73" s="88"/>
      <c r="M73" s="88"/>
      <c r="N73" s="88"/>
      <c r="O73" s="88"/>
      <c r="P73" s="88">
        <f t="shared" si="9"/>
        <v>0</v>
      </c>
      <c r="Q73" s="142"/>
    </row>
    <row r="74" spans="1:17" s="71" customFormat="1" ht="25.5" customHeight="1" x14ac:dyDescent="0.2">
      <c r="A74" s="69" t="s">
        <v>229</v>
      </c>
      <c r="B74" s="69" t="str">
        <f>'дод 3'!A176</f>
        <v>7640</v>
      </c>
      <c r="C74" s="69" t="str">
        <f>'дод 3'!B176</f>
        <v>0470</v>
      </c>
      <c r="D74" s="72" t="str">
        <f>'дод 3'!C176</f>
        <v>Заходи з енергозбереження</v>
      </c>
      <c r="E74" s="88">
        <f t="shared" si="11"/>
        <v>427000</v>
      </c>
      <c r="F74" s="88">
        <v>427000</v>
      </c>
      <c r="G74" s="88"/>
      <c r="H74" s="88"/>
      <c r="I74" s="88"/>
      <c r="J74" s="88">
        <f t="shared" si="10"/>
        <v>3596000</v>
      </c>
      <c r="K74" s="88">
        <f>4046000+3900000-3900000-450000</f>
        <v>3596000</v>
      </c>
      <c r="L74" s="88"/>
      <c r="M74" s="88"/>
      <c r="N74" s="88"/>
      <c r="O74" s="88">
        <f>4046000+3900000-3900000-450000</f>
        <v>3596000</v>
      </c>
      <c r="P74" s="88">
        <f t="shared" si="9"/>
        <v>4023000</v>
      </c>
      <c r="Q74" s="142"/>
    </row>
    <row r="75" spans="1:17" s="71" customFormat="1" ht="27" customHeight="1" x14ac:dyDescent="0.2">
      <c r="A75" s="69" t="s">
        <v>230</v>
      </c>
      <c r="B75" s="69" t="str">
        <f>'дод 3'!A193</f>
        <v>8340</v>
      </c>
      <c r="C75" s="69" t="str">
        <f>'дод 3'!B193</f>
        <v>0540</v>
      </c>
      <c r="D75" s="72" t="str">
        <f>'дод 3'!C193</f>
        <v>Природоохоронні заходи за рахунок цільових фондів</v>
      </c>
      <c r="E75" s="88">
        <f t="shared" si="11"/>
        <v>0</v>
      </c>
      <c r="F75" s="88"/>
      <c r="G75" s="88"/>
      <c r="H75" s="88"/>
      <c r="I75" s="88"/>
      <c r="J75" s="88">
        <f t="shared" si="10"/>
        <v>485000</v>
      </c>
      <c r="K75" s="88"/>
      <c r="L75" s="88">
        <v>445000</v>
      </c>
      <c r="M75" s="88"/>
      <c r="N75" s="88"/>
      <c r="O75" s="88">
        <v>40000</v>
      </c>
      <c r="P75" s="88">
        <f t="shared" si="9"/>
        <v>485000</v>
      </c>
      <c r="Q75" s="142"/>
    </row>
    <row r="76" spans="1:17" s="71" customFormat="1" ht="42.75" hidden="1" customHeight="1" x14ac:dyDescent="0.2">
      <c r="A76" s="69" t="s">
        <v>493</v>
      </c>
      <c r="B76" s="69" t="str">
        <f>'дод 3'!A209</f>
        <v>9800</v>
      </c>
      <c r="C76" s="69" t="str">
        <f>'дод 3'!B209</f>
        <v>0180</v>
      </c>
      <c r="D76" s="72" t="str">
        <f>'дод 3'!C209</f>
        <v xml:space="preserve">Субвенція з місцевого бюджету державному бюджету на виконання програм соціально-економічного розвитку регіонів </v>
      </c>
      <c r="E76" s="88">
        <f t="shared" si="11"/>
        <v>0</v>
      </c>
      <c r="F76" s="88"/>
      <c r="G76" s="88"/>
      <c r="H76" s="88"/>
      <c r="I76" s="88"/>
      <c r="J76" s="88">
        <f t="shared" si="10"/>
        <v>0</v>
      </c>
      <c r="K76" s="88"/>
      <c r="L76" s="88"/>
      <c r="M76" s="88"/>
      <c r="N76" s="88"/>
      <c r="O76" s="88"/>
      <c r="P76" s="88">
        <f t="shared" si="9"/>
        <v>0</v>
      </c>
      <c r="Q76" s="142"/>
    </row>
    <row r="77" spans="1:17" s="90" customFormat="1" ht="21" customHeight="1" x14ac:dyDescent="0.2">
      <c r="A77" s="94" t="s">
        <v>231</v>
      </c>
      <c r="B77" s="94"/>
      <c r="C77" s="94"/>
      <c r="D77" s="95" t="s">
        <v>44</v>
      </c>
      <c r="E77" s="96">
        <f>E78</f>
        <v>338599260</v>
      </c>
      <c r="F77" s="96">
        <f t="shared" ref="F77:P77" si="12">F78</f>
        <v>338599260</v>
      </c>
      <c r="G77" s="96">
        <f t="shared" si="12"/>
        <v>1424117</v>
      </c>
      <c r="H77" s="96">
        <f t="shared" si="12"/>
        <v>32216</v>
      </c>
      <c r="I77" s="96">
        <f t="shared" si="12"/>
        <v>0</v>
      </c>
      <c r="J77" s="96">
        <f t="shared" si="12"/>
        <v>55658678</v>
      </c>
      <c r="K77" s="96">
        <f t="shared" si="12"/>
        <v>29010000</v>
      </c>
      <c r="L77" s="96">
        <f t="shared" si="12"/>
        <v>20888678</v>
      </c>
      <c r="M77" s="96">
        <f t="shared" si="12"/>
        <v>0</v>
      </c>
      <c r="N77" s="96">
        <f t="shared" si="12"/>
        <v>0</v>
      </c>
      <c r="O77" s="96">
        <f t="shared" si="12"/>
        <v>34770000</v>
      </c>
      <c r="P77" s="96">
        <f t="shared" si="12"/>
        <v>394257938</v>
      </c>
      <c r="Q77" s="142"/>
    </row>
    <row r="78" spans="1:17" s="91" customFormat="1" ht="18.75" customHeight="1" x14ac:dyDescent="0.2">
      <c r="A78" s="102" t="s">
        <v>232</v>
      </c>
      <c r="B78" s="102"/>
      <c r="C78" s="102"/>
      <c r="D78" s="103" t="s">
        <v>44</v>
      </c>
      <c r="E78" s="104">
        <f>E80+E81+E83+E85+E87+E89+E91+E93+E95+E97+E99+E101+E103+E105+E106+E104</f>
        <v>338599260</v>
      </c>
      <c r="F78" s="104">
        <f t="shared" ref="F78:P78" si="13">F80+F81+F83+F85+F87+F89+F91+F93+F95+F97+F99+F101+F103+F105+F106+F104</f>
        <v>338599260</v>
      </c>
      <c r="G78" s="104">
        <f t="shared" si="13"/>
        <v>1424117</v>
      </c>
      <c r="H78" s="104">
        <f t="shared" si="13"/>
        <v>32216</v>
      </c>
      <c r="I78" s="104">
        <f t="shared" si="13"/>
        <v>0</v>
      </c>
      <c r="J78" s="104">
        <f t="shared" si="13"/>
        <v>55658678</v>
      </c>
      <c r="K78" s="104">
        <f t="shared" si="13"/>
        <v>29010000</v>
      </c>
      <c r="L78" s="104">
        <f t="shared" si="13"/>
        <v>20888678</v>
      </c>
      <c r="M78" s="104">
        <f t="shared" si="13"/>
        <v>0</v>
      </c>
      <c r="N78" s="104">
        <f t="shared" si="13"/>
        <v>0</v>
      </c>
      <c r="O78" s="104">
        <f t="shared" si="13"/>
        <v>34770000</v>
      </c>
      <c r="P78" s="104">
        <f t="shared" si="13"/>
        <v>394257938</v>
      </c>
      <c r="Q78" s="142"/>
    </row>
    <row r="79" spans="1:17" s="91" customFormat="1" ht="18.75" customHeight="1" x14ac:dyDescent="0.2">
      <c r="A79" s="102"/>
      <c r="B79" s="102"/>
      <c r="C79" s="102"/>
      <c r="D79" s="103" t="s">
        <v>345</v>
      </c>
      <c r="E79" s="104">
        <f>E82+E84+E86+E88+E90+E92+E94+E96+E98+E100+E102</f>
        <v>211222250</v>
      </c>
      <c r="F79" s="104">
        <f t="shared" ref="F79:P79" si="14">F82+F84+F86+F88+F90+F92+F94+F96+F98+F100+F102</f>
        <v>211222250</v>
      </c>
      <c r="G79" s="104">
        <f t="shared" si="14"/>
        <v>0</v>
      </c>
      <c r="H79" s="104">
        <f t="shared" si="14"/>
        <v>0</v>
      </c>
      <c r="I79" s="104">
        <f t="shared" si="14"/>
        <v>0</v>
      </c>
      <c r="J79" s="104">
        <f t="shared" si="14"/>
        <v>0</v>
      </c>
      <c r="K79" s="104">
        <f t="shared" si="14"/>
        <v>0</v>
      </c>
      <c r="L79" s="104">
        <f t="shared" si="14"/>
        <v>0</v>
      </c>
      <c r="M79" s="104">
        <f t="shared" si="14"/>
        <v>0</v>
      </c>
      <c r="N79" s="104">
        <f t="shared" si="14"/>
        <v>0</v>
      </c>
      <c r="O79" s="104">
        <f t="shared" si="14"/>
        <v>0</v>
      </c>
      <c r="P79" s="104">
        <f t="shared" si="14"/>
        <v>211222250</v>
      </c>
      <c r="Q79" s="142"/>
    </row>
    <row r="80" spans="1:17" s="71" customFormat="1" ht="41.25" customHeight="1" x14ac:dyDescent="0.2">
      <c r="A80" s="69" t="s">
        <v>233</v>
      </c>
      <c r="B80" s="69" t="str">
        <f>'дод 3'!A14</f>
        <v>0160</v>
      </c>
      <c r="C80" s="69" t="str">
        <f>'дод 3'!B14</f>
        <v>0111</v>
      </c>
      <c r="D80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80" s="88">
        <f t="shared" ref="E80:E106" si="15">F80+I80</f>
        <v>1849500</v>
      </c>
      <c r="F80" s="88">
        <v>1849500</v>
      </c>
      <c r="G80" s="88">
        <v>1424117</v>
      </c>
      <c r="H80" s="88">
        <v>32216</v>
      </c>
      <c r="I80" s="88"/>
      <c r="J80" s="88">
        <f t="shared" si="10"/>
        <v>0</v>
      </c>
      <c r="K80" s="88"/>
      <c r="L80" s="88"/>
      <c r="M80" s="88"/>
      <c r="N80" s="88"/>
      <c r="O80" s="88"/>
      <c r="P80" s="88">
        <f t="shared" ref="P80:P106" si="16">E80+J80</f>
        <v>1849500</v>
      </c>
      <c r="Q80" s="142"/>
    </row>
    <row r="81" spans="1:17" s="71" customFormat="1" ht="25.5" customHeight="1" x14ac:dyDescent="0.2">
      <c r="A81" s="69" t="s">
        <v>234</v>
      </c>
      <c r="B81" s="69" t="str">
        <f>'дод 3'!A35</f>
        <v>2010</v>
      </c>
      <c r="C81" s="69" t="str">
        <f>'дод 3'!B35</f>
        <v>0731</v>
      </c>
      <c r="D81" s="72" t="str">
        <f>'дод 3'!C35</f>
        <v>Багатопрофільна стаціонарна медична допомога населенню</v>
      </c>
      <c r="E81" s="88">
        <f t="shared" si="15"/>
        <v>266450098</v>
      </c>
      <c r="F81" s="88">
        <f>254742058+600000+618410+10489630</f>
        <v>266450098</v>
      </c>
      <c r="G81" s="89"/>
      <c r="H81" s="89"/>
      <c r="I81" s="89"/>
      <c r="J81" s="88">
        <f t="shared" si="10"/>
        <v>25216868</v>
      </c>
      <c r="K81" s="88">
        <v>12000000</v>
      </c>
      <c r="L81" s="88">
        <v>13216868</v>
      </c>
      <c r="M81" s="88"/>
      <c r="N81" s="88"/>
      <c r="O81" s="88">
        <v>12000000</v>
      </c>
      <c r="P81" s="88">
        <f t="shared" si="16"/>
        <v>291666966</v>
      </c>
      <c r="Q81" s="142"/>
    </row>
    <row r="82" spans="1:17" s="71" customFormat="1" ht="17.25" customHeight="1" x14ac:dyDescent="0.2">
      <c r="A82" s="69"/>
      <c r="B82" s="69"/>
      <c r="C82" s="69"/>
      <c r="D82" s="70" t="s">
        <v>345</v>
      </c>
      <c r="E82" s="88">
        <f t="shared" si="15"/>
        <v>177611930</v>
      </c>
      <c r="F82" s="88">
        <f>167125500-3200+10489630</f>
        <v>177611930</v>
      </c>
      <c r="G82" s="89"/>
      <c r="H82" s="89"/>
      <c r="I82" s="89"/>
      <c r="J82" s="88">
        <f t="shared" si="10"/>
        <v>0</v>
      </c>
      <c r="K82" s="88"/>
      <c r="L82" s="88"/>
      <c r="M82" s="88"/>
      <c r="N82" s="88"/>
      <c r="O82" s="88"/>
      <c r="P82" s="88">
        <f t="shared" si="16"/>
        <v>177611930</v>
      </c>
      <c r="Q82" s="142"/>
    </row>
    <row r="83" spans="1:17" s="71" customFormat="1" ht="36.75" customHeight="1" x14ac:dyDescent="0.2">
      <c r="A83" s="69" t="s">
        <v>240</v>
      </c>
      <c r="B83" s="69" t="str">
        <f>'дод 3'!A37</f>
        <v>2030</v>
      </c>
      <c r="C83" s="69" t="str">
        <f>'дод 3'!B37</f>
        <v>0733</v>
      </c>
      <c r="D83" s="72" t="str">
        <f>'дод 3'!C37</f>
        <v>Лікарсько-акушерська допомога вагітним, породіллям та новонародженим</v>
      </c>
      <c r="E83" s="88">
        <f t="shared" si="15"/>
        <v>37728216</v>
      </c>
      <c r="F83" s="88">
        <f>37578216+150000</f>
        <v>37728216</v>
      </c>
      <c r="G83" s="89"/>
      <c r="H83" s="89"/>
      <c r="I83" s="89"/>
      <c r="J83" s="88">
        <f t="shared" si="10"/>
        <v>1037400</v>
      </c>
      <c r="K83" s="88">
        <v>1000000</v>
      </c>
      <c r="L83" s="88">
        <v>37400</v>
      </c>
      <c r="M83" s="88"/>
      <c r="N83" s="88"/>
      <c r="O83" s="88">
        <v>1000000</v>
      </c>
      <c r="P83" s="88">
        <f t="shared" si="16"/>
        <v>38765616</v>
      </c>
      <c r="Q83" s="142"/>
    </row>
    <row r="84" spans="1:17" s="71" customFormat="1" ht="16.5" customHeight="1" x14ac:dyDescent="0.2">
      <c r="A84" s="69"/>
      <c r="B84" s="69"/>
      <c r="C84" s="69"/>
      <c r="D84" s="70" t="s">
        <v>345</v>
      </c>
      <c r="E84" s="88">
        <f t="shared" si="15"/>
        <v>23499600</v>
      </c>
      <c r="F84" s="88">
        <v>23499600</v>
      </c>
      <c r="G84" s="89"/>
      <c r="H84" s="89"/>
      <c r="I84" s="89"/>
      <c r="J84" s="88">
        <f t="shared" si="10"/>
        <v>0</v>
      </c>
      <c r="K84" s="88"/>
      <c r="L84" s="88"/>
      <c r="M84" s="88"/>
      <c r="N84" s="88"/>
      <c r="O84" s="88"/>
      <c r="P84" s="88">
        <f t="shared" si="16"/>
        <v>23499600</v>
      </c>
      <c r="Q84" s="142"/>
    </row>
    <row r="85" spans="1:17" s="71" customFormat="1" ht="33.75" hidden="1" customHeight="1" x14ac:dyDescent="0.2">
      <c r="A85" s="73" t="s">
        <v>239</v>
      </c>
      <c r="B85" s="73" t="str">
        <f>'дод 3'!A39</f>
        <v>2080</v>
      </c>
      <c r="C85" s="73" t="str">
        <f>'дод 3'!B39</f>
        <v>0721</v>
      </c>
      <c r="D85" s="70" t="str">
        <f>'дод 3'!C39</f>
        <v>Амбулаторно-поліклінічна допомога населенню, крім первинної медичної допомоги</v>
      </c>
      <c r="E85" s="88">
        <f t="shared" si="15"/>
        <v>0</v>
      </c>
      <c r="F85" s="88"/>
      <c r="G85" s="89"/>
      <c r="H85" s="89"/>
      <c r="I85" s="89"/>
      <c r="J85" s="88">
        <f t="shared" si="10"/>
        <v>0</v>
      </c>
      <c r="K85" s="88"/>
      <c r="L85" s="88"/>
      <c r="M85" s="88"/>
      <c r="N85" s="88"/>
      <c r="O85" s="88"/>
      <c r="P85" s="88">
        <f t="shared" si="16"/>
        <v>0</v>
      </c>
      <c r="Q85" s="142"/>
    </row>
    <row r="86" spans="1:17" s="71" customFormat="1" ht="22.5" hidden="1" customHeight="1" x14ac:dyDescent="0.2">
      <c r="A86" s="73"/>
      <c r="B86" s="73"/>
      <c r="C86" s="73"/>
      <c r="D86" s="70" t="s">
        <v>345</v>
      </c>
      <c r="E86" s="88">
        <f t="shared" si="15"/>
        <v>0</v>
      </c>
      <c r="F86" s="88"/>
      <c r="G86" s="89"/>
      <c r="H86" s="89"/>
      <c r="I86" s="89"/>
      <c r="J86" s="88">
        <f t="shared" si="10"/>
        <v>0</v>
      </c>
      <c r="K86" s="88"/>
      <c r="L86" s="88"/>
      <c r="M86" s="88"/>
      <c r="N86" s="88"/>
      <c r="O86" s="88"/>
      <c r="P86" s="88">
        <f t="shared" si="16"/>
        <v>0</v>
      </c>
      <c r="Q86" s="142"/>
    </row>
    <row r="87" spans="1:17" s="71" customFormat="1" ht="24" customHeight="1" x14ac:dyDescent="0.2">
      <c r="A87" s="69" t="s">
        <v>238</v>
      </c>
      <c r="B87" s="69" t="str">
        <f>'дод 3'!A41</f>
        <v>2100</v>
      </c>
      <c r="C87" s="69" t="str">
        <f>'дод 3'!B41</f>
        <v>0722</v>
      </c>
      <c r="D87" s="72" t="str">
        <f>'дод 3'!C41</f>
        <v>Стоматологічна допомога населенню</v>
      </c>
      <c r="E87" s="88">
        <f t="shared" si="15"/>
        <v>6226457</v>
      </c>
      <c r="F87" s="88">
        <f>6176457+50000</f>
        <v>6226457</v>
      </c>
      <c r="G87" s="89"/>
      <c r="H87" s="89"/>
      <c r="I87" s="89"/>
      <c r="J87" s="88">
        <f t="shared" si="10"/>
        <v>8034410</v>
      </c>
      <c r="K87" s="88">
        <v>400000</v>
      </c>
      <c r="L87" s="88">
        <v>7634410</v>
      </c>
      <c r="M87" s="88"/>
      <c r="N87" s="88"/>
      <c r="O87" s="88">
        <v>400000</v>
      </c>
      <c r="P87" s="88">
        <f t="shared" si="16"/>
        <v>14260867</v>
      </c>
      <c r="Q87" s="142"/>
    </row>
    <row r="88" spans="1:17" s="71" customFormat="1" ht="15" customHeight="1" x14ac:dyDescent="0.2">
      <c r="A88" s="69"/>
      <c r="B88" s="69"/>
      <c r="C88" s="69"/>
      <c r="D88" s="70" t="s">
        <v>345</v>
      </c>
      <c r="E88" s="88">
        <f t="shared" si="15"/>
        <v>4064800</v>
      </c>
      <c r="F88" s="88">
        <v>4064800</v>
      </c>
      <c r="G88" s="89"/>
      <c r="H88" s="89"/>
      <c r="I88" s="89"/>
      <c r="J88" s="88">
        <f t="shared" si="10"/>
        <v>0</v>
      </c>
      <c r="K88" s="88"/>
      <c r="L88" s="88"/>
      <c r="M88" s="88"/>
      <c r="N88" s="88"/>
      <c r="O88" s="88"/>
      <c r="P88" s="88">
        <f t="shared" si="16"/>
        <v>4064800</v>
      </c>
      <c r="Q88" s="142"/>
    </row>
    <row r="89" spans="1:17" s="71" customFormat="1" ht="45.75" customHeight="1" x14ac:dyDescent="0.2">
      <c r="A89" s="69" t="s">
        <v>237</v>
      </c>
      <c r="B89" s="69" t="str">
        <f>'дод 3'!A43</f>
        <v>2111</v>
      </c>
      <c r="C89" s="69" t="str">
        <f>'дод 3'!B43</f>
        <v>0726</v>
      </c>
      <c r="D89" s="72" t="str">
        <f>'дод 3'!C43</f>
        <v>Первинна медична допомога населенню, що надається центрами первинної медичної (медико-санітарної) допомоги</v>
      </c>
      <c r="E89" s="88">
        <f t="shared" si="15"/>
        <v>2680000</v>
      </c>
      <c r="F89" s="88">
        <v>2680000</v>
      </c>
      <c r="G89" s="89"/>
      <c r="H89" s="89"/>
      <c r="I89" s="89"/>
      <c r="J89" s="88">
        <f t="shared" si="10"/>
        <v>3000000</v>
      </c>
      <c r="K89" s="88">
        <v>3000000</v>
      </c>
      <c r="L89" s="88"/>
      <c r="M89" s="88"/>
      <c r="N89" s="88"/>
      <c r="O89" s="88">
        <v>3000000</v>
      </c>
      <c r="P89" s="88">
        <f t="shared" si="16"/>
        <v>5680000</v>
      </c>
      <c r="Q89" s="142"/>
    </row>
    <row r="90" spans="1:17" s="71" customFormat="1" ht="14.25" hidden="1" customHeight="1" x14ac:dyDescent="0.2">
      <c r="A90" s="69"/>
      <c r="B90" s="69"/>
      <c r="C90" s="69"/>
      <c r="D90" s="70" t="s">
        <v>345</v>
      </c>
      <c r="E90" s="88">
        <f t="shared" si="15"/>
        <v>0</v>
      </c>
      <c r="F90" s="88"/>
      <c r="G90" s="89"/>
      <c r="H90" s="89"/>
      <c r="I90" s="89"/>
      <c r="J90" s="88">
        <f t="shared" si="10"/>
        <v>0</v>
      </c>
      <c r="K90" s="88"/>
      <c r="L90" s="88"/>
      <c r="M90" s="88"/>
      <c r="N90" s="88"/>
      <c r="O90" s="88"/>
      <c r="P90" s="88">
        <f t="shared" si="16"/>
        <v>0</v>
      </c>
      <c r="Q90" s="142"/>
    </row>
    <row r="91" spans="1:17" s="71" customFormat="1" ht="39.75" hidden="1" customHeight="1" x14ac:dyDescent="0.2">
      <c r="A91" s="69" t="s">
        <v>483</v>
      </c>
      <c r="B91" s="69" t="str">
        <f>'дод 3'!A45</f>
        <v>2113</v>
      </c>
      <c r="C91" s="69" t="str">
        <f>'дод 3'!B45</f>
        <v>0721</v>
      </c>
      <c r="D91" s="72" t="str">
        <f>'дод 3'!C45</f>
        <v>Первинна медична допомога населенню, що надається амбулаторно-поліклінічними закладами (відділеннями)</v>
      </c>
      <c r="E91" s="88">
        <f t="shared" si="15"/>
        <v>0</v>
      </c>
      <c r="F91" s="88"/>
      <c r="G91" s="89"/>
      <c r="H91" s="89"/>
      <c r="I91" s="89"/>
      <c r="J91" s="88">
        <f t="shared" si="10"/>
        <v>0</v>
      </c>
      <c r="K91" s="88"/>
      <c r="L91" s="88"/>
      <c r="M91" s="88"/>
      <c r="N91" s="88"/>
      <c r="O91" s="88"/>
      <c r="P91" s="88">
        <f t="shared" si="16"/>
        <v>0</v>
      </c>
      <c r="Q91" s="142"/>
    </row>
    <row r="92" spans="1:17" s="71" customFormat="1" ht="15" hidden="1" customHeight="1" x14ac:dyDescent="0.2">
      <c r="A92" s="69"/>
      <c r="B92" s="69"/>
      <c r="C92" s="69"/>
      <c r="D92" s="70" t="s">
        <v>345</v>
      </c>
      <c r="E92" s="88">
        <f t="shared" si="15"/>
        <v>0</v>
      </c>
      <c r="F92" s="88"/>
      <c r="G92" s="89"/>
      <c r="H92" s="89"/>
      <c r="I92" s="89"/>
      <c r="J92" s="88">
        <f t="shared" si="10"/>
        <v>0</v>
      </c>
      <c r="K92" s="88"/>
      <c r="L92" s="88"/>
      <c r="M92" s="88"/>
      <c r="N92" s="88"/>
      <c r="O92" s="88"/>
      <c r="P92" s="88">
        <f t="shared" si="16"/>
        <v>0</v>
      </c>
      <c r="Q92" s="142"/>
    </row>
    <row r="93" spans="1:17" s="71" customFormat="1" ht="32.25" customHeight="1" x14ac:dyDescent="0.2">
      <c r="A93" s="69" t="s">
        <v>236</v>
      </c>
      <c r="B93" s="69">
        <f>'дод 3'!A47</f>
        <v>2144</v>
      </c>
      <c r="C93" s="69" t="str">
        <f>'дод 3'!B47</f>
        <v>0763</v>
      </c>
      <c r="D93" s="75" t="str">
        <f>'дод 3'!C47</f>
        <v>Централізовані заходи з лікування хворих на цукровий та нецукровий діабет</v>
      </c>
      <c r="E93" s="88">
        <f t="shared" si="15"/>
        <v>4580500</v>
      </c>
      <c r="F93" s="88">
        <v>4580500</v>
      </c>
      <c r="G93" s="89"/>
      <c r="H93" s="89"/>
      <c r="I93" s="89"/>
      <c r="J93" s="88">
        <f t="shared" si="10"/>
        <v>0</v>
      </c>
      <c r="K93" s="88"/>
      <c r="L93" s="88"/>
      <c r="M93" s="88"/>
      <c r="N93" s="88"/>
      <c r="O93" s="88"/>
      <c r="P93" s="88">
        <f t="shared" si="16"/>
        <v>4580500</v>
      </c>
      <c r="Q93" s="142"/>
    </row>
    <row r="94" spans="1:17" s="71" customFormat="1" ht="18.75" customHeight="1" x14ac:dyDescent="0.2">
      <c r="A94" s="69"/>
      <c r="B94" s="69"/>
      <c r="C94" s="69"/>
      <c r="D94" s="75" t="str">
        <f>'дод 3'!C48</f>
        <v>у т.ч. за рахунок субвенцій з держбюджету</v>
      </c>
      <c r="E94" s="88">
        <f t="shared" si="15"/>
        <v>4580500</v>
      </c>
      <c r="F94" s="88">
        <v>4580500</v>
      </c>
      <c r="G94" s="89"/>
      <c r="H94" s="89"/>
      <c r="I94" s="89"/>
      <c r="J94" s="88">
        <f t="shared" si="10"/>
        <v>0</v>
      </c>
      <c r="K94" s="88"/>
      <c r="L94" s="88"/>
      <c r="M94" s="88"/>
      <c r="N94" s="88"/>
      <c r="O94" s="88"/>
      <c r="P94" s="88">
        <f t="shared" si="16"/>
        <v>4580500</v>
      </c>
      <c r="Q94" s="142"/>
    </row>
    <row r="95" spans="1:17" s="71" customFormat="1" ht="31.5" customHeight="1" x14ac:dyDescent="0.2">
      <c r="A95" s="69" t="s">
        <v>428</v>
      </c>
      <c r="B95" s="69">
        <f>'дод 3'!A49</f>
        <v>2146</v>
      </c>
      <c r="C95" s="69" t="str">
        <f>'дод 3'!B49</f>
        <v>0763</v>
      </c>
      <c r="D95" s="75" t="str">
        <f>'дод 3'!C49</f>
        <v>Відшкодування вартості лікарських засобів для лікування окремих захворювань</v>
      </c>
      <c r="E95" s="88">
        <f t="shared" si="15"/>
        <v>1465420</v>
      </c>
      <c r="F95" s="88">
        <v>1465420</v>
      </c>
      <c r="G95" s="89"/>
      <c r="H95" s="89"/>
      <c r="I95" s="89"/>
      <c r="J95" s="88">
        <f t="shared" si="10"/>
        <v>0</v>
      </c>
      <c r="K95" s="88"/>
      <c r="L95" s="88"/>
      <c r="M95" s="88"/>
      <c r="N95" s="88"/>
      <c r="O95" s="88"/>
      <c r="P95" s="88">
        <f t="shared" si="16"/>
        <v>1465420</v>
      </c>
      <c r="Q95" s="142"/>
    </row>
    <row r="96" spans="1:17" s="71" customFormat="1" ht="16.5" customHeight="1" x14ac:dyDescent="0.2">
      <c r="A96" s="69"/>
      <c r="B96" s="69"/>
      <c r="C96" s="69"/>
      <c r="D96" s="75" t="str">
        <f>'дод 3'!C50</f>
        <v>у т.ч. за рахунок субвенцій з держбюджету</v>
      </c>
      <c r="E96" s="88">
        <f t="shared" si="15"/>
        <v>1465420</v>
      </c>
      <c r="F96" s="88">
        <v>1465420</v>
      </c>
      <c r="G96" s="89"/>
      <c r="H96" s="89"/>
      <c r="I96" s="89"/>
      <c r="J96" s="88">
        <f t="shared" si="10"/>
        <v>0</v>
      </c>
      <c r="K96" s="88"/>
      <c r="L96" s="88"/>
      <c r="M96" s="88"/>
      <c r="N96" s="88"/>
      <c r="O96" s="88"/>
      <c r="P96" s="88">
        <f t="shared" si="16"/>
        <v>1465420</v>
      </c>
      <c r="Q96" s="142"/>
    </row>
    <row r="97" spans="1:17" s="71" customFormat="1" ht="30" customHeight="1" x14ac:dyDescent="0.2">
      <c r="A97" s="69" t="s">
        <v>501</v>
      </c>
      <c r="B97" s="73" t="str">
        <f>'дод 3'!A51</f>
        <v>2151</v>
      </c>
      <c r="C97" s="73" t="str">
        <f>'дод 3'!B51</f>
        <v>0763</v>
      </c>
      <c r="D97" s="72" t="str">
        <f>'дод 3'!C51</f>
        <v>Забезпечення діяльності інших закладів у сфері охорони здоров’я</v>
      </c>
      <c r="E97" s="88">
        <f t="shared" si="15"/>
        <v>2602469</v>
      </c>
      <c r="F97" s="88">
        <v>2602469</v>
      </c>
      <c r="G97" s="89"/>
      <c r="H97" s="89"/>
      <c r="I97" s="89"/>
      <c r="J97" s="88">
        <f t="shared" si="10"/>
        <v>0</v>
      </c>
      <c r="K97" s="88"/>
      <c r="L97" s="88"/>
      <c r="M97" s="88"/>
      <c r="N97" s="88"/>
      <c r="O97" s="88"/>
      <c r="P97" s="88">
        <f t="shared" si="16"/>
        <v>2602469</v>
      </c>
      <c r="Q97" s="142"/>
    </row>
    <row r="98" spans="1:17" s="71" customFormat="1" ht="13.5" hidden="1" customHeight="1" x14ac:dyDescent="0.2">
      <c r="A98" s="69"/>
      <c r="B98" s="73"/>
      <c r="C98" s="73"/>
      <c r="D98" s="70" t="s">
        <v>345</v>
      </c>
      <c r="E98" s="88">
        <f t="shared" si="15"/>
        <v>0</v>
      </c>
      <c r="F98" s="88"/>
      <c r="G98" s="88"/>
      <c r="H98" s="88"/>
      <c r="I98" s="88"/>
      <c r="J98" s="88">
        <f t="shared" si="10"/>
        <v>0</v>
      </c>
      <c r="K98" s="88"/>
      <c r="L98" s="88"/>
      <c r="M98" s="88"/>
      <c r="N98" s="88"/>
      <c r="O98" s="88"/>
      <c r="P98" s="88">
        <f t="shared" si="16"/>
        <v>0</v>
      </c>
      <c r="Q98" s="142"/>
    </row>
    <row r="99" spans="1:17" s="71" customFormat="1" ht="24.75" customHeight="1" x14ac:dyDescent="0.2">
      <c r="A99" s="69" t="s">
        <v>502</v>
      </c>
      <c r="B99" s="73" t="str">
        <f>'дод 3'!A53</f>
        <v>2152</v>
      </c>
      <c r="C99" s="73" t="str">
        <f>'дод 3'!B53</f>
        <v>0763</v>
      </c>
      <c r="D99" s="70" t="str">
        <f>'дод 3'!C53</f>
        <v>Інші програми та заходи у сфері охорони здоров’я</v>
      </c>
      <c r="E99" s="88">
        <f t="shared" si="15"/>
        <v>15016600</v>
      </c>
      <c r="F99" s="88">
        <f>14928600+88000</f>
        <v>15016600</v>
      </c>
      <c r="G99" s="88"/>
      <c r="H99" s="88"/>
      <c r="I99" s="88"/>
      <c r="J99" s="88">
        <f t="shared" si="10"/>
        <v>0</v>
      </c>
      <c r="K99" s="88">
        <f>3000000-3000000</f>
        <v>0</v>
      </c>
      <c r="L99" s="88"/>
      <c r="M99" s="88"/>
      <c r="N99" s="88"/>
      <c r="O99" s="88">
        <f>3000000-3000000</f>
        <v>0</v>
      </c>
      <c r="P99" s="88">
        <f t="shared" si="16"/>
        <v>15016600</v>
      </c>
      <c r="Q99" s="142"/>
    </row>
    <row r="100" spans="1:17" s="71" customFormat="1" ht="17.25" hidden="1" customHeight="1" x14ac:dyDescent="0.2">
      <c r="A100" s="69"/>
      <c r="B100" s="73"/>
      <c r="C100" s="73"/>
      <c r="D100" s="70" t="s">
        <v>345</v>
      </c>
      <c r="E100" s="88">
        <f t="shared" si="15"/>
        <v>0</v>
      </c>
      <c r="F100" s="88"/>
      <c r="G100" s="88"/>
      <c r="H100" s="88"/>
      <c r="I100" s="88"/>
      <c r="J100" s="88">
        <f t="shared" si="10"/>
        <v>0</v>
      </c>
      <c r="K100" s="88"/>
      <c r="L100" s="88"/>
      <c r="M100" s="88"/>
      <c r="N100" s="88"/>
      <c r="O100" s="88"/>
      <c r="P100" s="88">
        <f t="shared" si="16"/>
        <v>0</v>
      </c>
      <c r="Q100" s="142"/>
    </row>
    <row r="101" spans="1:17" s="71" customFormat="1" ht="34.5" hidden="1" customHeight="1" x14ac:dyDescent="0.2">
      <c r="A101" s="69" t="s">
        <v>503</v>
      </c>
      <c r="B101" s="73" t="str">
        <f>'дод 3'!A160</f>
        <v>7363</v>
      </c>
      <c r="C101" s="73" t="str">
        <f>'дод 3'!B160</f>
        <v>0490</v>
      </c>
      <c r="D101" s="70" t="str">
        <f>'дод 3'!C160</f>
        <v>Виконання інвестиційних проектів в рамках здійснення заходів щодо соціально-економічного розвитку окремих територій</v>
      </c>
      <c r="E101" s="88">
        <f t="shared" si="15"/>
        <v>0</v>
      </c>
      <c r="F101" s="88"/>
      <c r="G101" s="88"/>
      <c r="H101" s="88"/>
      <c r="I101" s="88"/>
      <c r="J101" s="88">
        <f t="shared" si="10"/>
        <v>0</v>
      </c>
      <c r="K101" s="88"/>
      <c r="L101" s="88"/>
      <c r="M101" s="88"/>
      <c r="N101" s="88"/>
      <c r="O101" s="88"/>
      <c r="P101" s="88">
        <f t="shared" si="16"/>
        <v>0</v>
      </c>
      <c r="Q101" s="142"/>
    </row>
    <row r="102" spans="1:17" s="71" customFormat="1" ht="21" hidden="1" customHeight="1" x14ac:dyDescent="0.2">
      <c r="A102" s="69"/>
      <c r="B102" s="73"/>
      <c r="C102" s="73"/>
      <c r="D102" s="75" t="s">
        <v>345</v>
      </c>
      <c r="E102" s="88">
        <f t="shared" si="15"/>
        <v>0</v>
      </c>
      <c r="F102" s="88"/>
      <c r="G102" s="88"/>
      <c r="H102" s="88"/>
      <c r="I102" s="88"/>
      <c r="J102" s="88">
        <f t="shared" si="10"/>
        <v>0</v>
      </c>
      <c r="K102" s="88"/>
      <c r="L102" s="88"/>
      <c r="M102" s="88"/>
      <c r="N102" s="88"/>
      <c r="O102" s="88"/>
      <c r="P102" s="88">
        <f t="shared" si="16"/>
        <v>0</v>
      </c>
      <c r="Q102" s="142"/>
    </row>
    <row r="103" spans="1:17" s="71" customFormat="1" ht="18.75" customHeight="1" x14ac:dyDescent="0.2">
      <c r="A103" s="69" t="s">
        <v>235</v>
      </c>
      <c r="B103" s="69" t="str">
        <f>'дод 3'!A176</f>
        <v>7640</v>
      </c>
      <c r="C103" s="69" t="str">
        <f>'дод 3'!B176</f>
        <v>0470</v>
      </c>
      <c r="D103" s="72" t="str">
        <f>'дод 3'!C176</f>
        <v>Заходи з енергозбереження</v>
      </c>
      <c r="E103" s="88">
        <f t="shared" si="15"/>
        <v>0</v>
      </c>
      <c r="F103" s="88"/>
      <c r="G103" s="88"/>
      <c r="H103" s="88"/>
      <c r="I103" s="88"/>
      <c r="J103" s="88">
        <f t="shared" si="10"/>
        <v>12610000</v>
      </c>
      <c r="K103" s="88">
        <f>8300000-40000+3900000+450000</f>
        <v>12610000</v>
      </c>
      <c r="L103" s="88"/>
      <c r="M103" s="88"/>
      <c r="N103" s="88"/>
      <c r="O103" s="88">
        <f>8300000-40000+3900000+450000</f>
        <v>12610000</v>
      </c>
      <c r="P103" s="88">
        <f t="shared" si="16"/>
        <v>12610000</v>
      </c>
      <c r="Q103" s="142"/>
    </row>
    <row r="104" spans="1:17" s="71" customFormat="1" ht="51.75" customHeight="1" x14ac:dyDescent="0.2">
      <c r="A104" s="108" t="s">
        <v>571</v>
      </c>
      <c r="B104" s="69" t="str">
        <f>'дод 3'!A184</f>
        <v>7700</v>
      </c>
      <c r="C104" s="69" t="str">
        <f>'дод 3'!B184</f>
        <v>0133</v>
      </c>
      <c r="D104" s="72" t="str">
        <f>'дод 3'!C184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4" s="88">
        <f t="shared" ref="E104" si="17">F104+I104</f>
        <v>0</v>
      </c>
      <c r="F104" s="88"/>
      <c r="G104" s="88"/>
      <c r="H104" s="88"/>
      <c r="I104" s="88"/>
      <c r="J104" s="88">
        <f t="shared" ref="J104" si="18">L104+O104</f>
        <v>5760000</v>
      </c>
      <c r="K104" s="88"/>
      <c r="L104" s="88"/>
      <c r="M104" s="88"/>
      <c r="N104" s="88"/>
      <c r="O104" s="88">
        <v>5760000</v>
      </c>
      <c r="P104" s="88">
        <f t="shared" ref="P104" si="19">E104+J104</f>
        <v>5760000</v>
      </c>
      <c r="Q104" s="142"/>
    </row>
    <row r="105" spans="1:17" s="71" customFormat="1" ht="19.5" hidden="1" customHeight="1" x14ac:dyDescent="0.2">
      <c r="A105" s="69" t="s">
        <v>551</v>
      </c>
      <c r="B105" s="69" t="s">
        <v>17</v>
      </c>
      <c r="C105" s="69" t="s">
        <v>125</v>
      </c>
      <c r="D105" s="72" t="s">
        <v>18</v>
      </c>
      <c r="E105" s="88">
        <f t="shared" si="15"/>
        <v>0</v>
      </c>
      <c r="F105" s="88"/>
      <c r="G105" s="88"/>
      <c r="H105" s="88"/>
      <c r="I105" s="88"/>
      <c r="J105" s="88">
        <f t="shared" si="10"/>
        <v>0</v>
      </c>
      <c r="K105" s="88"/>
      <c r="L105" s="88"/>
      <c r="M105" s="88"/>
      <c r="N105" s="88"/>
      <c r="O105" s="88"/>
      <c r="P105" s="88">
        <f t="shared" si="16"/>
        <v>0</v>
      </c>
      <c r="Q105" s="142"/>
    </row>
    <row r="106" spans="1:17" s="71" customFormat="1" ht="24" hidden="1" customHeight="1" x14ac:dyDescent="0.2">
      <c r="A106" s="69" t="s">
        <v>531</v>
      </c>
      <c r="B106" s="69" t="s">
        <v>24</v>
      </c>
      <c r="C106" s="69" t="s">
        <v>532</v>
      </c>
      <c r="D106" s="71" t="s">
        <v>344</v>
      </c>
      <c r="E106" s="88">
        <f t="shared" si="15"/>
        <v>0</v>
      </c>
      <c r="F106" s="88"/>
      <c r="G106" s="88"/>
      <c r="H106" s="88"/>
      <c r="I106" s="88"/>
      <c r="J106" s="88">
        <f t="shared" si="10"/>
        <v>0</v>
      </c>
      <c r="K106" s="88"/>
      <c r="L106" s="88"/>
      <c r="M106" s="88"/>
      <c r="N106" s="88"/>
      <c r="O106" s="88"/>
      <c r="P106" s="88">
        <f t="shared" si="16"/>
        <v>0</v>
      </c>
      <c r="Q106" s="142"/>
    </row>
    <row r="107" spans="1:17" s="90" customFormat="1" ht="28.5" x14ac:dyDescent="0.2">
      <c r="A107" s="94" t="s">
        <v>241</v>
      </c>
      <c r="B107" s="94"/>
      <c r="C107" s="94"/>
      <c r="D107" s="95" t="s">
        <v>61</v>
      </c>
      <c r="E107" s="96">
        <f>E108</f>
        <v>763287126</v>
      </c>
      <c r="F107" s="96">
        <f t="shared" ref="F107:P107" si="20">F108</f>
        <v>763287126</v>
      </c>
      <c r="G107" s="96">
        <f t="shared" si="20"/>
        <v>49672752</v>
      </c>
      <c r="H107" s="96">
        <f t="shared" si="20"/>
        <v>1622657</v>
      </c>
      <c r="I107" s="96">
        <f t="shared" si="20"/>
        <v>0</v>
      </c>
      <c r="J107" s="96">
        <f t="shared" si="20"/>
        <v>1848130</v>
      </c>
      <c r="K107" s="96">
        <f t="shared" si="20"/>
        <v>1752600</v>
      </c>
      <c r="L107" s="96">
        <f t="shared" si="20"/>
        <v>95530</v>
      </c>
      <c r="M107" s="96">
        <f t="shared" si="20"/>
        <v>75100</v>
      </c>
      <c r="N107" s="96">
        <f t="shared" si="20"/>
        <v>0</v>
      </c>
      <c r="O107" s="96">
        <f t="shared" si="20"/>
        <v>1752600</v>
      </c>
      <c r="P107" s="96">
        <f t="shared" si="20"/>
        <v>765135256</v>
      </c>
      <c r="Q107" s="142"/>
    </row>
    <row r="108" spans="1:17" s="91" customFormat="1" ht="32.25" customHeight="1" x14ac:dyDescent="0.2">
      <c r="A108" s="102" t="s">
        <v>242</v>
      </c>
      <c r="B108" s="102"/>
      <c r="C108" s="102"/>
      <c r="D108" s="103" t="s">
        <v>61</v>
      </c>
      <c r="E108" s="104">
        <f>E110+E111+E113+E115+E117+E119+E120+E121+E122+E123+E124+E126+E128+E130+E132+E134+E136+E138+E139+E141+E143+E145+E147+E149+E150+E151+E152+E153+E154+E155+E156+E157+E158+E159+E161+E163+E165+E167+E168+E169+E170+E171</f>
        <v>763287126</v>
      </c>
      <c r="F108" s="104">
        <f t="shared" ref="F108:P108" si="21">F110+F111+F113+F115+F117+F119+F120+F121+F122+F123+F124+F126+F128+F130+F132+F134+F136+F138+F139+F141+F143+F145+F147+F149+F150+F151+F152+F153+F154+F155+F156+F157+F158+F159+F161+F163+F165+F167+F168+F169+F170+F171</f>
        <v>763287126</v>
      </c>
      <c r="G108" s="104">
        <f t="shared" si="21"/>
        <v>49672752</v>
      </c>
      <c r="H108" s="104">
        <f t="shared" si="21"/>
        <v>1622657</v>
      </c>
      <c r="I108" s="104">
        <f t="shared" si="21"/>
        <v>0</v>
      </c>
      <c r="J108" s="104">
        <f t="shared" si="21"/>
        <v>1848130</v>
      </c>
      <c r="K108" s="104">
        <f t="shared" si="21"/>
        <v>1752600</v>
      </c>
      <c r="L108" s="104">
        <f t="shared" si="21"/>
        <v>95530</v>
      </c>
      <c r="M108" s="104">
        <f t="shared" si="21"/>
        <v>75100</v>
      </c>
      <c r="N108" s="104">
        <f t="shared" si="21"/>
        <v>0</v>
      </c>
      <c r="O108" s="104">
        <f t="shared" si="21"/>
        <v>1752600</v>
      </c>
      <c r="P108" s="104">
        <f t="shared" si="21"/>
        <v>765135256</v>
      </c>
      <c r="Q108" s="142"/>
    </row>
    <row r="109" spans="1:17" s="91" customFormat="1" ht="15.75" customHeight="1" x14ac:dyDescent="0.2">
      <c r="A109" s="102"/>
      <c r="B109" s="102"/>
      <c r="C109" s="102"/>
      <c r="D109" s="103" t="s">
        <v>345</v>
      </c>
      <c r="E109" s="104">
        <f>E112+E114+E116+E118+E125+E127+E129+E131+E133+E135+E137+E140+E142+E144+E146+E148+E160+E162+E164+E166</f>
        <v>626270840</v>
      </c>
      <c r="F109" s="104">
        <f t="shared" ref="F109:P109" si="22">F112+F114+F116+F118+F125+F127+F129+F131+F133+F135+F137+F140+F142+F144+F146+F148+F160+F162+F164+F166</f>
        <v>626270840</v>
      </c>
      <c r="G109" s="104">
        <f t="shared" si="22"/>
        <v>0</v>
      </c>
      <c r="H109" s="104">
        <f t="shared" si="22"/>
        <v>0</v>
      </c>
      <c r="I109" s="104">
        <f t="shared" si="22"/>
        <v>0</v>
      </c>
      <c r="J109" s="104">
        <f t="shared" si="22"/>
        <v>0</v>
      </c>
      <c r="K109" s="104">
        <f t="shared" si="22"/>
        <v>0</v>
      </c>
      <c r="L109" s="104">
        <f t="shared" si="22"/>
        <v>0</v>
      </c>
      <c r="M109" s="104">
        <f t="shared" si="22"/>
        <v>0</v>
      </c>
      <c r="N109" s="104">
        <f t="shared" si="22"/>
        <v>0</v>
      </c>
      <c r="O109" s="104">
        <f t="shared" si="22"/>
        <v>0</v>
      </c>
      <c r="P109" s="104">
        <f t="shared" si="22"/>
        <v>626270840</v>
      </c>
      <c r="Q109" s="142"/>
    </row>
    <row r="110" spans="1:17" s="71" customFormat="1" ht="51.75" customHeight="1" x14ac:dyDescent="0.2">
      <c r="A110" s="69" t="s">
        <v>243</v>
      </c>
      <c r="B110" s="69" t="str">
        <f>'дод 3'!A14</f>
        <v>0160</v>
      </c>
      <c r="C110" s="69" t="str">
        <f>'дод 3'!B14</f>
        <v>0111</v>
      </c>
      <c r="D110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10" s="88">
        <f t="shared" ref="E110:E141" si="23">F110+I110</f>
        <v>48223900</v>
      </c>
      <c r="F110" s="88">
        <v>48223900</v>
      </c>
      <c r="G110" s="88">
        <v>37804700</v>
      </c>
      <c r="H110" s="88">
        <v>832540</v>
      </c>
      <c r="I110" s="88"/>
      <c r="J110" s="88">
        <f t="shared" si="10"/>
        <v>600000</v>
      </c>
      <c r="K110" s="88">
        <f>100000+500000</f>
        <v>600000</v>
      </c>
      <c r="L110" s="88"/>
      <c r="M110" s="88"/>
      <c r="N110" s="88"/>
      <c r="O110" s="88">
        <f>500000+100000</f>
        <v>600000</v>
      </c>
      <c r="P110" s="88">
        <f t="shared" ref="P110:P141" si="24">E110+J110</f>
        <v>48823900</v>
      </c>
      <c r="Q110" s="142"/>
    </row>
    <row r="111" spans="1:17" s="71" customFormat="1" ht="45" customHeight="1" x14ac:dyDescent="0.2">
      <c r="A111" s="69" t="s">
        <v>437</v>
      </c>
      <c r="B111" s="76" t="str">
        <f>'дод 3'!A57</f>
        <v>3011</v>
      </c>
      <c r="C111" s="76">
        <f>'дод 3'!B57</f>
        <v>1030</v>
      </c>
      <c r="D111" s="72" t="str">
        <f>'дод 3'!C57</f>
        <v xml:space="preserve">Надання пільг на оплату житлово-комунальних послуг окремим категоріям громадян відповідно до законодавства </v>
      </c>
      <c r="E111" s="88">
        <f t="shared" si="23"/>
        <v>60934500</v>
      </c>
      <c r="F111" s="88">
        <v>60934500</v>
      </c>
      <c r="G111" s="88"/>
      <c r="H111" s="88"/>
      <c r="I111" s="88"/>
      <c r="J111" s="88">
        <f t="shared" si="10"/>
        <v>0</v>
      </c>
      <c r="K111" s="88"/>
      <c r="L111" s="88"/>
      <c r="M111" s="88"/>
      <c r="N111" s="88"/>
      <c r="O111" s="88"/>
      <c r="P111" s="88">
        <f t="shared" si="24"/>
        <v>60934500</v>
      </c>
      <c r="Q111" s="142"/>
    </row>
    <row r="112" spans="1:17" s="71" customFormat="1" ht="15" customHeight="1" x14ac:dyDescent="0.2">
      <c r="A112" s="69"/>
      <c r="B112" s="76"/>
      <c r="C112" s="76"/>
      <c r="D112" s="72" t="str">
        <f>'дод 3'!C58</f>
        <v>у т.ч. за рахунок субвенцій з держбюджету</v>
      </c>
      <c r="E112" s="88">
        <f t="shared" si="23"/>
        <v>60934500</v>
      </c>
      <c r="F112" s="88">
        <v>60934500</v>
      </c>
      <c r="G112" s="88"/>
      <c r="H112" s="88"/>
      <c r="I112" s="88"/>
      <c r="J112" s="88">
        <f t="shared" si="10"/>
        <v>0</v>
      </c>
      <c r="K112" s="88"/>
      <c r="L112" s="88"/>
      <c r="M112" s="88"/>
      <c r="N112" s="88"/>
      <c r="O112" s="88"/>
      <c r="P112" s="88">
        <f t="shared" si="24"/>
        <v>60934500</v>
      </c>
      <c r="Q112" s="142"/>
    </row>
    <row r="113" spans="1:17" s="71" customFormat="1" ht="37.5" customHeight="1" x14ac:dyDescent="0.2">
      <c r="A113" s="69" t="s">
        <v>438</v>
      </c>
      <c r="B113" s="76" t="str">
        <f>'дод 3'!A59</f>
        <v>3012</v>
      </c>
      <c r="C113" s="76">
        <f>'дод 3'!B59</f>
        <v>1060</v>
      </c>
      <c r="D113" s="72" t="str">
        <f>'дод 3'!C59</f>
        <v>Надання субсидій населенню для відшкодування витрат на оплату житлово-комунальних послуг</v>
      </c>
      <c r="E113" s="88">
        <f t="shared" si="23"/>
        <v>222289440</v>
      </c>
      <c r="F113" s="88">
        <v>222289440</v>
      </c>
      <c r="G113" s="88"/>
      <c r="H113" s="88"/>
      <c r="I113" s="88"/>
      <c r="J113" s="88">
        <f t="shared" si="10"/>
        <v>0</v>
      </c>
      <c r="K113" s="88"/>
      <c r="L113" s="88"/>
      <c r="M113" s="88"/>
      <c r="N113" s="88"/>
      <c r="O113" s="88"/>
      <c r="P113" s="88">
        <f t="shared" si="24"/>
        <v>222289440</v>
      </c>
      <c r="Q113" s="142"/>
    </row>
    <row r="114" spans="1:17" s="71" customFormat="1" ht="18" customHeight="1" x14ac:dyDescent="0.2">
      <c r="A114" s="69"/>
      <c r="B114" s="76"/>
      <c r="C114" s="76"/>
      <c r="D114" s="72" t="str">
        <f>'дод 3'!C60</f>
        <v>у т.ч. за рахунок субвенцій з держбюджету</v>
      </c>
      <c r="E114" s="88">
        <f t="shared" si="23"/>
        <v>222289440</v>
      </c>
      <c r="F114" s="88">
        <v>222289440</v>
      </c>
      <c r="G114" s="88"/>
      <c r="H114" s="88"/>
      <c r="I114" s="88"/>
      <c r="J114" s="88">
        <f t="shared" si="10"/>
        <v>0</v>
      </c>
      <c r="K114" s="88"/>
      <c r="L114" s="88"/>
      <c r="M114" s="88"/>
      <c r="N114" s="88"/>
      <c r="O114" s="88"/>
      <c r="P114" s="88">
        <f t="shared" si="24"/>
        <v>222289440</v>
      </c>
      <c r="Q114" s="142"/>
    </row>
    <row r="115" spans="1:17" s="71" customFormat="1" ht="59.25" customHeight="1" x14ac:dyDescent="0.2">
      <c r="A115" s="69" t="s">
        <v>439</v>
      </c>
      <c r="B115" s="76" t="str">
        <f>'дод 3'!A61</f>
        <v>3021</v>
      </c>
      <c r="C115" s="76">
        <f>'дод 3'!B61</f>
        <v>1030</v>
      </c>
      <c r="D115" s="72" t="str">
        <f>'дод 3'!C61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15" s="88">
        <f t="shared" si="23"/>
        <v>60013</v>
      </c>
      <c r="F115" s="88">
        <v>60013</v>
      </c>
      <c r="G115" s="88"/>
      <c r="H115" s="88"/>
      <c r="I115" s="88"/>
      <c r="J115" s="88">
        <f t="shared" ref="J115:J166" si="25">L115+O115</f>
        <v>0</v>
      </c>
      <c r="K115" s="88"/>
      <c r="L115" s="88"/>
      <c r="M115" s="88"/>
      <c r="N115" s="88"/>
      <c r="O115" s="88"/>
      <c r="P115" s="88">
        <f t="shared" si="24"/>
        <v>60013</v>
      </c>
      <c r="Q115" s="142"/>
    </row>
    <row r="116" spans="1:17" s="71" customFormat="1" ht="15" customHeight="1" x14ac:dyDescent="0.2">
      <c r="A116" s="69"/>
      <c r="B116" s="76"/>
      <c r="C116" s="76"/>
      <c r="D116" s="72" t="str">
        <f>'дод 3'!C62</f>
        <v>у т.ч. за рахунок субвенцій з держбюджету</v>
      </c>
      <c r="E116" s="88">
        <f t="shared" si="23"/>
        <v>60013</v>
      </c>
      <c r="F116" s="88">
        <v>60013</v>
      </c>
      <c r="G116" s="88"/>
      <c r="H116" s="88"/>
      <c r="I116" s="88"/>
      <c r="J116" s="88">
        <f t="shared" si="25"/>
        <v>0</v>
      </c>
      <c r="K116" s="88"/>
      <c r="L116" s="88"/>
      <c r="M116" s="88"/>
      <c r="N116" s="88"/>
      <c r="O116" s="88"/>
      <c r="P116" s="88">
        <f t="shared" si="24"/>
        <v>60013</v>
      </c>
      <c r="Q116" s="142"/>
    </row>
    <row r="117" spans="1:17" s="71" customFormat="1" ht="49.5" customHeight="1" x14ac:dyDescent="0.2">
      <c r="A117" s="69" t="s">
        <v>440</v>
      </c>
      <c r="B117" s="76" t="str">
        <f>'дод 3'!A63</f>
        <v>3022</v>
      </c>
      <c r="C117" s="76">
        <f>'дод 3'!B63</f>
        <v>1060</v>
      </c>
      <c r="D117" s="72" t="str">
        <f>'дод 3'!C63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17" s="88">
        <f t="shared" si="23"/>
        <v>292387</v>
      </c>
      <c r="F117" s="88">
        <v>292387</v>
      </c>
      <c r="G117" s="88"/>
      <c r="H117" s="88"/>
      <c r="I117" s="88"/>
      <c r="J117" s="88">
        <f t="shared" si="25"/>
        <v>0</v>
      </c>
      <c r="K117" s="88"/>
      <c r="L117" s="88"/>
      <c r="M117" s="88"/>
      <c r="N117" s="88"/>
      <c r="O117" s="88"/>
      <c r="P117" s="88">
        <f t="shared" si="24"/>
        <v>292387</v>
      </c>
      <c r="Q117" s="142"/>
    </row>
    <row r="118" spans="1:17" s="71" customFormat="1" ht="15" customHeight="1" x14ac:dyDescent="0.2">
      <c r="A118" s="69"/>
      <c r="B118" s="76"/>
      <c r="C118" s="76"/>
      <c r="D118" s="72" t="str">
        <f>'дод 3'!C64</f>
        <v>у т.ч. за рахунок субвенцій з держбюджету</v>
      </c>
      <c r="E118" s="88">
        <f t="shared" si="23"/>
        <v>292387</v>
      </c>
      <c r="F118" s="88">
        <v>292387</v>
      </c>
      <c r="G118" s="88"/>
      <c r="H118" s="88"/>
      <c r="I118" s="88"/>
      <c r="J118" s="88">
        <f t="shared" si="25"/>
        <v>0</v>
      </c>
      <c r="K118" s="88"/>
      <c r="L118" s="88"/>
      <c r="M118" s="88"/>
      <c r="N118" s="88"/>
      <c r="O118" s="88"/>
      <c r="P118" s="88">
        <f t="shared" si="24"/>
        <v>292387</v>
      </c>
      <c r="Q118" s="142"/>
    </row>
    <row r="119" spans="1:17" s="77" customFormat="1" ht="36" customHeight="1" x14ac:dyDescent="0.2">
      <c r="A119" s="69" t="s">
        <v>244</v>
      </c>
      <c r="B119" s="69" t="str">
        <f>'дод 3'!A65</f>
        <v>3031</v>
      </c>
      <c r="C119" s="69" t="str">
        <f>'дод 3'!B65</f>
        <v>1030</v>
      </c>
      <c r="D119" s="72" t="str">
        <f>'дод 3'!C65</f>
        <v>Надання інших пільг окремим категоріям громадян відповідно до законодавства</v>
      </c>
      <c r="E119" s="88">
        <f t="shared" si="23"/>
        <v>510136</v>
      </c>
      <c r="F119" s="88">
        <v>510136</v>
      </c>
      <c r="G119" s="88"/>
      <c r="H119" s="88"/>
      <c r="I119" s="88"/>
      <c r="J119" s="88">
        <f t="shared" si="25"/>
        <v>232600</v>
      </c>
      <c r="K119" s="88">
        <v>232600</v>
      </c>
      <c r="L119" s="88"/>
      <c r="M119" s="88"/>
      <c r="N119" s="88"/>
      <c r="O119" s="88">
        <v>232600</v>
      </c>
      <c r="P119" s="88">
        <f t="shared" si="24"/>
        <v>742736</v>
      </c>
      <c r="Q119" s="142"/>
    </row>
    <row r="120" spans="1:17" s="77" customFormat="1" ht="30" x14ac:dyDescent="0.2">
      <c r="A120" s="69" t="s">
        <v>245</v>
      </c>
      <c r="B120" s="69" t="str">
        <f>'дод 3'!A66</f>
        <v>3032</v>
      </c>
      <c r="C120" s="69" t="str">
        <f>'дод 3'!B66</f>
        <v>1070</v>
      </c>
      <c r="D120" s="72" t="str">
        <f>'дод 3'!C66</f>
        <v>Надання пільг окремим категоріям громадян з оплати послуг зв'язку</v>
      </c>
      <c r="E120" s="88">
        <f t="shared" si="23"/>
        <v>1436397</v>
      </c>
      <c r="F120" s="88">
        <v>1436397</v>
      </c>
      <c r="G120" s="88"/>
      <c r="H120" s="88"/>
      <c r="I120" s="88"/>
      <c r="J120" s="88">
        <f t="shared" si="25"/>
        <v>0</v>
      </c>
      <c r="K120" s="88"/>
      <c r="L120" s="88"/>
      <c r="M120" s="88"/>
      <c r="N120" s="88"/>
      <c r="O120" s="88"/>
      <c r="P120" s="88">
        <f t="shared" si="24"/>
        <v>1436397</v>
      </c>
      <c r="Q120" s="142"/>
    </row>
    <row r="121" spans="1:17" s="77" customFormat="1" ht="38.25" customHeight="1" x14ac:dyDescent="0.2">
      <c r="A121" s="69" t="s">
        <v>246</v>
      </c>
      <c r="B121" s="69" t="str">
        <f>'дод 3'!A67</f>
        <v>3033</v>
      </c>
      <c r="C121" s="69" t="str">
        <f>'дод 3'!B67</f>
        <v>1070</v>
      </c>
      <c r="D121" s="72" t="str">
        <f>'дод 3'!C67</f>
        <v>Компенсаційні виплати на пільговий проїзд автомобільним транспортом окремим категоріям громадян</v>
      </c>
      <c r="E121" s="88">
        <f t="shared" si="23"/>
        <v>10080900</v>
      </c>
      <c r="F121" s="88">
        <f>10000000+61200+19700</f>
        <v>10080900</v>
      </c>
      <c r="G121" s="88"/>
      <c r="H121" s="88"/>
      <c r="I121" s="88"/>
      <c r="J121" s="88">
        <f t="shared" si="25"/>
        <v>0</v>
      </c>
      <c r="K121" s="88"/>
      <c r="L121" s="88"/>
      <c r="M121" s="88"/>
      <c r="N121" s="88"/>
      <c r="O121" s="88"/>
      <c r="P121" s="88">
        <f t="shared" si="24"/>
        <v>10080900</v>
      </c>
      <c r="Q121" s="142"/>
    </row>
    <row r="122" spans="1:17" s="77" customFormat="1" ht="30" hidden="1" customHeight="1" x14ac:dyDescent="0.2">
      <c r="A122" s="69" t="s">
        <v>496</v>
      </c>
      <c r="B122" s="69" t="str">
        <f>'дод 3'!A68</f>
        <v>3035</v>
      </c>
      <c r="C122" s="69" t="str">
        <f>'дод 3'!B68</f>
        <v>1070</v>
      </c>
      <c r="D122" s="72" t="str">
        <f>'дод 3'!C68</f>
        <v>Компенсаційні виплати за пільговий проїзд окремих категорій громадян на залізничному транспорті</v>
      </c>
      <c r="E122" s="88">
        <f t="shared" si="23"/>
        <v>0</v>
      </c>
      <c r="F122" s="88"/>
      <c r="G122" s="88"/>
      <c r="H122" s="88"/>
      <c r="I122" s="88"/>
      <c r="J122" s="88">
        <f t="shared" si="25"/>
        <v>0</v>
      </c>
      <c r="K122" s="88"/>
      <c r="L122" s="88"/>
      <c r="M122" s="88"/>
      <c r="N122" s="88"/>
      <c r="O122" s="88"/>
      <c r="P122" s="88">
        <f t="shared" si="24"/>
        <v>0</v>
      </c>
      <c r="Q122" s="142"/>
    </row>
    <row r="123" spans="1:17" s="77" customFormat="1" ht="36" customHeight="1" x14ac:dyDescent="0.2">
      <c r="A123" s="69" t="s">
        <v>247</v>
      </c>
      <c r="B123" s="69" t="str">
        <f>'дод 3'!A69</f>
        <v>3036</v>
      </c>
      <c r="C123" s="69" t="str">
        <f>'дод 3'!B69</f>
        <v>1070</v>
      </c>
      <c r="D123" s="72" t="str">
        <f>'дод 3'!C69</f>
        <v>Компенсаційні виплати на пільговий проїзд електротранспортом окремим категоріям громадян</v>
      </c>
      <c r="E123" s="88">
        <f t="shared" si="23"/>
        <v>20255150</v>
      </c>
      <c r="F123" s="88">
        <v>20255150</v>
      </c>
      <c r="G123" s="88"/>
      <c r="H123" s="88"/>
      <c r="I123" s="88"/>
      <c r="J123" s="88">
        <f t="shared" si="25"/>
        <v>0</v>
      </c>
      <c r="K123" s="88"/>
      <c r="L123" s="88"/>
      <c r="M123" s="88"/>
      <c r="N123" s="88"/>
      <c r="O123" s="88"/>
      <c r="P123" s="88">
        <f t="shared" si="24"/>
        <v>20255150</v>
      </c>
      <c r="Q123" s="142"/>
    </row>
    <row r="124" spans="1:17" s="77" customFormat="1" ht="24.75" customHeight="1" x14ac:dyDescent="0.2">
      <c r="A124" s="76" t="s">
        <v>455</v>
      </c>
      <c r="B124" s="76" t="str">
        <f>'дод 3'!A70</f>
        <v>3041</v>
      </c>
      <c r="C124" s="76" t="str">
        <f>'дод 3'!B70</f>
        <v>1040</v>
      </c>
      <c r="D124" s="72" t="str">
        <f>'дод 3'!C70</f>
        <v>Надання допомоги у зв'язку з вагітністю і пологами</v>
      </c>
      <c r="E124" s="88">
        <f t="shared" si="23"/>
        <v>3180550</v>
      </c>
      <c r="F124" s="88">
        <v>3180550</v>
      </c>
      <c r="G124" s="88"/>
      <c r="H124" s="88"/>
      <c r="I124" s="88"/>
      <c r="J124" s="88">
        <f t="shared" si="25"/>
        <v>0</v>
      </c>
      <c r="K124" s="88"/>
      <c r="L124" s="88"/>
      <c r="M124" s="88"/>
      <c r="N124" s="88"/>
      <c r="O124" s="88"/>
      <c r="P124" s="88">
        <f t="shared" si="24"/>
        <v>3180550</v>
      </c>
      <c r="Q124" s="142"/>
    </row>
    <row r="125" spans="1:17" s="77" customFormat="1" ht="19.5" customHeight="1" x14ac:dyDescent="0.2">
      <c r="A125" s="76"/>
      <c r="B125" s="76"/>
      <c r="C125" s="76"/>
      <c r="D125" s="72" t="str">
        <f>'дод 3'!C71</f>
        <v>у т.ч. за рахунок субвенцій з держбюджету</v>
      </c>
      <c r="E125" s="88">
        <f t="shared" si="23"/>
        <v>3180550</v>
      </c>
      <c r="F125" s="88">
        <v>3180550</v>
      </c>
      <c r="G125" s="88"/>
      <c r="H125" s="88"/>
      <c r="I125" s="88"/>
      <c r="J125" s="88">
        <f t="shared" si="25"/>
        <v>0</v>
      </c>
      <c r="K125" s="88"/>
      <c r="L125" s="88"/>
      <c r="M125" s="88"/>
      <c r="N125" s="88"/>
      <c r="O125" s="88"/>
      <c r="P125" s="88">
        <f t="shared" si="24"/>
        <v>3180550</v>
      </c>
      <c r="Q125" s="142"/>
    </row>
    <row r="126" spans="1:17" s="77" customFormat="1" ht="21" customHeight="1" x14ac:dyDescent="0.2">
      <c r="A126" s="76" t="s">
        <v>456</v>
      </c>
      <c r="B126" s="76" t="str">
        <f>'дод 3'!A72</f>
        <v>3042</v>
      </c>
      <c r="C126" s="76" t="str">
        <f>'дод 3'!B72</f>
        <v>1040</v>
      </c>
      <c r="D126" s="72" t="str">
        <f>'дод 3'!C72</f>
        <v>Надання допомоги при усиновленні дитини</v>
      </c>
      <c r="E126" s="88">
        <f t="shared" si="23"/>
        <v>516000</v>
      </c>
      <c r="F126" s="88">
        <v>516000</v>
      </c>
      <c r="G126" s="88"/>
      <c r="H126" s="88"/>
      <c r="I126" s="88"/>
      <c r="J126" s="88">
        <f t="shared" si="25"/>
        <v>0</v>
      </c>
      <c r="K126" s="88"/>
      <c r="L126" s="88"/>
      <c r="M126" s="88"/>
      <c r="N126" s="88"/>
      <c r="O126" s="88"/>
      <c r="P126" s="88">
        <f t="shared" si="24"/>
        <v>516000</v>
      </c>
      <c r="Q126" s="142"/>
    </row>
    <row r="127" spans="1:17" s="77" customFormat="1" ht="19.5" customHeight="1" x14ac:dyDescent="0.2">
      <c r="A127" s="76"/>
      <c r="B127" s="76"/>
      <c r="C127" s="76"/>
      <c r="D127" s="72" t="str">
        <f>'дод 3'!C73</f>
        <v>у т.ч. за рахунок субвенцій з держбюджету</v>
      </c>
      <c r="E127" s="88">
        <f t="shared" si="23"/>
        <v>516000</v>
      </c>
      <c r="F127" s="88">
        <v>516000</v>
      </c>
      <c r="G127" s="88"/>
      <c r="H127" s="88"/>
      <c r="I127" s="88"/>
      <c r="J127" s="88">
        <f t="shared" si="25"/>
        <v>0</v>
      </c>
      <c r="K127" s="88"/>
      <c r="L127" s="88"/>
      <c r="M127" s="88"/>
      <c r="N127" s="88"/>
      <c r="O127" s="88"/>
      <c r="P127" s="88">
        <f t="shared" si="24"/>
        <v>516000</v>
      </c>
      <c r="Q127" s="142"/>
    </row>
    <row r="128" spans="1:17" s="77" customFormat="1" ht="19.5" customHeight="1" x14ac:dyDescent="0.2">
      <c r="A128" s="76" t="s">
        <v>457</v>
      </c>
      <c r="B128" s="76" t="str">
        <f>'дод 3'!A74</f>
        <v>3043</v>
      </c>
      <c r="C128" s="76" t="str">
        <f>'дод 3'!B74</f>
        <v>1040</v>
      </c>
      <c r="D128" s="72" t="str">
        <f>'дод 3'!C74</f>
        <v>Надання допомоги при народженні дитини</v>
      </c>
      <c r="E128" s="88">
        <f t="shared" si="23"/>
        <v>126211100</v>
      </c>
      <c r="F128" s="88">
        <v>126211100</v>
      </c>
      <c r="G128" s="88"/>
      <c r="H128" s="88"/>
      <c r="I128" s="88"/>
      <c r="J128" s="88">
        <f t="shared" si="25"/>
        <v>0</v>
      </c>
      <c r="K128" s="88"/>
      <c r="L128" s="88"/>
      <c r="M128" s="88"/>
      <c r="N128" s="88"/>
      <c r="O128" s="88"/>
      <c r="P128" s="88">
        <f t="shared" si="24"/>
        <v>126211100</v>
      </c>
      <c r="Q128" s="142"/>
    </row>
    <row r="129" spans="1:17" s="77" customFormat="1" ht="19.5" customHeight="1" x14ac:dyDescent="0.2">
      <c r="A129" s="76"/>
      <c r="B129" s="76"/>
      <c r="C129" s="76"/>
      <c r="D129" s="72" t="str">
        <f>'дод 3'!C75</f>
        <v>у т.ч. за рахунок субвенцій з держбюджету</v>
      </c>
      <c r="E129" s="88">
        <f t="shared" si="23"/>
        <v>126211100</v>
      </c>
      <c r="F129" s="88">
        <v>126211100</v>
      </c>
      <c r="G129" s="88"/>
      <c r="H129" s="88"/>
      <c r="I129" s="88"/>
      <c r="J129" s="88">
        <f t="shared" si="25"/>
        <v>0</v>
      </c>
      <c r="K129" s="88"/>
      <c r="L129" s="88"/>
      <c r="M129" s="88"/>
      <c r="N129" s="88"/>
      <c r="O129" s="88"/>
      <c r="P129" s="88">
        <f t="shared" si="24"/>
        <v>126211100</v>
      </c>
      <c r="Q129" s="142"/>
    </row>
    <row r="130" spans="1:17" s="77" customFormat="1" ht="30.75" customHeight="1" x14ac:dyDescent="0.2">
      <c r="A130" s="76" t="s">
        <v>458</v>
      </c>
      <c r="B130" s="76" t="str">
        <f>'дод 3'!A76</f>
        <v>3044</v>
      </c>
      <c r="C130" s="76" t="str">
        <f>'дод 3'!B76</f>
        <v>1040</v>
      </c>
      <c r="D130" s="72" t="str">
        <f>'дод 3'!C76</f>
        <v>Надання допомоги на дітей, над якими встановлено опіку чи піклування</v>
      </c>
      <c r="E130" s="88">
        <f t="shared" si="23"/>
        <v>11189800</v>
      </c>
      <c r="F130" s="88">
        <v>11189800</v>
      </c>
      <c r="G130" s="88"/>
      <c r="H130" s="88"/>
      <c r="I130" s="88"/>
      <c r="J130" s="88">
        <f t="shared" si="25"/>
        <v>0</v>
      </c>
      <c r="K130" s="88"/>
      <c r="L130" s="88"/>
      <c r="M130" s="88"/>
      <c r="N130" s="88"/>
      <c r="O130" s="88"/>
      <c r="P130" s="88">
        <f t="shared" si="24"/>
        <v>11189800</v>
      </c>
      <c r="Q130" s="142"/>
    </row>
    <row r="131" spans="1:17" s="77" customFormat="1" ht="19.5" customHeight="1" x14ac:dyDescent="0.2">
      <c r="A131" s="76"/>
      <c r="B131" s="76"/>
      <c r="C131" s="76"/>
      <c r="D131" s="72" t="str">
        <f>'дод 3'!C77</f>
        <v>у т.ч. за рахунок субвенцій з держбюджету</v>
      </c>
      <c r="E131" s="88">
        <f t="shared" si="23"/>
        <v>11189800</v>
      </c>
      <c r="F131" s="88">
        <v>11189800</v>
      </c>
      <c r="G131" s="88"/>
      <c r="H131" s="88"/>
      <c r="I131" s="88"/>
      <c r="J131" s="88">
        <f t="shared" si="25"/>
        <v>0</v>
      </c>
      <c r="K131" s="88"/>
      <c r="L131" s="88"/>
      <c r="M131" s="88"/>
      <c r="N131" s="88"/>
      <c r="O131" s="88"/>
      <c r="P131" s="88">
        <f t="shared" si="24"/>
        <v>11189800</v>
      </c>
      <c r="Q131" s="142"/>
    </row>
    <row r="132" spans="1:17" s="77" customFormat="1" ht="22.5" customHeight="1" x14ac:dyDescent="0.2">
      <c r="A132" s="76" t="s">
        <v>459</v>
      </c>
      <c r="B132" s="76" t="str">
        <f>'дод 3'!A78</f>
        <v>3045</v>
      </c>
      <c r="C132" s="76" t="str">
        <f>'дод 3'!B78</f>
        <v>1040</v>
      </c>
      <c r="D132" s="72" t="str">
        <f>'дод 3'!C78</f>
        <v>Надання допомоги на дітей одиноким матерям</v>
      </c>
      <c r="E132" s="88">
        <f t="shared" si="23"/>
        <v>50396740</v>
      </c>
      <c r="F132" s="88">
        <v>50396740</v>
      </c>
      <c r="G132" s="88"/>
      <c r="H132" s="88"/>
      <c r="I132" s="88"/>
      <c r="J132" s="88">
        <f t="shared" si="25"/>
        <v>0</v>
      </c>
      <c r="K132" s="88"/>
      <c r="L132" s="88"/>
      <c r="M132" s="88"/>
      <c r="N132" s="88"/>
      <c r="O132" s="88"/>
      <c r="P132" s="88">
        <f t="shared" si="24"/>
        <v>50396740</v>
      </c>
      <c r="Q132" s="142"/>
    </row>
    <row r="133" spans="1:17" s="77" customFormat="1" ht="19.5" customHeight="1" x14ac:dyDescent="0.2">
      <c r="A133" s="76"/>
      <c r="B133" s="76"/>
      <c r="C133" s="76"/>
      <c r="D133" s="72" t="str">
        <f>'дод 3'!C79</f>
        <v>у т.ч. за рахунок субвенцій з держбюджету</v>
      </c>
      <c r="E133" s="88">
        <f t="shared" si="23"/>
        <v>50396740</v>
      </c>
      <c r="F133" s="88">
        <v>50396740</v>
      </c>
      <c r="G133" s="88"/>
      <c r="H133" s="88"/>
      <c r="I133" s="88"/>
      <c r="J133" s="88">
        <f t="shared" si="25"/>
        <v>0</v>
      </c>
      <c r="K133" s="88"/>
      <c r="L133" s="88"/>
      <c r="M133" s="88"/>
      <c r="N133" s="88"/>
      <c r="O133" s="88"/>
      <c r="P133" s="88">
        <f t="shared" si="24"/>
        <v>50396740</v>
      </c>
      <c r="Q133" s="142"/>
    </row>
    <row r="134" spans="1:17" s="77" customFormat="1" ht="22.5" customHeight="1" x14ac:dyDescent="0.2">
      <c r="A134" s="76" t="s">
        <v>460</v>
      </c>
      <c r="B134" s="76" t="str">
        <f>'дод 3'!A80</f>
        <v>3046</v>
      </c>
      <c r="C134" s="76" t="str">
        <f>'дод 3'!B80</f>
        <v>1040</v>
      </c>
      <c r="D134" s="72" t="str">
        <f>'дод 3'!C80</f>
        <v>Надання тимчасової державної допомоги дітям</v>
      </c>
      <c r="E134" s="88">
        <f t="shared" si="23"/>
        <v>1473500</v>
      </c>
      <c r="F134" s="88">
        <v>1473500</v>
      </c>
      <c r="G134" s="88"/>
      <c r="H134" s="88"/>
      <c r="I134" s="88"/>
      <c r="J134" s="88">
        <f t="shared" si="25"/>
        <v>0</v>
      </c>
      <c r="K134" s="88"/>
      <c r="L134" s="88"/>
      <c r="M134" s="88"/>
      <c r="N134" s="88"/>
      <c r="O134" s="88"/>
      <c r="P134" s="88">
        <f t="shared" si="24"/>
        <v>1473500</v>
      </c>
      <c r="Q134" s="142"/>
    </row>
    <row r="135" spans="1:17" s="77" customFormat="1" ht="19.5" customHeight="1" x14ac:dyDescent="0.2">
      <c r="A135" s="76"/>
      <c r="B135" s="76"/>
      <c r="C135" s="76"/>
      <c r="D135" s="72" t="str">
        <f>'дод 3'!C81</f>
        <v>у т.ч. за рахунок субвенцій з держбюджету</v>
      </c>
      <c r="E135" s="88">
        <f t="shared" si="23"/>
        <v>1473500</v>
      </c>
      <c r="F135" s="88">
        <v>1473500</v>
      </c>
      <c r="G135" s="88"/>
      <c r="H135" s="88"/>
      <c r="I135" s="88"/>
      <c r="J135" s="88">
        <f t="shared" si="25"/>
        <v>0</v>
      </c>
      <c r="K135" s="88"/>
      <c r="L135" s="88"/>
      <c r="M135" s="88"/>
      <c r="N135" s="88"/>
      <c r="O135" s="88"/>
      <c r="P135" s="88">
        <f t="shared" si="24"/>
        <v>1473500</v>
      </c>
      <c r="Q135" s="142"/>
    </row>
    <row r="136" spans="1:17" s="77" customFormat="1" ht="31.5" customHeight="1" x14ac:dyDescent="0.2">
      <c r="A136" s="76" t="s">
        <v>461</v>
      </c>
      <c r="B136" s="76" t="str">
        <f>'дод 3'!A82</f>
        <v>3047</v>
      </c>
      <c r="C136" s="76" t="str">
        <f>'дод 3'!B82</f>
        <v>1040</v>
      </c>
      <c r="D136" s="72" t="str">
        <f>'дод 3'!C82</f>
        <v>Надання державної соціальної допомоги малозабезпеченим сім’ям</v>
      </c>
      <c r="E136" s="88">
        <f t="shared" si="23"/>
        <v>49683060</v>
      </c>
      <c r="F136" s="88">
        <v>49683060</v>
      </c>
      <c r="G136" s="88"/>
      <c r="H136" s="88"/>
      <c r="I136" s="88"/>
      <c r="J136" s="88">
        <f t="shared" si="25"/>
        <v>0</v>
      </c>
      <c r="K136" s="88"/>
      <c r="L136" s="88"/>
      <c r="M136" s="88"/>
      <c r="N136" s="88"/>
      <c r="O136" s="88"/>
      <c r="P136" s="88">
        <f t="shared" si="24"/>
        <v>49683060</v>
      </c>
      <c r="Q136" s="142"/>
    </row>
    <row r="137" spans="1:17" s="77" customFormat="1" ht="19.5" customHeight="1" x14ac:dyDescent="0.2">
      <c r="A137" s="76"/>
      <c r="B137" s="76"/>
      <c r="C137" s="76"/>
      <c r="D137" s="72" t="str">
        <f>'дод 3'!C83</f>
        <v>у т.ч. за рахунок субвенцій з держбюджету</v>
      </c>
      <c r="E137" s="88">
        <f t="shared" si="23"/>
        <v>49683060</v>
      </c>
      <c r="F137" s="88">
        <v>49683060</v>
      </c>
      <c r="G137" s="88"/>
      <c r="H137" s="88"/>
      <c r="I137" s="88"/>
      <c r="J137" s="88">
        <f t="shared" si="25"/>
        <v>0</v>
      </c>
      <c r="K137" s="88"/>
      <c r="L137" s="88"/>
      <c r="M137" s="88"/>
      <c r="N137" s="88"/>
      <c r="O137" s="88"/>
      <c r="P137" s="88">
        <f t="shared" si="24"/>
        <v>49683060</v>
      </c>
      <c r="Q137" s="142"/>
    </row>
    <row r="138" spans="1:17" s="71" customFormat="1" ht="34.5" customHeight="1" x14ac:dyDescent="0.2">
      <c r="A138" s="69" t="s">
        <v>248</v>
      </c>
      <c r="B138" s="69" t="str">
        <f>'дод 3'!A84</f>
        <v>3050</v>
      </c>
      <c r="C138" s="69" t="str">
        <f>'дод 3'!B84</f>
        <v>1070</v>
      </c>
      <c r="D138" s="72" t="str">
        <f>'дод 3'!C84</f>
        <v>Пільгове медичне обслуговування осіб, які постраждали внаслідок Чорнобильської катастрофи</v>
      </c>
      <c r="E138" s="88">
        <f t="shared" si="23"/>
        <v>686000</v>
      </c>
      <c r="F138" s="88">
        <v>686000</v>
      </c>
      <c r="G138" s="88"/>
      <c r="H138" s="88"/>
      <c r="I138" s="88"/>
      <c r="J138" s="88">
        <f t="shared" si="25"/>
        <v>0</v>
      </c>
      <c r="K138" s="88"/>
      <c r="L138" s="88"/>
      <c r="M138" s="88"/>
      <c r="N138" s="88"/>
      <c r="O138" s="88"/>
      <c r="P138" s="88">
        <f t="shared" si="24"/>
        <v>686000</v>
      </c>
      <c r="Q138" s="142"/>
    </row>
    <row r="139" spans="1:17" s="71" customFormat="1" ht="36.75" customHeight="1" x14ac:dyDescent="0.2">
      <c r="A139" s="69" t="s">
        <v>473</v>
      </c>
      <c r="B139" s="69" t="str">
        <f>'дод 3'!A85</f>
        <v>3081</v>
      </c>
      <c r="C139" s="69" t="str">
        <f>'дод 3'!B85</f>
        <v>1010</v>
      </c>
      <c r="D139" s="72" t="str">
        <f>'дод 3'!C85</f>
        <v>Надання державної соціальної допомоги особам з інвалідністю з дитинства та дітям з інвалідністю</v>
      </c>
      <c r="E139" s="88">
        <f t="shared" si="23"/>
        <v>70995980</v>
      </c>
      <c r="F139" s="88">
        <v>70995980</v>
      </c>
      <c r="G139" s="88"/>
      <c r="H139" s="88"/>
      <c r="I139" s="88"/>
      <c r="J139" s="88">
        <f t="shared" si="25"/>
        <v>0</v>
      </c>
      <c r="K139" s="88"/>
      <c r="L139" s="88"/>
      <c r="M139" s="88"/>
      <c r="N139" s="88"/>
      <c r="O139" s="88"/>
      <c r="P139" s="88">
        <f t="shared" si="24"/>
        <v>70995980</v>
      </c>
      <c r="Q139" s="142"/>
    </row>
    <row r="140" spans="1:17" s="71" customFormat="1" ht="15" customHeight="1" x14ac:dyDescent="0.2">
      <c r="A140" s="69"/>
      <c r="B140" s="69"/>
      <c r="C140" s="69"/>
      <c r="D140" s="72" t="str">
        <f>'дод 3'!C86</f>
        <v>у т.ч. за рахунок субвенцій з держбюджету</v>
      </c>
      <c r="E140" s="88">
        <f t="shared" si="23"/>
        <v>70995980</v>
      </c>
      <c r="F140" s="88">
        <v>70995980</v>
      </c>
      <c r="G140" s="88"/>
      <c r="H140" s="88"/>
      <c r="I140" s="88"/>
      <c r="J140" s="88">
        <f t="shared" si="25"/>
        <v>0</v>
      </c>
      <c r="K140" s="88"/>
      <c r="L140" s="88"/>
      <c r="M140" s="88"/>
      <c r="N140" s="88"/>
      <c r="O140" s="88"/>
      <c r="P140" s="88">
        <f t="shared" si="24"/>
        <v>70995980</v>
      </c>
      <c r="Q140" s="142"/>
    </row>
    <row r="141" spans="1:17" s="71" customFormat="1" ht="49.5" customHeight="1" x14ac:dyDescent="0.2">
      <c r="A141" s="69" t="s">
        <v>474</v>
      </c>
      <c r="B141" s="69" t="str">
        <f>'дод 3'!A87</f>
        <v>3082</v>
      </c>
      <c r="C141" s="69" t="str">
        <f>'дод 3'!B87</f>
        <v>1010</v>
      </c>
      <c r="D141" s="72" t="str">
        <f>'дод 3'!C87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41" s="88">
        <f t="shared" si="23"/>
        <v>10842650</v>
      </c>
      <c r="F141" s="88">
        <v>10842650</v>
      </c>
      <c r="G141" s="88"/>
      <c r="H141" s="88"/>
      <c r="I141" s="88"/>
      <c r="J141" s="88">
        <f t="shared" si="25"/>
        <v>0</v>
      </c>
      <c r="K141" s="88"/>
      <c r="L141" s="88"/>
      <c r="M141" s="88"/>
      <c r="N141" s="88"/>
      <c r="O141" s="88"/>
      <c r="P141" s="88">
        <f t="shared" si="24"/>
        <v>10842650</v>
      </c>
      <c r="Q141" s="142"/>
    </row>
    <row r="142" spans="1:17" s="71" customFormat="1" ht="15.75" customHeight="1" x14ac:dyDescent="0.2">
      <c r="A142" s="69"/>
      <c r="B142" s="69"/>
      <c r="C142" s="69"/>
      <c r="D142" s="72" t="str">
        <f>'дод 3'!C88</f>
        <v>у т.ч. за рахунок субвенцій з держбюджету</v>
      </c>
      <c r="E142" s="88">
        <f t="shared" ref="E142:E171" si="26">F142+I142</f>
        <v>10842650</v>
      </c>
      <c r="F142" s="88">
        <v>10842650</v>
      </c>
      <c r="G142" s="88"/>
      <c r="H142" s="88"/>
      <c r="I142" s="88"/>
      <c r="J142" s="88">
        <f t="shared" si="25"/>
        <v>0</v>
      </c>
      <c r="K142" s="88"/>
      <c r="L142" s="88"/>
      <c r="M142" s="88"/>
      <c r="N142" s="88"/>
      <c r="O142" s="88"/>
      <c r="P142" s="88">
        <f t="shared" ref="P142:P171" si="27">E142+J142</f>
        <v>10842650</v>
      </c>
      <c r="Q142" s="142"/>
    </row>
    <row r="143" spans="1:17" s="71" customFormat="1" ht="31.5" customHeight="1" x14ac:dyDescent="0.2">
      <c r="A143" s="69" t="s">
        <v>475</v>
      </c>
      <c r="B143" s="69" t="str">
        <f>'дод 3'!A89</f>
        <v>3083</v>
      </c>
      <c r="C143" s="69" t="str">
        <f>'дод 3'!B89</f>
        <v>1010</v>
      </c>
      <c r="D143" s="72" t="str">
        <f>'дод 3'!C89</f>
        <v>Надання допомоги по догляду за особами з інвалідністю I чи II групи внаслідок психічного розладу</v>
      </c>
      <c r="E143" s="88">
        <f t="shared" si="26"/>
        <v>12553970</v>
      </c>
      <c r="F143" s="88">
        <v>12553970</v>
      </c>
      <c r="G143" s="88"/>
      <c r="H143" s="88"/>
      <c r="I143" s="88"/>
      <c r="J143" s="88">
        <f t="shared" si="25"/>
        <v>0</v>
      </c>
      <c r="K143" s="88"/>
      <c r="L143" s="88"/>
      <c r="M143" s="88"/>
      <c r="N143" s="88"/>
      <c r="O143" s="88"/>
      <c r="P143" s="88">
        <f t="shared" si="27"/>
        <v>12553970</v>
      </c>
      <c r="Q143" s="142"/>
    </row>
    <row r="144" spans="1:17" s="71" customFormat="1" ht="14.25" customHeight="1" x14ac:dyDescent="0.2">
      <c r="A144" s="69"/>
      <c r="B144" s="69"/>
      <c r="C144" s="69"/>
      <c r="D144" s="72" t="str">
        <f>'дод 3'!C90</f>
        <v>у т.ч. за рахунок субвенцій з держбюджету</v>
      </c>
      <c r="E144" s="88">
        <f t="shared" si="26"/>
        <v>12553970</v>
      </c>
      <c r="F144" s="88">
        <v>12553970</v>
      </c>
      <c r="G144" s="88"/>
      <c r="H144" s="88"/>
      <c r="I144" s="88"/>
      <c r="J144" s="88">
        <f t="shared" si="25"/>
        <v>0</v>
      </c>
      <c r="K144" s="88"/>
      <c r="L144" s="88"/>
      <c r="M144" s="88"/>
      <c r="N144" s="88"/>
      <c r="O144" s="88"/>
      <c r="P144" s="88">
        <f t="shared" si="27"/>
        <v>12553970</v>
      </c>
      <c r="Q144" s="142"/>
    </row>
    <row r="145" spans="1:17" s="71" customFormat="1" ht="49.5" customHeight="1" x14ac:dyDescent="0.2">
      <c r="A145" s="69" t="s">
        <v>476</v>
      </c>
      <c r="B145" s="69" t="str">
        <f>'дод 3'!A91</f>
        <v>3084</v>
      </c>
      <c r="C145" s="69" t="str">
        <f>'дод 3'!B91</f>
        <v>1040</v>
      </c>
      <c r="D145" s="72" t="str">
        <f>'дод 3'!C91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45" s="88">
        <f t="shared" si="26"/>
        <v>1859870</v>
      </c>
      <c r="F145" s="88">
        <v>1859870</v>
      </c>
      <c r="G145" s="88"/>
      <c r="H145" s="88"/>
      <c r="I145" s="88"/>
      <c r="J145" s="88">
        <f t="shared" si="25"/>
        <v>0</v>
      </c>
      <c r="K145" s="88"/>
      <c r="L145" s="88"/>
      <c r="M145" s="88"/>
      <c r="N145" s="88"/>
      <c r="O145" s="88"/>
      <c r="P145" s="88">
        <f t="shared" si="27"/>
        <v>1859870</v>
      </c>
      <c r="Q145" s="142"/>
    </row>
    <row r="146" spans="1:17" s="71" customFormat="1" ht="17.25" customHeight="1" x14ac:dyDescent="0.2">
      <c r="A146" s="69"/>
      <c r="B146" s="69"/>
      <c r="C146" s="69"/>
      <c r="D146" s="72" t="str">
        <f>'дод 3'!C92</f>
        <v>у т.ч. за рахунок субвенцій з держбюджету</v>
      </c>
      <c r="E146" s="88">
        <f t="shared" si="26"/>
        <v>1859870</v>
      </c>
      <c r="F146" s="88">
        <v>1859870</v>
      </c>
      <c r="G146" s="88"/>
      <c r="H146" s="88"/>
      <c r="I146" s="88"/>
      <c r="J146" s="88">
        <f t="shared" si="25"/>
        <v>0</v>
      </c>
      <c r="K146" s="88"/>
      <c r="L146" s="88"/>
      <c r="M146" s="88"/>
      <c r="N146" s="88"/>
      <c r="O146" s="88"/>
      <c r="P146" s="88">
        <f t="shared" si="27"/>
        <v>1859870</v>
      </c>
      <c r="Q146" s="142"/>
    </row>
    <row r="147" spans="1:17" s="71" customFormat="1" ht="47.25" customHeight="1" x14ac:dyDescent="0.2">
      <c r="A147" s="69" t="s">
        <v>477</v>
      </c>
      <c r="B147" s="69" t="str">
        <f>'дод 3'!A93</f>
        <v>3085</v>
      </c>
      <c r="C147" s="69" t="str">
        <f>'дод 3'!B93</f>
        <v>1010</v>
      </c>
      <c r="D147" s="72" t="str">
        <f>'дод 3'!C93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47" s="88">
        <f t="shared" si="26"/>
        <v>190380</v>
      </c>
      <c r="F147" s="88">
        <v>190380</v>
      </c>
      <c r="G147" s="88"/>
      <c r="H147" s="88"/>
      <c r="I147" s="88"/>
      <c r="J147" s="88">
        <f t="shared" si="25"/>
        <v>0</v>
      </c>
      <c r="K147" s="88"/>
      <c r="L147" s="88"/>
      <c r="M147" s="88"/>
      <c r="N147" s="88"/>
      <c r="O147" s="88"/>
      <c r="P147" s="88">
        <f t="shared" si="27"/>
        <v>190380</v>
      </c>
      <c r="Q147" s="142"/>
    </row>
    <row r="148" spans="1:17" s="71" customFormat="1" ht="19.5" customHeight="1" x14ac:dyDescent="0.2">
      <c r="A148" s="69"/>
      <c r="B148" s="69"/>
      <c r="C148" s="69"/>
      <c r="D148" s="72" t="str">
        <f>'дод 3'!C94</f>
        <v>у т.ч. за рахунок субвенцій з держбюджету</v>
      </c>
      <c r="E148" s="88">
        <f t="shared" si="26"/>
        <v>190380</v>
      </c>
      <c r="F148" s="88">
        <v>190380</v>
      </c>
      <c r="G148" s="88"/>
      <c r="H148" s="88"/>
      <c r="I148" s="88"/>
      <c r="J148" s="88">
        <f t="shared" si="25"/>
        <v>0</v>
      </c>
      <c r="K148" s="88"/>
      <c r="L148" s="88"/>
      <c r="M148" s="88"/>
      <c r="N148" s="88"/>
      <c r="O148" s="88"/>
      <c r="P148" s="88">
        <f t="shared" si="27"/>
        <v>190380</v>
      </c>
      <c r="Q148" s="142"/>
    </row>
    <row r="149" spans="1:17" s="71" customFormat="1" ht="30.75" customHeight="1" x14ac:dyDescent="0.2">
      <c r="A149" s="69" t="s">
        <v>418</v>
      </c>
      <c r="B149" s="69" t="str">
        <f>'дод 3'!A95</f>
        <v>3090</v>
      </c>
      <c r="C149" s="69" t="str">
        <f>'дод 3'!B95</f>
        <v>1030</v>
      </c>
      <c r="D149" s="72" t="str">
        <f>'дод 3'!C95</f>
        <v>Видатки на поховання учасників бойових дій та осіб з інвалідністю внаслідок війни</v>
      </c>
      <c r="E149" s="88">
        <f t="shared" si="26"/>
        <v>215500</v>
      </c>
      <c r="F149" s="88">
        <v>215500</v>
      </c>
      <c r="G149" s="88"/>
      <c r="H149" s="88"/>
      <c r="I149" s="88"/>
      <c r="J149" s="88">
        <f t="shared" si="25"/>
        <v>0</v>
      </c>
      <c r="K149" s="88"/>
      <c r="L149" s="88"/>
      <c r="M149" s="88"/>
      <c r="N149" s="88"/>
      <c r="O149" s="88"/>
      <c r="P149" s="88">
        <f t="shared" si="27"/>
        <v>215500</v>
      </c>
      <c r="Q149" s="142"/>
    </row>
    <row r="150" spans="1:17" s="71" customFormat="1" ht="69" customHeight="1" x14ac:dyDescent="0.2">
      <c r="A150" s="69" t="s">
        <v>249</v>
      </c>
      <c r="B150" s="69" t="str">
        <f>'дод 3'!A96</f>
        <v>3104</v>
      </c>
      <c r="C150" s="69" t="str">
        <f>'дод 3'!B96</f>
        <v>1020</v>
      </c>
      <c r="D150" s="72" t="str">
        <f>'дод 3'!C96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0" s="88">
        <f t="shared" si="26"/>
        <v>11483600</v>
      </c>
      <c r="F150" s="88">
        <v>11483600</v>
      </c>
      <c r="G150" s="88">
        <v>8737044</v>
      </c>
      <c r="H150" s="88">
        <v>251038</v>
      </c>
      <c r="I150" s="88"/>
      <c r="J150" s="88">
        <f t="shared" si="25"/>
        <v>105530</v>
      </c>
      <c r="K150" s="88">
        <v>10000</v>
      </c>
      <c r="L150" s="88">
        <v>95530</v>
      </c>
      <c r="M150" s="88">
        <v>75100</v>
      </c>
      <c r="N150" s="88"/>
      <c r="O150" s="88">
        <f>10000</f>
        <v>10000</v>
      </c>
      <c r="P150" s="88">
        <f t="shared" si="27"/>
        <v>11589130</v>
      </c>
      <c r="Q150" s="142"/>
    </row>
    <row r="151" spans="1:17" s="71" customFormat="1" ht="78.75" customHeight="1" x14ac:dyDescent="0.2">
      <c r="A151" s="69" t="s">
        <v>250</v>
      </c>
      <c r="B151" s="69" t="str">
        <f>'дод 3'!A101</f>
        <v>3160</v>
      </c>
      <c r="C151" s="69">
        <f>'дод 3'!B101</f>
        <v>1010</v>
      </c>
      <c r="D151" s="72" t="str">
        <f>'дод 3'!C101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1" s="88">
        <f t="shared" si="26"/>
        <v>1812956</v>
      </c>
      <c r="F151" s="88">
        <v>1812956</v>
      </c>
      <c r="G151" s="88"/>
      <c r="H151" s="88"/>
      <c r="I151" s="88"/>
      <c r="J151" s="88">
        <f t="shared" si="25"/>
        <v>0</v>
      </c>
      <c r="K151" s="88"/>
      <c r="L151" s="88"/>
      <c r="M151" s="88"/>
      <c r="N151" s="88"/>
      <c r="O151" s="88"/>
      <c r="P151" s="88">
        <f t="shared" si="27"/>
        <v>1812956</v>
      </c>
      <c r="Q151" s="142"/>
    </row>
    <row r="152" spans="1:17" s="71" customFormat="1" ht="48.75" customHeight="1" x14ac:dyDescent="0.2">
      <c r="A152" s="69" t="s">
        <v>425</v>
      </c>
      <c r="B152" s="69" t="str">
        <f>'дод 3'!A102</f>
        <v>3171</v>
      </c>
      <c r="C152" s="69">
        <f>'дод 3'!B102</f>
        <v>1010</v>
      </c>
      <c r="D152" s="72" t="str">
        <f>'дод 3'!C102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52" s="88">
        <f t="shared" si="26"/>
        <v>205040</v>
      </c>
      <c r="F152" s="88">
        <v>205040</v>
      </c>
      <c r="G152" s="88"/>
      <c r="H152" s="88"/>
      <c r="I152" s="88"/>
      <c r="J152" s="88">
        <f t="shared" si="25"/>
        <v>0</v>
      </c>
      <c r="K152" s="88"/>
      <c r="L152" s="88"/>
      <c r="M152" s="88"/>
      <c r="N152" s="88"/>
      <c r="O152" s="88"/>
      <c r="P152" s="88">
        <f t="shared" si="27"/>
        <v>205040</v>
      </c>
      <c r="Q152" s="142"/>
    </row>
    <row r="153" spans="1:17" s="71" customFormat="1" ht="24.75" customHeight="1" x14ac:dyDescent="0.2">
      <c r="A153" s="69" t="s">
        <v>426</v>
      </c>
      <c r="B153" s="69" t="str">
        <f>'дод 3'!A103</f>
        <v>3172</v>
      </c>
      <c r="C153" s="69">
        <f>'дод 3'!B103</f>
        <v>1010</v>
      </c>
      <c r="D153" s="72" t="str">
        <f>'дод 3'!C103</f>
        <v>Встановлення телефонів особам з інвалідністю I і II груп</v>
      </c>
      <c r="E153" s="88">
        <f t="shared" si="26"/>
        <v>680</v>
      </c>
      <c r="F153" s="88">
        <v>680</v>
      </c>
      <c r="G153" s="88"/>
      <c r="H153" s="88"/>
      <c r="I153" s="88"/>
      <c r="J153" s="88">
        <f t="shared" si="25"/>
        <v>0</v>
      </c>
      <c r="K153" s="88"/>
      <c r="L153" s="88"/>
      <c r="M153" s="88"/>
      <c r="N153" s="88"/>
      <c r="O153" s="88"/>
      <c r="P153" s="88">
        <f t="shared" si="27"/>
        <v>680</v>
      </c>
      <c r="Q153" s="142"/>
    </row>
    <row r="154" spans="1:17" s="71" customFormat="1" ht="68.25" customHeight="1" x14ac:dyDescent="0.2">
      <c r="A154" s="69" t="s">
        <v>251</v>
      </c>
      <c r="B154" s="69" t="str">
        <f>'дод 3'!A104</f>
        <v>3180</v>
      </c>
      <c r="C154" s="69" t="str">
        <f>'дод 3'!B104</f>
        <v>1060</v>
      </c>
      <c r="D154" s="72" t="str">
        <f>'дод 3'!C104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54" s="88">
        <f t="shared" si="26"/>
        <v>1866099</v>
      </c>
      <c r="F154" s="88">
        <v>1866099</v>
      </c>
      <c r="G154" s="88"/>
      <c r="H154" s="88"/>
      <c r="I154" s="88"/>
      <c r="J154" s="88">
        <f t="shared" si="25"/>
        <v>0</v>
      </c>
      <c r="K154" s="88"/>
      <c r="L154" s="88"/>
      <c r="M154" s="88"/>
      <c r="N154" s="88"/>
      <c r="O154" s="88"/>
      <c r="P154" s="88">
        <f t="shared" si="27"/>
        <v>1866099</v>
      </c>
      <c r="Q154" s="142"/>
    </row>
    <row r="155" spans="1:17" s="71" customFormat="1" ht="29.25" customHeight="1" x14ac:dyDescent="0.2">
      <c r="A155" s="69" t="s">
        <v>404</v>
      </c>
      <c r="B155" s="69" t="str">
        <f>'дод 3'!A105</f>
        <v>3191</v>
      </c>
      <c r="C155" s="69" t="str">
        <f>'дод 3'!B105</f>
        <v>1030</v>
      </c>
      <c r="D155" s="72" t="str">
        <f>'дод 3'!C105</f>
        <v>Інші видатки на соціальний захист ветеранів війни та праці</v>
      </c>
      <c r="E155" s="88">
        <f t="shared" si="26"/>
        <v>2464572</v>
      </c>
      <c r="F155" s="88">
        <f>2362940+101632</f>
        <v>2464572</v>
      </c>
      <c r="G155" s="88"/>
      <c r="H155" s="88"/>
      <c r="I155" s="88"/>
      <c r="J155" s="88">
        <f t="shared" si="25"/>
        <v>0</v>
      </c>
      <c r="K155" s="88"/>
      <c r="L155" s="88"/>
      <c r="M155" s="88"/>
      <c r="N155" s="88"/>
      <c r="O155" s="88"/>
      <c r="P155" s="88">
        <f t="shared" si="27"/>
        <v>2464572</v>
      </c>
      <c r="Q155" s="142"/>
    </row>
    <row r="156" spans="1:17" s="71" customFormat="1" ht="45" x14ac:dyDescent="0.2">
      <c r="A156" s="69" t="s">
        <v>405</v>
      </c>
      <c r="B156" s="69" t="str">
        <f>'дод 3'!A106</f>
        <v>3192</v>
      </c>
      <c r="C156" s="69" t="str">
        <f>'дод 3'!B106</f>
        <v>1030</v>
      </c>
      <c r="D156" s="72" t="str">
        <f>'дод 3'!C106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56" s="88">
        <f t="shared" si="26"/>
        <v>1385920</v>
      </c>
      <c r="F156" s="88">
        <v>1385920</v>
      </c>
      <c r="G156" s="88"/>
      <c r="H156" s="88"/>
      <c r="I156" s="88"/>
      <c r="J156" s="88">
        <f t="shared" si="25"/>
        <v>0</v>
      </c>
      <c r="K156" s="88"/>
      <c r="L156" s="88"/>
      <c r="M156" s="88"/>
      <c r="N156" s="88"/>
      <c r="O156" s="88"/>
      <c r="P156" s="88">
        <f t="shared" si="27"/>
        <v>1385920</v>
      </c>
      <c r="Q156" s="142"/>
    </row>
    <row r="157" spans="1:17" s="71" customFormat="1" ht="41.25" customHeight="1" x14ac:dyDescent="0.2">
      <c r="A157" s="69" t="s">
        <v>252</v>
      </c>
      <c r="B157" s="69" t="str">
        <f>'дод 3'!A107</f>
        <v>3200</v>
      </c>
      <c r="C157" s="69" t="str">
        <f>'дод 3'!B107</f>
        <v>1090</v>
      </c>
      <c r="D157" s="72" t="str">
        <f>'дод 3'!C107</f>
        <v xml:space="preserve">Забезпечення обробки інформації з нарахування та виплати допомог і компенсацій </v>
      </c>
      <c r="E157" s="88">
        <f t="shared" si="26"/>
        <v>81525</v>
      </c>
      <c r="F157" s="88">
        <v>81525</v>
      </c>
      <c r="G157" s="88"/>
      <c r="H157" s="88"/>
      <c r="I157" s="88"/>
      <c r="J157" s="88">
        <f t="shared" si="25"/>
        <v>0</v>
      </c>
      <c r="K157" s="88"/>
      <c r="L157" s="88"/>
      <c r="M157" s="88"/>
      <c r="N157" s="88"/>
      <c r="O157" s="88"/>
      <c r="P157" s="88">
        <f t="shared" si="27"/>
        <v>81525</v>
      </c>
      <c r="Q157" s="142"/>
    </row>
    <row r="158" spans="1:17" s="71" customFormat="1" ht="19.5" customHeight="1" x14ac:dyDescent="0.2">
      <c r="A158" s="73" t="s">
        <v>406</v>
      </c>
      <c r="B158" s="73" t="str">
        <f>'дод 3'!A108</f>
        <v>3210</v>
      </c>
      <c r="C158" s="73" t="str">
        <f>'дод 3'!B108</f>
        <v>1050</v>
      </c>
      <c r="D158" s="70" t="str">
        <f>'дод 3'!C108</f>
        <v>Організація та проведення громадських робіт</v>
      </c>
      <c r="E158" s="88">
        <f t="shared" si="26"/>
        <v>300000</v>
      </c>
      <c r="F158" s="88">
        <v>300000</v>
      </c>
      <c r="G158" s="88">
        <v>245900</v>
      </c>
      <c r="H158" s="88"/>
      <c r="I158" s="88"/>
      <c r="J158" s="88">
        <f t="shared" si="25"/>
        <v>0</v>
      </c>
      <c r="K158" s="88"/>
      <c r="L158" s="88"/>
      <c r="M158" s="88"/>
      <c r="N158" s="88"/>
      <c r="O158" s="88"/>
      <c r="P158" s="88">
        <f t="shared" si="27"/>
        <v>300000</v>
      </c>
      <c r="Q158" s="142"/>
    </row>
    <row r="159" spans="1:17" s="71" customFormat="1" ht="151.5" hidden="1" customHeight="1" x14ac:dyDescent="0.2">
      <c r="A159" s="73" t="s">
        <v>540</v>
      </c>
      <c r="B159" s="73" t="s">
        <v>538</v>
      </c>
      <c r="C159" s="73" t="s">
        <v>78</v>
      </c>
      <c r="D159" s="78" t="s">
        <v>539</v>
      </c>
      <c r="E159" s="88">
        <f t="shared" si="26"/>
        <v>0</v>
      </c>
      <c r="F159" s="88"/>
      <c r="G159" s="88"/>
      <c r="H159" s="88"/>
      <c r="I159" s="88"/>
      <c r="J159" s="88">
        <f t="shared" si="25"/>
        <v>0</v>
      </c>
      <c r="K159" s="88"/>
      <c r="L159" s="88"/>
      <c r="M159" s="88"/>
      <c r="N159" s="88"/>
      <c r="O159" s="88"/>
      <c r="P159" s="88">
        <f t="shared" si="27"/>
        <v>0</v>
      </c>
      <c r="Q159" s="142"/>
    </row>
    <row r="160" spans="1:17" s="71" customFormat="1" ht="19.5" hidden="1" customHeight="1" x14ac:dyDescent="0.2">
      <c r="A160" s="73"/>
      <c r="B160" s="73"/>
      <c r="C160" s="73"/>
      <c r="D160" s="70" t="str">
        <f>'дод 3'!C110</f>
        <v>у т.ч. за рахунок субвенцій з держбюджету</v>
      </c>
      <c r="E160" s="88">
        <f t="shared" si="26"/>
        <v>0</v>
      </c>
      <c r="F160" s="88"/>
      <c r="G160" s="88"/>
      <c r="H160" s="88"/>
      <c r="I160" s="88"/>
      <c r="J160" s="88">
        <f t="shared" si="25"/>
        <v>0</v>
      </c>
      <c r="K160" s="88"/>
      <c r="L160" s="88"/>
      <c r="M160" s="88"/>
      <c r="N160" s="88"/>
      <c r="O160" s="88"/>
      <c r="P160" s="88">
        <f t="shared" si="27"/>
        <v>0</v>
      </c>
      <c r="Q160" s="142"/>
    </row>
    <row r="161" spans="1:17" s="71" customFormat="1" ht="183.75" hidden="1" customHeight="1" x14ac:dyDescent="0.2">
      <c r="A161" s="73" t="s">
        <v>542</v>
      </c>
      <c r="B161" s="73" t="s">
        <v>545</v>
      </c>
      <c r="C161" s="73" t="s">
        <v>78</v>
      </c>
      <c r="D161" s="78" t="s">
        <v>544</v>
      </c>
      <c r="E161" s="88">
        <f t="shared" si="26"/>
        <v>0</v>
      </c>
      <c r="F161" s="88"/>
      <c r="G161" s="88"/>
      <c r="H161" s="88"/>
      <c r="I161" s="88"/>
      <c r="J161" s="88">
        <f t="shared" si="25"/>
        <v>0</v>
      </c>
      <c r="K161" s="88"/>
      <c r="L161" s="88"/>
      <c r="M161" s="88"/>
      <c r="N161" s="88"/>
      <c r="O161" s="88"/>
      <c r="P161" s="88">
        <f t="shared" si="27"/>
        <v>0</v>
      </c>
      <c r="Q161" s="142"/>
    </row>
    <row r="162" spans="1:17" s="71" customFormat="1" ht="19.5" hidden="1" customHeight="1" x14ac:dyDescent="0.2">
      <c r="A162" s="73"/>
      <c r="B162" s="73"/>
      <c r="C162" s="73"/>
      <c r="D162" s="70" t="str">
        <f>'дод 3'!C116</f>
        <v>у т.ч. за рахунок субвенцій з держбюджету</v>
      </c>
      <c r="E162" s="88">
        <f t="shared" si="26"/>
        <v>0</v>
      </c>
      <c r="F162" s="88"/>
      <c r="G162" s="88"/>
      <c r="H162" s="88"/>
      <c r="I162" s="88"/>
      <c r="J162" s="88">
        <f t="shared" si="25"/>
        <v>0</v>
      </c>
      <c r="K162" s="88"/>
      <c r="L162" s="88"/>
      <c r="M162" s="88"/>
      <c r="N162" s="88"/>
      <c r="O162" s="88"/>
      <c r="P162" s="88">
        <f t="shared" si="27"/>
        <v>0</v>
      </c>
      <c r="Q162" s="142"/>
    </row>
    <row r="163" spans="1:17" s="71" customFormat="1" ht="165" hidden="1" customHeight="1" x14ac:dyDescent="0.2">
      <c r="A163" s="73" t="s">
        <v>543</v>
      </c>
      <c r="B163" s="73" t="s">
        <v>547</v>
      </c>
      <c r="C163" s="73" t="s">
        <v>78</v>
      </c>
      <c r="D163" s="78" t="s">
        <v>546</v>
      </c>
      <c r="E163" s="88">
        <f t="shared" si="26"/>
        <v>0</v>
      </c>
      <c r="F163" s="88"/>
      <c r="G163" s="88"/>
      <c r="H163" s="88"/>
      <c r="I163" s="88"/>
      <c r="J163" s="88">
        <f t="shared" si="25"/>
        <v>0</v>
      </c>
      <c r="K163" s="88"/>
      <c r="L163" s="88"/>
      <c r="M163" s="88"/>
      <c r="N163" s="88"/>
      <c r="O163" s="88"/>
      <c r="P163" s="88">
        <f t="shared" si="27"/>
        <v>0</v>
      </c>
      <c r="Q163" s="142"/>
    </row>
    <row r="164" spans="1:17" s="71" customFormat="1" ht="18.75" hidden="1" customHeight="1" x14ac:dyDescent="0.2">
      <c r="A164" s="73"/>
      <c r="B164" s="73"/>
      <c r="C164" s="73"/>
      <c r="D164" s="70" t="s">
        <v>345</v>
      </c>
      <c r="E164" s="88">
        <f t="shared" si="26"/>
        <v>0</v>
      </c>
      <c r="F164" s="88"/>
      <c r="G164" s="88"/>
      <c r="H164" s="88"/>
      <c r="I164" s="88"/>
      <c r="J164" s="88">
        <f t="shared" si="25"/>
        <v>0</v>
      </c>
      <c r="K164" s="88"/>
      <c r="L164" s="88"/>
      <c r="M164" s="88"/>
      <c r="N164" s="88"/>
      <c r="O164" s="88"/>
      <c r="P164" s="88">
        <f t="shared" si="27"/>
        <v>0</v>
      </c>
      <c r="Q164" s="142"/>
    </row>
    <row r="165" spans="1:17" s="71" customFormat="1" ht="160.5" customHeight="1" x14ac:dyDescent="0.2">
      <c r="A165" s="73" t="s">
        <v>478</v>
      </c>
      <c r="B165" s="79" t="str">
        <f>'дод 3'!A115</f>
        <v>3230</v>
      </c>
      <c r="C165" s="79" t="str">
        <f>'дод 3'!B115</f>
        <v>1040</v>
      </c>
      <c r="D165" s="70" t="s">
        <v>581</v>
      </c>
      <c r="E165" s="88">
        <f t="shared" si="26"/>
        <v>3600900</v>
      </c>
      <c r="F165" s="88">
        <v>3600900</v>
      </c>
      <c r="G165" s="88"/>
      <c r="H165" s="88"/>
      <c r="I165" s="88"/>
      <c r="J165" s="88">
        <f t="shared" si="25"/>
        <v>0</v>
      </c>
      <c r="K165" s="88"/>
      <c r="L165" s="88"/>
      <c r="M165" s="88"/>
      <c r="N165" s="88"/>
      <c r="O165" s="88"/>
      <c r="P165" s="88">
        <f t="shared" si="27"/>
        <v>3600900</v>
      </c>
      <c r="Q165" s="142"/>
    </row>
    <row r="166" spans="1:17" s="71" customFormat="1" ht="19.5" customHeight="1" x14ac:dyDescent="0.2">
      <c r="A166" s="73"/>
      <c r="B166" s="79"/>
      <c r="C166" s="79"/>
      <c r="D166" s="70" t="str">
        <f>'дод 3'!C116</f>
        <v>у т.ч. за рахунок субвенцій з держбюджету</v>
      </c>
      <c r="E166" s="88">
        <f t="shared" si="26"/>
        <v>3600900</v>
      </c>
      <c r="F166" s="88">
        <v>3600900</v>
      </c>
      <c r="G166" s="88"/>
      <c r="H166" s="88"/>
      <c r="I166" s="88"/>
      <c r="J166" s="88">
        <f t="shared" si="25"/>
        <v>0</v>
      </c>
      <c r="K166" s="88"/>
      <c r="L166" s="88"/>
      <c r="M166" s="88"/>
      <c r="N166" s="88"/>
      <c r="O166" s="88"/>
      <c r="P166" s="88">
        <f t="shared" si="27"/>
        <v>3600900</v>
      </c>
      <c r="Q166" s="142"/>
    </row>
    <row r="167" spans="1:17" s="71" customFormat="1" ht="31.5" customHeight="1" x14ac:dyDescent="0.2">
      <c r="A167" s="69" t="s">
        <v>402</v>
      </c>
      <c r="B167" s="69" t="str">
        <f>'дод 3'!A117</f>
        <v>3241</v>
      </c>
      <c r="C167" s="69" t="str">
        <f>'дод 3'!B117</f>
        <v>1090</v>
      </c>
      <c r="D167" s="72" t="str">
        <f>'дод 3'!C117</f>
        <v>Забезпечення діяльності інших закладів у сфері соціального захисту і соціального забезпечення</v>
      </c>
      <c r="E167" s="88">
        <f t="shared" si="26"/>
        <v>4891600</v>
      </c>
      <c r="F167" s="88">
        <v>4891600</v>
      </c>
      <c r="G167" s="88">
        <v>2885108</v>
      </c>
      <c r="H167" s="88">
        <v>539079</v>
      </c>
      <c r="I167" s="88"/>
      <c r="J167" s="88">
        <f t="shared" ref="J167:J217" si="28">L167+O167</f>
        <v>910000</v>
      </c>
      <c r="K167" s="88">
        <f>410000+500000</f>
        <v>910000</v>
      </c>
      <c r="L167" s="88"/>
      <c r="M167" s="88"/>
      <c r="N167" s="88"/>
      <c r="O167" s="88">
        <f>410000+500000</f>
        <v>910000</v>
      </c>
      <c r="P167" s="88">
        <f t="shared" si="27"/>
        <v>5801600</v>
      </c>
      <c r="Q167" s="142"/>
    </row>
    <row r="168" spans="1:17" s="71" customFormat="1" ht="33" customHeight="1" x14ac:dyDescent="0.2">
      <c r="A168" s="69" t="s">
        <v>403</v>
      </c>
      <c r="B168" s="69" t="str">
        <f>'дод 3'!A118</f>
        <v>3242</v>
      </c>
      <c r="C168" s="69" t="str">
        <f>'дод 3'!B118</f>
        <v>1090</v>
      </c>
      <c r="D168" s="72" t="str">
        <f>'дод 3'!C118</f>
        <v>Інші заходи у сфері соціального захисту і соціального забезпечення</v>
      </c>
      <c r="E168" s="88">
        <f t="shared" si="26"/>
        <v>30452311</v>
      </c>
      <c r="F168" s="88">
        <f>29883071+25600+317300+123900+102440</f>
        <v>30452311</v>
      </c>
      <c r="G168" s="88"/>
      <c r="H168" s="88"/>
      <c r="I168" s="88"/>
      <c r="J168" s="88">
        <f t="shared" si="28"/>
        <v>0</v>
      </c>
      <c r="K168" s="88"/>
      <c r="L168" s="88"/>
      <c r="M168" s="88"/>
      <c r="N168" s="88"/>
      <c r="O168" s="88"/>
      <c r="P168" s="88">
        <f t="shared" si="27"/>
        <v>30452311</v>
      </c>
      <c r="Q168" s="142"/>
    </row>
    <row r="169" spans="1:17" s="71" customFormat="1" ht="19.5" hidden="1" customHeight="1" x14ac:dyDescent="0.2">
      <c r="A169" s="69" t="s">
        <v>253</v>
      </c>
      <c r="B169" s="69" t="str">
        <f>'дод 3'!A176</f>
        <v>7640</v>
      </c>
      <c r="C169" s="69" t="str">
        <f>'дод 3'!B176</f>
        <v>0470</v>
      </c>
      <c r="D169" s="72" t="str">
        <f>'дод 3'!C176</f>
        <v>Заходи з енергозбереження</v>
      </c>
      <c r="E169" s="88">
        <f t="shared" si="26"/>
        <v>0</v>
      </c>
      <c r="F169" s="88"/>
      <c r="G169" s="88"/>
      <c r="H169" s="88"/>
      <c r="I169" s="88"/>
      <c r="J169" s="88">
        <f t="shared" si="28"/>
        <v>0</v>
      </c>
      <c r="K169" s="88"/>
      <c r="L169" s="88"/>
      <c r="M169" s="88"/>
      <c r="N169" s="88"/>
      <c r="O169" s="88"/>
      <c r="P169" s="88">
        <f t="shared" si="27"/>
        <v>0</v>
      </c>
      <c r="Q169" s="142"/>
    </row>
    <row r="170" spans="1:17" s="71" customFormat="1" ht="31.5" hidden="1" customHeight="1" x14ac:dyDescent="0.2">
      <c r="A170" s="69" t="s">
        <v>513</v>
      </c>
      <c r="B170" s="69" t="str">
        <f>'дод 3'!A187</f>
        <v>8110</v>
      </c>
      <c r="C170" s="69" t="str">
        <f>'дод 3'!B187</f>
        <v>0320</v>
      </c>
      <c r="D170" s="72" t="str">
        <f>'дод 3'!C187</f>
        <v>Заходи із запобігання та ліквідації надзвичайних ситуацій та наслідків стихійного лиха</v>
      </c>
      <c r="E170" s="88">
        <f t="shared" si="26"/>
        <v>0</v>
      </c>
      <c r="F170" s="88"/>
      <c r="G170" s="88"/>
      <c r="H170" s="88"/>
      <c r="I170" s="88"/>
      <c r="J170" s="88">
        <f t="shared" si="28"/>
        <v>0</v>
      </c>
      <c r="K170" s="88"/>
      <c r="L170" s="88"/>
      <c r="M170" s="88"/>
      <c r="N170" s="88"/>
      <c r="O170" s="88"/>
      <c r="P170" s="88">
        <f t="shared" si="27"/>
        <v>0</v>
      </c>
      <c r="Q170" s="142"/>
    </row>
    <row r="171" spans="1:17" s="71" customFormat="1" ht="23.25" customHeight="1" x14ac:dyDescent="0.2">
      <c r="A171" s="69" t="s">
        <v>343</v>
      </c>
      <c r="B171" s="69" t="str">
        <f>'дод 3'!A207</f>
        <v>9770</v>
      </c>
      <c r="C171" s="69" t="str">
        <f>'дод 3'!B207</f>
        <v>0180</v>
      </c>
      <c r="D171" s="72" t="str">
        <f>'дод 3'!C207</f>
        <v xml:space="preserve">Інші субвенції з місцевого бюджету </v>
      </c>
      <c r="E171" s="88">
        <f t="shared" si="26"/>
        <v>664000</v>
      </c>
      <c r="F171" s="88">
        <v>664000</v>
      </c>
      <c r="G171" s="88"/>
      <c r="H171" s="88"/>
      <c r="I171" s="88"/>
      <c r="J171" s="88">
        <f t="shared" si="28"/>
        <v>0</v>
      </c>
      <c r="K171" s="88"/>
      <c r="L171" s="88"/>
      <c r="M171" s="88"/>
      <c r="N171" s="88"/>
      <c r="O171" s="88"/>
      <c r="P171" s="88">
        <f t="shared" si="27"/>
        <v>664000</v>
      </c>
      <c r="Q171" s="142"/>
    </row>
    <row r="172" spans="1:17" s="90" customFormat="1" ht="21" customHeight="1" x14ac:dyDescent="0.2">
      <c r="A172" s="106" t="s">
        <v>254</v>
      </c>
      <c r="B172" s="106"/>
      <c r="C172" s="106"/>
      <c r="D172" s="95" t="s">
        <v>51</v>
      </c>
      <c r="E172" s="96">
        <f>E173</f>
        <v>4419300</v>
      </c>
      <c r="F172" s="96">
        <f t="shared" ref="F172:P172" si="29">F173</f>
        <v>4419300</v>
      </c>
      <c r="G172" s="96">
        <f t="shared" si="29"/>
        <v>3409100</v>
      </c>
      <c r="H172" s="96">
        <f t="shared" si="29"/>
        <v>45780</v>
      </c>
      <c r="I172" s="96">
        <f t="shared" si="29"/>
        <v>0</v>
      </c>
      <c r="J172" s="96">
        <f t="shared" si="29"/>
        <v>530000</v>
      </c>
      <c r="K172" s="96">
        <f t="shared" si="29"/>
        <v>530000</v>
      </c>
      <c r="L172" s="96">
        <f t="shared" si="29"/>
        <v>0</v>
      </c>
      <c r="M172" s="96">
        <f t="shared" si="29"/>
        <v>0</v>
      </c>
      <c r="N172" s="96">
        <f t="shared" si="29"/>
        <v>0</v>
      </c>
      <c r="O172" s="96">
        <f t="shared" si="29"/>
        <v>530000</v>
      </c>
      <c r="P172" s="96">
        <f t="shared" si="29"/>
        <v>4949300</v>
      </c>
      <c r="Q172" s="142"/>
    </row>
    <row r="173" spans="1:17" s="91" customFormat="1" ht="21.75" customHeight="1" x14ac:dyDescent="0.2">
      <c r="A173" s="107" t="s">
        <v>255</v>
      </c>
      <c r="B173" s="107"/>
      <c r="C173" s="107"/>
      <c r="D173" s="103" t="s">
        <v>51</v>
      </c>
      <c r="E173" s="104">
        <f>E175+E176+E177</f>
        <v>4419300</v>
      </c>
      <c r="F173" s="104">
        <f t="shared" ref="F173:P173" si="30">F175+F176+F177</f>
        <v>4419300</v>
      </c>
      <c r="G173" s="104">
        <f t="shared" si="30"/>
        <v>3409100</v>
      </c>
      <c r="H173" s="104">
        <f t="shared" si="30"/>
        <v>45780</v>
      </c>
      <c r="I173" s="104">
        <f t="shared" si="30"/>
        <v>0</v>
      </c>
      <c r="J173" s="104">
        <f t="shared" si="30"/>
        <v>530000</v>
      </c>
      <c r="K173" s="104">
        <f t="shared" si="30"/>
        <v>530000</v>
      </c>
      <c r="L173" s="104">
        <f t="shared" si="30"/>
        <v>0</v>
      </c>
      <c r="M173" s="104">
        <f t="shared" si="30"/>
        <v>0</v>
      </c>
      <c r="N173" s="104">
        <f t="shared" si="30"/>
        <v>0</v>
      </c>
      <c r="O173" s="104">
        <f t="shared" si="30"/>
        <v>530000</v>
      </c>
      <c r="P173" s="104">
        <f t="shared" si="30"/>
        <v>4949300</v>
      </c>
      <c r="Q173" s="142"/>
    </row>
    <row r="174" spans="1:17" s="91" customFormat="1" ht="21.75" hidden="1" customHeight="1" x14ac:dyDescent="0.2">
      <c r="A174" s="106"/>
      <c r="B174" s="106"/>
      <c r="C174" s="106"/>
      <c r="D174" s="95" t="s">
        <v>345</v>
      </c>
      <c r="E174" s="96">
        <f>E178</f>
        <v>0</v>
      </c>
      <c r="F174" s="96">
        <f t="shared" ref="F174:P174" si="31">F178</f>
        <v>0</v>
      </c>
      <c r="G174" s="96">
        <f t="shared" si="31"/>
        <v>0</v>
      </c>
      <c r="H174" s="96">
        <f t="shared" si="31"/>
        <v>0</v>
      </c>
      <c r="I174" s="96">
        <f t="shared" si="31"/>
        <v>0</v>
      </c>
      <c r="J174" s="96">
        <f t="shared" si="31"/>
        <v>0</v>
      </c>
      <c r="K174" s="96">
        <f t="shared" si="31"/>
        <v>0</v>
      </c>
      <c r="L174" s="96">
        <f t="shared" si="31"/>
        <v>0</v>
      </c>
      <c r="M174" s="96">
        <f t="shared" si="31"/>
        <v>0</v>
      </c>
      <c r="N174" s="96">
        <f t="shared" si="31"/>
        <v>0</v>
      </c>
      <c r="O174" s="96">
        <f t="shared" si="31"/>
        <v>0</v>
      </c>
      <c r="P174" s="104">
        <f t="shared" si="31"/>
        <v>0</v>
      </c>
      <c r="Q174" s="142"/>
    </row>
    <row r="175" spans="1:17" s="71" customFormat="1" ht="52.5" customHeight="1" x14ac:dyDescent="0.2">
      <c r="A175" s="69" t="s">
        <v>256</v>
      </c>
      <c r="B175" s="69" t="str">
        <f>'дод 3'!A14</f>
        <v>0160</v>
      </c>
      <c r="C175" s="69" t="str">
        <f>'дод 3'!B14</f>
        <v>0111</v>
      </c>
      <c r="D175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75" s="88">
        <f>F175+I175</f>
        <v>4319300</v>
      </c>
      <c r="F175" s="88">
        <v>4319300</v>
      </c>
      <c r="G175" s="88">
        <v>3409100</v>
      </c>
      <c r="H175" s="88">
        <v>45780</v>
      </c>
      <c r="I175" s="88"/>
      <c r="J175" s="88">
        <f t="shared" si="28"/>
        <v>530000</v>
      </c>
      <c r="K175" s="88">
        <f>30000+500000</f>
        <v>530000</v>
      </c>
      <c r="L175" s="88"/>
      <c r="M175" s="88"/>
      <c r="N175" s="88"/>
      <c r="O175" s="88">
        <f>30000+500000</f>
        <v>530000</v>
      </c>
      <c r="P175" s="88">
        <f>E175+J175</f>
        <v>4849300</v>
      </c>
      <c r="Q175" s="142"/>
    </row>
    <row r="176" spans="1:17" s="71" customFormat="1" ht="36.75" customHeight="1" x14ac:dyDescent="0.2">
      <c r="A176" s="69" t="s">
        <v>257</v>
      </c>
      <c r="B176" s="69" t="str">
        <f>'дод 3'!A97</f>
        <v>3112</v>
      </c>
      <c r="C176" s="69" t="str">
        <f>'дод 3'!B97</f>
        <v>1040</v>
      </c>
      <c r="D176" s="72" t="str">
        <f>'дод 3'!C97</f>
        <v>Заходи державної політики з питань дітей та їх соціального захисту</v>
      </c>
      <c r="E176" s="88">
        <f>F176+I176</f>
        <v>100000</v>
      </c>
      <c r="F176" s="88">
        <v>100000</v>
      </c>
      <c r="G176" s="88"/>
      <c r="H176" s="88"/>
      <c r="I176" s="88"/>
      <c r="J176" s="88">
        <f t="shared" si="28"/>
        <v>0</v>
      </c>
      <c r="K176" s="88"/>
      <c r="L176" s="88"/>
      <c r="M176" s="88"/>
      <c r="N176" s="88"/>
      <c r="O176" s="88"/>
      <c r="P176" s="88">
        <f>E176+J176</f>
        <v>100000</v>
      </c>
      <c r="Q176" s="142"/>
    </row>
    <row r="177" spans="1:17" s="71" customFormat="1" ht="59.25" hidden="1" customHeight="1" x14ac:dyDescent="0.2">
      <c r="A177" s="69" t="s">
        <v>548</v>
      </c>
      <c r="B177" s="69" t="s">
        <v>550</v>
      </c>
      <c r="C177" s="69" t="s">
        <v>98</v>
      </c>
      <c r="D177" s="72" t="s">
        <v>549</v>
      </c>
      <c r="E177" s="88">
        <f>F177+I177</f>
        <v>0</v>
      </c>
      <c r="F177" s="88"/>
      <c r="G177" s="88"/>
      <c r="H177" s="88"/>
      <c r="I177" s="88"/>
      <c r="J177" s="88">
        <f t="shared" si="28"/>
        <v>0</v>
      </c>
      <c r="K177" s="88"/>
      <c r="L177" s="88"/>
      <c r="M177" s="88"/>
      <c r="N177" s="88"/>
      <c r="O177" s="88"/>
      <c r="P177" s="88">
        <f>E177+J177</f>
        <v>0</v>
      </c>
      <c r="Q177" s="142"/>
    </row>
    <row r="178" spans="1:17" s="71" customFormat="1" ht="19.5" hidden="1" customHeight="1" x14ac:dyDescent="0.2">
      <c r="A178" s="69"/>
      <c r="B178" s="69"/>
      <c r="C178" s="69"/>
      <c r="D178" s="72" t="s">
        <v>345</v>
      </c>
      <c r="E178" s="88">
        <f>F178+I178</f>
        <v>0</v>
      </c>
      <c r="F178" s="88"/>
      <c r="G178" s="88"/>
      <c r="H178" s="88"/>
      <c r="I178" s="88"/>
      <c r="J178" s="88">
        <f t="shared" si="28"/>
        <v>0</v>
      </c>
      <c r="K178" s="88"/>
      <c r="L178" s="88"/>
      <c r="M178" s="88"/>
      <c r="N178" s="88"/>
      <c r="O178" s="88"/>
      <c r="P178" s="88">
        <f>E178+J178</f>
        <v>0</v>
      </c>
      <c r="Q178" s="142"/>
    </row>
    <row r="179" spans="1:17" s="90" customFormat="1" ht="22.5" customHeight="1" x14ac:dyDescent="0.2">
      <c r="A179" s="94" t="s">
        <v>43</v>
      </c>
      <c r="B179" s="94"/>
      <c r="C179" s="94"/>
      <c r="D179" s="95" t="s">
        <v>53</v>
      </c>
      <c r="E179" s="96">
        <f>E180</f>
        <v>57402200</v>
      </c>
      <c r="F179" s="96">
        <f t="shared" ref="F179:P179" si="32">F180</f>
        <v>57402200</v>
      </c>
      <c r="G179" s="96">
        <f t="shared" si="32"/>
        <v>42029000</v>
      </c>
      <c r="H179" s="96">
        <f t="shared" si="32"/>
        <v>2099320</v>
      </c>
      <c r="I179" s="96">
        <f t="shared" si="32"/>
        <v>0</v>
      </c>
      <c r="J179" s="96">
        <f t="shared" si="32"/>
        <v>3940580</v>
      </c>
      <c r="K179" s="96">
        <f t="shared" si="32"/>
        <v>1406000</v>
      </c>
      <c r="L179" s="96">
        <f t="shared" si="32"/>
        <v>2529860</v>
      </c>
      <c r="M179" s="96">
        <f t="shared" si="32"/>
        <v>2048504</v>
      </c>
      <c r="N179" s="96">
        <f t="shared" si="32"/>
        <v>0</v>
      </c>
      <c r="O179" s="96">
        <f t="shared" si="32"/>
        <v>1410720</v>
      </c>
      <c r="P179" s="96">
        <f t="shared" si="32"/>
        <v>61342780</v>
      </c>
      <c r="Q179" s="142"/>
    </row>
    <row r="180" spans="1:17" s="91" customFormat="1" ht="24.75" customHeight="1" x14ac:dyDescent="0.2">
      <c r="A180" s="102" t="s">
        <v>258</v>
      </c>
      <c r="B180" s="102"/>
      <c r="C180" s="102"/>
      <c r="D180" s="103" t="s">
        <v>53</v>
      </c>
      <c r="E180" s="104">
        <f>E182+E183+E184+E185+E186+E187+E189</f>
        <v>57402200</v>
      </c>
      <c r="F180" s="104">
        <f t="shared" ref="F180:P180" si="33">F182+F183+F184+F185+F186+F187+F189</f>
        <v>57402200</v>
      </c>
      <c r="G180" s="104">
        <f t="shared" si="33"/>
        <v>42029000</v>
      </c>
      <c r="H180" s="104">
        <f t="shared" si="33"/>
        <v>2099320</v>
      </c>
      <c r="I180" s="104">
        <f t="shared" si="33"/>
        <v>0</v>
      </c>
      <c r="J180" s="104">
        <f t="shared" si="33"/>
        <v>3940580</v>
      </c>
      <c r="K180" s="104">
        <f t="shared" si="33"/>
        <v>1406000</v>
      </c>
      <c r="L180" s="104">
        <f t="shared" si="33"/>
        <v>2529860</v>
      </c>
      <c r="M180" s="104">
        <f t="shared" si="33"/>
        <v>2048504</v>
      </c>
      <c r="N180" s="104">
        <f t="shared" si="33"/>
        <v>0</v>
      </c>
      <c r="O180" s="104">
        <f t="shared" si="33"/>
        <v>1410720</v>
      </c>
      <c r="P180" s="104">
        <f t="shared" si="33"/>
        <v>61342780</v>
      </c>
      <c r="Q180" s="142"/>
    </row>
    <row r="181" spans="1:17" s="91" customFormat="1" ht="18" hidden="1" customHeight="1" x14ac:dyDescent="0.2">
      <c r="A181" s="94"/>
      <c r="B181" s="94"/>
      <c r="C181" s="94"/>
      <c r="D181" s="95" t="s">
        <v>345</v>
      </c>
      <c r="E181" s="96">
        <f>E188</f>
        <v>0</v>
      </c>
      <c r="F181" s="96">
        <f t="shared" ref="F181:P181" si="34">F188</f>
        <v>0</v>
      </c>
      <c r="G181" s="96">
        <f t="shared" si="34"/>
        <v>0</v>
      </c>
      <c r="H181" s="96">
        <f t="shared" si="34"/>
        <v>0</v>
      </c>
      <c r="I181" s="96">
        <f t="shared" si="34"/>
        <v>0</v>
      </c>
      <c r="J181" s="96">
        <f t="shared" si="34"/>
        <v>0</v>
      </c>
      <c r="K181" s="96">
        <f t="shared" si="34"/>
        <v>0</v>
      </c>
      <c r="L181" s="96">
        <f t="shared" si="34"/>
        <v>0</v>
      </c>
      <c r="M181" s="96">
        <f t="shared" si="34"/>
        <v>0</v>
      </c>
      <c r="N181" s="96">
        <f t="shared" si="34"/>
        <v>0</v>
      </c>
      <c r="O181" s="96">
        <f t="shared" si="34"/>
        <v>0</v>
      </c>
      <c r="P181" s="104">
        <f t="shared" si="34"/>
        <v>0</v>
      </c>
      <c r="Q181" s="113"/>
    </row>
    <row r="182" spans="1:17" s="71" customFormat="1" ht="52.5" customHeight="1" x14ac:dyDescent="0.2">
      <c r="A182" s="69" t="s">
        <v>187</v>
      </c>
      <c r="B182" s="69" t="str">
        <f>'дод 3'!A14</f>
        <v>0160</v>
      </c>
      <c r="C182" s="69" t="str">
        <f>'дод 3'!B14</f>
        <v>0111</v>
      </c>
      <c r="D182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82" s="88">
        <f t="shared" ref="E182:E189" si="35">F182+I182</f>
        <v>1648800</v>
      </c>
      <c r="F182" s="88">
        <v>1648800</v>
      </c>
      <c r="G182" s="88">
        <v>1289500</v>
      </c>
      <c r="H182" s="88">
        <v>13670</v>
      </c>
      <c r="I182" s="88"/>
      <c r="J182" s="88">
        <f t="shared" si="28"/>
        <v>0</v>
      </c>
      <c r="K182" s="88"/>
      <c r="L182" s="88"/>
      <c r="M182" s="88"/>
      <c r="N182" s="88"/>
      <c r="O182" s="88"/>
      <c r="P182" s="88">
        <f t="shared" ref="P182:P189" si="36">E182+J182</f>
        <v>1648800</v>
      </c>
      <c r="Q182" s="142"/>
    </row>
    <row r="183" spans="1:17" s="71" customFormat="1" ht="48.75" customHeight="1" x14ac:dyDescent="0.2">
      <c r="A183" s="69" t="s">
        <v>290</v>
      </c>
      <c r="B183" s="69" t="str">
        <f>'дод 3'!A26</f>
        <v>1100</v>
      </c>
      <c r="C183" s="69" t="str">
        <f>'дод 3'!B26</f>
        <v>0960</v>
      </c>
      <c r="D183" s="72" t="str">
        <f>'дод 3'!C26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83" s="88">
        <f t="shared" si="35"/>
        <v>34503300</v>
      </c>
      <c r="F183" s="88">
        <v>34503300</v>
      </c>
      <c r="G183" s="88">
        <v>27174000</v>
      </c>
      <c r="H183" s="88">
        <v>772000</v>
      </c>
      <c r="I183" s="88"/>
      <c r="J183" s="88">
        <f t="shared" si="28"/>
        <v>2606580</v>
      </c>
      <c r="K183" s="88">
        <v>100000</v>
      </c>
      <c r="L183" s="88">
        <v>2501860</v>
      </c>
      <c r="M183" s="88">
        <v>2043504</v>
      </c>
      <c r="N183" s="88"/>
      <c r="O183" s="88">
        <f>100000+4720</f>
        <v>104720</v>
      </c>
      <c r="P183" s="88">
        <f t="shared" si="36"/>
        <v>37109880</v>
      </c>
      <c r="Q183" s="142"/>
    </row>
    <row r="184" spans="1:17" s="71" customFormat="1" ht="21" customHeight="1" x14ac:dyDescent="0.2">
      <c r="A184" s="69" t="s">
        <v>259</v>
      </c>
      <c r="B184" s="69" t="str">
        <f>'дод 3'!A120</f>
        <v>4030</v>
      </c>
      <c r="C184" s="69" t="str">
        <f>'дод 3'!B120</f>
        <v>0824</v>
      </c>
      <c r="D184" s="72" t="str">
        <f>'дод 3'!C120</f>
        <v>Забезпечення діяльності бібліотек</v>
      </c>
      <c r="E184" s="88">
        <f t="shared" si="35"/>
        <v>17534840</v>
      </c>
      <c r="F184" s="88">
        <v>17534840</v>
      </c>
      <c r="G184" s="88">
        <v>12497600</v>
      </c>
      <c r="H184" s="88">
        <v>1288000</v>
      </c>
      <c r="I184" s="88"/>
      <c r="J184" s="88">
        <f t="shared" si="28"/>
        <v>328000</v>
      </c>
      <c r="K184" s="88">
        <v>300000</v>
      </c>
      <c r="L184" s="88">
        <v>28000</v>
      </c>
      <c r="M184" s="88">
        <v>5000</v>
      </c>
      <c r="N184" s="88"/>
      <c r="O184" s="88">
        <f>300000</f>
        <v>300000</v>
      </c>
      <c r="P184" s="88">
        <f t="shared" si="36"/>
        <v>17862840</v>
      </c>
      <c r="Q184" s="142"/>
    </row>
    <row r="185" spans="1:17" s="80" customFormat="1" ht="33.75" customHeight="1" x14ac:dyDescent="0.2">
      <c r="A185" s="108">
        <v>1014081</v>
      </c>
      <c r="B185" s="69" t="str">
        <f>'дод 3'!A122</f>
        <v>4081</v>
      </c>
      <c r="C185" s="69" t="str">
        <f>'дод 3'!B122</f>
        <v>0829</v>
      </c>
      <c r="D185" s="72" t="str">
        <f>'дод 3'!C122</f>
        <v xml:space="preserve">Забезпечення діяльності інших закладів в галузі культури і мистецтва </v>
      </c>
      <c r="E185" s="88">
        <f t="shared" si="35"/>
        <v>1425860</v>
      </c>
      <c r="F185" s="88">
        <v>1425860</v>
      </c>
      <c r="G185" s="88">
        <v>1067900</v>
      </c>
      <c r="H185" s="88">
        <v>25650</v>
      </c>
      <c r="I185" s="88"/>
      <c r="J185" s="88">
        <f t="shared" si="28"/>
        <v>0</v>
      </c>
      <c r="K185" s="88"/>
      <c r="L185" s="88"/>
      <c r="M185" s="88"/>
      <c r="N185" s="88"/>
      <c r="O185" s="88"/>
      <c r="P185" s="88">
        <f t="shared" si="36"/>
        <v>1425860</v>
      </c>
      <c r="Q185" s="142"/>
    </row>
    <row r="186" spans="1:17" s="80" customFormat="1" ht="25.5" customHeight="1" x14ac:dyDescent="0.2">
      <c r="A186" s="108">
        <v>1014082</v>
      </c>
      <c r="B186" s="69" t="str">
        <f>'дод 3'!A123</f>
        <v>4082</v>
      </c>
      <c r="C186" s="69" t="str">
        <f>'дод 3'!B123</f>
        <v>0829</v>
      </c>
      <c r="D186" s="72" t="str">
        <f>'дод 3'!C123</f>
        <v>Інші заходи в галузі культури і мистецтва</v>
      </c>
      <c r="E186" s="88">
        <f t="shared" si="35"/>
        <v>2289400</v>
      </c>
      <c r="F186" s="88">
        <f>2039400+250000</f>
        <v>2289400</v>
      </c>
      <c r="G186" s="88"/>
      <c r="H186" s="88"/>
      <c r="I186" s="88"/>
      <c r="J186" s="88">
        <f t="shared" si="28"/>
        <v>0</v>
      </c>
      <c r="K186" s="88"/>
      <c r="L186" s="88"/>
      <c r="M186" s="88"/>
      <c r="N186" s="88"/>
      <c r="O186" s="88"/>
      <c r="P186" s="88">
        <f t="shared" si="36"/>
        <v>2289400</v>
      </c>
      <c r="Q186" s="142"/>
    </row>
    <row r="187" spans="1:17" s="80" customFormat="1" ht="29.45" hidden="1" customHeight="1" x14ac:dyDescent="0.2">
      <c r="A187" s="69" t="s">
        <v>541</v>
      </c>
      <c r="B187" s="69" t="s">
        <v>498</v>
      </c>
      <c r="C187" s="69" t="s">
        <v>113</v>
      </c>
      <c r="D187" s="72" t="s">
        <v>499</v>
      </c>
      <c r="E187" s="88">
        <f t="shared" si="35"/>
        <v>0</v>
      </c>
      <c r="F187" s="88"/>
      <c r="G187" s="88"/>
      <c r="H187" s="88"/>
      <c r="I187" s="88"/>
      <c r="J187" s="88">
        <f t="shared" si="28"/>
        <v>0</v>
      </c>
      <c r="K187" s="88"/>
      <c r="L187" s="88"/>
      <c r="M187" s="88"/>
      <c r="N187" s="88"/>
      <c r="O187" s="88"/>
      <c r="P187" s="88">
        <f t="shared" si="36"/>
        <v>0</v>
      </c>
      <c r="Q187" s="142"/>
    </row>
    <row r="188" spans="1:17" s="80" customFormat="1" ht="16.5" hidden="1" customHeight="1" x14ac:dyDescent="0.2">
      <c r="A188" s="69"/>
      <c r="B188" s="69"/>
      <c r="C188" s="69"/>
      <c r="D188" s="72" t="s">
        <v>345</v>
      </c>
      <c r="E188" s="88">
        <f t="shared" si="35"/>
        <v>0</v>
      </c>
      <c r="F188" s="88"/>
      <c r="G188" s="88"/>
      <c r="H188" s="88"/>
      <c r="I188" s="88"/>
      <c r="J188" s="88">
        <f t="shared" si="28"/>
        <v>0</v>
      </c>
      <c r="K188" s="88"/>
      <c r="L188" s="88"/>
      <c r="M188" s="88"/>
      <c r="N188" s="88"/>
      <c r="O188" s="88"/>
      <c r="P188" s="88">
        <f t="shared" si="36"/>
        <v>0</v>
      </c>
      <c r="Q188" s="142"/>
    </row>
    <row r="189" spans="1:17" s="71" customFormat="1" ht="22.5" customHeight="1" x14ac:dyDescent="0.2">
      <c r="A189" s="69" t="s">
        <v>198</v>
      </c>
      <c r="B189" s="69" t="str">
        <f>'дод 3'!A176</f>
        <v>7640</v>
      </c>
      <c r="C189" s="69" t="str">
        <f>'дод 3'!B176</f>
        <v>0470</v>
      </c>
      <c r="D189" s="72" t="str">
        <f>'дод 3'!C176</f>
        <v>Заходи з енергозбереження</v>
      </c>
      <c r="E189" s="88">
        <f t="shared" si="35"/>
        <v>0</v>
      </c>
      <c r="F189" s="88"/>
      <c r="G189" s="88"/>
      <c r="H189" s="88"/>
      <c r="I189" s="88"/>
      <c r="J189" s="88">
        <f t="shared" si="28"/>
        <v>1006000</v>
      </c>
      <c r="K189" s="88">
        <v>1006000</v>
      </c>
      <c r="L189" s="88"/>
      <c r="M189" s="88"/>
      <c r="N189" s="88"/>
      <c r="O189" s="88">
        <v>1006000</v>
      </c>
      <c r="P189" s="88">
        <f t="shared" si="36"/>
        <v>1006000</v>
      </c>
      <c r="Q189" s="142"/>
    </row>
    <row r="190" spans="1:17" s="90" customFormat="1" ht="30" customHeight="1" x14ac:dyDescent="0.2">
      <c r="A190" s="94" t="s">
        <v>260</v>
      </c>
      <c r="B190" s="94"/>
      <c r="C190" s="94"/>
      <c r="D190" s="95" t="s">
        <v>54</v>
      </c>
      <c r="E190" s="96">
        <f>E191</f>
        <v>213004600</v>
      </c>
      <c r="F190" s="96">
        <f t="shared" ref="F190:P190" si="37">F191</f>
        <v>202967600</v>
      </c>
      <c r="G190" s="96">
        <f t="shared" si="37"/>
        <v>8745720</v>
      </c>
      <c r="H190" s="96">
        <f t="shared" si="37"/>
        <v>20428237</v>
      </c>
      <c r="I190" s="96">
        <f t="shared" si="37"/>
        <v>10037000</v>
      </c>
      <c r="J190" s="96">
        <f t="shared" si="37"/>
        <v>147968253</v>
      </c>
      <c r="K190" s="96">
        <f t="shared" si="37"/>
        <v>143852353</v>
      </c>
      <c r="L190" s="96">
        <f t="shared" si="37"/>
        <v>1995000</v>
      </c>
      <c r="M190" s="96">
        <f t="shared" si="37"/>
        <v>0</v>
      </c>
      <c r="N190" s="96">
        <f t="shared" si="37"/>
        <v>0</v>
      </c>
      <c r="O190" s="96">
        <f t="shared" si="37"/>
        <v>145973253</v>
      </c>
      <c r="P190" s="96">
        <f t="shared" si="37"/>
        <v>360972853</v>
      </c>
      <c r="Q190" s="142"/>
    </row>
    <row r="191" spans="1:17" s="91" customFormat="1" ht="32.25" customHeight="1" x14ac:dyDescent="0.2">
      <c r="A191" s="102" t="s">
        <v>261</v>
      </c>
      <c r="B191" s="102"/>
      <c r="C191" s="102"/>
      <c r="D191" s="103" t="s">
        <v>54</v>
      </c>
      <c r="E191" s="104">
        <f>E193+E194+E195+E196+E197+E198+E199+E200+E201+E202+E206+E207+E208+E212+E214+E216+E217</f>
        <v>213004600</v>
      </c>
      <c r="F191" s="104">
        <f t="shared" ref="F191:O191" si="38">F193+F194+F195+F196+F197+F198+F199+F200+F201+F202+F206+F207+F208+F212+F214+F216+F217</f>
        <v>202967600</v>
      </c>
      <c r="G191" s="104">
        <f t="shared" si="38"/>
        <v>8745720</v>
      </c>
      <c r="H191" s="104">
        <f t="shared" si="38"/>
        <v>20428237</v>
      </c>
      <c r="I191" s="104">
        <f t="shared" si="38"/>
        <v>10037000</v>
      </c>
      <c r="J191" s="104">
        <f t="shared" si="38"/>
        <v>147968253</v>
      </c>
      <c r="K191" s="104">
        <f t="shared" si="38"/>
        <v>143852353</v>
      </c>
      <c r="L191" s="104">
        <f t="shared" si="38"/>
        <v>1995000</v>
      </c>
      <c r="M191" s="104">
        <f t="shared" si="38"/>
        <v>0</v>
      </c>
      <c r="N191" s="104">
        <f t="shared" si="38"/>
        <v>0</v>
      </c>
      <c r="O191" s="104">
        <f t="shared" si="38"/>
        <v>145973253</v>
      </c>
      <c r="P191" s="104">
        <f t="shared" ref="P191" si="39">P193+P194+P195+P196+P197+P198+P199+P200+P201+P202+P203+P206+P207+P208+P209+P210+P212+P213+P214+P215+P216+P217</f>
        <v>360972853</v>
      </c>
      <c r="Q191" s="142"/>
    </row>
    <row r="192" spans="1:17" s="91" customFormat="1" ht="15.75" hidden="1" customHeight="1" x14ac:dyDescent="0.2">
      <c r="A192" s="94"/>
      <c r="B192" s="94"/>
      <c r="C192" s="94"/>
      <c r="D192" s="95" t="s">
        <v>345</v>
      </c>
      <c r="E192" s="96">
        <f>E204+E211</f>
        <v>0</v>
      </c>
      <c r="F192" s="96">
        <f t="shared" ref="F192:P192" si="40">F204+F211</f>
        <v>0</v>
      </c>
      <c r="G192" s="96">
        <f t="shared" si="40"/>
        <v>0</v>
      </c>
      <c r="H192" s="96">
        <f t="shared" si="40"/>
        <v>0</v>
      </c>
      <c r="I192" s="96">
        <f t="shared" si="40"/>
        <v>0</v>
      </c>
      <c r="J192" s="96">
        <f t="shared" si="40"/>
        <v>0</v>
      </c>
      <c r="K192" s="96">
        <f t="shared" si="40"/>
        <v>0</v>
      </c>
      <c r="L192" s="96">
        <f t="shared" si="40"/>
        <v>0</v>
      </c>
      <c r="M192" s="96">
        <f t="shared" si="40"/>
        <v>0</v>
      </c>
      <c r="N192" s="96">
        <f t="shared" si="40"/>
        <v>0</v>
      </c>
      <c r="O192" s="96">
        <f t="shared" si="40"/>
        <v>0</v>
      </c>
      <c r="P192" s="104">
        <f t="shared" si="40"/>
        <v>0</v>
      </c>
      <c r="Q192" s="142"/>
    </row>
    <row r="193" spans="1:17" s="71" customFormat="1" ht="48.75" customHeight="1" x14ac:dyDescent="0.2">
      <c r="A193" s="69" t="s">
        <v>262</v>
      </c>
      <c r="B193" s="69" t="str">
        <f>'дод 3'!A14</f>
        <v>0160</v>
      </c>
      <c r="C193" s="69" t="str">
        <f>'дод 3'!B14</f>
        <v>0111</v>
      </c>
      <c r="D193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93" s="88">
        <f t="shared" ref="E193:E217" si="41">F193+I193</f>
        <v>11201800</v>
      </c>
      <c r="F193" s="88">
        <v>11201800</v>
      </c>
      <c r="G193" s="88">
        <v>8745720</v>
      </c>
      <c r="H193" s="88">
        <v>125237</v>
      </c>
      <c r="I193" s="88"/>
      <c r="J193" s="88">
        <f t="shared" si="28"/>
        <v>100000</v>
      </c>
      <c r="K193" s="88">
        <v>100000</v>
      </c>
      <c r="L193" s="88"/>
      <c r="M193" s="88"/>
      <c r="N193" s="88"/>
      <c r="O193" s="88">
        <f>100000</f>
        <v>100000</v>
      </c>
      <c r="P193" s="88">
        <f t="shared" ref="P193:P217" si="42">E193+J193</f>
        <v>11301800</v>
      </c>
      <c r="Q193" s="142"/>
    </row>
    <row r="194" spans="1:17" s="71" customFormat="1" ht="19.5" customHeight="1" x14ac:dyDescent="0.2">
      <c r="A194" s="73" t="s">
        <v>395</v>
      </c>
      <c r="B194" s="73" t="str">
        <f>'дод 3'!A108</f>
        <v>3210</v>
      </c>
      <c r="C194" s="73" t="str">
        <f>'дод 3'!B108</f>
        <v>1050</v>
      </c>
      <c r="D194" s="70" t="str">
        <f>'дод 3'!C108</f>
        <v>Організація та проведення громадських робіт</v>
      </c>
      <c r="E194" s="88">
        <f t="shared" si="41"/>
        <v>380000</v>
      </c>
      <c r="F194" s="88">
        <f>200000+180000</f>
        <v>380000</v>
      </c>
      <c r="G194" s="88"/>
      <c r="H194" s="88"/>
      <c r="I194" s="88"/>
      <c r="J194" s="88">
        <f t="shared" si="28"/>
        <v>0</v>
      </c>
      <c r="K194" s="88"/>
      <c r="L194" s="88"/>
      <c r="M194" s="88"/>
      <c r="N194" s="88"/>
      <c r="O194" s="88"/>
      <c r="P194" s="88">
        <f t="shared" si="42"/>
        <v>380000</v>
      </c>
      <c r="Q194" s="142"/>
    </row>
    <row r="195" spans="1:17" s="71" customFormat="1" ht="38.25" customHeight="1" x14ac:dyDescent="0.2">
      <c r="A195" s="69" t="s">
        <v>263</v>
      </c>
      <c r="B195" s="69" t="str">
        <f>'дод 3'!A133</f>
        <v>6011</v>
      </c>
      <c r="C195" s="69" t="str">
        <f>'дод 3'!B133</f>
        <v>0610</v>
      </c>
      <c r="D195" s="72" t="str">
        <f>'дод 3'!C133</f>
        <v>Експлуатація та технічне обслуговування житлового фонду</v>
      </c>
      <c r="E195" s="88">
        <f t="shared" si="41"/>
        <v>0</v>
      </c>
      <c r="F195" s="88"/>
      <c r="G195" s="88"/>
      <c r="H195" s="88"/>
      <c r="I195" s="88"/>
      <c r="J195" s="88">
        <f t="shared" si="28"/>
        <v>26800000</v>
      </c>
      <c r="K195" s="88">
        <v>26800000</v>
      </c>
      <c r="L195" s="88"/>
      <c r="M195" s="88"/>
      <c r="N195" s="88"/>
      <c r="O195" s="88">
        <v>26800000</v>
      </c>
      <c r="P195" s="88">
        <f t="shared" si="42"/>
        <v>26800000</v>
      </c>
      <c r="Q195" s="142"/>
    </row>
    <row r="196" spans="1:17" s="71" customFormat="1" ht="33" customHeight="1" x14ac:dyDescent="0.2">
      <c r="A196" s="69" t="s">
        <v>264</v>
      </c>
      <c r="B196" s="69" t="str">
        <f>'дод 3'!A134</f>
        <v>6013</v>
      </c>
      <c r="C196" s="69" t="str">
        <f>'дод 3'!B134</f>
        <v>0620</v>
      </c>
      <c r="D196" s="72" t="str">
        <f>'дод 3'!C134</f>
        <v>Забезпечення діяльності водопровідно-каналізаційного господарства</v>
      </c>
      <c r="E196" s="88">
        <f t="shared" si="41"/>
        <v>8760000</v>
      </c>
      <c r="F196" s="88">
        <f>410000-300000</f>
        <v>110000</v>
      </c>
      <c r="G196" s="88"/>
      <c r="H196" s="88"/>
      <c r="I196" s="88">
        <f>4350000+2000000+2000000+300000</f>
        <v>8650000</v>
      </c>
      <c r="J196" s="88">
        <f t="shared" si="28"/>
        <v>0</v>
      </c>
      <c r="K196" s="88"/>
      <c r="L196" s="88"/>
      <c r="M196" s="88"/>
      <c r="N196" s="88"/>
      <c r="O196" s="88"/>
      <c r="P196" s="88">
        <f t="shared" si="42"/>
        <v>8760000</v>
      </c>
      <c r="Q196" s="142"/>
    </row>
    <row r="197" spans="1:17" s="71" customFormat="1" ht="37.5" customHeight="1" x14ac:dyDescent="0.2">
      <c r="A197" s="69" t="s">
        <v>336</v>
      </c>
      <c r="B197" s="69" t="str">
        <f>'дод 3'!A135</f>
        <v>6015</v>
      </c>
      <c r="C197" s="69" t="str">
        <f>'дод 3'!B135</f>
        <v>0620</v>
      </c>
      <c r="D197" s="72" t="str">
        <f>'дод 3'!C135</f>
        <v>Забезпечення надійної та безперебійної експлуатації ліфтів</v>
      </c>
      <c r="E197" s="88">
        <f t="shared" si="41"/>
        <v>520000</v>
      </c>
      <c r="F197" s="88">
        <v>520000</v>
      </c>
      <c r="G197" s="88"/>
      <c r="H197" s="88"/>
      <c r="I197" s="88"/>
      <c r="J197" s="88">
        <f t="shared" si="28"/>
        <v>19865000</v>
      </c>
      <c r="K197" s="88">
        <v>19865000</v>
      </c>
      <c r="L197" s="88"/>
      <c r="M197" s="88"/>
      <c r="N197" s="88"/>
      <c r="O197" s="88">
        <v>19865000</v>
      </c>
      <c r="P197" s="88">
        <f t="shared" si="42"/>
        <v>20385000</v>
      </c>
      <c r="Q197" s="142"/>
    </row>
    <row r="198" spans="1:17" s="71" customFormat="1" ht="38.25" customHeight="1" x14ac:dyDescent="0.2">
      <c r="A198" s="69" t="s">
        <v>506</v>
      </c>
      <c r="B198" s="69" t="str">
        <f>'дод 3'!A136</f>
        <v>6016</v>
      </c>
      <c r="C198" s="69" t="str">
        <f>'дод 3'!B136</f>
        <v>0620</v>
      </c>
      <c r="D198" s="72" t="str">
        <f>'дод 3'!C136</f>
        <v>Впровадження засобів обліку витрат та регулювання споживання води та теплової енергії</v>
      </c>
      <c r="E198" s="88">
        <f t="shared" si="41"/>
        <v>0</v>
      </c>
      <c r="F198" s="88"/>
      <c r="G198" s="88"/>
      <c r="H198" s="88"/>
      <c r="I198" s="88"/>
      <c r="J198" s="88">
        <f t="shared" si="28"/>
        <v>1108600</v>
      </c>
      <c r="K198" s="88">
        <v>1108600</v>
      </c>
      <c r="L198" s="88"/>
      <c r="M198" s="88"/>
      <c r="N198" s="88"/>
      <c r="O198" s="88">
        <v>1108600</v>
      </c>
      <c r="P198" s="88">
        <f t="shared" si="42"/>
        <v>1108600</v>
      </c>
      <c r="Q198" s="142"/>
    </row>
    <row r="199" spans="1:17" s="71" customFormat="1" ht="38.25" customHeight="1" x14ac:dyDescent="0.2">
      <c r="A199" s="69" t="s">
        <v>339</v>
      </c>
      <c r="B199" s="69" t="str">
        <f>'дод 3'!A137</f>
        <v>6017</v>
      </c>
      <c r="C199" s="69" t="str">
        <f>'дод 3'!B137</f>
        <v>0620</v>
      </c>
      <c r="D199" s="72" t="str">
        <f>'дод 3'!C137</f>
        <v xml:space="preserve">Інша діяльність, пов’язана з експлуатацією об’єктів житлово-комунального господарства </v>
      </c>
      <c r="E199" s="88">
        <f t="shared" si="41"/>
        <v>500000</v>
      </c>
      <c r="F199" s="88">
        <v>500000</v>
      </c>
      <c r="G199" s="88"/>
      <c r="H199" s="88"/>
      <c r="I199" s="88"/>
      <c r="J199" s="88">
        <f t="shared" si="28"/>
        <v>0</v>
      </c>
      <c r="K199" s="88"/>
      <c r="L199" s="88"/>
      <c r="M199" s="88"/>
      <c r="N199" s="88"/>
      <c r="O199" s="88"/>
      <c r="P199" s="88">
        <f t="shared" si="42"/>
        <v>500000</v>
      </c>
      <c r="Q199" s="142"/>
    </row>
    <row r="200" spans="1:17" s="71" customFormat="1" ht="45" x14ac:dyDescent="0.2">
      <c r="A200" s="69" t="s">
        <v>265</v>
      </c>
      <c r="B200" s="69" t="str">
        <f>'дод 3'!A138</f>
        <v>6020</v>
      </c>
      <c r="C200" s="69" t="str">
        <f>'дод 3'!B138</f>
        <v>0620</v>
      </c>
      <c r="D200" s="72" t="str">
        <f>'дод 3'!C138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0" s="88">
        <f t="shared" si="41"/>
        <v>1107000</v>
      </c>
      <c r="F200" s="88"/>
      <c r="G200" s="88"/>
      <c r="H200" s="88"/>
      <c r="I200" s="88">
        <f>350000+557000+200000</f>
        <v>1107000</v>
      </c>
      <c r="J200" s="88">
        <f t="shared" si="28"/>
        <v>0</v>
      </c>
      <c r="K200" s="88"/>
      <c r="L200" s="88"/>
      <c r="M200" s="88"/>
      <c r="N200" s="88"/>
      <c r="O200" s="88"/>
      <c r="P200" s="88">
        <f t="shared" si="42"/>
        <v>1107000</v>
      </c>
      <c r="Q200" s="142"/>
    </row>
    <row r="201" spans="1:17" s="71" customFormat="1" ht="21.75" customHeight="1" x14ac:dyDescent="0.2">
      <c r="A201" s="69" t="s">
        <v>266</v>
      </c>
      <c r="B201" s="69" t="str">
        <f>'дод 3'!A139</f>
        <v>6030</v>
      </c>
      <c r="C201" s="69" t="str">
        <f>'дод 3'!B139</f>
        <v>0620</v>
      </c>
      <c r="D201" s="72" t="str">
        <f>'дод 3'!C139</f>
        <v>Організація благоустрою населених пунктів</v>
      </c>
      <c r="E201" s="88">
        <f t="shared" si="41"/>
        <v>178717300</v>
      </c>
      <c r="F201" s="88">
        <f>69545300-1000000+4500000+109000000+500000-300000-3528000</f>
        <v>178717300</v>
      </c>
      <c r="G201" s="88"/>
      <c r="H201" s="88">
        <v>20263000</v>
      </c>
      <c r="I201" s="88"/>
      <c r="J201" s="88">
        <f t="shared" si="28"/>
        <v>35813000</v>
      </c>
      <c r="K201" s="88">
        <f>35285000+1000000-4500000+200000+300000+3528000</f>
        <v>35813000</v>
      </c>
      <c r="L201" s="88"/>
      <c r="M201" s="88"/>
      <c r="N201" s="88"/>
      <c r="O201" s="88">
        <f>35285000+1000000-4500000+200000+300000+3528000</f>
        <v>35813000</v>
      </c>
      <c r="P201" s="88">
        <f t="shared" si="42"/>
        <v>214530300</v>
      </c>
      <c r="Q201" s="142"/>
    </row>
    <row r="202" spans="1:17" s="71" customFormat="1" ht="31.5" customHeight="1" x14ac:dyDescent="0.2">
      <c r="A202" s="69" t="s">
        <v>327</v>
      </c>
      <c r="B202" s="69" t="str">
        <f>'дод 3'!A146</f>
        <v>6090</v>
      </c>
      <c r="C202" s="69" t="str">
        <f>'дод 3'!B146</f>
        <v>0640</v>
      </c>
      <c r="D202" s="72" t="str">
        <f>'дод 3'!C146</f>
        <v>Інша діяльність у сфері житлово-комунального господарства</v>
      </c>
      <c r="E202" s="88">
        <f t="shared" si="41"/>
        <v>10318500</v>
      </c>
      <c r="F202" s="88">
        <f>546348+9772152</f>
        <v>10318500</v>
      </c>
      <c r="G202" s="88"/>
      <c r="H202" s="88">
        <v>40000</v>
      </c>
      <c r="I202" s="88"/>
      <c r="J202" s="88">
        <f t="shared" si="28"/>
        <v>17350000</v>
      </c>
      <c r="K202" s="88">
        <f>7350000+10000000</f>
        <v>17350000</v>
      </c>
      <c r="L202" s="88"/>
      <c r="M202" s="88"/>
      <c r="N202" s="88"/>
      <c r="O202" s="88">
        <f>7350000+10000000</f>
        <v>17350000</v>
      </c>
      <c r="P202" s="88">
        <f t="shared" si="42"/>
        <v>27668500</v>
      </c>
      <c r="Q202" s="142"/>
    </row>
    <row r="203" spans="1:17" s="71" customFormat="1" ht="169.5" hidden="1" customHeight="1" x14ac:dyDescent="0.2">
      <c r="A203" s="69" t="s">
        <v>527</v>
      </c>
      <c r="B203" s="69" t="str">
        <f>'дод 3'!A140</f>
        <v>6072</v>
      </c>
      <c r="C203" s="69" t="str">
        <f>'дод 3'!B140</f>
        <v>0640</v>
      </c>
      <c r="D203" s="70" t="s">
        <v>526</v>
      </c>
      <c r="E203" s="88">
        <f t="shared" si="41"/>
        <v>0</v>
      </c>
      <c r="F203" s="88"/>
      <c r="G203" s="88"/>
      <c r="H203" s="88"/>
      <c r="I203" s="88"/>
      <c r="J203" s="88">
        <f t="shared" si="28"/>
        <v>0</v>
      </c>
      <c r="K203" s="88"/>
      <c r="L203" s="88"/>
      <c r="M203" s="88"/>
      <c r="N203" s="88"/>
      <c r="O203" s="88"/>
      <c r="P203" s="88">
        <f t="shared" si="42"/>
        <v>0</v>
      </c>
      <c r="Q203" s="142"/>
    </row>
    <row r="204" spans="1:17" s="71" customFormat="1" ht="18" hidden="1" customHeight="1" x14ac:dyDescent="0.2">
      <c r="A204" s="69"/>
      <c r="B204" s="69"/>
      <c r="C204" s="69"/>
      <c r="D204" s="72" t="s">
        <v>345</v>
      </c>
      <c r="E204" s="88">
        <f t="shared" si="41"/>
        <v>0</v>
      </c>
      <c r="F204" s="88"/>
      <c r="G204" s="88"/>
      <c r="H204" s="88"/>
      <c r="I204" s="88"/>
      <c r="J204" s="88">
        <f t="shared" si="28"/>
        <v>0</v>
      </c>
      <c r="K204" s="88"/>
      <c r="L204" s="88"/>
      <c r="M204" s="88"/>
      <c r="N204" s="88"/>
      <c r="O204" s="88"/>
      <c r="P204" s="88">
        <f t="shared" si="42"/>
        <v>0</v>
      </c>
      <c r="Q204" s="142"/>
    </row>
    <row r="205" spans="1:17" s="71" customFormat="1" ht="31.5" hidden="1" customHeight="1" x14ac:dyDescent="0.2">
      <c r="A205" s="69" t="s">
        <v>520</v>
      </c>
      <c r="B205" s="69" t="str">
        <f>'дод 3'!A149</f>
        <v>7130</v>
      </c>
      <c r="C205" s="69" t="str">
        <f>'дод 3'!B149</f>
        <v>0421</v>
      </c>
      <c r="D205" s="72" t="str">
        <f>'дод 3'!C149</f>
        <v>Здійснення  заходів із землеустрою</v>
      </c>
      <c r="E205" s="88">
        <f t="shared" si="41"/>
        <v>0</v>
      </c>
      <c r="F205" s="88"/>
      <c r="G205" s="88"/>
      <c r="H205" s="88"/>
      <c r="I205" s="88">
        <f>490670-490670</f>
        <v>0</v>
      </c>
      <c r="J205" s="88">
        <f t="shared" si="28"/>
        <v>0</v>
      </c>
      <c r="K205" s="88"/>
      <c r="L205" s="88"/>
      <c r="M205" s="88"/>
      <c r="N205" s="88"/>
      <c r="O205" s="88"/>
      <c r="P205" s="88">
        <f t="shared" si="42"/>
        <v>0</v>
      </c>
      <c r="Q205" s="142"/>
    </row>
    <row r="206" spans="1:17" s="71" customFormat="1" ht="25.5" customHeight="1" x14ac:dyDescent="0.2">
      <c r="A206" s="69" t="s">
        <v>353</v>
      </c>
      <c r="B206" s="69" t="str">
        <f>'дод 3'!A152</f>
        <v>7310</v>
      </c>
      <c r="C206" s="69" t="str">
        <f>'дод 3'!B152</f>
        <v>0443</v>
      </c>
      <c r="D206" s="72" t="str">
        <f>'дод 3'!C152</f>
        <v>Будівництво об'єктів житлово-комунального господарства</v>
      </c>
      <c r="E206" s="88">
        <f t="shared" si="41"/>
        <v>0</v>
      </c>
      <c r="F206" s="88"/>
      <c r="G206" s="88"/>
      <c r="H206" s="88"/>
      <c r="I206" s="88"/>
      <c r="J206" s="88">
        <f t="shared" si="28"/>
        <v>26950000</v>
      </c>
      <c r="K206" s="88">
        <f>15050000+11900000</f>
        <v>26950000</v>
      </c>
      <c r="L206" s="88"/>
      <c r="M206" s="88"/>
      <c r="N206" s="88"/>
      <c r="O206" s="88">
        <f>15050000+11900000</f>
        <v>26950000</v>
      </c>
      <c r="P206" s="88">
        <f t="shared" si="42"/>
        <v>26950000</v>
      </c>
      <c r="Q206" s="142"/>
    </row>
    <row r="207" spans="1:17" s="71" customFormat="1" ht="32.25" customHeight="1" x14ac:dyDescent="0.2">
      <c r="A207" s="69" t="s">
        <v>355</v>
      </c>
      <c r="B207" s="69" t="str">
        <f>'дод 3'!A156</f>
        <v>7330</v>
      </c>
      <c r="C207" s="69" t="str">
        <f>'дод 3'!B156</f>
        <v>0443</v>
      </c>
      <c r="D207" s="72" t="str">
        <f>'дод 3'!C156</f>
        <v>Будівництво інших об'єктів комунальної власності</v>
      </c>
      <c r="E207" s="88">
        <f t="shared" si="41"/>
        <v>0</v>
      </c>
      <c r="F207" s="88"/>
      <c r="G207" s="88"/>
      <c r="H207" s="88"/>
      <c r="I207" s="88"/>
      <c r="J207" s="88">
        <f t="shared" si="28"/>
        <v>5765753</v>
      </c>
      <c r="K207" s="88">
        <v>5765753</v>
      </c>
      <c r="L207" s="88"/>
      <c r="M207" s="88"/>
      <c r="N207" s="88"/>
      <c r="O207" s="88">
        <v>5765753</v>
      </c>
      <c r="P207" s="88">
        <f t="shared" si="42"/>
        <v>5765753</v>
      </c>
      <c r="Q207" s="142"/>
    </row>
    <row r="208" spans="1:17" s="71" customFormat="1" ht="36.75" customHeight="1" x14ac:dyDescent="0.2">
      <c r="A208" s="69" t="s">
        <v>267</v>
      </c>
      <c r="B208" s="69" t="str">
        <f>'дод 3'!A157</f>
        <v>7340</v>
      </c>
      <c r="C208" s="69" t="str">
        <f>'дод 3'!B157</f>
        <v>0443</v>
      </c>
      <c r="D208" s="72" t="str">
        <f>'дод 3'!C157</f>
        <v>Проектування, реставрація та охорона пам'яток архітектури</v>
      </c>
      <c r="E208" s="88">
        <f t="shared" si="41"/>
        <v>0</v>
      </c>
      <c r="F208" s="88"/>
      <c r="G208" s="88"/>
      <c r="H208" s="88"/>
      <c r="I208" s="88"/>
      <c r="J208" s="88">
        <f t="shared" si="28"/>
        <v>3100000</v>
      </c>
      <c r="K208" s="88">
        <f>3100000+3700000-3700000</f>
        <v>3100000</v>
      </c>
      <c r="L208" s="88"/>
      <c r="M208" s="88"/>
      <c r="N208" s="88"/>
      <c r="O208" s="88">
        <f>3100000+3700000-3700000</f>
        <v>3100000</v>
      </c>
      <c r="P208" s="88">
        <f t="shared" si="42"/>
        <v>3100000</v>
      </c>
      <c r="Q208" s="142"/>
    </row>
    <row r="209" spans="1:17" s="71" customFormat="1" ht="55.5" hidden="1" customHeight="1" x14ac:dyDescent="0.2">
      <c r="A209" s="69" t="s">
        <v>514</v>
      </c>
      <c r="B209" s="69" t="str">
        <f>'дод 3'!A159</f>
        <v>7361</v>
      </c>
      <c r="C209" s="69" t="str">
        <f>'дод 3'!B159</f>
        <v>0490</v>
      </c>
      <c r="D209" s="72" t="str">
        <f>'дод 3'!C159</f>
        <v>Співфінансування інвестиційних проектів, що реалізуються за рахунок коштів державного фонду регіонального розвитку</v>
      </c>
      <c r="E209" s="88">
        <f t="shared" si="41"/>
        <v>0</v>
      </c>
      <c r="F209" s="88"/>
      <c r="G209" s="88"/>
      <c r="H209" s="88"/>
      <c r="I209" s="88"/>
      <c r="J209" s="88">
        <f t="shared" si="28"/>
        <v>0</v>
      </c>
      <c r="K209" s="88"/>
      <c r="L209" s="88"/>
      <c r="M209" s="88"/>
      <c r="N209" s="88"/>
      <c r="O209" s="88"/>
      <c r="P209" s="88">
        <f t="shared" si="42"/>
        <v>0</v>
      </c>
      <c r="Q209" s="142"/>
    </row>
    <row r="210" spans="1:17" s="71" customFormat="1" ht="55.5" hidden="1" customHeight="1" x14ac:dyDescent="0.2">
      <c r="A210" s="69" t="s">
        <v>507</v>
      </c>
      <c r="B210" s="69" t="str">
        <f>'дод 3'!A160</f>
        <v>7363</v>
      </c>
      <c r="C210" s="69" t="str">
        <f>'дод 3'!B160</f>
        <v>0490</v>
      </c>
      <c r="D210" s="72" t="str">
        <f>'дод 3'!C160</f>
        <v>Виконання інвестиційних проектів в рамках здійснення заходів щодо соціально-економічного розвитку окремих територій</v>
      </c>
      <c r="E210" s="88">
        <f t="shared" si="41"/>
        <v>0</v>
      </c>
      <c r="F210" s="88"/>
      <c r="G210" s="88"/>
      <c r="H210" s="88"/>
      <c r="I210" s="88"/>
      <c r="J210" s="88">
        <f t="shared" si="28"/>
        <v>0</v>
      </c>
      <c r="K210" s="88"/>
      <c r="L210" s="88"/>
      <c r="M210" s="88"/>
      <c r="N210" s="88"/>
      <c r="O210" s="88"/>
      <c r="P210" s="88">
        <f t="shared" si="42"/>
        <v>0</v>
      </c>
      <c r="Q210" s="142"/>
    </row>
    <row r="211" spans="1:17" s="71" customFormat="1" ht="18.75" hidden="1" customHeight="1" x14ac:dyDescent="0.2">
      <c r="A211" s="69"/>
      <c r="B211" s="69"/>
      <c r="C211" s="69"/>
      <c r="D211" s="70" t="s">
        <v>345</v>
      </c>
      <c r="E211" s="88">
        <f t="shared" si="41"/>
        <v>0</v>
      </c>
      <c r="F211" s="88"/>
      <c r="G211" s="88"/>
      <c r="H211" s="88"/>
      <c r="I211" s="88"/>
      <c r="J211" s="88">
        <f t="shared" si="28"/>
        <v>0</v>
      </c>
      <c r="K211" s="88"/>
      <c r="L211" s="88"/>
      <c r="M211" s="88"/>
      <c r="N211" s="88"/>
      <c r="O211" s="88"/>
      <c r="P211" s="88">
        <f t="shared" si="42"/>
        <v>0</v>
      </c>
      <c r="Q211" s="142"/>
    </row>
    <row r="212" spans="1:17" s="71" customFormat="1" ht="24" customHeight="1" x14ac:dyDescent="0.2">
      <c r="A212" s="69" t="s">
        <v>268</v>
      </c>
      <c r="B212" s="69" t="str">
        <f>'дод 3'!A176</f>
        <v>7640</v>
      </c>
      <c r="C212" s="69" t="str">
        <f>'дод 3'!B176</f>
        <v>0470</v>
      </c>
      <c r="D212" s="72" t="str">
        <f>'дод 3'!C176</f>
        <v>Заходи з енергозбереження</v>
      </c>
      <c r="E212" s="88">
        <f t="shared" si="41"/>
        <v>1500000</v>
      </c>
      <c r="F212" s="88">
        <v>1220000</v>
      </c>
      <c r="G212" s="88"/>
      <c r="H212" s="88"/>
      <c r="I212" s="88">
        <v>280000</v>
      </c>
      <c r="J212" s="88">
        <f t="shared" si="28"/>
        <v>0</v>
      </c>
      <c r="K212" s="88"/>
      <c r="L212" s="88"/>
      <c r="M212" s="88"/>
      <c r="N212" s="88"/>
      <c r="O212" s="88"/>
      <c r="P212" s="88">
        <f t="shared" si="42"/>
        <v>1500000</v>
      </c>
      <c r="Q212" s="142"/>
    </row>
    <row r="213" spans="1:17" s="71" customFormat="1" ht="24" hidden="1" customHeight="1" x14ac:dyDescent="0.2">
      <c r="A213" s="69" t="s">
        <v>566</v>
      </c>
      <c r="B213" s="69" t="str">
        <f>'дод 3'!A179</f>
        <v>7670</v>
      </c>
      <c r="C213" s="69" t="str">
        <f>'дод 3'!B179</f>
        <v>0490</v>
      </c>
      <c r="D213" s="81" t="str">
        <f>'дод 3'!C179</f>
        <v>Внески до статутного капіталу суб’єктів господарювання</v>
      </c>
      <c r="E213" s="88">
        <f t="shared" si="41"/>
        <v>0</v>
      </c>
      <c r="F213" s="88"/>
      <c r="G213" s="88"/>
      <c r="H213" s="88"/>
      <c r="I213" s="88"/>
      <c r="J213" s="88">
        <f t="shared" si="28"/>
        <v>0</v>
      </c>
      <c r="K213" s="88"/>
      <c r="L213" s="88"/>
      <c r="M213" s="88"/>
      <c r="N213" s="88"/>
      <c r="O213" s="88"/>
      <c r="P213" s="88">
        <f t="shared" si="42"/>
        <v>0</v>
      </c>
      <c r="Q213" s="142"/>
    </row>
    <row r="214" spans="1:17" s="71" customFormat="1" ht="102" customHeight="1" x14ac:dyDescent="0.2">
      <c r="A214" s="73" t="s">
        <v>393</v>
      </c>
      <c r="B214" s="73">
        <v>7691</v>
      </c>
      <c r="C214" s="73" t="s">
        <v>113</v>
      </c>
      <c r="D214" s="70" t="s">
        <v>416</v>
      </c>
      <c r="E214" s="88">
        <f t="shared" si="41"/>
        <v>0</v>
      </c>
      <c r="F214" s="88"/>
      <c r="G214" s="88"/>
      <c r="H214" s="88"/>
      <c r="I214" s="88"/>
      <c r="J214" s="88">
        <f t="shared" si="28"/>
        <v>220000</v>
      </c>
      <c r="K214" s="88"/>
      <c r="L214" s="88">
        <f>65000+20000</f>
        <v>85000</v>
      </c>
      <c r="M214" s="88"/>
      <c r="N214" s="88"/>
      <c r="O214" s="88">
        <f>20000+115000</f>
        <v>135000</v>
      </c>
      <c r="P214" s="88">
        <f t="shared" si="42"/>
        <v>220000</v>
      </c>
      <c r="Q214" s="142"/>
    </row>
    <row r="215" spans="1:17" s="71" customFormat="1" ht="21.75" hidden="1" customHeight="1" x14ac:dyDescent="0.2">
      <c r="A215" s="69" t="s">
        <v>269</v>
      </c>
      <c r="B215" s="69" t="str">
        <f>'дод 3'!A192</f>
        <v>8320</v>
      </c>
      <c r="C215" s="69" t="str">
        <f>'дод 3'!B192</f>
        <v>0520</v>
      </c>
      <c r="D215" s="72" t="str">
        <f>'дод 3'!C192</f>
        <v>Збереження природно-заповідного фонду</v>
      </c>
      <c r="E215" s="88">
        <f t="shared" si="41"/>
        <v>0</v>
      </c>
      <c r="F215" s="88"/>
      <c r="G215" s="88"/>
      <c r="H215" s="88"/>
      <c r="I215" s="88"/>
      <c r="J215" s="88">
        <f t="shared" si="28"/>
        <v>0</v>
      </c>
      <c r="K215" s="88"/>
      <c r="L215" s="88"/>
      <c r="M215" s="88"/>
      <c r="N215" s="88"/>
      <c r="O215" s="88"/>
      <c r="P215" s="88">
        <f t="shared" si="42"/>
        <v>0</v>
      </c>
      <c r="Q215" s="142"/>
    </row>
    <row r="216" spans="1:17" s="71" customFormat="1" ht="27.75" customHeight="1" x14ac:dyDescent="0.2">
      <c r="A216" s="69" t="s">
        <v>270</v>
      </c>
      <c r="B216" s="69" t="str">
        <f>'дод 3'!A193</f>
        <v>8340</v>
      </c>
      <c r="C216" s="69" t="str">
        <f>'дод 3'!B193</f>
        <v>0540</v>
      </c>
      <c r="D216" s="72" t="str">
        <f>'дод 3'!C193</f>
        <v>Природоохоронні заходи за рахунок цільових фондів</v>
      </c>
      <c r="E216" s="88">
        <f t="shared" si="41"/>
        <v>0</v>
      </c>
      <c r="F216" s="88"/>
      <c r="G216" s="88"/>
      <c r="H216" s="88"/>
      <c r="I216" s="88"/>
      <c r="J216" s="88">
        <f t="shared" si="28"/>
        <v>3895900</v>
      </c>
      <c r="K216" s="88"/>
      <c r="L216" s="88">
        <v>1910000</v>
      </c>
      <c r="M216" s="88"/>
      <c r="N216" s="88"/>
      <c r="O216" s="88">
        <v>1985900</v>
      </c>
      <c r="P216" s="88">
        <f t="shared" si="42"/>
        <v>3895900</v>
      </c>
      <c r="Q216" s="142"/>
    </row>
    <row r="217" spans="1:17" s="71" customFormat="1" ht="24.75" customHeight="1" x14ac:dyDescent="0.2">
      <c r="A217" s="69" t="s">
        <v>271</v>
      </c>
      <c r="B217" s="69" t="str">
        <f>'дод 3'!A207</f>
        <v>9770</v>
      </c>
      <c r="C217" s="69" t="str">
        <f>'дод 3'!B207</f>
        <v>0180</v>
      </c>
      <c r="D217" s="72" t="str">
        <f>'дод 3'!C207</f>
        <v xml:space="preserve">Інші субвенції з місцевого бюджету </v>
      </c>
      <c r="E217" s="88">
        <f t="shared" si="41"/>
        <v>0</v>
      </c>
      <c r="F217" s="88"/>
      <c r="G217" s="88"/>
      <c r="H217" s="88"/>
      <c r="I217" s="88"/>
      <c r="J217" s="88">
        <f t="shared" si="28"/>
        <v>7000000</v>
      </c>
      <c r="K217" s="88">
        <v>7000000</v>
      </c>
      <c r="L217" s="88"/>
      <c r="M217" s="88"/>
      <c r="N217" s="88"/>
      <c r="O217" s="88">
        <f>7000000</f>
        <v>7000000</v>
      </c>
      <c r="P217" s="88">
        <f t="shared" si="42"/>
        <v>7000000</v>
      </c>
      <c r="Q217" s="142"/>
    </row>
    <row r="218" spans="1:17" s="90" customFormat="1" ht="28.5" customHeight="1" x14ac:dyDescent="0.2">
      <c r="A218" s="94" t="s">
        <v>45</v>
      </c>
      <c r="B218" s="94"/>
      <c r="C218" s="94"/>
      <c r="D218" s="95" t="s">
        <v>57</v>
      </c>
      <c r="E218" s="96">
        <f>E219</f>
        <v>5556200</v>
      </c>
      <c r="F218" s="96">
        <f t="shared" ref="F218:P219" si="43">F219</f>
        <v>5556200</v>
      </c>
      <c r="G218" s="96">
        <f t="shared" si="43"/>
        <v>4335700</v>
      </c>
      <c r="H218" s="96">
        <f t="shared" si="43"/>
        <v>103690</v>
      </c>
      <c r="I218" s="96">
        <f t="shared" si="43"/>
        <v>0</v>
      </c>
      <c r="J218" s="96">
        <f t="shared" si="43"/>
        <v>100000</v>
      </c>
      <c r="K218" s="96">
        <f t="shared" si="43"/>
        <v>100000</v>
      </c>
      <c r="L218" s="96">
        <f t="shared" si="43"/>
        <v>0</v>
      </c>
      <c r="M218" s="96">
        <f t="shared" si="43"/>
        <v>0</v>
      </c>
      <c r="N218" s="96">
        <f t="shared" si="43"/>
        <v>0</v>
      </c>
      <c r="O218" s="96">
        <f t="shared" si="43"/>
        <v>100000</v>
      </c>
      <c r="P218" s="96">
        <f t="shared" si="43"/>
        <v>5656200</v>
      </c>
      <c r="Q218" s="142"/>
    </row>
    <row r="219" spans="1:17" s="91" customFormat="1" ht="33" customHeight="1" x14ac:dyDescent="0.2">
      <c r="A219" s="102" t="s">
        <v>152</v>
      </c>
      <c r="B219" s="102"/>
      <c r="C219" s="102"/>
      <c r="D219" s="103" t="s">
        <v>57</v>
      </c>
      <c r="E219" s="104">
        <f>E220</f>
        <v>5556200</v>
      </c>
      <c r="F219" s="104">
        <f t="shared" si="43"/>
        <v>5556200</v>
      </c>
      <c r="G219" s="104">
        <f t="shared" si="43"/>
        <v>4335700</v>
      </c>
      <c r="H219" s="104">
        <f t="shared" si="43"/>
        <v>103690</v>
      </c>
      <c r="I219" s="104">
        <f t="shared" si="43"/>
        <v>0</v>
      </c>
      <c r="J219" s="104">
        <f t="shared" si="43"/>
        <v>100000</v>
      </c>
      <c r="K219" s="104">
        <f t="shared" si="43"/>
        <v>100000</v>
      </c>
      <c r="L219" s="104">
        <f t="shared" si="43"/>
        <v>0</v>
      </c>
      <c r="M219" s="104">
        <f t="shared" si="43"/>
        <v>0</v>
      </c>
      <c r="N219" s="104">
        <f t="shared" si="43"/>
        <v>0</v>
      </c>
      <c r="O219" s="104">
        <f t="shared" si="43"/>
        <v>100000</v>
      </c>
      <c r="P219" s="104">
        <f t="shared" si="43"/>
        <v>5656200</v>
      </c>
      <c r="Q219" s="142"/>
    </row>
    <row r="220" spans="1:17" s="71" customFormat="1" ht="35.25" customHeight="1" x14ac:dyDescent="0.2">
      <c r="A220" s="69" t="s">
        <v>0</v>
      </c>
      <c r="B220" s="69" t="str">
        <f>'дод 3'!A14</f>
        <v>0160</v>
      </c>
      <c r="C220" s="69" t="str">
        <f>'дод 3'!B14</f>
        <v>0111</v>
      </c>
      <c r="D220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20" s="88">
        <f>F220+I220</f>
        <v>5556200</v>
      </c>
      <c r="F220" s="88">
        <v>5556200</v>
      </c>
      <c r="G220" s="88">
        <v>4335700</v>
      </c>
      <c r="H220" s="88">
        <v>103690</v>
      </c>
      <c r="I220" s="88"/>
      <c r="J220" s="88">
        <f t="shared" ref="J220:J272" si="44">L220+O220</f>
        <v>100000</v>
      </c>
      <c r="K220" s="88">
        <v>100000</v>
      </c>
      <c r="L220" s="88"/>
      <c r="M220" s="88"/>
      <c r="N220" s="88"/>
      <c r="O220" s="88">
        <f>100000</f>
        <v>100000</v>
      </c>
      <c r="P220" s="88">
        <f>E220+J220</f>
        <v>5656200</v>
      </c>
      <c r="Q220" s="142"/>
    </row>
    <row r="221" spans="1:17" s="71" customFormat="1" ht="37.5" hidden="1" customHeight="1" x14ac:dyDescent="0.2">
      <c r="A221" s="69" t="s">
        <v>335</v>
      </c>
      <c r="B221" s="69" t="str">
        <f>'дод 3'!A146</f>
        <v>6090</v>
      </c>
      <c r="C221" s="69" t="str">
        <f>'дод 3'!B146</f>
        <v>0640</v>
      </c>
      <c r="D221" s="72" t="str">
        <f>'дод 3'!C146</f>
        <v>Інша діяльність у сфері житлово-комунального господарства</v>
      </c>
      <c r="E221" s="88">
        <f>F221+I221</f>
        <v>0</v>
      </c>
      <c r="F221" s="88">
        <f>540000-140000-50000-93888-256112</f>
        <v>0</v>
      </c>
      <c r="G221" s="88"/>
      <c r="H221" s="88"/>
      <c r="I221" s="88"/>
      <c r="J221" s="88">
        <f t="shared" si="44"/>
        <v>0</v>
      </c>
      <c r="K221" s="88"/>
      <c r="L221" s="88"/>
      <c r="M221" s="88"/>
      <c r="N221" s="88"/>
      <c r="O221" s="88"/>
      <c r="P221" s="88">
        <f>E221+J221</f>
        <v>0</v>
      </c>
      <c r="Q221" s="142"/>
    </row>
    <row r="222" spans="1:17" s="90" customFormat="1" ht="31.5" customHeight="1" x14ac:dyDescent="0.2">
      <c r="A222" s="94" t="s">
        <v>47</v>
      </c>
      <c r="B222" s="94"/>
      <c r="C222" s="94"/>
      <c r="D222" s="95" t="s">
        <v>56</v>
      </c>
      <c r="E222" s="96">
        <f>E223</f>
        <v>604906</v>
      </c>
      <c r="F222" s="96">
        <f t="shared" ref="F222:P222" si="45">F223</f>
        <v>604906</v>
      </c>
      <c r="G222" s="96">
        <f t="shared" si="45"/>
        <v>0</v>
      </c>
      <c r="H222" s="96">
        <f t="shared" si="45"/>
        <v>0</v>
      </c>
      <c r="I222" s="96">
        <f t="shared" si="45"/>
        <v>0</v>
      </c>
      <c r="J222" s="96">
        <f t="shared" si="45"/>
        <v>256479306</v>
      </c>
      <c r="K222" s="96">
        <f t="shared" si="45"/>
        <v>222493727</v>
      </c>
      <c r="L222" s="96">
        <f t="shared" si="45"/>
        <v>3042126</v>
      </c>
      <c r="M222" s="96">
        <f t="shared" si="45"/>
        <v>2217000</v>
      </c>
      <c r="N222" s="96">
        <f t="shared" si="45"/>
        <v>90900</v>
      </c>
      <c r="O222" s="96">
        <f t="shared" si="45"/>
        <v>253437180</v>
      </c>
      <c r="P222" s="96">
        <f t="shared" si="45"/>
        <v>257084212</v>
      </c>
      <c r="Q222" s="142"/>
    </row>
    <row r="223" spans="1:17" s="91" customFormat="1" ht="38.25" customHeight="1" x14ac:dyDescent="0.2">
      <c r="A223" s="102" t="s">
        <v>48</v>
      </c>
      <c r="B223" s="102"/>
      <c r="C223" s="102"/>
      <c r="D223" s="103" t="s">
        <v>56</v>
      </c>
      <c r="E223" s="104">
        <f>E225+E226+E227+E228+E229+E230+E231+E232+E233+E234+E235+E236+E237++E239+E240+E242+E243</f>
        <v>604906</v>
      </c>
      <c r="F223" s="104">
        <f t="shared" ref="F223:P223" si="46">F225+F226+F227+F228+F229+F230+F231+F232+F233+F234+F235+F236+F237++F239+F240+F242+F243</f>
        <v>604906</v>
      </c>
      <c r="G223" s="104">
        <f t="shared" si="46"/>
        <v>0</v>
      </c>
      <c r="H223" s="104">
        <f t="shared" si="46"/>
        <v>0</v>
      </c>
      <c r="I223" s="104">
        <f t="shared" si="46"/>
        <v>0</v>
      </c>
      <c r="J223" s="104">
        <f t="shared" si="46"/>
        <v>256479306</v>
      </c>
      <c r="K223" s="104">
        <f t="shared" si="46"/>
        <v>222493727</v>
      </c>
      <c r="L223" s="104">
        <f t="shared" si="46"/>
        <v>3042126</v>
      </c>
      <c r="M223" s="104">
        <f t="shared" si="46"/>
        <v>2217000</v>
      </c>
      <c r="N223" s="104">
        <f t="shared" si="46"/>
        <v>90900</v>
      </c>
      <c r="O223" s="104">
        <f t="shared" si="46"/>
        <v>253437180</v>
      </c>
      <c r="P223" s="104">
        <f t="shared" si="46"/>
        <v>257084212</v>
      </c>
      <c r="Q223" s="142"/>
    </row>
    <row r="224" spans="1:17" s="91" customFormat="1" ht="16.5" hidden="1" customHeight="1" x14ac:dyDescent="0.2">
      <c r="A224" s="94"/>
      <c r="B224" s="94"/>
      <c r="C224" s="94"/>
      <c r="D224" s="95" t="s">
        <v>345</v>
      </c>
      <c r="E224" s="96">
        <f>E238+E241</f>
        <v>0</v>
      </c>
      <c r="F224" s="96">
        <f t="shared" ref="F224:P224" si="47">F238+F241</f>
        <v>0</v>
      </c>
      <c r="G224" s="96">
        <f t="shared" si="47"/>
        <v>0</v>
      </c>
      <c r="H224" s="96">
        <f t="shared" si="47"/>
        <v>0</v>
      </c>
      <c r="I224" s="96">
        <f t="shared" si="47"/>
        <v>0</v>
      </c>
      <c r="J224" s="96">
        <f t="shared" si="47"/>
        <v>0</v>
      </c>
      <c r="K224" s="96">
        <f t="shared" si="47"/>
        <v>0</v>
      </c>
      <c r="L224" s="96">
        <f t="shared" si="47"/>
        <v>0</v>
      </c>
      <c r="M224" s="96">
        <f t="shared" si="47"/>
        <v>0</v>
      </c>
      <c r="N224" s="96">
        <f t="shared" si="47"/>
        <v>0</v>
      </c>
      <c r="O224" s="96">
        <f t="shared" si="47"/>
        <v>0</v>
      </c>
      <c r="P224" s="104">
        <f t="shared" si="47"/>
        <v>0</v>
      </c>
      <c r="Q224" s="142"/>
    </row>
    <row r="225" spans="1:17" s="71" customFormat="1" ht="54.75" customHeight="1" x14ac:dyDescent="0.2">
      <c r="A225" s="69" t="s">
        <v>188</v>
      </c>
      <c r="B225" s="69" t="str">
        <f>'дод 3'!A14</f>
        <v>0160</v>
      </c>
      <c r="C225" s="69" t="str">
        <f>'дод 3'!B14</f>
        <v>0111</v>
      </c>
      <c r="D225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25" s="88">
        <f t="shared" ref="E225:E243" si="48">F225+I225</f>
        <v>0</v>
      </c>
      <c r="F225" s="88"/>
      <c r="G225" s="88"/>
      <c r="H225" s="88"/>
      <c r="I225" s="88"/>
      <c r="J225" s="88">
        <f t="shared" si="44"/>
        <v>3000000</v>
      </c>
      <c r="K225" s="88"/>
      <c r="L225" s="88">
        <v>3000000</v>
      </c>
      <c r="M225" s="88">
        <v>2217000</v>
      </c>
      <c r="N225" s="88">
        <v>90900</v>
      </c>
      <c r="O225" s="88"/>
      <c r="P225" s="88">
        <f t="shared" ref="P225:P243" si="49">E225+J225</f>
        <v>3000000</v>
      </c>
      <c r="Q225" s="142"/>
    </row>
    <row r="226" spans="1:17" s="71" customFormat="1" ht="22.5" customHeight="1" x14ac:dyDescent="0.2">
      <c r="A226" s="69" t="s">
        <v>272</v>
      </c>
      <c r="B226" s="69" t="str">
        <f>'дод 3'!A139</f>
        <v>6030</v>
      </c>
      <c r="C226" s="69" t="str">
        <f>'дод 3'!B139</f>
        <v>0620</v>
      </c>
      <c r="D226" s="72" t="str">
        <f>'дод 3'!C139</f>
        <v>Організація благоустрою населених пунктів</v>
      </c>
      <c r="E226" s="88">
        <f t="shared" si="48"/>
        <v>0</v>
      </c>
      <c r="F226" s="88">
        <f>106000000+3000000-109000000</f>
        <v>0</v>
      </c>
      <c r="G226" s="88"/>
      <c r="H226" s="88"/>
      <c r="I226" s="88"/>
      <c r="J226" s="88">
        <f t="shared" si="44"/>
        <v>80040000</v>
      </c>
      <c r="K226" s="88">
        <f>80000000+40000</f>
        <v>80040000</v>
      </c>
      <c r="L226" s="88"/>
      <c r="M226" s="88"/>
      <c r="N226" s="88"/>
      <c r="O226" s="88">
        <f>80000000+40000</f>
        <v>80040000</v>
      </c>
      <c r="P226" s="88">
        <f t="shared" si="49"/>
        <v>80040000</v>
      </c>
      <c r="Q226" s="142"/>
    </row>
    <row r="227" spans="1:17" s="71" customFormat="1" ht="33" hidden="1" customHeight="1" x14ac:dyDescent="0.2">
      <c r="A227" s="69" t="s">
        <v>519</v>
      </c>
      <c r="B227" s="69" t="str">
        <f>'дод 3'!A142</f>
        <v>6082</v>
      </c>
      <c r="C227" s="69" t="str">
        <f>'дод 3'!B142</f>
        <v>0610</v>
      </c>
      <c r="D227" s="72" t="str">
        <f>'дод 3'!C142</f>
        <v>Придбання житла для окремих категорій населення відповідно до законодавства</v>
      </c>
      <c r="E227" s="88">
        <f t="shared" si="48"/>
        <v>0</v>
      </c>
      <c r="F227" s="88"/>
      <c r="G227" s="88"/>
      <c r="H227" s="88"/>
      <c r="I227" s="88"/>
      <c r="J227" s="88">
        <f t="shared" si="44"/>
        <v>0</v>
      </c>
      <c r="K227" s="88"/>
      <c r="L227" s="88"/>
      <c r="M227" s="88"/>
      <c r="N227" s="88"/>
      <c r="O227" s="88"/>
      <c r="P227" s="88">
        <f t="shared" si="49"/>
        <v>0</v>
      </c>
      <c r="Q227" s="142"/>
    </row>
    <row r="228" spans="1:17" s="71" customFormat="1" ht="44.25" hidden="1" customHeight="1" x14ac:dyDescent="0.2">
      <c r="A228" s="69" t="s">
        <v>552</v>
      </c>
      <c r="B228" s="69" t="s">
        <v>550</v>
      </c>
      <c r="C228" s="69" t="s">
        <v>98</v>
      </c>
      <c r="D228" s="72" t="s">
        <v>549</v>
      </c>
      <c r="E228" s="88">
        <f t="shared" si="48"/>
        <v>0</v>
      </c>
      <c r="F228" s="88"/>
      <c r="G228" s="88"/>
      <c r="H228" s="88"/>
      <c r="I228" s="88"/>
      <c r="J228" s="88">
        <f t="shared" si="44"/>
        <v>0</v>
      </c>
      <c r="K228" s="88"/>
      <c r="L228" s="88"/>
      <c r="M228" s="88"/>
      <c r="N228" s="88"/>
      <c r="O228" s="88"/>
      <c r="P228" s="88">
        <f t="shared" si="49"/>
        <v>0</v>
      </c>
      <c r="Q228" s="142"/>
    </row>
    <row r="229" spans="1:17" s="71" customFormat="1" ht="51.75" customHeight="1" x14ac:dyDescent="0.2">
      <c r="A229" s="69" t="s">
        <v>273</v>
      </c>
      <c r="B229" s="69" t="str">
        <f>'дод 3'!A145</f>
        <v>6084</v>
      </c>
      <c r="C229" s="69" t="str">
        <f>'дод 3'!B145</f>
        <v>0610</v>
      </c>
      <c r="D229" s="72" t="str">
        <f>'дод 3'!C145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9" s="88">
        <f t="shared" si="48"/>
        <v>84906</v>
      </c>
      <c r="F229" s="88">
        <v>84906</v>
      </c>
      <c r="G229" s="88"/>
      <c r="H229" s="88"/>
      <c r="I229" s="88"/>
      <c r="J229" s="88">
        <f t="shared" si="44"/>
        <v>42126</v>
      </c>
      <c r="K229" s="88"/>
      <c r="L229" s="88">
        <v>42126</v>
      </c>
      <c r="M229" s="88"/>
      <c r="N229" s="88"/>
      <c r="O229" s="88"/>
      <c r="P229" s="88">
        <f t="shared" si="49"/>
        <v>127032</v>
      </c>
      <c r="Q229" s="142"/>
    </row>
    <row r="230" spans="1:17" s="71" customFormat="1" ht="40.5" customHeight="1" x14ac:dyDescent="0.2">
      <c r="A230" s="69" t="s">
        <v>357</v>
      </c>
      <c r="B230" s="69" t="str">
        <f>'дод 3'!A152</f>
        <v>7310</v>
      </c>
      <c r="C230" s="69" t="str">
        <f>'дод 3'!B152</f>
        <v>0443</v>
      </c>
      <c r="D230" s="72" t="str">
        <f>'дод 3'!C152</f>
        <v>Будівництво об'єктів житлово-комунального господарства</v>
      </c>
      <c r="E230" s="88">
        <f t="shared" si="48"/>
        <v>0</v>
      </c>
      <c r="F230" s="88"/>
      <c r="G230" s="88"/>
      <c r="H230" s="88"/>
      <c r="I230" s="88"/>
      <c r="J230" s="88">
        <f t="shared" si="44"/>
        <v>7800000</v>
      </c>
      <c r="K230" s="88">
        <v>7800000</v>
      </c>
      <c r="L230" s="88"/>
      <c r="M230" s="88"/>
      <c r="N230" s="88"/>
      <c r="O230" s="88">
        <v>7800000</v>
      </c>
      <c r="P230" s="88">
        <f t="shared" si="49"/>
        <v>7800000</v>
      </c>
      <c r="Q230" s="142"/>
    </row>
    <row r="231" spans="1:17" s="71" customFormat="1" ht="25.5" customHeight="1" x14ac:dyDescent="0.2">
      <c r="A231" s="69" t="s">
        <v>358</v>
      </c>
      <c r="B231" s="69" t="str">
        <f>'дод 3'!A153</f>
        <v>7321</v>
      </c>
      <c r="C231" s="69" t="str">
        <f>'дод 3'!B153</f>
        <v>0443</v>
      </c>
      <c r="D231" s="72" t="str">
        <f>'дод 3'!C153</f>
        <v>Будівництво освітніх установ та закладів</v>
      </c>
      <c r="E231" s="88">
        <f t="shared" si="48"/>
        <v>0</v>
      </c>
      <c r="F231" s="88"/>
      <c r="G231" s="88"/>
      <c r="H231" s="88"/>
      <c r="I231" s="88"/>
      <c r="J231" s="88">
        <f t="shared" si="44"/>
        <v>12300000</v>
      </c>
      <c r="K231" s="88">
        <f>10600000+100000+1500000+100000</f>
        <v>12300000</v>
      </c>
      <c r="L231" s="88"/>
      <c r="M231" s="88"/>
      <c r="N231" s="88"/>
      <c r="O231" s="88">
        <f>10600000+100000+1500000+100000</f>
        <v>12300000</v>
      </c>
      <c r="P231" s="88">
        <f t="shared" si="49"/>
        <v>12300000</v>
      </c>
      <c r="Q231" s="142"/>
    </row>
    <row r="232" spans="1:17" s="71" customFormat="1" ht="25.5" customHeight="1" x14ac:dyDescent="0.2">
      <c r="A232" s="69" t="s">
        <v>360</v>
      </c>
      <c r="B232" s="69" t="str">
        <f>'дод 3'!A154</f>
        <v>7322</v>
      </c>
      <c r="C232" s="69" t="str">
        <f>'дод 3'!B154</f>
        <v>0443</v>
      </c>
      <c r="D232" s="72" t="str">
        <f>'дод 3'!C154</f>
        <v>Будівництво медичних установ та закладів</v>
      </c>
      <c r="E232" s="88">
        <f t="shared" si="48"/>
        <v>0</v>
      </c>
      <c r="F232" s="88"/>
      <c r="G232" s="88"/>
      <c r="H232" s="88"/>
      <c r="I232" s="88"/>
      <c r="J232" s="88">
        <f t="shared" si="44"/>
        <v>4200000</v>
      </c>
      <c r="K232" s="88">
        <f>4000000+100000+100000</f>
        <v>4200000</v>
      </c>
      <c r="L232" s="88"/>
      <c r="M232" s="88"/>
      <c r="N232" s="88"/>
      <c r="O232" s="88">
        <f>4000000+100000+100000</f>
        <v>4200000</v>
      </c>
      <c r="P232" s="88">
        <f t="shared" si="49"/>
        <v>4200000</v>
      </c>
      <c r="Q232" s="142"/>
    </row>
    <row r="233" spans="1:17" s="71" customFormat="1" ht="36" customHeight="1" x14ac:dyDescent="0.2">
      <c r="A233" s="69" t="s">
        <v>362</v>
      </c>
      <c r="B233" s="69" t="str">
        <f>'дод 3'!A155</f>
        <v>7325</v>
      </c>
      <c r="C233" s="69" t="str">
        <f>'дод 3'!B155</f>
        <v>0443</v>
      </c>
      <c r="D233" s="72" t="str">
        <f>'дод 3'!C155</f>
        <v>Будівництво споруд, установ та закладів фізичної культури і спорту</v>
      </c>
      <c r="E233" s="88">
        <f t="shared" si="48"/>
        <v>0</v>
      </c>
      <c r="F233" s="88"/>
      <c r="G233" s="88"/>
      <c r="H233" s="88"/>
      <c r="I233" s="88"/>
      <c r="J233" s="88">
        <f t="shared" si="44"/>
        <v>8000000</v>
      </c>
      <c r="K233" s="88">
        <f>10000000-2000000</f>
        <v>8000000</v>
      </c>
      <c r="L233" s="88"/>
      <c r="M233" s="88"/>
      <c r="N233" s="88"/>
      <c r="O233" s="88">
        <f>10000000-2000000</f>
        <v>8000000</v>
      </c>
      <c r="P233" s="88">
        <f t="shared" si="49"/>
        <v>8000000</v>
      </c>
      <c r="Q233" s="142"/>
    </row>
    <row r="234" spans="1:17" s="71" customFormat="1" ht="36" customHeight="1" x14ac:dyDescent="0.2">
      <c r="A234" s="69" t="s">
        <v>364</v>
      </c>
      <c r="B234" s="69" t="str">
        <f>'дод 3'!A156</f>
        <v>7330</v>
      </c>
      <c r="C234" s="69" t="str">
        <f>'дод 3'!B156</f>
        <v>0443</v>
      </c>
      <c r="D234" s="72" t="str">
        <f>'дод 3'!C156</f>
        <v>Будівництво інших об'єктів комунальної власності</v>
      </c>
      <c r="E234" s="88">
        <f t="shared" si="48"/>
        <v>0</v>
      </c>
      <c r="F234" s="88"/>
      <c r="G234" s="88"/>
      <c r="H234" s="88"/>
      <c r="I234" s="88"/>
      <c r="J234" s="88">
        <f t="shared" si="44"/>
        <v>34200000</v>
      </c>
      <c r="K234" s="88">
        <f>44100000-6900000-3000000</f>
        <v>34200000</v>
      </c>
      <c r="L234" s="88"/>
      <c r="M234" s="88"/>
      <c r="N234" s="88"/>
      <c r="O234" s="88">
        <f>44100000-6900000-3000000</f>
        <v>34200000</v>
      </c>
      <c r="P234" s="88">
        <f t="shared" si="49"/>
        <v>34200000</v>
      </c>
      <c r="Q234" s="142"/>
    </row>
    <row r="235" spans="1:17" s="71" customFormat="1" ht="33.75" customHeight="1" x14ac:dyDescent="0.2">
      <c r="A235" s="69" t="s">
        <v>485</v>
      </c>
      <c r="B235" s="69" t="str">
        <f>'дод 3'!A157</f>
        <v>7340</v>
      </c>
      <c r="C235" s="69" t="str">
        <f>'дод 3'!B157</f>
        <v>0443</v>
      </c>
      <c r="D235" s="72" t="str">
        <f>'дод 3'!C157</f>
        <v>Проектування, реставрація та охорона пам'яток архітектури</v>
      </c>
      <c r="E235" s="88">
        <f t="shared" si="48"/>
        <v>0</v>
      </c>
      <c r="F235" s="88"/>
      <c r="G235" s="88"/>
      <c r="H235" s="88"/>
      <c r="I235" s="88"/>
      <c r="J235" s="88">
        <f t="shared" si="44"/>
        <v>500000</v>
      </c>
      <c r="K235" s="88">
        <v>500000</v>
      </c>
      <c r="L235" s="88"/>
      <c r="M235" s="88"/>
      <c r="N235" s="88"/>
      <c r="O235" s="88">
        <v>500000</v>
      </c>
      <c r="P235" s="88">
        <f t="shared" si="49"/>
        <v>500000</v>
      </c>
      <c r="Q235" s="142"/>
    </row>
    <row r="236" spans="1:17" s="71" customFormat="1" ht="39" hidden="1" customHeight="1" x14ac:dyDescent="0.2">
      <c r="A236" s="69" t="s">
        <v>553</v>
      </c>
      <c r="B236" s="69" t="s">
        <v>515</v>
      </c>
      <c r="C236" s="69" t="s">
        <v>113</v>
      </c>
      <c r="D236" s="72" t="s">
        <v>516</v>
      </c>
      <c r="E236" s="88">
        <f t="shared" si="48"/>
        <v>0</v>
      </c>
      <c r="F236" s="88"/>
      <c r="G236" s="88"/>
      <c r="H236" s="88"/>
      <c r="I236" s="88"/>
      <c r="J236" s="88">
        <f t="shared" si="44"/>
        <v>0</v>
      </c>
      <c r="K236" s="88"/>
      <c r="L236" s="88"/>
      <c r="M236" s="88"/>
      <c r="N236" s="88"/>
      <c r="O236" s="88"/>
      <c r="P236" s="88">
        <f t="shared" si="49"/>
        <v>0</v>
      </c>
      <c r="Q236" s="142"/>
    </row>
    <row r="237" spans="1:17" s="71" customFormat="1" ht="35.25" hidden="1" customHeight="1" x14ac:dyDescent="0.2">
      <c r="A237" s="69" t="s">
        <v>508</v>
      </c>
      <c r="B237" s="69" t="str">
        <f>'дод 3'!A160</f>
        <v>7363</v>
      </c>
      <c r="C237" s="69" t="str">
        <f>'дод 3'!B160</f>
        <v>0490</v>
      </c>
      <c r="D237" s="72" t="str">
        <f>'дод 3'!C160</f>
        <v>Виконання інвестиційних проектів в рамках здійснення заходів щодо соціально-економічного розвитку окремих територій</v>
      </c>
      <c r="E237" s="88">
        <f t="shared" si="48"/>
        <v>0</v>
      </c>
      <c r="F237" s="88"/>
      <c r="G237" s="88"/>
      <c r="H237" s="88"/>
      <c r="I237" s="88"/>
      <c r="J237" s="88">
        <f t="shared" si="44"/>
        <v>0</v>
      </c>
      <c r="K237" s="88"/>
      <c r="L237" s="88"/>
      <c r="M237" s="88"/>
      <c r="N237" s="88"/>
      <c r="O237" s="88"/>
      <c r="P237" s="88">
        <f t="shared" si="49"/>
        <v>0</v>
      </c>
      <c r="Q237" s="142"/>
    </row>
    <row r="238" spans="1:17" s="71" customFormat="1" ht="13.5" hidden="1" customHeight="1" x14ac:dyDescent="0.2">
      <c r="A238" s="69"/>
      <c r="B238" s="69"/>
      <c r="C238" s="69"/>
      <c r="D238" s="70" t="s">
        <v>345</v>
      </c>
      <c r="E238" s="88">
        <f t="shared" si="48"/>
        <v>0</v>
      </c>
      <c r="F238" s="88"/>
      <c r="G238" s="88"/>
      <c r="H238" s="88"/>
      <c r="I238" s="88"/>
      <c r="J238" s="88">
        <f t="shared" si="44"/>
        <v>0</v>
      </c>
      <c r="K238" s="88"/>
      <c r="L238" s="88"/>
      <c r="M238" s="88"/>
      <c r="N238" s="88"/>
      <c r="O238" s="88"/>
      <c r="P238" s="88">
        <f t="shared" si="49"/>
        <v>0</v>
      </c>
      <c r="Q238" s="142"/>
    </row>
    <row r="239" spans="1:17" s="71" customFormat="1" ht="30" hidden="1" customHeight="1" x14ac:dyDescent="0.2">
      <c r="A239" s="69" t="s">
        <v>512</v>
      </c>
      <c r="B239" s="69" t="str">
        <f>'дод 3'!A168</f>
        <v>7442</v>
      </c>
      <c r="C239" s="69" t="str">
        <f>'дод 3'!B168</f>
        <v>0456</v>
      </c>
      <c r="D239" s="72" t="str">
        <f>'дод 3'!C168</f>
        <v>Утримання та розвиток інших об’єктів транспортної інфраструктури</v>
      </c>
      <c r="E239" s="88">
        <f t="shared" si="48"/>
        <v>0</v>
      </c>
      <c r="F239" s="88"/>
      <c r="G239" s="88"/>
      <c r="H239" s="88"/>
      <c r="I239" s="88"/>
      <c r="J239" s="88">
        <f t="shared" si="44"/>
        <v>0</v>
      </c>
      <c r="K239" s="88"/>
      <c r="L239" s="88"/>
      <c r="M239" s="88"/>
      <c r="N239" s="88"/>
      <c r="O239" s="88"/>
      <c r="P239" s="88">
        <f t="shared" si="49"/>
        <v>0</v>
      </c>
      <c r="Q239" s="142"/>
    </row>
    <row r="240" spans="1:17" s="71" customFormat="1" ht="33" hidden="1" customHeight="1" x14ac:dyDescent="0.25">
      <c r="A240" s="69" t="s">
        <v>528</v>
      </c>
      <c r="B240" s="69" t="s">
        <v>529</v>
      </c>
      <c r="C240" s="73" t="s">
        <v>411</v>
      </c>
      <c r="D240" s="82" t="s">
        <v>530</v>
      </c>
      <c r="E240" s="88">
        <f t="shared" si="48"/>
        <v>0</v>
      </c>
      <c r="F240" s="88"/>
      <c r="G240" s="88"/>
      <c r="H240" s="88"/>
      <c r="I240" s="88"/>
      <c r="J240" s="88">
        <f t="shared" si="44"/>
        <v>0</v>
      </c>
      <c r="K240" s="88"/>
      <c r="L240" s="88"/>
      <c r="M240" s="88"/>
      <c r="N240" s="88"/>
      <c r="O240" s="88">
        <f>30000000-30000000</f>
        <v>0</v>
      </c>
      <c r="P240" s="88">
        <f t="shared" si="49"/>
        <v>0</v>
      </c>
      <c r="Q240" s="142"/>
    </row>
    <row r="241" spans="1:17" s="71" customFormat="1" ht="15" hidden="1" customHeight="1" x14ac:dyDescent="0.2">
      <c r="A241" s="69"/>
      <c r="B241" s="69"/>
      <c r="C241" s="73"/>
      <c r="D241" s="70" t="s">
        <v>345</v>
      </c>
      <c r="E241" s="88">
        <f t="shared" si="48"/>
        <v>0</v>
      </c>
      <c r="F241" s="88"/>
      <c r="G241" s="88"/>
      <c r="H241" s="88"/>
      <c r="I241" s="88"/>
      <c r="J241" s="88">
        <f t="shared" si="44"/>
        <v>0</v>
      </c>
      <c r="K241" s="88"/>
      <c r="L241" s="88"/>
      <c r="M241" s="88"/>
      <c r="N241" s="88"/>
      <c r="O241" s="88">
        <f>30000000-30000000</f>
        <v>0</v>
      </c>
      <c r="P241" s="88">
        <f t="shared" si="49"/>
        <v>0</v>
      </c>
      <c r="Q241" s="142"/>
    </row>
    <row r="242" spans="1:17" s="71" customFormat="1" ht="21.75" customHeight="1" x14ac:dyDescent="0.2">
      <c r="A242" s="69" t="s">
        <v>199</v>
      </c>
      <c r="B242" s="69" t="str">
        <f>'дод 3'!A176</f>
        <v>7640</v>
      </c>
      <c r="C242" s="69" t="str">
        <f>'дод 3'!B176</f>
        <v>0470</v>
      </c>
      <c r="D242" s="72" t="str">
        <f>'дод 3'!C176</f>
        <v>Заходи з енергозбереження</v>
      </c>
      <c r="E242" s="88">
        <f t="shared" si="48"/>
        <v>520000</v>
      </c>
      <c r="F242" s="88">
        <v>520000</v>
      </c>
      <c r="G242" s="88"/>
      <c r="H242" s="88"/>
      <c r="I242" s="88"/>
      <c r="J242" s="88">
        <f t="shared" si="44"/>
        <v>106397180</v>
      </c>
      <c r="K242" s="88">
        <f>6550020+22810180+48093527-2000000</f>
        <v>75453727</v>
      </c>
      <c r="L242" s="88"/>
      <c r="M242" s="88"/>
      <c r="N242" s="88"/>
      <c r="O242" s="88">
        <f>6550020+22810180+48093527+30943453-2000000</f>
        <v>106397180</v>
      </c>
      <c r="P242" s="88">
        <f t="shared" si="49"/>
        <v>106917180</v>
      </c>
      <c r="Q242" s="142"/>
    </row>
    <row r="243" spans="1:17" s="71" customFormat="1" ht="94.5" hidden="1" customHeight="1" x14ac:dyDescent="0.2">
      <c r="A243" s="69" t="s">
        <v>509</v>
      </c>
      <c r="B243" s="69" t="str">
        <f>'дод 3'!A181</f>
        <v>7691</v>
      </c>
      <c r="C243" s="69" t="str">
        <f>'дод 3'!B181</f>
        <v>0490</v>
      </c>
      <c r="D243" s="70" t="s">
        <v>416</v>
      </c>
      <c r="E243" s="88">
        <f t="shared" si="48"/>
        <v>0</v>
      </c>
      <c r="F243" s="88"/>
      <c r="G243" s="88"/>
      <c r="H243" s="88"/>
      <c r="I243" s="88"/>
      <c r="J243" s="88">
        <f t="shared" si="44"/>
        <v>0</v>
      </c>
      <c r="K243" s="88"/>
      <c r="L243" s="88"/>
      <c r="M243" s="88"/>
      <c r="N243" s="88"/>
      <c r="O243" s="88"/>
      <c r="P243" s="88">
        <f t="shared" si="49"/>
        <v>0</v>
      </c>
      <c r="Q243" s="142"/>
    </row>
    <row r="244" spans="1:17" s="90" customFormat="1" ht="28.5" customHeight="1" x14ac:dyDescent="0.2">
      <c r="A244" s="94" t="s">
        <v>274</v>
      </c>
      <c r="B244" s="94"/>
      <c r="C244" s="94"/>
      <c r="D244" s="95" t="s">
        <v>63</v>
      </c>
      <c r="E244" s="96">
        <f>E245</f>
        <v>9160300</v>
      </c>
      <c r="F244" s="96">
        <f t="shared" ref="F244:P244" si="50">F245</f>
        <v>9160300</v>
      </c>
      <c r="G244" s="96">
        <f t="shared" si="50"/>
        <v>6278039</v>
      </c>
      <c r="H244" s="96">
        <f t="shared" si="50"/>
        <v>108163</v>
      </c>
      <c r="I244" s="96">
        <f t="shared" si="50"/>
        <v>0</v>
      </c>
      <c r="J244" s="96">
        <f t="shared" si="50"/>
        <v>1270000</v>
      </c>
      <c r="K244" s="96">
        <f t="shared" si="50"/>
        <v>0</v>
      </c>
      <c r="L244" s="96">
        <f t="shared" si="50"/>
        <v>369000</v>
      </c>
      <c r="M244" s="96">
        <f t="shared" si="50"/>
        <v>0</v>
      </c>
      <c r="N244" s="96">
        <f t="shared" si="50"/>
        <v>0</v>
      </c>
      <c r="O244" s="96">
        <f t="shared" si="50"/>
        <v>901000</v>
      </c>
      <c r="P244" s="96">
        <f t="shared" si="50"/>
        <v>10430300</v>
      </c>
      <c r="Q244" s="142"/>
    </row>
    <row r="245" spans="1:17" s="91" customFormat="1" ht="30" x14ac:dyDescent="0.2">
      <c r="A245" s="102" t="s">
        <v>275</v>
      </c>
      <c r="B245" s="102"/>
      <c r="C245" s="102"/>
      <c r="D245" s="103" t="s">
        <v>63</v>
      </c>
      <c r="E245" s="104">
        <f>E246+E247+E248+E249+E250</f>
        <v>9160300</v>
      </c>
      <c r="F245" s="104">
        <f t="shared" ref="F245:P245" si="51">F246+F247+F248+F249+F250</f>
        <v>9160300</v>
      </c>
      <c r="G245" s="104">
        <f t="shared" si="51"/>
        <v>6278039</v>
      </c>
      <c r="H245" s="104">
        <f t="shared" si="51"/>
        <v>108163</v>
      </c>
      <c r="I245" s="104">
        <f t="shared" si="51"/>
        <v>0</v>
      </c>
      <c r="J245" s="104">
        <f t="shared" si="51"/>
        <v>1270000</v>
      </c>
      <c r="K245" s="104">
        <f t="shared" si="51"/>
        <v>0</v>
      </c>
      <c r="L245" s="104">
        <f t="shared" si="51"/>
        <v>369000</v>
      </c>
      <c r="M245" s="104">
        <f t="shared" si="51"/>
        <v>0</v>
      </c>
      <c r="N245" s="104">
        <f t="shared" si="51"/>
        <v>0</v>
      </c>
      <c r="O245" s="104">
        <f t="shared" si="51"/>
        <v>901000</v>
      </c>
      <c r="P245" s="104">
        <f t="shared" si="51"/>
        <v>10430300</v>
      </c>
      <c r="Q245" s="142"/>
    </row>
    <row r="246" spans="1:17" s="71" customFormat="1" ht="45" customHeight="1" x14ac:dyDescent="0.2">
      <c r="A246" s="69" t="s">
        <v>276</v>
      </c>
      <c r="B246" s="69" t="str">
        <f>'дод 3'!A14</f>
        <v>0160</v>
      </c>
      <c r="C246" s="69" t="str">
        <f>'дод 3'!B14</f>
        <v>0111</v>
      </c>
      <c r="D246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46" s="88">
        <f>F246+I246</f>
        <v>8045100</v>
      </c>
      <c r="F246" s="88">
        <f>7793100+252000</f>
        <v>8045100</v>
      </c>
      <c r="G246" s="88">
        <f>6071539+206500</f>
        <v>6278039</v>
      </c>
      <c r="H246" s="88">
        <v>108163</v>
      </c>
      <c r="I246" s="88"/>
      <c r="J246" s="88">
        <f t="shared" si="44"/>
        <v>0</v>
      </c>
      <c r="K246" s="88"/>
      <c r="L246" s="88"/>
      <c r="M246" s="88"/>
      <c r="N246" s="88"/>
      <c r="O246" s="88"/>
      <c r="P246" s="88">
        <f>E246+J246</f>
        <v>8045100</v>
      </c>
      <c r="Q246" s="142"/>
    </row>
    <row r="247" spans="1:17" s="71" customFormat="1" ht="34.5" customHeight="1" x14ac:dyDescent="0.2">
      <c r="A247" s="69" t="s">
        <v>407</v>
      </c>
      <c r="B247" s="76" t="str">
        <f>'дод 3'!A146</f>
        <v>6090</v>
      </c>
      <c r="C247" s="76" t="str">
        <f>'дод 3'!B146</f>
        <v>0640</v>
      </c>
      <c r="D247" s="72" t="str">
        <f>'дод 3'!C146</f>
        <v>Інша діяльність у сфері житлово-комунального господарства</v>
      </c>
      <c r="E247" s="88">
        <f>F247+I247</f>
        <v>180000</v>
      </c>
      <c r="F247" s="88">
        <v>180000</v>
      </c>
      <c r="G247" s="88"/>
      <c r="H247" s="88"/>
      <c r="I247" s="88"/>
      <c r="J247" s="88">
        <f t="shared" si="44"/>
        <v>0</v>
      </c>
      <c r="K247" s="88"/>
      <c r="L247" s="88"/>
      <c r="M247" s="88"/>
      <c r="N247" s="88"/>
      <c r="O247" s="88"/>
      <c r="P247" s="88">
        <f>E247+J247</f>
        <v>180000</v>
      </c>
      <c r="Q247" s="142"/>
    </row>
    <row r="248" spans="1:17" s="71" customFormat="1" ht="10.5" hidden="1" customHeight="1" x14ac:dyDescent="0.2">
      <c r="A248" s="69" t="s">
        <v>522</v>
      </c>
      <c r="B248" s="76" t="str">
        <f>'дод 3'!A158</f>
        <v>7350</v>
      </c>
      <c r="C248" s="76" t="str">
        <f>'дод 3'!B158</f>
        <v>0443</v>
      </c>
      <c r="D248" s="72" t="str">
        <f>'дод 3'!C158</f>
        <v>Розроблення схем планування та забудови територій (містобудівної документації)</v>
      </c>
      <c r="E248" s="88">
        <f>F248+I248</f>
        <v>0</v>
      </c>
      <c r="F248" s="88"/>
      <c r="G248" s="88"/>
      <c r="H248" s="88"/>
      <c r="I248" s="88"/>
      <c r="J248" s="88">
        <f t="shared" si="44"/>
        <v>0</v>
      </c>
      <c r="K248" s="88"/>
      <c r="L248" s="88"/>
      <c r="M248" s="88"/>
      <c r="N248" s="88"/>
      <c r="O248" s="88"/>
      <c r="P248" s="88">
        <f>E248+J248</f>
        <v>0</v>
      </c>
      <c r="Q248" s="142"/>
    </row>
    <row r="249" spans="1:17" s="71" customFormat="1" ht="39" customHeight="1" x14ac:dyDescent="0.2">
      <c r="A249" s="69" t="s">
        <v>556</v>
      </c>
      <c r="B249" s="76" t="str">
        <f>'дод 3'!A162</f>
        <v>7370</v>
      </c>
      <c r="C249" s="76" t="str">
        <f>'дод 3'!B162</f>
        <v>0490</v>
      </c>
      <c r="D249" s="72" t="str">
        <f>'дод 3'!C162</f>
        <v>Реалізація інших заходів щодо соціально-економічного розвитку територій</v>
      </c>
      <c r="E249" s="88">
        <f>F249+I249</f>
        <v>935200</v>
      </c>
      <c r="F249" s="88">
        <v>935200</v>
      </c>
      <c r="G249" s="88"/>
      <c r="H249" s="88"/>
      <c r="I249" s="88"/>
      <c r="J249" s="88">
        <f t="shared" si="44"/>
        <v>0</v>
      </c>
      <c r="K249" s="88"/>
      <c r="L249" s="88"/>
      <c r="M249" s="88"/>
      <c r="N249" s="88"/>
      <c r="O249" s="88"/>
      <c r="P249" s="88">
        <f>E249+J249</f>
        <v>935200</v>
      </c>
      <c r="Q249" s="142"/>
    </row>
    <row r="250" spans="1:17" s="71" customFormat="1" ht="97.5" customHeight="1" x14ac:dyDescent="0.2">
      <c r="A250" s="73" t="s">
        <v>392</v>
      </c>
      <c r="B250" s="79" t="str">
        <f>'дод 3'!A181</f>
        <v>7691</v>
      </c>
      <c r="C250" s="79" t="str">
        <f>'дод 3'!B181</f>
        <v>0490</v>
      </c>
      <c r="D250" s="70" t="s">
        <v>416</v>
      </c>
      <c r="E250" s="88">
        <f>F250+I250</f>
        <v>0</v>
      </c>
      <c r="F250" s="88"/>
      <c r="G250" s="88"/>
      <c r="H250" s="88"/>
      <c r="I250" s="88"/>
      <c r="J250" s="88">
        <f t="shared" si="44"/>
        <v>1270000</v>
      </c>
      <c r="K250" s="88"/>
      <c r="L250" s="88">
        <v>369000</v>
      </c>
      <c r="M250" s="88"/>
      <c r="N250" s="88"/>
      <c r="O250" s="88">
        <v>901000</v>
      </c>
      <c r="P250" s="88">
        <f>E250+J250</f>
        <v>1270000</v>
      </c>
      <c r="Q250" s="142"/>
    </row>
    <row r="251" spans="1:17" s="90" customFormat="1" ht="36.75" customHeight="1" x14ac:dyDescent="0.2">
      <c r="A251" s="94" t="s">
        <v>279</v>
      </c>
      <c r="B251" s="94"/>
      <c r="C251" s="94"/>
      <c r="D251" s="95" t="s">
        <v>66</v>
      </c>
      <c r="E251" s="96">
        <f>E252</f>
        <v>4313300</v>
      </c>
      <c r="F251" s="96">
        <f t="shared" ref="F251:P252" si="52">F252</f>
        <v>4313300</v>
      </c>
      <c r="G251" s="96">
        <f t="shared" si="52"/>
        <v>3340172</v>
      </c>
      <c r="H251" s="96">
        <f t="shared" si="52"/>
        <v>50452</v>
      </c>
      <c r="I251" s="96">
        <f t="shared" si="52"/>
        <v>0</v>
      </c>
      <c r="J251" s="96">
        <f t="shared" si="52"/>
        <v>15000</v>
      </c>
      <c r="K251" s="96">
        <f t="shared" si="52"/>
        <v>15000</v>
      </c>
      <c r="L251" s="96">
        <f t="shared" si="52"/>
        <v>0</v>
      </c>
      <c r="M251" s="96">
        <f t="shared" si="52"/>
        <v>0</v>
      </c>
      <c r="N251" s="96">
        <f t="shared" si="52"/>
        <v>0</v>
      </c>
      <c r="O251" s="96">
        <f t="shared" si="52"/>
        <v>15000</v>
      </c>
      <c r="P251" s="96">
        <f t="shared" si="52"/>
        <v>4328300</v>
      </c>
      <c r="Q251" s="142"/>
    </row>
    <row r="252" spans="1:17" s="91" customFormat="1" ht="30" customHeight="1" x14ac:dyDescent="0.2">
      <c r="A252" s="102" t="s">
        <v>277</v>
      </c>
      <c r="B252" s="102"/>
      <c r="C252" s="102"/>
      <c r="D252" s="103" t="s">
        <v>66</v>
      </c>
      <c r="E252" s="104">
        <f>E253</f>
        <v>4313300</v>
      </c>
      <c r="F252" s="104">
        <f t="shared" si="52"/>
        <v>4313300</v>
      </c>
      <c r="G252" s="104">
        <f t="shared" si="52"/>
        <v>3340172</v>
      </c>
      <c r="H252" s="104">
        <f t="shared" si="52"/>
        <v>50452</v>
      </c>
      <c r="I252" s="104">
        <f t="shared" si="52"/>
        <v>0</v>
      </c>
      <c r="J252" s="104">
        <f t="shared" si="52"/>
        <v>15000</v>
      </c>
      <c r="K252" s="104">
        <f t="shared" si="52"/>
        <v>15000</v>
      </c>
      <c r="L252" s="104">
        <f t="shared" si="52"/>
        <v>0</v>
      </c>
      <c r="M252" s="104">
        <f t="shared" si="52"/>
        <v>0</v>
      </c>
      <c r="N252" s="104">
        <f t="shared" si="52"/>
        <v>0</v>
      </c>
      <c r="O252" s="104">
        <f t="shared" si="52"/>
        <v>15000</v>
      </c>
      <c r="P252" s="104">
        <f t="shared" si="52"/>
        <v>4328300</v>
      </c>
      <c r="Q252" s="142"/>
    </row>
    <row r="253" spans="1:17" s="71" customFormat="1" ht="43.5" customHeight="1" x14ac:dyDescent="0.2">
      <c r="A253" s="69" t="s">
        <v>278</v>
      </c>
      <c r="B253" s="69" t="str">
        <f>'дод 3'!A14</f>
        <v>0160</v>
      </c>
      <c r="C253" s="69" t="str">
        <f>'дод 3'!B14</f>
        <v>0111</v>
      </c>
      <c r="D253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53" s="88">
        <f>F253+I253</f>
        <v>4313300</v>
      </c>
      <c r="F253" s="88">
        <v>4313300</v>
      </c>
      <c r="G253" s="88">
        <v>3340172</v>
      </c>
      <c r="H253" s="88">
        <v>50452</v>
      </c>
      <c r="I253" s="88"/>
      <c r="J253" s="88">
        <f t="shared" si="44"/>
        <v>15000</v>
      </c>
      <c r="K253" s="88">
        <v>15000</v>
      </c>
      <c r="L253" s="88"/>
      <c r="M253" s="88"/>
      <c r="N253" s="88"/>
      <c r="O253" s="88">
        <f>15000</f>
        <v>15000</v>
      </c>
      <c r="P253" s="88">
        <f>E253+J253</f>
        <v>4328300</v>
      </c>
      <c r="Q253" s="142"/>
    </row>
    <row r="254" spans="1:17" s="90" customFormat="1" ht="28.5" x14ac:dyDescent="0.2">
      <c r="A254" s="94" t="s">
        <v>280</v>
      </c>
      <c r="B254" s="94"/>
      <c r="C254" s="94"/>
      <c r="D254" s="95" t="s">
        <v>62</v>
      </c>
      <c r="E254" s="96">
        <f>E255</f>
        <v>21995000</v>
      </c>
      <c r="F254" s="96">
        <f t="shared" ref="F254:P254" si="53">F255</f>
        <v>21995000</v>
      </c>
      <c r="G254" s="96">
        <f t="shared" si="53"/>
        <v>15454866</v>
      </c>
      <c r="H254" s="96">
        <f t="shared" si="53"/>
        <v>235000</v>
      </c>
      <c r="I254" s="96">
        <f t="shared" si="53"/>
        <v>0</v>
      </c>
      <c r="J254" s="96">
        <f t="shared" si="53"/>
        <v>12963400</v>
      </c>
      <c r="K254" s="96">
        <f t="shared" si="53"/>
        <v>12963400</v>
      </c>
      <c r="L254" s="96">
        <f t="shared" si="53"/>
        <v>0</v>
      </c>
      <c r="M254" s="96">
        <f t="shared" si="53"/>
        <v>0</v>
      </c>
      <c r="N254" s="96">
        <f t="shared" si="53"/>
        <v>0</v>
      </c>
      <c r="O254" s="96">
        <f t="shared" si="53"/>
        <v>12963400</v>
      </c>
      <c r="P254" s="96">
        <f t="shared" si="53"/>
        <v>34958400</v>
      </c>
      <c r="Q254" s="142"/>
    </row>
    <row r="255" spans="1:17" s="91" customFormat="1" ht="30.75" customHeight="1" x14ac:dyDescent="0.2">
      <c r="A255" s="102" t="s">
        <v>281</v>
      </c>
      <c r="B255" s="102"/>
      <c r="C255" s="102"/>
      <c r="D255" s="103" t="s">
        <v>62</v>
      </c>
      <c r="E255" s="104">
        <f>E256+E257+E258+E259+E260+E261+E262+E263</f>
        <v>21995000</v>
      </c>
      <c r="F255" s="104">
        <f t="shared" ref="F255:P255" si="54">F256+F257+F258+F259+F260+F261+F262+F263</f>
        <v>21995000</v>
      </c>
      <c r="G255" s="104">
        <f t="shared" si="54"/>
        <v>15454866</v>
      </c>
      <c r="H255" s="104">
        <f t="shared" si="54"/>
        <v>235000</v>
      </c>
      <c r="I255" s="104">
        <f t="shared" si="54"/>
        <v>0</v>
      </c>
      <c r="J255" s="104">
        <f t="shared" si="54"/>
        <v>12963400</v>
      </c>
      <c r="K255" s="104">
        <f t="shared" si="54"/>
        <v>12963400</v>
      </c>
      <c r="L255" s="104">
        <f t="shared" si="54"/>
        <v>0</v>
      </c>
      <c r="M255" s="104">
        <f t="shared" si="54"/>
        <v>0</v>
      </c>
      <c r="N255" s="104">
        <f t="shared" si="54"/>
        <v>0</v>
      </c>
      <c r="O255" s="104">
        <f t="shared" si="54"/>
        <v>12963400</v>
      </c>
      <c r="P255" s="104">
        <f t="shared" si="54"/>
        <v>34958400</v>
      </c>
      <c r="Q255" s="142"/>
    </row>
    <row r="256" spans="1:17" s="71" customFormat="1" ht="54.75" customHeight="1" x14ac:dyDescent="0.2">
      <c r="A256" s="69" t="s">
        <v>282</v>
      </c>
      <c r="B256" s="69" t="str">
        <f>'дод 3'!A14</f>
        <v>0160</v>
      </c>
      <c r="C256" s="69" t="str">
        <f>'дод 3'!B14</f>
        <v>0111</v>
      </c>
      <c r="D256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56" s="88">
        <f t="shared" ref="E256:E263" si="55">F256+I256</f>
        <v>19692000</v>
      </c>
      <c r="F256" s="88">
        <v>19692000</v>
      </c>
      <c r="G256" s="88">
        <v>15454866</v>
      </c>
      <c r="H256" s="88">
        <v>235000</v>
      </c>
      <c r="I256" s="88"/>
      <c r="J256" s="88">
        <f t="shared" si="44"/>
        <v>0</v>
      </c>
      <c r="K256" s="88"/>
      <c r="L256" s="88"/>
      <c r="M256" s="88"/>
      <c r="N256" s="88"/>
      <c r="O256" s="88"/>
      <c r="P256" s="88">
        <f t="shared" ref="P256:P263" si="56">E256+J256</f>
        <v>19692000</v>
      </c>
      <c r="Q256" s="142"/>
    </row>
    <row r="257" spans="1:17" s="83" customFormat="1" ht="29.25" customHeight="1" x14ac:dyDescent="0.2">
      <c r="A257" s="69" t="s">
        <v>283</v>
      </c>
      <c r="B257" s="69" t="str">
        <f>'дод 3'!A149</f>
        <v>7130</v>
      </c>
      <c r="C257" s="69" t="str">
        <f>'дод 3'!B149</f>
        <v>0421</v>
      </c>
      <c r="D257" s="72" t="str">
        <f>'дод 3'!C149</f>
        <v>Здійснення  заходів із землеустрою</v>
      </c>
      <c r="E257" s="88">
        <f t="shared" si="55"/>
        <v>1351000</v>
      </c>
      <c r="F257" s="109">
        <f>860000+491000</f>
        <v>1351000</v>
      </c>
      <c r="G257" s="110"/>
      <c r="H257" s="110"/>
      <c r="I257" s="110"/>
      <c r="J257" s="88">
        <f t="shared" si="44"/>
        <v>0</v>
      </c>
      <c r="K257" s="88"/>
      <c r="L257" s="110"/>
      <c r="M257" s="110"/>
      <c r="N257" s="110"/>
      <c r="O257" s="110"/>
      <c r="P257" s="88">
        <f t="shared" si="56"/>
        <v>1351000</v>
      </c>
      <c r="Q257" s="142"/>
    </row>
    <row r="258" spans="1:17" s="84" customFormat="1" ht="33" customHeight="1" x14ac:dyDescent="0.2">
      <c r="A258" s="69" t="s">
        <v>558</v>
      </c>
      <c r="B258" s="69" t="str">
        <f>'дод 3'!A162</f>
        <v>7370</v>
      </c>
      <c r="C258" s="69" t="str">
        <f>'дод 3'!B162</f>
        <v>0490</v>
      </c>
      <c r="D258" s="72" t="str">
        <f>'дод 3'!C162</f>
        <v>Реалізація інших заходів щодо соціально-економічного розвитку територій</v>
      </c>
      <c r="E258" s="88">
        <f t="shared" si="55"/>
        <v>0</v>
      </c>
      <c r="F258" s="109"/>
      <c r="G258" s="110"/>
      <c r="H258" s="110"/>
      <c r="I258" s="110"/>
      <c r="J258" s="88">
        <f t="shared" si="44"/>
        <v>12888400</v>
      </c>
      <c r="K258" s="88">
        <v>12888400</v>
      </c>
      <c r="L258" s="110"/>
      <c r="M258" s="110"/>
      <c r="N258" s="110"/>
      <c r="O258" s="110">
        <v>12888400</v>
      </c>
      <c r="P258" s="88">
        <f t="shared" si="56"/>
        <v>12888400</v>
      </c>
      <c r="Q258" s="142"/>
    </row>
    <row r="259" spans="1:17" s="71" customFormat="1" ht="27" customHeight="1" x14ac:dyDescent="0.2">
      <c r="A259" s="73" t="s">
        <v>284</v>
      </c>
      <c r="B259" s="73" t="str">
        <f>'дод 3'!A175</f>
        <v>7610</v>
      </c>
      <c r="C259" s="73" t="str">
        <f>'дод 3'!B175</f>
        <v>0411</v>
      </c>
      <c r="D259" s="70" t="str">
        <f>'дод 3'!C175</f>
        <v>Сприяння розвитку малого та середнього підприємництва</v>
      </c>
      <c r="E259" s="88">
        <f t="shared" si="55"/>
        <v>322000</v>
      </c>
      <c r="F259" s="88">
        <v>322000</v>
      </c>
      <c r="G259" s="88"/>
      <c r="H259" s="88"/>
      <c r="I259" s="88"/>
      <c r="J259" s="88">
        <f t="shared" si="44"/>
        <v>0</v>
      </c>
      <c r="K259" s="88"/>
      <c r="L259" s="88"/>
      <c r="M259" s="88"/>
      <c r="N259" s="88"/>
      <c r="O259" s="88"/>
      <c r="P259" s="88">
        <f t="shared" si="56"/>
        <v>322000</v>
      </c>
      <c r="Q259" s="142"/>
    </row>
    <row r="260" spans="1:17" s="71" customFormat="1" ht="37.5" customHeight="1" x14ac:dyDescent="0.2">
      <c r="A260" s="73" t="s">
        <v>346</v>
      </c>
      <c r="B260" s="73" t="str">
        <f>'дод 3'!A177</f>
        <v>7650</v>
      </c>
      <c r="C260" s="73" t="str">
        <f>'дод 3'!B177</f>
        <v>0490</v>
      </c>
      <c r="D260" s="70" t="str">
        <f>'дод 3'!C177</f>
        <v>Проведення експертної  грошової  оцінки  земельної ділянки чи права на неї</v>
      </c>
      <c r="E260" s="88">
        <f t="shared" si="55"/>
        <v>0</v>
      </c>
      <c r="F260" s="88"/>
      <c r="G260" s="88"/>
      <c r="H260" s="88"/>
      <c r="I260" s="88"/>
      <c r="J260" s="88">
        <f t="shared" si="44"/>
        <v>50000</v>
      </c>
      <c r="K260" s="88">
        <v>50000</v>
      </c>
      <c r="L260" s="88"/>
      <c r="M260" s="88"/>
      <c r="N260" s="88"/>
      <c r="O260" s="88">
        <v>50000</v>
      </c>
      <c r="P260" s="88">
        <f t="shared" si="56"/>
        <v>50000</v>
      </c>
      <c r="Q260" s="142"/>
    </row>
    <row r="261" spans="1:17" s="71" customFormat="1" ht="45" customHeight="1" x14ac:dyDescent="0.2">
      <c r="A261" s="73" t="s">
        <v>348</v>
      </c>
      <c r="B261" s="73" t="str">
        <f>'дод 3'!A178</f>
        <v>7660</v>
      </c>
      <c r="C261" s="73" t="str">
        <f>'дод 3'!B178</f>
        <v>0490</v>
      </c>
      <c r="D261" s="70" t="str">
        <f>'дод 3'!C178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61" s="88">
        <f t="shared" si="55"/>
        <v>0</v>
      </c>
      <c r="F261" s="88"/>
      <c r="G261" s="88"/>
      <c r="H261" s="88"/>
      <c r="I261" s="88"/>
      <c r="J261" s="88">
        <f t="shared" si="44"/>
        <v>25000</v>
      </c>
      <c r="K261" s="88">
        <v>25000</v>
      </c>
      <c r="L261" s="88"/>
      <c r="M261" s="88"/>
      <c r="N261" s="88"/>
      <c r="O261" s="88">
        <v>25000</v>
      </c>
      <c r="P261" s="88">
        <f t="shared" si="56"/>
        <v>25000</v>
      </c>
      <c r="Q261" s="142"/>
    </row>
    <row r="262" spans="1:17" s="71" customFormat="1" ht="23.25" customHeight="1" x14ac:dyDescent="0.2">
      <c r="A262" s="73" t="s">
        <v>342</v>
      </c>
      <c r="B262" s="73" t="str">
        <f>'дод 3'!A182</f>
        <v>7693</v>
      </c>
      <c r="C262" s="73" t="str">
        <f>'дод 3'!B182</f>
        <v>0490</v>
      </c>
      <c r="D262" s="70" t="str">
        <f>'дод 3'!C182</f>
        <v>Інші заходи, пов'язані з економічною діяльністю</v>
      </c>
      <c r="E262" s="88">
        <f t="shared" si="55"/>
        <v>630000</v>
      </c>
      <c r="F262" s="88">
        <v>630000</v>
      </c>
      <c r="G262" s="88"/>
      <c r="H262" s="88"/>
      <c r="I262" s="88"/>
      <c r="J262" s="88">
        <f t="shared" si="44"/>
        <v>0</v>
      </c>
      <c r="K262" s="88"/>
      <c r="L262" s="88"/>
      <c r="M262" s="88"/>
      <c r="N262" s="88"/>
      <c r="O262" s="88"/>
      <c r="P262" s="88">
        <f t="shared" si="56"/>
        <v>630000</v>
      </c>
      <c r="Q262" s="142"/>
    </row>
    <row r="263" spans="1:17" s="71" customFormat="1" ht="37.5" hidden="1" customHeight="1" x14ac:dyDescent="0.2">
      <c r="A263" s="73" t="s">
        <v>497</v>
      </c>
      <c r="B263" s="79" t="str">
        <f>'дод 3'!A209</f>
        <v>9800</v>
      </c>
      <c r="C263" s="79" t="str">
        <f>'дод 3'!B209</f>
        <v>0180</v>
      </c>
      <c r="D263" s="70" t="str">
        <f>'дод 3'!C209</f>
        <v xml:space="preserve">Субвенція з місцевого бюджету державному бюджету на виконання програм соціально-економічного розвитку регіонів </v>
      </c>
      <c r="E263" s="88">
        <f t="shared" si="55"/>
        <v>0</v>
      </c>
      <c r="F263" s="88"/>
      <c r="G263" s="88"/>
      <c r="H263" s="88"/>
      <c r="I263" s="88"/>
      <c r="J263" s="88">
        <f t="shared" si="44"/>
        <v>0</v>
      </c>
      <c r="K263" s="88"/>
      <c r="L263" s="88"/>
      <c r="M263" s="88"/>
      <c r="N263" s="88"/>
      <c r="O263" s="88"/>
      <c r="P263" s="88">
        <f t="shared" si="56"/>
        <v>0</v>
      </c>
      <c r="Q263" s="142"/>
    </row>
    <row r="264" spans="1:17" s="90" customFormat="1" ht="33" customHeight="1" x14ac:dyDescent="0.2">
      <c r="A264" s="94" t="s">
        <v>285</v>
      </c>
      <c r="B264" s="94"/>
      <c r="C264" s="94"/>
      <c r="D264" s="95" t="s">
        <v>64</v>
      </c>
      <c r="E264" s="96">
        <f>E265</f>
        <v>145375586.66</v>
      </c>
      <c r="F264" s="96">
        <f t="shared" ref="F264:P264" si="57">F265</f>
        <v>131802927.66</v>
      </c>
      <c r="G264" s="96">
        <f t="shared" si="57"/>
        <v>15818000</v>
      </c>
      <c r="H264" s="96">
        <f t="shared" si="57"/>
        <v>196300</v>
      </c>
      <c r="I264" s="96">
        <f t="shared" si="57"/>
        <v>0</v>
      </c>
      <c r="J264" s="96">
        <f t="shared" si="57"/>
        <v>1172000</v>
      </c>
      <c r="K264" s="96">
        <f t="shared" si="57"/>
        <v>1132000</v>
      </c>
      <c r="L264" s="96">
        <f t="shared" si="57"/>
        <v>40000</v>
      </c>
      <c r="M264" s="96">
        <f t="shared" si="57"/>
        <v>0</v>
      </c>
      <c r="N264" s="96">
        <f t="shared" si="57"/>
        <v>0</v>
      </c>
      <c r="O264" s="96">
        <f t="shared" si="57"/>
        <v>1132000</v>
      </c>
      <c r="P264" s="96">
        <f t="shared" si="57"/>
        <v>146547586.66</v>
      </c>
      <c r="Q264" s="142"/>
    </row>
    <row r="265" spans="1:17" s="91" customFormat="1" ht="30.75" customHeight="1" x14ac:dyDescent="0.2">
      <c r="A265" s="102" t="s">
        <v>286</v>
      </c>
      <c r="B265" s="102"/>
      <c r="C265" s="102"/>
      <c r="D265" s="103" t="s">
        <v>64</v>
      </c>
      <c r="E265" s="104">
        <f>E267+E268+E269+E270+E271+E272+E273+E274+E275+E276</f>
        <v>145375586.66</v>
      </c>
      <c r="F265" s="104">
        <f t="shared" ref="F265:P265" si="58">F267+F268+F269+F270+F271+F272+F273+F274+F275+F276</f>
        <v>131802927.66</v>
      </c>
      <c r="G265" s="104">
        <f t="shared" si="58"/>
        <v>15818000</v>
      </c>
      <c r="H265" s="104">
        <f t="shared" si="58"/>
        <v>196300</v>
      </c>
      <c r="I265" s="104">
        <f t="shared" si="58"/>
        <v>0</v>
      </c>
      <c r="J265" s="104">
        <f t="shared" si="58"/>
        <v>1172000</v>
      </c>
      <c r="K265" s="104">
        <f t="shared" si="58"/>
        <v>1132000</v>
      </c>
      <c r="L265" s="104">
        <f t="shared" si="58"/>
        <v>40000</v>
      </c>
      <c r="M265" s="104">
        <f t="shared" si="58"/>
        <v>0</v>
      </c>
      <c r="N265" s="104">
        <f t="shared" si="58"/>
        <v>0</v>
      </c>
      <c r="O265" s="104">
        <f t="shared" si="58"/>
        <v>1132000</v>
      </c>
      <c r="P265" s="104">
        <f t="shared" si="58"/>
        <v>146547586.66</v>
      </c>
      <c r="Q265" s="142"/>
    </row>
    <row r="266" spans="1:17" s="91" customFormat="1" ht="19.899999999999999" hidden="1" customHeight="1" x14ac:dyDescent="0.2">
      <c r="A266" s="94"/>
      <c r="B266" s="94"/>
      <c r="C266" s="94"/>
      <c r="D266" s="95" t="s">
        <v>345</v>
      </c>
      <c r="E266" s="96">
        <f>E275</f>
        <v>0</v>
      </c>
      <c r="F266" s="96">
        <f t="shared" ref="F266:P266" si="59">F275</f>
        <v>0</v>
      </c>
      <c r="G266" s="96">
        <f t="shared" si="59"/>
        <v>0</v>
      </c>
      <c r="H266" s="96">
        <f t="shared" si="59"/>
        <v>0</v>
      </c>
      <c r="I266" s="96">
        <f t="shared" si="59"/>
        <v>0</v>
      </c>
      <c r="J266" s="96">
        <f t="shared" si="59"/>
        <v>0</v>
      </c>
      <c r="K266" s="96">
        <f t="shared" si="59"/>
        <v>0</v>
      </c>
      <c r="L266" s="96">
        <f t="shared" si="59"/>
        <v>0</v>
      </c>
      <c r="M266" s="96">
        <f t="shared" si="59"/>
        <v>0</v>
      </c>
      <c r="N266" s="96">
        <f t="shared" si="59"/>
        <v>0</v>
      </c>
      <c r="O266" s="96">
        <f t="shared" si="59"/>
        <v>0</v>
      </c>
      <c r="P266" s="104">
        <f t="shared" si="59"/>
        <v>0</v>
      </c>
      <c r="Q266" s="142"/>
    </row>
    <row r="267" spans="1:17" s="71" customFormat="1" ht="42" customHeight="1" x14ac:dyDescent="0.2">
      <c r="A267" s="69" t="s">
        <v>287</v>
      </c>
      <c r="B267" s="69" t="str">
        <f>'дод 3'!A14</f>
        <v>0160</v>
      </c>
      <c r="C267" s="69" t="str">
        <f>'дод 3'!B14</f>
        <v>0111</v>
      </c>
      <c r="D267" s="7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67" s="88">
        <f>F267+I267</f>
        <v>20171200</v>
      </c>
      <c r="F267" s="88">
        <v>20171200</v>
      </c>
      <c r="G267" s="88">
        <v>15818000</v>
      </c>
      <c r="H267" s="88">
        <v>196300</v>
      </c>
      <c r="I267" s="88"/>
      <c r="J267" s="88">
        <f t="shared" si="44"/>
        <v>632000</v>
      </c>
      <c r="K267" s="88">
        <f>100000+500000+32000</f>
        <v>632000</v>
      </c>
      <c r="L267" s="88"/>
      <c r="M267" s="88"/>
      <c r="N267" s="88"/>
      <c r="O267" s="88">
        <f>100000+500000+32000</f>
        <v>632000</v>
      </c>
      <c r="P267" s="88">
        <f t="shared" ref="P267:P276" si="60">E267+J267</f>
        <v>20803200</v>
      </c>
      <c r="Q267" s="142"/>
    </row>
    <row r="268" spans="1:17" s="71" customFormat="1" ht="23.25" customHeight="1" x14ac:dyDescent="0.2">
      <c r="A268" s="69" t="s">
        <v>334</v>
      </c>
      <c r="B268" s="69" t="str">
        <f>'дод 3'!A176</f>
        <v>7640</v>
      </c>
      <c r="C268" s="69" t="str">
        <f>'дод 3'!B176</f>
        <v>0470</v>
      </c>
      <c r="D268" s="72" t="str">
        <f>'дод 3'!C176</f>
        <v>Заходи з енергозбереження</v>
      </c>
      <c r="E268" s="88">
        <f>F268+I268</f>
        <v>285000</v>
      </c>
      <c r="F268" s="88">
        <f>245000+40000</f>
        <v>285000</v>
      </c>
      <c r="G268" s="88"/>
      <c r="H268" s="88"/>
      <c r="I268" s="88"/>
      <c r="J268" s="88">
        <f t="shared" si="44"/>
        <v>0</v>
      </c>
      <c r="K268" s="88"/>
      <c r="L268" s="88"/>
      <c r="M268" s="88"/>
      <c r="N268" s="88"/>
      <c r="O268" s="88"/>
      <c r="P268" s="88">
        <f t="shared" si="60"/>
        <v>285000</v>
      </c>
      <c r="Q268" s="142"/>
    </row>
    <row r="269" spans="1:17" s="71" customFormat="1" ht="23.25" customHeight="1" x14ac:dyDescent="0.2">
      <c r="A269" s="69" t="s">
        <v>565</v>
      </c>
      <c r="B269" s="69" t="str">
        <f>'дод 3'!A182</f>
        <v>7693</v>
      </c>
      <c r="C269" s="69" t="str">
        <f>'дод 3'!B182</f>
        <v>0490</v>
      </c>
      <c r="D269" s="81" t="str">
        <f>'дод 3'!C182</f>
        <v>Інші заходи, пов'язані з економічною діяльністю</v>
      </c>
      <c r="E269" s="88">
        <f>F269+I269</f>
        <v>70000</v>
      </c>
      <c r="F269" s="88">
        <v>70000</v>
      </c>
      <c r="G269" s="88"/>
      <c r="H269" s="88"/>
      <c r="I269" s="88"/>
      <c r="J269" s="88">
        <f t="shared" si="44"/>
        <v>0</v>
      </c>
      <c r="K269" s="88"/>
      <c r="L269" s="88"/>
      <c r="M269" s="88"/>
      <c r="N269" s="88"/>
      <c r="O269" s="88"/>
      <c r="P269" s="88">
        <f t="shared" si="60"/>
        <v>70000</v>
      </c>
      <c r="Q269" s="142"/>
    </row>
    <row r="270" spans="1:17" s="71" customFormat="1" ht="27" customHeight="1" x14ac:dyDescent="0.2">
      <c r="A270" s="69" t="s">
        <v>288</v>
      </c>
      <c r="B270" s="69" t="str">
        <f>'дод 3'!A193</f>
        <v>8340</v>
      </c>
      <c r="C270" s="69" t="str">
        <f>'дод 3'!B193</f>
        <v>0540</v>
      </c>
      <c r="D270" s="72" t="str">
        <f>'дод 3'!C193</f>
        <v>Природоохоронні заходи за рахунок цільових фондів</v>
      </c>
      <c r="E270" s="88">
        <f>F270+I270</f>
        <v>0</v>
      </c>
      <c r="F270" s="88"/>
      <c r="G270" s="88"/>
      <c r="H270" s="88"/>
      <c r="I270" s="88"/>
      <c r="J270" s="88">
        <f t="shared" si="44"/>
        <v>40000</v>
      </c>
      <c r="K270" s="88"/>
      <c r="L270" s="88">
        <v>40000</v>
      </c>
      <c r="M270" s="88"/>
      <c r="N270" s="88"/>
      <c r="O270" s="88"/>
      <c r="P270" s="88">
        <f t="shared" si="60"/>
        <v>40000</v>
      </c>
      <c r="Q270" s="142"/>
    </row>
    <row r="271" spans="1:17" s="71" customFormat="1" ht="22.5" customHeight="1" x14ac:dyDescent="0.2">
      <c r="A271" s="69" t="s">
        <v>289</v>
      </c>
      <c r="B271" s="69" t="str">
        <f>'дод 3'!A196</f>
        <v>8600</v>
      </c>
      <c r="C271" s="69" t="str">
        <f>'дод 3'!B196</f>
        <v>0170</v>
      </c>
      <c r="D271" s="72" t="str">
        <f>'дод 3'!C196</f>
        <v>Обслуговування місцевого боргу</v>
      </c>
      <c r="E271" s="88">
        <f>F271+I271</f>
        <v>186527.66</v>
      </c>
      <c r="F271" s="88">
        <f>186527.65+0.01</f>
        <v>186527.66</v>
      </c>
      <c r="G271" s="88"/>
      <c r="H271" s="88"/>
      <c r="I271" s="88"/>
      <c r="J271" s="88">
        <f t="shared" si="44"/>
        <v>0</v>
      </c>
      <c r="K271" s="88"/>
      <c r="L271" s="88"/>
      <c r="M271" s="88"/>
      <c r="N271" s="88"/>
      <c r="O271" s="88"/>
      <c r="P271" s="88">
        <f t="shared" si="60"/>
        <v>186527.66</v>
      </c>
      <c r="Q271" s="142"/>
    </row>
    <row r="272" spans="1:17" s="71" customFormat="1" ht="21" customHeight="1" x14ac:dyDescent="0.2">
      <c r="A272" s="69" t="s">
        <v>305</v>
      </c>
      <c r="B272" s="69" t="str">
        <f>'дод 3'!A197</f>
        <v>8700</v>
      </c>
      <c r="C272" s="69" t="str">
        <f>'дод 3'!B197</f>
        <v>0133</v>
      </c>
      <c r="D272" s="72" t="str">
        <f>'дод 3'!C197</f>
        <v>Резервний фонд</v>
      </c>
      <c r="E272" s="88">
        <f>18000000+995480+1.02-1000000+87000+172000-0.02-100000-100000-100000-3720260+37510-664072-40000+5000</f>
        <v>13572659</v>
      </c>
      <c r="F272" s="88"/>
      <c r="G272" s="88"/>
      <c r="H272" s="88"/>
      <c r="I272" s="88"/>
      <c r="J272" s="88">
        <f t="shared" si="44"/>
        <v>0</v>
      </c>
      <c r="K272" s="88"/>
      <c r="L272" s="88"/>
      <c r="M272" s="88"/>
      <c r="N272" s="88"/>
      <c r="O272" s="88"/>
      <c r="P272" s="88">
        <f t="shared" si="60"/>
        <v>13572659</v>
      </c>
      <c r="Q272" s="142"/>
    </row>
    <row r="273" spans="1:17" s="71" customFormat="1" ht="21.75" customHeight="1" x14ac:dyDescent="0.2">
      <c r="A273" s="69" t="s">
        <v>306</v>
      </c>
      <c r="B273" s="69" t="str">
        <f>'дод 3'!A201</f>
        <v>9110</v>
      </c>
      <c r="C273" s="69" t="str">
        <f>'дод 3'!B201</f>
        <v>0180</v>
      </c>
      <c r="D273" s="72" t="str">
        <f>'дод 3'!C201</f>
        <v>Реверсна дотація</v>
      </c>
      <c r="E273" s="88">
        <f>F273+I273</f>
        <v>111090200</v>
      </c>
      <c r="F273" s="88">
        <f>111262200-172000</f>
        <v>111090200</v>
      </c>
      <c r="G273" s="88"/>
      <c r="H273" s="88"/>
      <c r="I273" s="88"/>
      <c r="J273" s="88">
        <f t="shared" ref="J273:J276" si="61">L273+O273</f>
        <v>0</v>
      </c>
      <c r="K273" s="88"/>
      <c r="L273" s="88"/>
      <c r="M273" s="88"/>
      <c r="N273" s="88"/>
      <c r="O273" s="88"/>
      <c r="P273" s="88">
        <f t="shared" si="60"/>
        <v>111090200</v>
      </c>
      <c r="Q273" s="142"/>
    </row>
    <row r="274" spans="1:17" s="71" customFormat="1" ht="80.25" hidden="1" customHeight="1" x14ac:dyDescent="0.2">
      <c r="A274" s="69" t="s">
        <v>533</v>
      </c>
      <c r="B274" s="69" t="s">
        <v>535</v>
      </c>
      <c r="C274" s="69" t="s">
        <v>69</v>
      </c>
      <c r="D274" s="85" t="s">
        <v>534</v>
      </c>
      <c r="E274" s="88">
        <f>F274+I274</f>
        <v>0</v>
      </c>
      <c r="F274" s="88"/>
      <c r="G274" s="88"/>
      <c r="H274" s="88"/>
      <c r="I274" s="88"/>
      <c r="J274" s="88">
        <f t="shared" si="61"/>
        <v>0</v>
      </c>
      <c r="K274" s="88"/>
      <c r="L274" s="88"/>
      <c r="M274" s="88"/>
      <c r="N274" s="88"/>
      <c r="O274" s="88"/>
      <c r="P274" s="88">
        <f t="shared" si="60"/>
        <v>0</v>
      </c>
      <c r="Q274" s="142"/>
    </row>
    <row r="275" spans="1:17" s="71" customFormat="1" ht="15" hidden="1" customHeight="1" x14ac:dyDescent="0.2">
      <c r="A275" s="69"/>
      <c r="B275" s="69"/>
      <c r="C275" s="69"/>
      <c r="D275" s="70" t="s">
        <v>345</v>
      </c>
      <c r="E275" s="88">
        <f>F275+I275</f>
        <v>0</v>
      </c>
      <c r="F275" s="88"/>
      <c r="G275" s="88"/>
      <c r="H275" s="88"/>
      <c r="I275" s="88"/>
      <c r="J275" s="88">
        <f t="shared" si="61"/>
        <v>0</v>
      </c>
      <c r="K275" s="88"/>
      <c r="L275" s="88"/>
      <c r="M275" s="88"/>
      <c r="N275" s="88"/>
      <c r="O275" s="88"/>
      <c r="P275" s="88">
        <f t="shared" si="60"/>
        <v>0</v>
      </c>
      <c r="Q275" s="142"/>
    </row>
    <row r="276" spans="1:17" s="71" customFormat="1" ht="21.75" customHeight="1" x14ac:dyDescent="0.2">
      <c r="A276" s="69" t="s">
        <v>417</v>
      </c>
      <c r="B276" s="69" t="str">
        <f>'дод 3'!A207</f>
        <v>9770</v>
      </c>
      <c r="C276" s="69" t="str">
        <f>'дод 3'!B207</f>
        <v>0180</v>
      </c>
      <c r="D276" s="72" t="str">
        <f>'дод 3'!C207</f>
        <v xml:space="preserve">Інші субвенції з місцевого бюджету </v>
      </c>
      <c r="E276" s="88">
        <f>F276+I276</f>
        <v>0</v>
      </c>
      <c r="F276" s="88"/>
      <c r="G276" s="88"/>
      <c r="H276" s="88"/>
      <c r="I276" s="88"/>
      <c r="J276" s="88">
        <f t="shared" si="61"/>
        <v>500000</v>
      </c>
      <c r="K276" s="88">
        <v>500000</v>
      </c>
      <c r="L276" s="88"/>
      <c r="M276" s="88"/>
      <c r="N276" s="88"/>
      <c r="O276" s="88">
        <v>500000</v>
      </c>
      <c r="P276" s="88">
        <f t="shared" si="60"/>
        <v>500000</v>
      </c>
      <c r="Q276" s="143"/>
    </row>
    <row r="277" spans="1:17" s="97" customFormat="1" ht="20.25" customHeight="1" x14ac:dyDescent="0.2">
      <c r="A277" s="93"/>
      <c r="B277" s="94"/>
      <c r="C277" s="94"/>
      <c r="D277" s="95" t="s">
        <v>34</v>
      </c>
      <c r="E277" s="96">
        <f>E12+E50+E77+E107+E172+E179+E190+E218+E222+E244+E251+E254+E264</f>
        <v>2569076547.6599998</v>
      </c>
      <c r="F277" s="96">
        <f t="shared" ref="F277:P277" si="62">F12+F50+F77+F107+F172+F179+F190+F218+F222+F244+F251+F254+F264</f>
        <v>2534466888.6599998</v>
      </c>
      <c r="G277" s="96">
        <f t="shared" si="62"/>
        <v>787462573</v>
      </c>
      <c r="H277" s="96">
        <f t="shared" si="62"/>
        <v>109411466</v>
      </c>
      <c r="I277" s="96">
        <f t="shared" si="62"/>
        <v>21037000</v>
      </c>
      <c r="J277" s="96">
        <f t="shared" si="62"/>
        <v>617021025</v>
      </c>
      <c r="K277" s="96">
        <f t="shared" si="62"/>
        <v>504296766</v>
      </c>
      <c r="L277" s="96">
        <f t="shared" si="62"/>
        <v>72837186</v>
      </c>
      <c r="M277" s="96">
        <f t="shared" si="62"/>
        <v>7954920</v>
      </c>
      <c r="N277" s="96">
        <f t="shared" si="62"/>
        <v>2775444</v>
      </c>
      <c r="O277" s="96">
        <f t="shared" si="62"/>
        <v>544183839</v>
      </c>
      <c r="P277" s="96">
        <f t="shared" si="62"/>
        <v>3186097572.6599998</v>
      </c>
      <c r="Q277" s="143"/>
    </row>
    <row r="278" spans="1:17" s="97" customFormat="1" ht="15.75" customHeight="1" x14ac:dyDescent="0.2">
      <c r="A278" s="93"/>
      <c r="B278" s="94"/>
      <c r="C278" s="94"/>
      <c r="D278" s="95" t="s">
        <v>345</v>
      </c>
      <c r="E278" s="96">
        <f t="shared" ref="E278:P278" si="63">E52+E79+E109+E174+E181+E192+E224+E266</f>
        <v>1150805673</v>
      </c>
      <c r="F278" s="96">
        <f t="shared" si="63"/>
        <v>1150805673</v>
      </c>
      <c r="G278" s="96">
        <f t="shared" si="63"/>
        <v>256919167</v>
      </c>
      <c r="H278" s="96">
        <f t="shared" si="63"/>
        <v>0</v>
      </c>
      <c r="I278" s="96">
        <f t="shared" si="63"/>
        <v>0</v>
      </c>
      <c r="J278" s="96">
        <f t="shared" si="63"/>
        <v>134786</v>
      </c>
      <c r="K278" s="96">
        <f t="shared" si="63"/>
        <v>134786</v>
      </c>
      <c r="L278" s="96">
        <f t="shared" si="63"/>
        <v>0</v>
      </c>
      <c r="M278" s="96">
        <f t="shared" si="63"/>
        <v>0</v>
      </c>
      <c r="N278" s="96">
        <f t="shared" si="63"/>
        <v>0</v>
      </c>
      <c r="O278" s="96">
        <f t="shared" si="63"/>
        <v>134786</v>
      </c>
      <c r="P278" s="96">
        <f t="shared" si="63"/>
        <v>1150940459</v>
      </c>
      <c r="Q278" s="143"/>
    </row>
    <row r="279" spans="1:17" x14ac:dyDescent="0.25">
      <c r="D279" s="132"/>
      <c r="E279" s="133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111"/>
      <c r="Q279" s="143"/>
    </row>
    <row r="280" spans="1:17" x14ac:dyDescent="0.25">
      <c r="P280" s="111"/>
      <c r="Q280" s="143"/>
    </row>
    <row r="281" spans="1:17" x14ac:dyDescent="0.25">
      <c r="P281" s="111"/>
      <c r="Q281" s="143"/>
    </row>
    <row r="282" spans="1:17" ht="58.5" customHeight="1" x14ac:dyDescent="0.25">
      <c r="P282" s="111"/>
      <c r="Q282" s="143"/>
    </row>
    <row r="283" spans="1:17" ht="27.75" x14ac:dyDescent="0.2">
      <c r="A283" s="135" t="s">
        <v>573</v>
      </c>
      <c r="B283" s="135"/>
      <c r="C283" s="135"/>
      <c r="D283" s="135"/>
      <c r="E283" s="135"/>
      <c r="F283" s="122"/>
      <c r="G283" s="122"/>
      <c r="H283" s="122"/>
      <c r="I283" s="122"/>
      <c r="J283" s="122"/>
      <c r="K283" s="122"/>
      <c r="L283" s="122"/>
      <c r="M283" s="145" t="s">
        <v>574</v>
      </c>
      <c r="N283" s="145"/>
      <c r="O283" s="145"/>
      <c r="P283" s="123"/>
      <c r="Q283" s="143"/>
    </row>
    <row r="284" spans="1:17" ht="27.75" x14ac:dyDescent="0.4">
      <c r="A284" s="37"/>
      <c r="B284" s="135"/>
      <c r="C284" s="135"/>
      <c r="D284" s="135"/>
      <c r="E284" s="135"/>
      <c r="F284" s="135"/>
      <c r="G284" s="135"/>
      <c r="H284" s="135"/>
      <c r="I284" s="122"/>
      <c r="J284" s="122"/>
      <c r="K284" s="124"/>
      <c r="L284" s="122"/>
      <c r="M284" s="38"/>
      <c r="N284" s="38"/>
      <c r="O284" s="38"/>
      <c r="P284" s="125"/>
      <c r="Q284" s="143"/>
    </row>
    <row r="285" spans="1:17" ht="27.75" customHeight="1" x14ac:dyDescent="0.4">
      <c r="A285" s="126" t="s">
        <v>575</v>
      </c>
      <c r="B285" s="127"/>
      <c r="C285" s="128"/>
      <c r="D285" s="127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127"/>
      <c r="P285" s="125"/>
      <c r="Q285" s="143"/>
    </row>
    <row r="286" spans="1:17" ht="27.75" x14ac:dyDescent="0.4">
      <c r="A286" s="47"/>
      <c r="B286" s="45"/>
      <c r="C286" s="45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2"/>
      <c r="P286" s="32"/>
      <c r="Q286" s="143"/>
    </row>
    <row r="287" spans="1:17" x14ac:dyDescent="0.25">
      <c r="E287" s="65">
        <f>E277-'дод 3'!D210</f>
        <v>0</v>
      </c>
      <c r="F287" s="65">
        <f>F277-'дод 3'!E210</f>
        <v>0</v>
      </c>
      <c r="G287" s="65">
        <f>G277-'дод 3'!F210</f>
        <v>0</v>
      </c>
      <c r="H287" s="65">
        <f>H277-'дод 3'!G210</f>
        <v>0</v>
      </c>
      <c r="I287" s="65">
        <f>I277-'дод 3'!H210</f>
        <v>0</v>
      </c>
      <c r="J287" s="65">
        <f>J277-'дод 3'!I210</f>
        <v>0</v>
      </c>
      <c r="K287" s="65">
        <f>K277-'дод 3'!J210</f>
        <v>0</v>
      </c>
      <c r="L287" s="65">
        <f>L277-'дод 3'!K210</f>
        <v>0</v>
      </c>
      <c r="M287" s="65">
        <f>M277-'дод 3'!L210</f>
        <v>0</v>
      </c>
      <c r="N287" s="65">
        <f>N277-'дод 3'!M210</f>
        <v>0</v>
      </c>
      <c r="O287" s="65">
        <f>O277-'дод 3'!N210</f>
        <v>0</v>
      </c>
      <c r="P287" s="65">
        <f>P277-'дод 3'!O210</f>
        <v>0</v>
      </c>
      <c r="Q287" s="143"/>
    </row>
    <row r="288" spans="1:17" x14ac:dyDescent="0.25">
      <c r="E288" s="65">
        <f>E278-'дод 3'!D211</f>
        <v>0</v>
      </c>
      <c r="F288" s="65">
        <f>F278-'дод 3'!E211</f>
        <v>0</v>
      </c>
      <c r="G288" s="65">
        <f>G278-'дод 3'!F211</f>
        <v>0</v>
      </c>
      <c r="H288" s="65">
        <f>H278-'дод 3'!G211</f>
        <v>0</v>
      </c>
      <c r="I288" s="65">
        <f>I278-'дод 3'!H211</f>
        <v>0</v>
      </c>
      <c r="J288" s="65">
        <f>J278-'дод 3'!I211</f>
        <v>0</v>
      </c>
      <c r="K288" s="65">
        <f>K278-'дод 3'!J211</f>
        <v>0</v>
      </c>
      <c r="L288" s="65">
        <f>L278-'дод 3'!K211</f>
        <v>0</v>
      </c>
      <c r="M288" s="65">
        <f>M278-'дод 3'!L211</f>
        <v>0</v>
      </c>
      <c r="N288" s="65">
        <f>N278-'дод 3'!M211</f>
        <v>0</v>
      </c>
      <c r="O288" s="65">
        <f>O278-'дод 3'!N211</f>
        <v>0</v>
      </c>
      <c r="P288" s="65">
        <f>P278-'дод 3'!O211</f>
        <v>0</v>
      </c>
      <c r="Q288" s="143"/>
    </row>
    <row r="289" spans="5:17" x14ac:dyDescent="0.25">
      <c r="E289" s="65">
        <f>E277-'дод 3'!D210</f>
        <v>0</v>
      </c>
      <c r="F289" s="65">
        <f>F277-'дод 3'!E210</f>
        <v>0</v>
      </c>
      <c r="G289" s="65">
        <f>G277-'дод 3'!F210</f>
        <v>0</v>
      </c>
      <c r="H289" s="65">
        <f>H277-'дод 3'!G210</f>
        <v>0</v>
      </c>
      <c r="I289" s="65">
        <f>I277-'дод 3'!H210</f>
        <v>0</v>
      </c>
      <c r="J289" s="65">
        <f>J277-'дод 3'!I210</f>
        <v>0</v>
      </c>
      <c r="K289" s="65">
        <f>K277-'дод 3'!J210</f>
        <v>0</v>
      </c>
      <c r="L289" s="65">
        <f>L277-'дод 3'!K210</f>
        <v>0</v>
      </c>
      <c r="M289" s="65">
        <f>M277-'дод 3'!L210</f>
        <v>0</v>
      </c>
      <c r="N289" s="65">
        <f>N277-'дод 3'!M210</f>
        <v>0</v>
      </c>
      <c r="O289" s="65">
        <f>O277-'дод 3'!N210</f>
        <v>0</v>
      </c>
      <c r="P289" s="65">
        <f>P277-'дод 3'!O210</f>
        <v>0</v>
      </c>
      <c r="Q289" s="143"/>
    </row>
    <row r="290" spans="5:17" x14ac:dyDescent="0.25">
      <c r="E290" s="65">
        <f>E278-'дод 3'!D211</f>
        <v>0</v>
      </c>
      <c r="F290" s="65">
        <f>F278-'дод 3'!E211</f>
        <v>0</v>
      </c>
      <c r="G290" s="65">
        <f>G278-'дод 3'!F211</f>
        <v>0</v>
      </c>
      <c r="H290" s="65">
        <f>H278-'дод 3'!G211</f>
        <v>0</v>
      </c>
      <c r="I290" s="65">
        <f>I278-'дод 3'!H211</f>
        <v>0</v>
      </c>
      <c r="J290" s="65">
        <f>J278-'дод 3'!I211</f>
        <v>0</v>
      </c>
      <c r="K290" s="65">
        <f>K278-'дод 3'!J211</f>
        <v>0</v>
      </c>
      <c r="L290" s="65">
        <f>L278-'дод 3'!K211</f>
        <v>0</v>
      </c>
      <c r="M290" s="65">
        <f>M278-'дод 3'!L211</f>
        <v>0</v>
      </c>
      <c r="N290" s="65">
        <f>N278-'дод 3'!M211</f>
        <v>0</v>
      </c>
      <c r="O290" s="65">
        <f>O278-'дод 3'!N211</f>
        <v>0</v>
      </c>
      <c r="P290" s="65">
        <f>P278-'дод 3'!O211</f>
        <v>0</v>
      </c>
      <c r="Q290" s="143"/>
    </row>
    <row r="291" spans="5:17" x14ac:dyDescent="0.25">
      <c r="P291" s="111"/>
      <c r="Q291" s="143"/>
    </row>
    <row r="292" spans="5:17" x14ac:dyDescent="0.25">
      <c r="P292" s="111"/>
      <c r="Q292" s="143"/>
    </row>
    <row r="293" spans="5:17" x14ac:dyDescent="0.25">
      <c r="P293" s="111"/>
      <c r="Q293" s="143"/>
    </row>
    <row r="294" spans="5:17" x14ac:dyDescent="0.25">
      <c r="P294" s="111"/>
      <c r="Q294" s="143"/>
    </row>
    <row r="295" spans="5:17" x14ac:dyDescent="0.25">
      <c r="P295" s="111"/>
      <c r="Q295" s="143"/>
    </row>
    <row r="296" spans="5:17" x14ac:dyDescent="0.25">
      <c r="P296" s="111"/>
      <c r="Q296" s="143"/>
    </row>
    <row r="297" spans="5:17" x14ac:dyDescent="0.25">
      <c r="P297" s="111"/>
      <c r="Q297" s="143"/>
    </row>
    <row r="298" spans="5:17" x14ac:dyDescent="0.25">
      <c r="P298" s="111"/>
      <c r="Q298" s="143"/>
    </row>
    <row r="299" spans="5:17" x14ac:dyDescent="0.25">
      <c r="P299" s="111"/>
    </row>
    <row r="300" spans="5:17" x14ac:dyDescent="0.25">
      <c r="P300" s="111"/>
    </row>
    <row r="301" spans="5:17" x14ac:dyDescent="0.25">
      <c r="P301" s="111"/>
    </row>
    <row r="302" spans="5:17" x14ac:dyDescent="0.25">
      <c r="P302" s="111"/>
    </row>
    <row r="303" spans="5:17" x14ac:dyDescent="0.25">
      <c r="P303" s="111"/>
    </row>
    <row r="304" spans="5:17" x14ac:dyDescent="0.25">
      <c r="P304" s="111"/>
    </row>
    <row r="305" spans="16:16" x14ac:dyDescent="0.25">
      <c r="P305" s="111"/>
    </row>
    <row r="306" spans="16:16" x14ac:dyDescent="0.25">
      <c r="P306" s="114"/>
    </row>
  </sheetData>
  <mergeCells count="29">
    <mergeCell ref="M283:O283"/>
    <mergeCell ref="P9:P11"/>
    <mergeCell ref="O10:O11"/>
    <mergeCell ref="L1:O1"/>
    <mergeCell ref="L5:P5"/>
    <mergeCell ref="L6:P6"/>
    <mergeCell ref="D7:P7"/>
    <mergeCell ref="Q268:Q298"/>
    <mergeCell ref="Q1:Q39"/>
    <mergeCell ref="Q40:Q81"/>
    <mergeCell ref="Q82:Q180"/>
    <mergeCell ref="Q182:Q225"/>
    <mergeCell ref="Q226:Q267"/>
    <mergeCell ref="B284:H284"/>
    <mergeCell ref="A9:A11"/>
    <mergeCell ref="E10:E11"/>
    <mergeCell ref="M10:N10"/>
    <mergeCell ref="J10:J11"/>
    <mergeCell ref="G10:H10"/>
    <mergeCell ref="I10:I11"/>
    <mergeCell ref="L10:L11"/>
    <mergeCell ref="F10:F11"/>
    <mergeCell ref="E9:I9"/>
    <mergeCell ref="D9:D11"/>
    <mergeCell ref="C9:C11"/>
    <mergeCell ref="K10:K11"/>
    <mergeCell ref="J9:O9"/>
    <mergeCell ref="B9:B11"/>
    <mergeCell ref="A283:E283"/>
  </mergeCells>
  <phoneticPr fontId="3" type="noConversion"/>
  <printOptions horizontalCentered="1"/>
  <pageMargins left="0.31496062992125984" right="0.31496062992125984" top="0.74803149606299213" bottom="0.39370078740157483" header="0.31496062992125984" footer="0.19685039370078741"/>
  <pageSetup paperSize="9" scale="43" fitToHeight="100" orientation="landscape" useFirstPageNumber="1" horizontalDpi="300" verticalDpi="300" r:id="rId1"/>
  <headerFooter scaleWithDoc="0" alignWithMargins="0">
    <oddFooter>&amp;R&amp;11Сторінка &amp;P</oddFooter>
  </headerFooter>
  <rowBreaks count="1" manualBreakCount="1">
    <brk id="26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2"/>
  <sheetViews>
    <sheetView showGridLines="0" showZeros="0" tabSelected="1" view="pageBreakPreview" topLeftCell="A172" zoomScale="55" zoomScaleNormal="55" zoomScaleSheetLayoutView="55" workbookViewId="0">
      <selection activeCell="C133" sqref="C133"/>
    </sheetView>
  </sheetViews>
  <sheetFormatPr defaultColWidth="9.1640625" defaultRowHeight="15.75" x14ac:dyDescent="0.25"/>
  <cols>
    <col min="1" max="1" width="19.1640625" style="3" customWidth="1"/>
    <col min="2" max="2" width="20.5" style="1" customWidth="1"/>
    <col min="3" max="3" width="69" style="24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10" width="21.6640625" style="2" customWidth="1"/>
    <col min="11" max="11" width="20.33203125" style="2" customWidth="1"/>
    <col min="12" max="12" width="18.6640625" style="2" customWidth="1"/>
    <col min="13" max="13" width="18" style="2" customWidth="1"/>
    <col min="14" max="14" width="20.33203125" style="2" customWidth="1"/>
    <col min="15" max="15" width="24.5" style="2" customWidth="1"/>
    <col min="16" max="16" width="7.33203125" style="115" customWidth="1"/>
    <col min="17" max="16384" width="9.1640625" style="2"/>
  </cols>
  <sheetData>
    <row r="1" spans="1:16" ht="26.25" customHeight="1" x14ac:dyDescent="0.25">
      <c r="A1" s="11"/>
      <c r="K1" s="146" t="s">
        <v>572</v>
      </c>
      <c r="L1" s="146"/>
      <c r="M1" s="146"/>
      <c r="N1" s="146"/>
      <c r="O1" s="134"/>
      <c r="P1" s="158"/>
    </row>
    <row r="2" spans="1:16" ht="26.25" customHeight="1" x14ac:dyDescent="0.25">
      <c r="A2" s="11"/>
      <c r="K2" s="134" t="s">
        <v>576</v>
      </c>
      <c r="L2" s="134"/>
      <c r="M2" s="134"/>
      <c r="N2" s="134"/>
      <c r="O2" s="134"/>
      <c r="P2" s="158"/>
    </row>
    <row r="3" spans="1:16" ht="26.25" customHeight="1" x14ac:dyDescent="0.25">
      <c r="A3" s="11"/>
      <c r="K3" s="134" t="s">
        <v>577</v>
      </c>
      <c r="L3" s="134"/>
      <c r="M3" s="134"/>
      <c r="N3" s="134"/>
      <c r="O3" s="134"/>
      <c r="P3" s="158"/>
    </row>
    <row r="4" spans="1:16" ht="26.25" customHeight="1" x14ac:dyDescent="0.25">
      <c r="A4" s="11"/>
      <c r="K4" s="134" t="s">
        <v>578</v>
      </c>
      <c r="L4" s="134"/>
      <c r="M4" s="134"/>
      <c r="N4" s="134"/>
      <c r="O4" s="134"/>
      <c r="P4" s="158"/>
    </row>
    <row r="5" spans="1:16" ht="26.25" customHeight="1" x14ac:dyDescent="0.25">
      <c r="A5" s="11"/>
      <c r="K5" s="147" t="s">
        <v>580</v>
      </c>
      <c r="L5" s="147"/>
      <c r="M5" s="147"/>
      <c r="N5" s="147"/>
      <c r="O5" s="147"/>
      <c r="P5" s="158"/>
    </row>
    <row r="6" spans="1:16" ht="26.25" x14ac:dyDescent="0.25">
      <c r="A6" s="11"/>
      <c r="K6" s="148"/>
      <c r="L6" s="148"/>
      <c r="M6" s="148"/>
      <c r="N6" s="148"/>
      <c r="O6" s="148"/>
      <c r="P6" s="158"/>
    </row>
    <row r="7" spans="1:16" x14ac:dyDescent="0.25">
      <c r="A7" s="11"/>
      <c r="P7" s="158"/>
    </row>
    <row r="8" spans="1:16" ht="45.75" customHeight="1" x14ac:dyDescent="0.25">
      <c r="A8" s="164" t="s">
        <v>555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58"/>
    </row>
    <row r="9" spans="1:16" s="57" customFormat="1" ht="24" customHeight="1" x14ac:dyDescent="0.3">
      <c r="A9" s="54"/>
      <c r="B9" s="55"/>
      <c r="C9" s="56"/>
      <c r="O9" s="57" t="s">
        <v>304</v>
      </c>
      <c r="P9" s="158"/>
    </row>
    <row r="10" spans="1:16" s="14" customFormat="1" ht="21.75" customHeight="1" x14ac:dyDescent="0.25">
      <c r="A10" s="163" t="s">
        <v>560</v>
      </c>
      <c r="B10" s="163" t="s">
        <v>561</v>
      </c>
      <c r="C10" s="163" t="s">
        <v>564</v>
      </c>
      <c r="D10" s="155" t="s">
        <v>296</v>
      </c>
      <c r="E10" s="155"/>
      <c r="F10" s="155"/>
      <c r="G10" s="155"/>
      <c r="H10" s="155"/>
      <c r="I10" s="152" t="s">
        <v>297</v>
      </c>
      <c r="J10" s="153"/>
      <c r="K10" s="153"/>
      <c r="L10" s="153"/>
      <c r="M10" s="153"/>
      <c r="N10" s="154"/>
      <c r="O10" s="155" t="s">
        <v>298</v>
      </c>
      <c r="P10" s="158"/>
    </row>
    <row r="11" spans="1:16" s="14" customFormat="1" ht="29.25" customHeight="1" x14ac:dyDescent="0.25">
      <c r="A11" s="163"/>
      <c r="B11" s="163"/>
      <c r="C11" s="163"/>
      <c r="D11" s="155" t="s">
        <v>562</v>
      </c>
      <c r="E11" s="155" t="s">
        <v>299</v>
      </c>
      <c r="F11" s="153" t="s">
        <v>300</v>
      </c>
      <c r="G11" s="154"/>
      <c r="H11" s="155" t="s">
        <v>301</v>
      </c>
      <c r="I11" s="155" t="s">
        <v>562</v>
      </c>
      <c r="J11" s="150" t="s">
        <v>563</v>
      </c>
      <c r="K11" s="155" t="s">
        <v>299</v>
      </c>
      <c r="L11" s="155" t="s">
        <v>300</v>
      </c>
      <c r="M11" s="155"/>
      <c r="N11" s="155" t="s">
        <v>301</v>
      </c>
      <c r="O11" s="155"/>
      <c r="P11" s="158"/>
    </row>
    <row r="12" spans="1:16" s="14" customFormat="1" ht="75.75" customHeight="1" x14ac:dyDescent="0.25">
      <c r="A12" s="163"/>
      <c r="B12" s="163"/>
      <c r="C12" s="163"/>
      <c r="D12" s="155"/>
      <c r="E12" s="155"/>
      <c r="F12" s="59" t="s">
        <v>302</v>
      </c>
      <c r="G12" s="59" t="s">
        <v>303</v>
      </c>
      <c r="H12" s="155"/>
      <c r="I12" s="155"/>
      <c r="J12" s="151"/>
      <c r="K12" s="155"/>
      <c r="L12" s="59" t="s">
        <v>302</v>
      </c>
      <c r="M12" s="59" t="s">
        <v>303</v>
      </c>
      <c r="N12" s="155"/>
      <c r="O12" s="155"/>
      <c r="P12" s="158"/>
    </row>
    <row r="13" spans="1:16" s="14" customFormat="1" ht="27.75" customHeight="1" x14ac:dyDescent="0.25">
      <c r="A13" s="15" t="s">
        <v>67</v>
      </c>
      <c r="B13" s="21"/>
      <c r="C13" s="22" t="s">
        <v>68</v>
      </c>
      <c r="D13" s="31">
        <f>D14+D15</f>
        <v>221994300</v>
      </c>
      <c r="E13" s="31">
        <f t="shared" ref="E13:O13" si="0">E14+E15</f>
        <v>221994300</v>
      </c>
      <c r="F13" s="31">
        <f t="shared" si="0"/>
        <v>168397747</v>
      </c>
      <c r="G13" s="31">
        <f t="shared" si="0"/>
        <v>4362476</v>
      </c>
      <c r="H13" s="31">
        <f t="shared" si="0"/>
        <v>0</v>
      </c>
      <c r="I13" s="31">
        <f t="shared" si="0"/>
        <v>6977000</v>
      </c>
      <c r="J13" s="31">
        <f t="shared" ref="J13" si="1">J14+J15</f>
        <v>3977000</v>
      </c>
      <c r="K13" s="31">
        <f t="shared" si="0"/>
        <v>3000000</v>
      </c>
      <c r="L13" s="31">
        <f t="shared" si="0"/>
        <v>2217000</v>
      </c>
      <c r="M13" s="31">
        <f t="shared" si="0"/>
        <v>90900</v>
      </c>
      <c r="N13" s="31">
        <f t="shared" si="0"/>
        <v>3977000</v>
      </c>
      <c r="O13" s="31">
        <f t="shared" si="0"/>
        <v>228971300</v>
      </c>
      <c r="P13" s="158"/>
    </row>
    <row r="14" spans="1:16" ht="57.75" customHeight="1" x14ac:dyDescent="0.25">
      <c r="A14" s="3" t="s">
        <v>153</v>
      </c>
      <c r="B14" s="3" t="s">
        <v>70</v>
      </c>
      <c r="C14" s="12" t="s">
        <v>154</v>
      </c>
      <c r="D14" s="28">
        <f>'дод 2'!E14+'дод 2'!E53+'дод 2'!E80+'дод 2'!E110+'дод 2'!E175+'дод 2'!E182+'дод 2'!E193+'дод 2'!E220+'дод 2'!E225+'дод 2'!E246+'дод 2'!E253+'дод 2'!E256+'дод 2'!E267</f>
        <v>221784300</v>
      </c>
      <c r="E14" s="28">
        <f>'дод 2'!F14+'дод 2'!F53+'дод 2'!F80+'дод 2'!F110+'дод 2'!F175+'дод 2'!F182+'дод 2'!F193+'дод 2'!F220+'дод 2'!F225+'дод 2'!F246+'дод 2'!F253+'дод 2'!F256+'дод 2'!F267</f>
        <v>221784300</v>
      </c>
      <c r="F14" s="28">
        <f>'дод 2'!G14+'дод 2'!G53+'дод 2'!G80+'дод 2'!G110+'дод 2'!G175+'дод 2'!G182+'дод 2'!G193+'дод 2'!G220+'дод 2'!G225+'дод 2'!G246+'дод 2'!G253+'дод 2'!G256+'дод 2'!G267</f>
        <v>168397747</v>
      </c>
      <c r="G14" s="28">
        <f>'дод 2'!H14+'дод 2'!H53+'дод 2'!H80+'дод 2'!H110+'дод 2'!H175+'дод 2'!H182+'дод 2'!H193+'дод 2'!H220+'дод 2'!H225+'дод 2'!H246+'дод 2'!H253+'дод 2'!H256+'дод 2'!H267</f>
        <v>4362476</v>
      </c>
      <c r="H14" s="28">
        <f>'дод 2'!I14+'дод 2'!I53+'дод 2'!I80+'дод 2'!I110+'дод 2'!I175+'дод 2'!I182+'дод 2'!I193+'дод 2'!I220+'дод 2'!I225+'дод 2'!I246+'дод 2'!I253+'дод 2'!I256+'дод 2'!I267</f>
        <v>0</v>
      </c>
      <c r="I14" s="28">
        <f>'дод 2'!J14+'дод 2'!J53+'дод 2'!J80+'дод 2'!J110+'дод 2'!J175+'дод 2'!J182+'дод 2'!J193+'дод 2'!J220+'дод 2'!J225+'дод 2'!J246+'дод 2'!J253+'дод 2'!J256+'дод 2'!J267</f>
        <v>6977000</v>
      </c>
      <c r="J14" s="28">
        <f>'дод 2'!K14+'дод 2'!K53+'дод 2'!K80+'дод 2'!K110+'дод 2'!K175+'дод 2'!K182+'дод 2'!K193+'дод 2'!K220+'дод 2'!K225+'дод 2'!K246+'дод 2'!K253+'дод 2'!K256+'дод 2'!K267</f>
        <v>3977000</v>
      </c>
      <c r="K14" s="28">
        <f>'дод 2'!L14+'дод 2'!L53+'дод 2'!L80+'дод 2'!L110+'дод 2'!L175+'дод 2'!L182+'дод 2'!L193+'дод 2'!L220+'дод 2'!L225+'дод 2'!L246+'дод 2'!L253+'дод 2'!L256+'дод 2'!L267</f>
        <v>3000000</v>
      </c>
      <c r="L14" s="28">
        <f>'дод 2'!M14+'дод 2'!M53+'дод 2'!M80+'дод 2'!M110+'дод 2'!M175+'дод 2'!M182+'дод 2'!M193+'дод 2'!M220+'дод 2'!M225+'дод 2'!M246+'дод 2'!M253+'дод 2'!M256+'дод 2'!M267</f>
        <v>2217000</v>
      </c>
      <c r="M14" s="28">
        <f>'дод 2'!N14+'дод 2'!N53+'дод 2'!N80+'дод 2'!N110+'дод 2'!N175+'дод 2'!N182+'дод 2'!N193+'дод 2'!N220+'дод 2'!N225+'дод 2'!N246+'дод 2'!N253+'дод 2'!N256+'дод 2'!N267</f>
        <v>90900</v>
      </c>
      <c r="N14" s="28">
        <f>'дод 2'!O14+'дод 2'!O53+'дод 2'!O80+'дод 2'!O110+'дод 2'!O175+'дод 2'!O182+'дод 2'!O193+'дод 2'!O220+'дод 2'!O225+'дод 2'!O246+'дод 2'!O253+'дод 2'!O256+'дод 2'!O267</f>
        <v>3977000</v>
      </c>
      <c r="O14" s="28">
        <f>'дод 2'!P14+'дод 2'!P53+'дод 2'!P80+'дод 2'!P110+'дод 2'!P175+'дод 2'!P182+'дод 2'!P193+'дод 2'!P220+'дод 2'!P225+'дод 2'!P246+'дод 2'!P253+'дод 2'!P256+'дод 2'!P267</f>
        <v>228761300</v>
      </c>
      <c r="P14" s="158"/>
    </row>
    <row r="15" spans="1:16" ht="27" customHeight="1" x14ac:dyDescent="0.25">
      <c r="A15" s="3" t="s">
        <v>69</v>
      </c>
      <c r="B15" s="3" t="s">
        <v>126</v>
      </c>
      <c r="C15" s="12" t="s">
        <v>317</v>
      </c>
      <c r="D15" s="28">
        <f>'дод 2'!E15</f>
        <v>210000</v>
      </c>
      <c r="E15" s="28">
        <f>'дод 2'!F15</f>
        <v>210000</v>
      </c>
      <c r="F15" s="28">
        <f>'дод 2'!G15</f>
        <v>0</v>
      </c>
      <c r="G15" s="28">
        <f>'дод 2'!H15</f>
        <v>0</v>
      </c>
      <c r="H15" s="28">
        <f>'дод 2'!I15</f>
        <v>0</v>
      </c>
      <c r="I15" s="28">
        <f>'дод 2'!J15</f>
        <v>0</v>
      </c>
      <c r="J15" s="28">
        <f>'дод 2'!K15</f>
        <v>0</v>
      </c>
      <c r="K15" s="28">
        <f>'дод 2'!L15</f>
        <v>0</v>
      </c>
      <c r="L15" s="28">
        <f>'дод 2'!M15</f>
        <v>0</v>
      </c>
      <c r="M15" s="28">
        <f>'дод 2'!N15</f>
        <v>0</v>
      </c>
      <c r="N15" s="28">
        <f>'дод 2'!O15</f>
        <v>0</v>
      </c>
      <c r="O15" s="28">
        <f>'дод 2'!P15</f>
        <v>210000</v>
      </c>
      <c r="P15" s="158"/>
    </row>
    <row r="16" spans="1:16" s="14" customFormat="1" ht="24" customHeight="1" x14ac:dyDescent="0.25">
      <c r="A16" s="15" t="s">
        <v>71</v>
      </c>
      <c r="B16" s="21"/>
      <c r="C16" s="22" t="s">
        <v>72</v>
      </c>
      <c r="D16" s="31">
        <f>D18+D19+D21+D23+D25+D26+D27+D29+D30+D32</f>
        <v>862566893</v>
      </c>
      <c r="E16" s="31">
        <f t="shared" ref="E16:O16" si="2">E18+E19+E21+E23+E25+E26+E27+E29+E30+E32</f>
        <v>862566893</v>
      </c>
      <c r="F16" s="31">
        <f t="shared" si="2"/>
        <v>574533547</v>
      </c>
      <c r="G16" s="31">
        <f t="shared" si="2"/>
        <v>80240730</v>
      </c>
      <c r="H16" s="31">
        <f t="shared" si="2"/>
        <v>0</v>
      </c>
      <c r="I16" s="31">
        <f t="shared" si="2"/>
        <v>62788205</v>
      </c>
      <c r="J16" s="31">
        <f t="shared" si="2"/>
        <v>17307786</v>
      </c>
      <c r="K16" s="31">
        <f t="shared" si="2"/>
        <v>45358699</v>
      </c>
      <c r="L16" s="31">
        <f t="shared" si="2"/>
        <v>5498925</v>
      </c>
      <c r="M16" s="31">
        <f t="shared" si="2"/>
        <v>2628089</v>
      </c>
      <c r="N16" s="31">
        <f t="shared" si="2"/>
        <v>17429506</v>
      </c>
      <c r="O16" s="31">
        <f t="shared" si="2"/>
        <v>925355098</v>
      </c>
      <c r="P16" s="158"/>
    </row>
    <row r="17" spans="1:16" s="18" customFormat="1" ht="24" customHeight="1" x14ac:dyDescent="0.25">
      <c r="A17" s="15"/>
      <c r="B17" s="21"/>
      <c r="C17" s="7" t="s">
        <v>345</v>
      </c>
      <c r="D17" s="31">
        <f>D20+D22+D24+D31+D28</f>
        <v>313312583</v>
      </c>
      <c r="E17" s="31">
        <f t="shared" ref="E17:O17" si="3">E20+E22+E24+E31+E28</f>
        <v>313312583</v>
      </c>
      <c r="F17" s="31">
        <f t="shared" si="3"/>
        <v>256919167</v>
      </c>
      <c r="G17" s="31">
        <f t="shared" si="3"/>
        <v>0</v>
      </c>
      <c r="H17" s="31">
        <f t="shared" si="3"/>
        <v>0</v>
      </c>
      <c r="I17" s="31">
        <f t="shared" si="3"/>
        <v>134786</v>
      </c>
      <c r="J17" s="31">
        <f t="shared" si="3"/>
        <v>134786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134786</v>
      </c>
      <c r="O17" s="31">
        <f t="shared" si="3"/>
        <v>313447369</v>
      </c>
      <c r="P17" s="158"/>
    </row>
    <row r="18" spans="1:16" ht="27" customHeight="1" x14ac:dyDescent="0.25">
      <c r="A18" s="3" t="s">
        <v>73</v>
      </c>
      <c r="B18" s="3" t="s">
        <v>74</v>
      </c>
      <c r="C18" s="12" t="s">
        <v>189</v>
      </c>
      <c r="D18" s="28">
        <f>'дод 2'!E54</f>
        <v>213029620</v>
      </c>
      <c r="E18" s="28">
        <f>'дод 2'!F54</f>
        <v>213029620</v>
      </c>
      <c r="F18" s="28">
        <f>'дод 2'!G54</f>
        <v>134790000</v>
      </c>
      <c r="G18" s="28">
        <f>'дод 2'!H54</f>
        <v>25657600</v>
      </c>
      <c r="H18" s="28">
        <f>'дод 2'!I54</f>
        <v>0</v>
      </c>
      <c r="I18" s="28">
        <f>'дод 2'!J54</f>
        <v>21512311</v>
      </c>
      <c r="J18" s="28">
        <f>'дод 2'!K54</f>
        <v>5263000</v>
      </c>
      <c r="K18" s="28">
        <f>'дод 2'!L54</f>
        <v>16249311</v>
      </c>
      <c r="L18" s="28">
        <f>'дод 2'!M54</f>
        <v>0</v>
      </c>
      <c r="M18" s="28">
        <f>'дод 2'!N54</f>
        <v>0</v>
      </c>
      <c r="N18" s="28">
        <f>'дод 2'!O54</f>
        <v>5263000</v>
      </c>
      <c r="O18" s="28">
        <f>'дод 2'!P54</f>
        <v>234541931</v>
      </c>
      <c r="P18" s="158"/>
    </row>
    <row r="19" spans="1:16" ht="71.25" customHeight="1" x14ac:dyDescent="0.25">
      <c r="A19" s="3" t="s">
        <v>75</v>
      </c>
      <c r="B19" s="3" t="s">
        <v>76</v>
      </c>
      <c r="C19" s="12" t="s">
        <v>480</v>
      </c>
      <c r="D19" s="28">
        <f>'дод 2'!E55</f>
        <v>466090523</v>
      </c>
      <c r="E19" s="28">
        <f>'дод 2'!F55</f>
        <v>466090523</v>
      </c>
      <c r="F19" s="28">
        <f>'дод 2'!G55</f>
        <v>319962983</v>
      </c>
      <c r="G19" s="28">
        <f>'дод 2'!H55</f>
        <v>39027550</v>
      </c>
      <c r="H19" s="28">
        <f>'дод 2'!I55</f>
        <v>0</v>
      </c>
      <c r="I19" s="28">
        <f>'дод 2'!J55</f>
        <v>30331808</v>
      </c>
      <c r="J19" s="28">
        <f>'дод 2'!K55</f>
        <v>11324786</v>
      </c>
      <c r="K19" s="28">
        <f>'дод 2'!L55</f>
        <v>19007022</v>
      </c>
      <c r="L19" s="28">
        <f>'дод 2'!M55</f>
        <v>939364</v>
      </c>
      <c r="M19" s="28">
        <f>'дод 2'!N55</f>
        <v>38709</v>
      </c>
      <c r="N19" s="28">
        <f>'дод 2'!O55</f>
        <v>11324786</v>
      </c>
      <c r="O19" s="28">
        <f>'дод 2'!P55</f>
        <v>496422331</v>
      </c>
      <c r="P19" s="158"/>
    </row>
    <row r="20" spans="1:16" ht="28.5" customHeight="1" x14ac:dyDescent="0.25">
      <c r="B20" s="3"/>
      <c r="C20" s="9" t="s">
        <v>345</v>
      </c>
      <c r="D20" s="28">
        <f>'дод 2'!E56</f>
        <v>293627963</v>
      </c>
      <c r="E20" s="28">
        <f>'дод 2'!F56</f>
        <v>293627963</v>
      </c>
      <c r="F20" s="28">
        <f>'дод 2'!G56</f>
        <v>240776103</v>
      </c>
      <c r="G20" s="28">
        <f>'дод 2'!H56</f>
        <v>0</v>
      </c>
      <c r="H20" s="28">
        <f>'дод 2'!I56</f>
        <v>0</v>
      </c>
      <c r="I20" s="28">
        <f>'дод 2'!J56</f>
        <v>134786</v>
      </c>
      <c r="J20" s="28">
        <f>'дод 2'!K56</f>
        <v>134786</v>
      </c>
      <c r="K20" s="28">
        <f>'дод 2'!L56</f>
        <v>0</v>
      </c>
      <c r="L20" s="28">
        <f>'дод 2'!M56</f>
        <v>0</v>
      </c>
      <c r="M20" s="28">
        <f>'дод 2'!N56</f>
        <v>0</v>
      </c>
      <c r="N20" s="28">
        <f>'дод 2'!O56</f>
        <v>134786</v>
      </c>
      <c r="O20" s="28">
        <f>'дод 2'!P56</f>
        <v>293762749</v>
      </c>
      <c r="P20" s="158"/>
    </row>
    <row r="21" spans="1:16" ht="42.75" customHeight="1" x14ac:dyDescent="0.25">
      <c r="A21" s="3" t="s">
        <v>77</v>
      </c>
      <c r="B21" s="3" t="s">
        <v>76</v>
      </c>
      <c r="C21" s="12" t="s">
        <v>42</v>
      </c>
      <c r="D21" s="28">
        <f>'дод 2'!E57</f>
        <v>946850</v>
      </c>
      <c r="E21" s="28">
        <f>'дод 2'!F57</f>
        <v>946850</v>
      </c>
      <c r="F21" s="28">
        <f>'дод 2'!G57</f>
        <v>775000</v>
      </c>
      <c r="G21" s="28">
        <f>'дод 2'!H57</f>
        <v>0</v>
      </c>
      <c r="H21" s="28">
        <f>'дод 2'!I57</f>
        <v>0</v>
      </c>
      <c r="I21" s="28">
        <f>'дод 2'!J57</f>
        <v>0</v>
      </c>
      <c r="J21" s="28">
        <f>'дод 2'!K57</f>
        <v>0</v>
      </c>
      <c r="K21" s="28">
        <f>'дод 2'!L57</f>
        <v>0</v>
      </c>
      <c r="L21" s="28">
        <f>'дод 2'!M57</f>
        <v>0</v>
      </c>
      <c r="M21" s="28">
        <f>'дод 2'!N57</f>
        <v>0</v>
      </c>
      <c r="N21" s="28">
        <f>'дод 2'!O57</f>
        <v>0</v>
      </c>
      <c r="O21" s="28">
        <f>'дод 2'!P57</f>
        <v>946850</v>
      </c>
      <c r="P21" s="158"/>
    </row>
    <row r="22" spans="1:16" ht="24.75" customHeight="1" x14ac:dyDescent="0.25">
      <c r="B22" s="3"/>
      <c r="C22" s="9" t="s">
        <v>345</v>
      </c>
      <c r="D22" s="28">
        <f>'дод 2'!E58</f>
        <v>945500</v>
      </c>
      <c r="E22" s="28">
        <f>'дод 2'!F58</f>
        <v>945500</v>
      </c>
      <c r="F22" s="28">
        <f>'дод 2'!G58</f>
        <v>775000</v>
      </c>
      <c r="G22" s="28">
        <f>'дод 2'!H58</f>
        <v>0</v>
      </c>
      <c r="H22" s="28">
        <f>'дод 2'!I58</f>
        <v>0</v>
      </c>
      <c r="I22" s="28">
        <f>'дод 2'!J58</f>
        <v>0</v>
      </c>
      <c r="J22" s="28">
        <f>'дод 2'!K58</f>
        <v>0</v>
      </c>
      <c r="K22" s="28">
        <f>'дод 2'!L58</f>
        <v>0</v>
      </c>
      <c r="L22" s="28">
        <f>'дод 2'!M58</f>
        <v>0</v>
      </c>
      <c r="M22" s="28">
        <f>'дод 2'!N58</f>
        <v>0</v>
      </c>
      <c r="N22" s="28">
        <f>'дод 2'!O58</f>
        <v>0</v>
      </c>
      <c r="O22" s="28">
        <f>'дод 2'!P58</f>
        <v>945500</v>
      </c>
      <c r="P22" s="158"/>
    </row>
    <row r="23" spans="1:16" ht="87" customHeight="1" x14ac:dyDescent="0.25">
      <c r="A23" s="3" t="s">
        <v>79</v>
      </c>
      <c r="B23" s="3" t="s">
        <v>80</v>
      </c>
      <c r="C23" s="12" t="s">
        <v>155</v>
      </c>
      <c r="D23" s="28">
        <f>'дод 2'!E59</f>
        <v>8801450</v>
      </c>
      <c r="E23" s="28">
        <f>'дод 2'!F59</f>
        <v>8801450</v>
      </c>
      <c r="F23" s="28">
        <f>'дод 2'!G59</f>
        <v>6226400</v>
      </c>
      <c r="G23" s="28">
        <f>'дод 2'!H59</f>
        <v>758850</v>
      </c>
      <c r="H23" s="28">
        <f>'дод 2'!I59</f>
        <v>0</v>
      </c>
      <c r="I23" s="28">
        <f>'дод 2'!J59</f>
        <v>150000</v>
      </c>
      <c r="J23" s="28">
        <f>'дод 2'!K59</f>
        <v>150000</v>
      </c>
      <c r="K23" s="28">
        <f>'дод 2'!L59</f>
        <v>0</v>
      </c>
      <c r="L23" s="28">
        <f>'дод 2'!M59</f>
        <v>0</v>
      </c>
      <c r="M23" s="28">
        <f>'дод 2'!N59</f>
        <v>0</v>
      </c>
      <c r="N23" s="28">
        <f>'дод 2'!O59</f>
        <v>150000</v>
      </c>
      <c r="O23" s="28">
        <f>'дод 2'!P59</f>
        <v>8951450</v>
      </c>
      <c r="P23" s="158"/>
    </row>
    <row r="24" spans="1:16" ht="21.75" customHeight="1" x14ac:dyDescent="0.25">
      <c r="B24" s="3"/>
      <c r="C24" s="9" t="s">
        <v>345</v>
      </c>
      <c r="D24" s="28">
        <f>'дод 2'!E60</f>
        <v>6060400</v>
      </c>
      <c r="E24" s="28">
        <f>'дод 2'!F60</f>
        <v>6060400</v>
      </c>
      <c r="F24" s="28">
        <f>'дод 2'!G60</f>
        <v>4975700</v>
      </c>
      <c r="G24" s="28">
        <f>'дод 2'!H60</f>
        <v>0</v>
      </c>
      <c r="H24" s="28">
        <f>'дод 2'!I60</f>
        <v>0</v>
      </c>
      <c r="I24" s="28">
        <f>'дод 2'!J60</f>
        <v>0</v>
      </c>
      <c r="J24" s="28">
        <f>'дод 2'!K60</f>
        <v>0</v>
      </c>
      <c r="K24" s="28">
        <f>'дод 2'!L60</f>
        <v>0</v>
      </c>
      <c r="L24" s="28">
        <f>'дод 2'!M60</f>
        <v>0</v>
      </c>
      <c r="M24" s="28">
        <f>'дод 2'!N60</f>
        <v>0</v>
      </c>
      <c r="N24" s="28">
        <f>'дод 2'!O60</f>
        <v>0</v>
      </c>
      <c r="O24" s="28">
        <f>'дод 2'!P60</f>
        <v>6060400</v>
      </c>
      <c r="P24" s="158"/>
    </row>
    <row r="25" spans="1:16" ht="33" customHeight="1" x14ac:dyDescent="0.25">
      <c r="A25" s="3" t="s">
        <v>81</v>
      </c>
      <c r="B25" s="3" t="s">
        <v>82</v>
      </c>
      <c r="C25" s="12" t="s">
        <v>190</v>
      </c>
      <c r="D25" s="28">
        <f>'дод 2'!E61</f>
        <v>24404580</v>
      </c>
      <c r="E25" s="28">
        <f>'дод 2'!F61</f>
        <v>24404580</v>
      </c>
      <c r="F25" s="28">
        <f>'дод 2'!G61</f>
        <v>17339000</v>
      </c>
      <c r="G25" s="28">
        <f>'дод 2'!H61</f>
        <v>2843070</v>
      </c>
      <c r="H25" s="28">
        <f>'дод 2'!I61</f>
        <v>0</v>
      </c>
      <c r="I25" s="28">
        <f>'дод 2'!J61</f>
        <v>300000</v>
      </c>
      <c r="J25" s="28">
        <f>'дод 2'!K61</f>
        <v>300000</v>
      </c>
      <c r="K25" s="28">
        <f>'дод 2'!L61</f>
        <v>0</v>
      </c>
      <c r="L25" s="28">
        <f>'дод 2'!M61</f>
        <v>0</v>
      </c>
      <c r="M25" s="28">
        <f>'дод 2'!N61</f>
        <v>0</v>
      </c>
      <c r="N25" s="28">
        <f>'дод 2'!O61</f>
        <v>300000</v>
      </c>
      <c r="O25" s="28">
        <f>'дод 2'!P61</f>
        <v>24704580</v>
      </c>
      <c r="P25" s="158"/>
    </row>
    <row r="26" spans="1:16" ht="57.75" customHeight="1" x14ac:dyDescent="0.25">
      <c r="A26" s="3" t="s">
        <v>83</v>
      </c>
      <c r="B26" s="3" t="s">
        <v>82</v>
      </c>
      <c r="C26" s="12" t="s">
        <v>26</v>
      </c>
      <c r="D26" s="28">
        <f>'дод 2'!E183</f>
        <v>34503300</v>
      </c>
      <c r="E26" s="28">
        <f>'дод 2'!F183</f>
        <v>34503300</v>
      </c>
      <c r="F26" s="28">
        <f>'дод 2'!G183</f>
        <v>27174000</v>
      </c>
      <c r="G26" s="28">
        <f>'дод 2'!H183</f>
        <v>772000</v>
      </c>
      <c r="H26" s="28">
        <f>'дод 2'!I183</f>
        <v>0</v>
      </c>
      <c r="I26" s="28">
        <f>'дод 2'!J183</f>
        <v>2606580</v>
      </c>
      <c r="J26" s="28">
        <f>'дод 2'!K183</f>
        <v>100000</v>
      </c>
      <c r="K26" s="28">
        <f>'дод 2'!L183</f>
        <v>2501860</v>
      </c>
      <c r="L26" s="28">
        <f>'дод 2'!M183</f>
        <v>2043504</v>
      </c>
      <c r="M26" s="28">
        <f>'дод 2'!N183</f>
        <v>0</v>
      </c>
      <c r="N26" s="28">
        <f>'дод 2'!O183</f>
        <v>104720</v>
      </c>
      <c r="O26" s="28">
        <f>'дод 2'!P183</f>
        <v>37109880</v>
      </c>
      <c r="P26" s="158"/>
    </row>
    <row r="27" spans="1:16" ht="39.75" customHeight="1" x14ac:dyDescent="0.25">
      <c r="A27" s="3" t="s">
        <v>291</v>
      </c>
      <c r="B27" s="3" t="s">
        <v>84</v>
      </c>
      <c r="C27" s="12" t="s">
        <v>156</v>
      </c>
      <c r="D27" s="28">
        <f>'дод 2'!E62</f>
        <v>102175500</v>
      </c>
      <c r="E27" s="28">
        <f>'дод 2'!F62</f>
        <v>102175500</v>
      </c>
      <c r="F27" s="28">
        <f>'дод 2'!G62</f>
        <v>59049100</v>
      </c>
      <c r="G27" s="28">
        <f>'дод 2'!H62</f>
        <v>10451100</v>
      </c>
      <c r="H27" s="28">
        <f>'дод 2'!I62</f>
        <v>0</v>
      </c>
      <c r="I27" s="28">
        <f>'дод 2'!J62</f>
        <v>7717506</v>
      </c>
      <c r="J27" s="28">
        <f>'дод 2'!K62</f>
        <v>0</v>
      </c>
      <c r="K27" s="28">
        <f>'дод 2'!L62</f>
        <v>7600506</v>
      </c>
      <c r="L27" s="28">
        <f>'дод 2'!M62</f>
        <v>2516057</v>
      </c>
      <c r="M27" s="28">
        <f>'дод 2'!N62</f>
        <v>2589380</v>
      </c>
      <c r="N27" s="28">
        <f>'дод 2'!O62</f>
        <v>117000</v>
      </c>
      <c r="O27" s="28">
        <f>'дод 2'!P62</f>
        <v>109893006</v>
      </c>
      <c r="P27" s="158"/>
    </row>
    <row r="28" spans="1:16" ht="21" customHeight="1" x14ac:dyDescent="0.25">
      <c r="B28" s="3"/>
      <c r="C28" s="9" t="s">
        <v>345</v>
      </c>
      <c r="D28" s="28">
        <f>'дод 2'!E63</f>
        <v>11500000</v>
      </c>
      <c r="E28" s="28">
        <f>'дод 2'!F63</f>
        <v>11500000</v>
      </c>
      <c r="F28" s="28">
        <f>'дод 2'!G63</f>
        <v>9426200</v>
      </c>
      <c r="G28" s="28">
        <f>'дод 2'!H63</f>
        <v>0</v>
      </c>
      <c r="H28" s="28">
        <f>'дод 2'!I63</f>
        <v>0</v>
      </c>
      <c r="I28" s="28">
        <f>'дод 2'!J63</f>
        <v>0</v>
      </c>
      <c r="J28" s="28">
        <f>'дод 2'!K63</f>
        <v>0</v>
      </c>
      <c r="K28" s="28">
        <f>'дод 2'!L63</f>
        <v>0</v>
      </c>
      <c r="L28" s="28">
        <f>'дод 2'!M63</f>
        <v>0</v>
      </c>
      <c r="M28" s="28">
        <f>'дод 2'!N63</f>
        <v>0</v>
      </c>
      <c r="N28" s="28">
        <f>'дод 2'!O63</f>
        <v>0</v>
      </c>
      <c r="O28" s="28">
        <f>'дод 2'!P63</f>
        <v>11500000</v>
      </c>
      <c r="P28" s="158"/>
    </row>
    <row r="29" spans="1:16" ht="33" customHeight="1" x14ac:dyDescent="0.25">
      <c r="A29" s="3" t="s">
        <v>157</v>
      </c>
      <c r="B29" s="3" t="s">
        <v>85</v>
      </c>
      <c r="C29" s="12" t="s">
        <v>481</v>
      </c>
      <c r="D29" s="28">
        <f>'дод 2'!E64</f>
        <v>2838770</v>
      </c>
      <c r="E29" s="28">
        <f>'дод 2'!F64</f>
        <v>2838770</v>
      </c>
      <c r="F29" s="28">
        <f>'дод 2'!G64</f>
        <v>2189100</v>
      </c>
      <c r="G29" s="28">
        <f>'дод 2'!H64</f>
        <v>127170</v>
      </c>
      <c r="H29" s="28">
        <f>'дод 2'!I64</f>
        <v>0</v>
      </c>
      <c r="I29" s="28">
        <f>'дод 2'!J64</f>
        <v>0</v>
      </c>
      <c r="J29" s="28">
        <f>'дод 2'!K64</f>
        <v>0</v>
      </c>
      <c r="K29" s="28">
        <f>'дод 2'!L64</f>
        <v>0</v>
      </c>
      <c r="L29" s="28">
        <f>'дод 2'!M64</f>
        <v>0</v>
      </c>
      <c r="M29" s="28">
        <f>'дод 2'!N64</f>
        <v>0</v>
      </c>
      <c r="N29" s="28">
        <f>'дод 2'!O64</f>
        <v>0</v>
      </c>
      <c r="O29" s="28">
        <f>'дод 2'!P64</f>
        <v>2838770</v>
      </c>
      <c r="P29" s="158"/>
    </row>
    <row r="30" spans="1:16" ht="36" customHeight="1" x14ac:dyDescent="0.25">
      <c r="A30" s="3" t="s">
        <v>369</v>
      </c>
      <c r="B30" s="3" t="s">
        <v>85</v>
      </c>
      <c r="C30" s="12" t="s">
        <v>371</v>
      </c>
      <c r="D30" s="28">
        <f>'дод 2'!E65</f>
        <v>9685900</v>
      </c>
      <c r="E30" s="28">
        <f>'дод 2'!F65</f>
        <v>9685900</v>
      </c>
      <c r="F30" s="28">
        <f>'дод 2'!G65</f>
        <v>7027964</v>
      </c>
      <c r="G30" s="28">
        <f>'дод 2'!H65</f>
        <v>603390</v>
      </c>
      <c r="H30" s="28">
        <f>'дод 2'!I65</f>
        <v>0</v>
      </c>
      <c r="I30" s="28">
        <f>'дод 2'!J65</f>
        <v>170000</v>
      </c>
      <c r="J30" s="28">
        <f>'дод 2'!K65</f>
        <v>170000</v>
      </c>
      <c r="K30" s="28">
        <f>'дод 2'!L65</f>
        <v>0</v>
      </c>
      <c r="L30" s="28">
        <f>'дод 2'!M65</f>
        <v>0</v>
      </c>
      <c r="M30" s="28">
        <f>'дод 2'!N65</f>
        <v>0</v>
      </c>
      <c r="N30" s="28">
        <f>'дод 2'!O65</f>
        <v>170000</v>
      </c>
      <c r="O30" s="28">
        <f>'дод 2'!P65</f>
        <v>9855900</v>
      </c>
      <c r="P30" s="158"/>
    </row>
    <row r="31" spans="1:16" ht="21" customHeight="1" x14ac:dyDescent="0.25">
      <c r="B31" s="3"/>
      <c r="C31" s="9" t="s">
        <v>345</v>
      </c>
      <c r="D31" s="28">
        <f>'дод 2'!E66</f>
        <v>1178720</v>
      </c>
      <c r="E31" s="28">
        <f>'дод 2'!F66</f>
        <v>1178720</v>
      </c>
      <c r="F31" s="28">
        <f>'дод 2'!G66</f>
        <v>966164</v>
      </c>
      <c r="G31" s="28">
        <f>'дод 2'!H66</f>
        <v>0</v>
      </c>
      <c r="H31" s="28">
        <f>'дод 2'!I66</f>
        <v>0</v>
      </c>
      <c r="I31" s="28">
        <f>'дод 2'!J66</f>
        <v>0</v>
      </c>
      <c r="J31" s="28">
        <f>'дод 2'!K66</f>
        <v>0</v>
      </c>
      <c r="K31" s="28">
        <f>'дод 2'!L66</f>
        <v>0</v>
      </c>
      <c r="L31" s="28">
        <f>'дод 2'!M66</f>
        <v>0</v>
      </c>
      <c r="M31" s="28">
        <f>'дод 2'!N66</f>
        <v>0</v>
      </c>
      <c r="N31" s="28">
        <f>'дод 2'!O66</f>
        <v>0</v>
      </c>
      <c r="O31" s="28">
        <f>'дод 2'!P66</f>
        <v>1178720</v>
      </c>
      <c r="P31" s="158"/>
    </row>
    <row r="32" spans="1:16" ht="25.5" customHeight="1" x14ac:dyDescent="0.25">
      <c r="A32" s="3" t="s">
        <v>370</v>
      </c>
      <c r="B32" s="3" t="s">
        <v>85</v>
      </c>
      <c r="C32" s="12" t="s">
        <v>372</v>
      </c>
      <c r="D32" s="28">
        <f>'дод 2'!E67</f>
        <v>90400</v>
      </c>
      <c r="E32" s="28">
        <f>'дод 2'!F67</f>
        <v>90400</v>
      </c>
      <c r="F32" s="28">
        <f>'дод 2'!G67</f>
        <v>0</v>
      </c>
      <c r="G32" s="28">
        <f>'дод 2'!H67</f>
        <v>0</v>
      </c>
      <c r="H32" s="28">
        <f>'дод 2'!I67</f>
        <v>0</v>
      </c>
      <c r="I32" s="28">
        <f>'дод 2'!J67</f>
        <v>0</v>
      </c>
      <c r="J32" s="28">
        <f>'дод 2'!K67</f>
        <v>0</v>
      </c>
      <c r="K32" s="28">
        <f>'дод 2'!L67</f>
        <v>0</v>
      </c>
      <c r="L32" s="28">
        <f>'дод 2'!M67</f>
        <v>0</v>
      </c>
      <c r="M32" s="28">
        <f>'дод 2'!N67</f>
        <v>0</v>
      </c>
      <c r="N32" s="28">
        <f>'дод 2'!O67</f>
        <v>0</v>
      </c>
      <c r="O32" s="28">
        <f>'дод 2'!P67</f>
        <v>90400</v>
      </c>
      <c r="P32" s="158"/>
    </row>
    <row r="33" spans="1:16" s="14" customFormat="1" ht="23.25" customHeight="1" x14ac:dyDescent="0.25">
      <c r="A33" s="15" t="s">
        <v>86</v>
      </c>
      <c r="B33" s="21"/>
      <c r="C33" s="22" t="s">
        <v>87</v>
      </c>
      <c r="D33" s="31">
        <f>D35+D37+D39+D41+D43+D45+D47+D49+D51+D53</f>
        <v>336749760</v>
      </c>
      <c r="E33" s="31">
        <f t="shared" ref="E33:O33" si="4">E35+E37+E39+E41+E43+E45+E47+E49+E51+E53</f>
        <v>336749760</v>
      </c>
      <c r="F33" s="31">
        <f t="shared" si="4"/>
        <v>0</v>
      </c>
      <c r="G33" s="31">
        <f t="shared" si="4"/>
        <v>0</v>
      </c>
      <c r="H33" s="31">
        <f t="shared" si="4"/>
        <v>0</v>
      </c>
      <c r="I33" s="31">
        <f t="shared" si="4"/>
        <v>37288678</v>
      </c>
      <c r="J33" s="31">
        <f t="shared" si="4"/>
        <v>16400000</v>
      </c>
      <c r="K33" s="31">
        <f t="shared" si="4"/>
        <v>20888678</v>
      </c>
      <c r="L33" s="31">
        <f t="shared" si="4"/>
        <v>0</v>
      </c>
      <c r="M33" s="31">
        <f t="shared" si="4"/>
        <v>0</v>
      </c>
      <c r="N33" s="31">
        <f t="shared" si="4"/>
        <v>16400000</v>
      </c>
      <c r="O33" s="31">
        <f t="shared" si="4"/>
        <v>374038438</v>
      </c>
      <c r="P33" s="158"/>
    </row>
    <row r="34" spans="1:16" s="14" customFormat="1" ht="23.25" customHeight="1" x14ac:dyDescent="0.25">
      <c r="A34" s="15"/>
      <c r="B34" s="21"/>
      <c r="C34" s="7" t="s">
        <v>345</v>
      </c>
      <c r="D34" s="31">
        <f>D36+D38+D40+D42+D44+D46+D48+D50+D52+D54</f>
        <v>211222250</v>
      </c>
      <c r="E34" s="31">
        <f t="shared" ref="E34:O34" si="5">E36+E38+E40+E42+E44+E46+E48+E50+E52+E54</f>
        <v>211222250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31">
        <f t="shared" si="5"/>
        <v>0</v>
      </c>
      <c r="J34" s="31">
        <f t="shared" si="5"/>
        <v>0</v>
      </c>
      <c r="K34" s="31">
        <f t="shared" si="5"/>
        <v>0</v>
      </c>
      <c r="L34" s="31">
        <f t="shared" si="5"/>
        <v>0</v>
      </c>
      <c r="M34" s="31">
        <f t="shared" si="5"/>
        <v>0</v>
      </c>
      <c r="N34" s="31">
        <f t="shared" si="5"/>
        <v>0</v>
      </c>
      <c r="O34" s="31">
        <f t="shared" si="5"/>
        <v>211222250</v>
      </c>
      <c r="P34" s="158"/>
    </row>
    <row r="35" spans="1:16" ht="31.5" x14ac:dyDescent="0.25">
      <c r="A35" s="3" t="s">
        <v>88</v>
      </c>
      <c r="B35" s="3" t="s">
        <v>89</v>
      </c>
      <c r="C35" s="12" t="s">
        <v>46</v>
      </c>
      <c r="D35" s="28">
        <f>'дод 2'!E81</f>
        <v>266450098</v>
      </c>
      <c r="E35" s="28">
        <f>'дод 2'!F81</f>
        <v>266450098</v>
      </c>
      <c r="F35" s="28">
        <f>'дод 2'!G81</f>
        <v>0</v>
      </c>
      <c r="G35" s="28">
        <f>'дод 2'!H81</f>
        <v>0</v>
      </c>
      <c r="H35" s="28">
        <f>'дод 2'!I81</f>
        <v>0</v>
      </c>
      <c r="I35" s="28">
        <f>'дод 2'!J81</f>
        <v>25216868</v>
      </c>
      <c r="J35" s="28">
        <f>'дод 2'!K81</f>
        <v>12000000</v>
      </c>
      <c r="K35" s="28">
        <f>'дод 2'!L81</f>
        <v>13216868</v>
      </c>
      <c r="L35" s="28">
        <f>'дод 2'!M81</f>
        <v>0</v>
      </c>
      <c r="M35" s="28">
        <f>'дод 2'!N81</f>
        <v>0</v>
      </c>
      <c r="N35" s="28">
        <f>'дод 2'!O81</f>
        <v>12000000</v>
      </c>
      <c r="O35" s="28">
        <f>'дод 2'!P81</f>
        <v>291666966</v>
      </c>
      <c r="P35" s="158"/>
    </row>
    <row r="36" spans="1:16" ht="15.75" customHeight="1" x14ac:dyDescent="0.25">
      <c r="B36" s="3"/>
      <c r="C36" s="9" t="s">
        <v>345</v>
      </c>
      <c r="D36" s="28">
        <f>'дод 2'!E82</f>
        <v>177611930</v>
      </c>
      <c r="E36" s="28">
        <f>'дод 2'!F82</f>
        <v>177611930</v>
      </c>
      <c r="F36" s="28">
        <f>'дод 2'!G82</f>
        <v>0</v>
      </c>
      <c r="G36" s="28">
        <f>'дод 2'!H82</f>
        <v>0</v>
      </c>
      <c r="H36" s="28">
        <f>'дод 2'!I82</f>
        <v>0</v>
      </c>
      <c r="I36" s="28">
        <f>'дод 2'!J82</f>
        <v>0</v>
      </c>
      <c r="J36" s="28">
        <f>'дод 2'!K82</f>
        <v>0</v>
      </c>
      <c r="K36" s="28">
        <f>'дод 2'!L82</f>
        <v>0</v>
      </c>
      <c r="L36" s="28">
        <f>'дод 2'!M82</f>
        <v>0</v>
      </c>
      <c r="M36" s="28">
        <f>'дод 2'!N82</f>
        <v>0</v>
      </c>
      <c r="N36" s="28">
        <f>'дод 2'!O82</f>
        <v>0</v>
      </c>
      <c r="O36" s="28">
        <f>'дод 2'!P82</f>
        <v>177611930</v>
      </c>
      <c r="P36" s="158"/>
    </row>
    <row r="37" spans="1:16" ht="42.75" customHeight="1" x14ac:dyDescent="0.25">
      <c r="A37" s="3" t="s">
        <v>158</v>
      </c>
      <c r="B37" s="3" t="s">
        <v>90</v>
      </c>
      <c r="C37" s="12" t="s">
        <v>159</v>
      </c>
      <c r="D37" s="28">
        <f>'дод 2'!E83</f>
        <v>37728216</v>
      </c>
      <c r="E37" s="28">
        <f>'дод 2'!F83</f>
        <v>37728216</v>
      </c>
      <c r="F37" s="28">
        <f>'дод 2'!G83</f>
        <v>0</v>
      </c>
      <c r="G37" s="28">
        <f>'дод 2'!H83</f>
        <v>0</v>
      </c>
      <c r="H37" s="28">
        <f>'дод 2'!I83</f>
        <v>0</v>
      </c>
      <c r="I37" s="28">
        <f>'дод 2'!J83</f>
        <v>1037400</v>
      </c>
      <c r="J37" s="28">
        <f>'дод 2'!K83</f>
        <v>1000000</v>
      </c>
      <c r="K37" s="28">
        <f>'дод 2'!L83</f>
        <v>37400</v>
      </c>
      <c r="L37" s="28">
        <f>'дод 2'!M83</f>
        <v>0</v>
      </c>
      <c r="M37" s="28">
        <f>'дод 2'!N83</f>
        <v>0</v>
      </c>
      <c r="N37" s="28">
        <f>'дод 2'!O83</f>
        <v>1000000</v>
      </c>
      <c r="O37" s="28">
        <f>'дод 2'!P83</f>
        <v>38765616</v>
      </c>
      <c r="P37" s="158"/>
    </row>
    <row r="38" spans="1:16" ht="24" customHeight="1" x14ac:dyDescent="0.25">
      <c r="B38" s="3"/>
      <c r="C38" s="9" t="s">
        <v>345</v>
      </c>
      <c r="D38" s="28">
        <f>'дод 2'!E84</f>
        <v>23499600</v>
      </c>
      <c r="E38" s="28">
        <f>'дод 2'!F84</f>
        <v>23499600</v>
      </c>
      <c r="F38" s="28">
        <f>'дод 2'!G84</f>
        <v>0</v>
      </c>
      <c r="G38" s="28">
        <f>'дод 2'!H84</f>
        <v>0</v>
      </c>
      <c r="H38" s="28">
        <f>'дод 2'!I84</f>
        <v>0</v>
      </c>
      <c r="I38" s="28">
        <f>'дод 2'!J84</f>
        <v>0</v>
      </c>
      <c r="J38" s="28">
        <f>'дод 2'!K84</f>
        <v>0</v>
      </c>
      <c r="K38" s="28">
        <f>'дод 2'!L84</f>
        <v>0</v>
      </c>
      <c r="L38" s="28">
        <f>'дод 2'!M84</f>
        <v>0</v>
      </c>
      <c r="M38" s="28">
        <f>'дод 2'!N84</f>
        <v>0</v>
      </c>
      <c r="N38" s="28">
        <f>'дод 2'!O84</f>
        <v>0</v>
      </c>
      <c r="O38" s="28">
        <f>'дод 2'!P84</f>
        <v>23499600</v>
      </c>
      <c r="P38" s="156"/>
    </row>
    <row r="39" spans="1:16" ht="33" hidden="1" customHeight="1" x14ac:dyDescent="0.25">
      <c r="A39" s="3" t="s">
        <v>160</v>
      </c>
      <c r="B39" s="3" t="s">
        <v>91</v>
      </c>
      <c r="C39" s="12" t="s">
        <v>413</v>
      </c>
      <c r="D39" s="28">
        <f>'дод 2'!E85</f>
        <v>0</v>
      </c>
      <c r="E39" s="28">
        <f>'дод 2'!F85</f>
        <v>0</v>
      </c>
      <c r="F39" s="28">
        <f>'дод 2'!G85</f>
        <v>0</v>
      </c>
      <c r="G39" s="28">
        <f>'дод 2'!H85</f>
        <v>0</v>
      </c>
      <c r="H39" s="28">
        <f>'дод 2'!I85</f>
        <v>0</v>
      </c>
      <c r="I39" s="28">
        <f>'дод 2'!J85</f>
        <v>0</v>
      </c>
      <c r="J39" s="28">
        <f>'дод 2'!K85</f>
        <v>0</v>
      </c>
      <c r="K39" s="28">
        <f>'дод 2'!L85</f>
        <v>0</v>
      </c>
      <c r="L39" s="28">
        <f>'дод 2'!M85</f>
        <v>0</v>
      </c>
      <c r="M39" s="28">
        <f>'дод 2'!N85</f>
        <v>0</v>
      </c>
      <c r="N39" s="28">
        <f>'дод 2'!O85</f>
        <v>0</v>
      </c>
      <c r="O39" s="28">
        <f>'дод 2'!P85</f>
        <v>0</v>
      </c>
      <c r="P39" s="156"/>
    </row>
    <row r="40" spans="1:16" ht="27" hidden="1" customHeight="1" x14ac:dyDescent="0.25">
      <c r="B40" s="3"/>
      <c r="C40" s="9" t="s">
        <v>345</v>
      </c>
      <c r="D40" s="28">
        <f>'дод 2'!E86</f>
        <v>0</v>
      </c>
      <c r="E40" s="28">
        <f>'дод 2'!F86</f>
        <v>0</v>
      </c>
      <c r="F40" s="28">
        <f>'дод 2'!G86</f>
        <v>0</v>
      </c>
      <c r="G40" s="28">
        <f>'дод 2'!H86</f>
        <v>0</v>
      </c>
      <c r="H40" s="28">
        <f>'дод 2'!I86</f>
        <v>0</v>
      </c>
      <c r="I40" s="28">
        <f>'дод 2'!J86</f>
        <v>0</v>
      </c>
      <c r="J40" s="28">
        <f>'дод 2'!K86</f>
        <v>0</v>
      </c>
      <c r="K40" s="28">
        <f>'дод 2'!L86</f>
        <v>0</v>
      </c>
      <c r="L40" s="28">
        <f>'дод 2'!M86</f>
        <v>0</v>
      </c>
      <c r="M40" s="28">
        <f>'дод 2'!N86</f>
        <v>0</v>
      </c>
      <c r="N40" s="28">
        <f>'дод 2'!O86</f>
        <v>0</v>
      </c>
      <c r="O40" s="28">
        <f>'дод 2'!P86</f>
        <v>0</v>
      </c>
      <c r="P40" s="156"/>
    </row>
    <row r="41" spans="1:16" ht="25.5" customHeight="1" x14ac:dyDescent="0.25">
      <c r="A41" s="3" t="s">
        <v>161</v>
      </c>
      <c r="B41" s="3" t="s">
        <v>92</v>
      </c>
      <c r="C41" s="12" t="s">
        <v>162</v>
      </c>
      <c r="D41" s="28">
        <f>'дод 2'!E87</f>
        <v>6226457</v>
      </c>
      <c r="E41" s="28">
        <f>'дод 2'!F87</f>
        <v>6226457</v>
      </c>
      <c r="F41" s="28">
        <f>'дод 2'!G87</f>
        <v>0</v>
      </c>
      <c r="G41" s="28">
        <f>'дод 2'!H87</f>
        <v>0</v>
      </c>
      <c r="H41" s="28">
        <f>'дод 2'!I87</f>
        <v>0</v>
      </c>
      <c r="I41" s="28">
        <f>'дод 2'!J87</f>
        <v>8034410</v>
      </c>
      <c r="J41" s="28">
        <f>'дод 2'!K87</f>
        <v>400000</v>
      </c>
      <c r="K41" s="28">
        <f>'дод 2'!L87</f>
        <v>7634410</v>
      </c>
      <c r="L41" s="28">
        <f>'дод 2'!M87</f>
        <v>0</v>
      </c>
      <c r="M41" s="28">
        <f>'дод 2'!N87</f>
        <v>0</v>
      </c>
      <c r="N41" s="28">
        <f>'дод 2'!O87</f>
        <v>400000</v>
      </c>
      <c r="O41" s="28">
        <f>'дод 2'!P87</f>
        <v>14260867</v>
      </c>
      <c r="P41" s="156"/>
    </row>
    <row r="42" spans="1:16" ht="25.5" customHeight="1" x14ac:dyDescent="0.25">
      <c r="B42" s="3"/>
      <c r="C42" s="9" t="s">
        <v>345</v>
      </c>
      <c r="D42" s="28">
        <f>'дод 2'!E88</f>
        <v>4064800</v>
      </c>
      <c r="E42" s="28">
        <f>'дод 2'!F88</f>
        <v>4064800</v>
      </c>
      <c r="F42" s="28">
        <f>'дод 2'!G88</f>
        <v>0</v>
      </c>
      <c r="G42" s="28">
        <f>'дод 2'!H88</f>
        <v>0</v>
      </c>
      <c r="H42" s="28">
        <f>'дод 2'!I88</f>
        <v>0</v>
      </c>
      <c r="I42" s="28">
        <f>'дод 2'!J88</f>
        <v>0</v>
      </c>
      <c r="J42" s="28">
        <f>'дод 2'!K88</f>
        <v>0</v>
      </c>
      <c r="K42" s="28">
        <f>'дод 2'!L88</f>
        <v>0</v>
      </c>
      <c r="L42" s="28">
        <f>'дод 2'!M88</f>
        <v>0</v>
      </c>
      <c r="M42" s="28">
        <f>'дод 2'!N88</f>
        <v>0</v>
      </c>
      <c r="N42" s="28">
        <f>'дод 2'!O88</f>
        <v>0</v>
      </c>
      <c r="O42" s="28">
        <f>'дод 2'!P88</f>
        <v>4064800</v>
      </c>
      <c r="P42" s="156"/>
    </row>
    <row r="43" spans="1:16" ht="54" customHeight="1" x14ac:dyDescent="0.25">
      <c r="A43" s="3" t="s">
        <v>163</v>
      </c>
      <c r="B43" s="3" t="s">
        <v>414</v>
      </c>
      <c r="C43" s="12" t="s">
        <v>164</v>
      </c>
      <c r="D43" s="28">
        <f>'дод 2'!E89</f>
        <v>2680000</v>
      </c>
      <c r="E43" s="28">
        <f>'дод 2'!F89</f>
        <v>2680000</v>
      </c>
      <c r="F43" s="28">
        <f>'дод 2'!G89</f>
        <v>0</v>
      </c>
      <c r="G43" s="28">
        <f>'дод 2'!H89</f>
        <v>0</v>
      </c>
      <c r="H43" s="28">
        <f>'дод 2'!I89</f>
        <v>0</v>
      </c>
      <c r="I43" s="28">
        <f>'дод 2'!J89</f>
        <v>3000000</v>
      </c>
      <c r="J43" s="28">
        <f>'дод 2'!K89</f>
        <v>3000000</v>
      </c>
      <c r="K43" s="28">
        <f>'дод 2'!L89</f>
        <v>0</v>
      </c>
      <c r="L43" s="28">
        <f>'дод 2'!M89</f>
        <v>0</v>
      </c>
      <c r="M43" s="28">
        <f>'дод 2'!N89</f>
        <v>0</v>
      </c>
      <c r="N43" s="28">
        <f>'дод 2'!O89</f>
        <v>3000000</v>
      </c>
      <c r="O43" s="28">
        <f>'дод 2'!P89</f>
        <v>5680000</v>
      </c>
      <c r="P43" s="156"/>
    </row>
    <row r="44" spans="1:16" ht="21.75" hidden="1" customHeight="1" x14ac:dyDescent="0.25">
      <c r="B44" s="3"/>
      <c r="C44" s="9" t="s">
        <v>345</v>
      </c>
      <c r="D44" s="28">
        <f>'дод 2'!E90</f>
        <v>0</v>
      </c>
      <c r="E44" s="28">
        <f>'дод 2'!F90</f>
        <v>0</v>
      </c>
      <c r="F44" s="28">
        <f>'дод 2'!G90</f>
        <v>0</v>
      </c>
      <c r="G44" s="28">
        <f>'дод 2'!H90</f>
        <v>0</v>
      </c>
      <c r="H44" s="28">
        <f>'дод 2'!I90</f>
        <v>0</v>
      </c>
      <c r="I44" s="28">
        <f>'дод 2'!J90</f>
        <v>0</v>
      </c>
      <c r="J44" s="28">
        <f>'дод 2'!K90</f>
        <v>0</v>
      </c>
      <c r="K44" s="28">
        <f>'дод 2'!L90</f>
        <v>0</v>
      </c>
      <c r="L44" s="28">
        <f>'дод 2'!M90</f>
        <v>0</v>
      </c>
      <c r="M44" s="28">
        <f>'дод 2'!N90</f>
        <v>0</v>
      </c>
      <c r="N44" s="28">
        <f>'дод 2'!O90</f>
        <v>0</v>
      </c>
      <c r="O44" s="28">
        <f>'дод 2'!P90</f>
        <v>0</v>
      </c>
      <c r="P44" s="156"/>
    </row>
    <row r="45" spans="1:16" ht="52.5" hidden="1" customHeight="1" x14ac:dyDescent="0.25">
      <c r="A45" s="3" t="s">
        <v>484</v>
      </c>
      <c r="B45" s="3" t="s">
        <v>91</v>
      </c>
      <c r="C45" s="12" t="s">
        <v>482</v>
      </c>
      <c r="D45" s="28">
        <f>'дод 2'!E91</f>
        <v>0</v>
      </c>
      <c r="E45" s="28">
        <f>'дод 2'!F91</f>
        <v>0</v>
      </c>
      <c r="F45" s="28">
        <f>'дод 2'!G91</f>
        <v>0</v>
      </c>
      <c r="G45" s="28">
        <f>'дод 2'!H91</f>
        <v>0</v>
      </c>
      <c r="H45" s="28">
        <f>'дод 2'!I91</f>
        <v>0</v>
      </c>
      <c r="I45" s="28">
        <f>'дод 2'!J91</f>
        <v>0</v>
      </c>
      <c r="J45" s="28">
        <f>'дод 2'!K91</f>
        <v>0</v>
      </c>
      <c r="K45" s="28">
        <f>'дод 2'!L91</f>
        <v>0</v>
      </c>
      <c r="L45" s="28">
        <f>'дод 2'!M91</f>
        <v>0</v>
      </c>
      <c r="M45" s="28">
        <f>'дод 2'!N91</f>
        <v>0</v>
      </c>
      <c r="N45" s="28">
        <f>'дод 2'!O91</f>
        <v>0</v>
      </c>
      <c r="O45" s="28">
        <f>'дод 2'!P91</f>
        <v>0</v>
      </c>
      <c r="P45" s="156"/>
    </row>
    <row r="46" spans="1:16" ht="21.75" hidden="1" customHeight="1" x14ac:dyDescent="0.25">
      <c r="B46" s="3"/>
      <c r="C46" s="9" t="s">
        <v>345</v>
      </c>
      <c r="D46" s="28">
        <f>'дод 2'!E92</f>
        <v>0</v>
      </c>
      <c r="E46" s="28">
        <f>'дод 2'!F92</f>
        <v>0</v>
      </c>
      <c r="F46" s="28">
        <f>'дод 2'!G92</f>
        <v>0</v>
      </c>
      <c r="G46" s="28">
        <f>'дод 2'!H92</f>
        <v>0</v>
      </c>
      <c r="H46" s="28">
        <f>'дод 2'!I92</f>
        <v>0</v>
      </c>
      <c r="I46" s="28">
        <f>'дод 2'!J92</f>
        <v>0</v>
      </c>
      <c r="J46" s="28">
        <f>'дод 2'!K92</f>
        <v>0</v>
      </c>
      <c r="K46" s="28">
        <f>'дод 2'!L92</f>
        <v>0</v>
      </c>
      <c r="L46" s="28">
        <f>'дод 2'!M92</f>
        <v>0</v>
      </c>
      <c r="M46" s="28">
        <f>'дод 2'!N92</f>
        <v>0</v>
      </c>
      <c r="N46" s="28">
        <f>'дод 2'!O92</f>
        <v>0</v>
      </c>
      <c r="O46" s="28">
        <f>'дод 2'!P92</f>
        <v>0</v>
      </c>
      <c r="P46" s="156"/>
    </row>
    <row r="47" spans="1:16" ht="36.75" customHeight="1" x14ac:dyDescent="0.25">
      <c r="A47" s="16">
        <v>2144</v>
      </c>
      <c r="B47" s="3" t="s">
        <v>93</v>
      </c>
      <c r="C47" s="23" t="s">
        <v>165</v>
      </c>
      <c r="D47" s="28">
        <f>'дод 2'!E93</f>
        <v>4580500</v>
      </c>
      <c r="E47" s="28">
        <f>'дод 2'!F93</f>
        <v>4580500</v>
      </c>
      <c r="F47" s="28">
        <f>'дод 2'!G93</f>
        <v>0</v>
      </c>
      <c r="G47" s="28">
        <f>'дод 2'!H93</f>
        <v>0</v>
      </c>
      <c r="H47" s="28">
        <f>'дод 2'!I93</f>
        <v>0</v>
      </c>
      <c r="I47" s="28">
        <f>'дод 2'!J93</f>
        <v>0</v>
      </c>
      <c r="J47" s="28">
        <f>'дод 2'!K93</f>
        <v>0</v>
      </c>
      <c r="K47" s="28">
        <f>'дод 2'!L93</f>
        <v>0</v>
      </c>
      <c r="L47" s="28">
        <f>'дод 2'!M93</f>
        <v>0</v>
      </c>
      <c r="M47" s="28">
        <f>'дод 2'!N93</f>
        <v>0</v>
      </c>
      <c r="N47" s="28">
        <f>'дод 2'!O93</f>
        <v>0</v>
      </c>
      <c r="O47" s="28">
        <f>'дод 2'!P93</f>
        <v>4580500</v>
      </c>
      <c r="P47" s="156"/>
    </row>
    <row r="48" spans="1:16" ht="24.75" customHeight="1" x14ac:dyDescent="0.25">
      <c r="A48" s="16"/>
      <c r="B48" s="3"/>
      <c r="C48" s="9" t="s">
        <v>345</v>
      </c>
      <c r="D48" s="28">
        <f>'дод 2'!E94</f>
        <v>4580500</v>
      </c>
      <c r="E48" s="28">
        <f>'дод 2'!F94</f>
        <v>4580500</v>
      </c>
      <c r="F48" s="28">
        <f>'дод 2'!G94</f>
        <v>0</v>
      </c>
      <c r="G48" s="28">
        <f>'дод 2'!H94</f>
        <v>0</v>
      </c>
      <c r="H48" s="28">
        <f>'дод 2'!I94</f>
        <v>0</v>
      </c>
      <c r="I48" s="28">
        <f>'дод 2'!J94</f>
        <v>0</v>
      </c>
      <c r="J48" s="28">
        <f>'дод 2'!K94</f>
        <v>0</v>
      </c>
      <c r="K48" s="28">
        <f>'дод 2'!L94</f>
        <v>0</v>
      </c>
      <c r="L48" s="28">
        <f>'дод 2'!M94</f>
        <v>0</v>
      </c>
      <c r="M48" s="28">
        <f>'дод 2'!N94</f>
        <v>0</v>
      </c>
      <c r="N48" s="28">
        <f>'дод 2'!O94</f>
        <v>0</v>
      </c>
      <c r="O48" s="28">
        <f>'дод 2'!P94</f>
        <v>4580500</v>
      </c>
      <c r="P48" s="156"/>
    </row>
    <row r="49" spans="1:16" ht="32.25" customHeight="1" x14ac:dyDescent="0.25">
      <c r="A49" s="16">
        <v>2146</v>
      </c>
      <c r="B49" s="3" t="s">
        <v>93</v>
      </c>
      <c r="C49" s="23" t="s">
        <v>427</v>
      </c>
      <c r="D49" s="28">
        <f>'дод 2'!E95</f>
        <v>1465420</v>
      </c>
      <c r="E49" s="28">
        <f>'дод 2'!F95</f>
        <v>1465420</v>
      </c>
      <c r="F49" s="28">
        <f>'дод 2'!G95</f>
        <v>0</v>
      </c>
      <c r="G49" s="28">
        <f>'дод 2'!H95</f>
        <v>0</v>
      </c>
      <c r="H49" s="28">
        <f>'дод 2'!I95</f>
        <v>0</v>
      </c>
      <c r="I49" s="28">
        <f>'дод 2'!J95</f>
        <v>0</v>
      </c>
      <c r="J49" s="28">
        <f>'дод 2'!K95</f>
        <v>0</v>
      </c>
      <c r="K49" s="28">
        <f>'дод 2'!L95</f>
        <v>0</v>
      </c>
      <c r="L49" s="28">
        <f>'дод 2'!M95</f>
        <v>0</v>
      </c>
      <c r="M49" s="28">
        <f>'дод 2'!N95</f>
        <v>0</v>
      </c>
      <c r="N49" s="28">
        <f>'дод 2'!O95</f>
        <v>0</v>
      </c>
      <c r="O49" s="28">
        <f>'дод 2'!P95</f>
        <v>1465420</v>
      </c>
      <c r="P49" s="156"/>
    </row>
    <row r="50" spans="1:16" ht="24.75" customHeight="1" x14ac:dyDescent="0.25">
      <c r="A50" s="16"/>
      <c r="B50" s="3"/>
      <c r="C50" s="9" t="s">
        <v>345</v>
      </c>
      <c r="D50" s="28">
        <f>'дод 2'!E96</f>
        <v>1465420</v>
      </c>
      <c r="E50" s="28">
        <f>'дод 2'!F96</f>
        <v>1465420</v>
      </c>
      <c r="F50" s="28">
        <f>'дод 2'!G96</f>
        <v>0</v>
      </c>
      <c r="G50" s="28">
        <f>'дод 2'!H96</f>
        <v>0</v>
      </c>
      <c r="H50" s="28">
        <f>'дод 2'!I96</f>
        <v>0</v>
      </c>
      <c r="I50" s="28">
        <f>'дод 2'!J96</f>
        <v>0</v>
      </c>
      <c r="J50" s="28">
        <f>'дод 2'!K96</f>
        <v>0</v>
      </c>
      <c r="K50" s="28">
        <f>'дод 2'!L96</f>
        <v>0</v>
      </c>
      <c r="L50" s="28">
        <f>'дод 2'!M96</f>
        <v>0</v>
      </c>
      <c r="M50" s="28">
        <f>'дод 2'!N96</f>
        <v>0</v>
      </c>
      <c r="N50" s="28">
        <f>'дод 2'!O96</f>
        <v>0</v>
      </c>
      <c r="O50" s="28">
        <f>'дод 2'!P96</f>
        <v>1465420</v>
      </c>
      <c r="P50" s="156"/>
    </row>
    <row r="51" spans="1:16" ht="37.5" customHeight="1" x14ac:dyDescent="0.25">
      <c r="A51" s="3" t="s">
        <v>373</v>
      </c>
      <c r="B51" s="3" t="s">
        <v>93</v>
      </c>
      <c r="C51" s="9" t="s">
        <v>375</v>
      </c>
      <c r="D51" s="28">
        <f>'дод 2'!E97</f>
        <v>2602469</v>
      </c>
      <c r="E51" s="28">
        <f>'дод 2'!F97</f>
        <v>2602469</v>
      </c>
      <c r="F51" s="28">
        <f>'дод 2'!G97</f>
        <v>0</v>
      </c>
      <c r="G51" s="28">
        <f>'дод 2'!H97</f>
        <v>0</v>
      </c>
      <c r="H51" s="28">
        <f>'дод 2'!I97</f>
        <v>0</v>
      </c>
      <c r="I51" s="28">
        <f>'дод 2'!J97</f>
        <v>0</v>
      </c>
      <c r="J51" s="28">
        <f>'дод 2'!K97</f>
        <v>0</v>
      </c>
      <c r="K51" s="28">
        <f>'дод 2'!L97</f>
        <v>0</v>
      </c>
      <c r="L51" s="28">
        <f>'дод 2'!M97</f>
        <v>0</v>
      </c>
      <c r="M51" s="28">
        <f>'дод 2'!N97</f>
        <v>0</v>
      </c>
      <c r="N51" s="28">
        <f>'дод 2'!O97</f>
        <v>0</v>
      </c>
      <c r="O51" s="28">
        <f>'дод 2'!P97</f>
        <v>2602469</v>
      </c>
      <c r="P51" s="156"/>
    </row>
    <row r="52" spans="1:16" ht="21.75" hidden="1" customHeight="1" x14ac:dyDescent="0.25">
      <c r="B52" s="3"/>
      <c r="C52" s="9" t="s">
        <v>345</v>
      </c>
      <c r="D52" s="28">
        <f>'дод 2'!E98</f>
        <v>0</v>
      </c>
      <c r="E52" s="28">
        <f>'дод 2'!F98</f>
        <v>0</v>
      </c>
      <c r="F52" s="28">
        <f>'дод 2'!G98</f>
        <v>0</v>
      </c>
      <c r="G52" s="28">
        <f>'дод 2'!H98</f>
        <v>0</v>
      </c>
      <c r="H52" s="28">
        <f>'дод 2'!I98</f>
        <v>0</v>
      </c>
      <c r="I52" s="28">
        <f>'дод 2'!J98</f>
        <v>0</v>
      </c>
      <c r="J52" s="28">
        <f>'дод 2'!K98</f>
        <v>0</v>
      </c>
      <c r="K52" s="28">
        <f>'дод 2'!L98</f>
        <v>0</v>
      </c>
      <c r="L52" s="28">
        <f>'дод 2'!M98</f>
        <v>0</v>
      </c>
      <c r="M52" s="28">
        <f>'дод 2'!N98</f>
        <v>0</v>
      </c>
      <c r="N52" s="28">
        <f>'дод 2'!O98</f>
        <v>0</v>
      </c>
      <c r="O52" s="28">
        <f>'дод 2'!P98</f>
        <v>0</v>
      </c>
      <c r="P52" s="156"/>
    </row>
    <row r="53" spans="1:16" ht="21.75" customHeight="1" x14ac:dyDescent="0.25">
      <c r="A53" s="3" t="s">
        <v>374</v>
      </c>
      <c r="B53" s="3" t="s">
        <v>93</v>
      </c>
      <c r="C53" s="9" t="s">
        <v>376</v>
      </c>
      <c r="D53" s="28">
        <f>'дод 2'!E99</f>
        <v>15016600</v>
      </c>
      <c r="E53" s="28">
        <f>'дод 2'!F99</f>
        <v>15016600</v>
      </c>
      <c r="F53" s="28">
        <f>'дод 2'!G99</f>
        <v>0</v>
      </c>
      <c r="G53" s="28">
        <f>'дод 2'!H99</f>
        <v>0</v>
      </c>
      <c r="H53" s="28">
        <f>'дод 2'!I99</f>
        <v>0</v>
      </c>
      <c r="I53" s="28">
        <f>'дод 2'!J99</f>
        <v>0</v>
      </c>
      <c r="J53" s="28">
        <f>'дод 2'!K99</f>
        <v>0</v>
      </c>
      <c r="K53" s="28">
        <f>'дод 2'!L99</f>
        <v>0</v>
      </c>
      <c r="L53" s="28">
        <f>'дод 2'!M99</f>
        <v>0</v>
      </c>
      <c r="M53" s="28">
        <f>'дод 2'!N99</f>
        <v>0</v>
      </c>
      <c r="N53" s="28">
        <f>'дод 2'!O99</f>
        <v>0</v>
      </c>
      <c r="O53" s="28">
        <f>'дод 2'!P99</f>
        <v>15016600</v>
      </c>
      <c r="P53" s="156"/>
    </row>
    <row r="54" spans="1:16" ht="21.75" customHeight="1" x14ac:dyDescent="0.25">
      <c r="B54" s="3"/>
      <c r="C54" s="9" t="s">
        <v>345</v>
      </c>
      <c r="D54" s="28">
        <f>'дод 2'!E100</f>
        <v>0</v>
      </c>
      <c r="E54" s="28">
        <f>'дод 2'!F100</f>
        <v>0</v>
      </c>
      <c r="F54" s="28">
        <f>'дод 2'!G100</f>
        <v>0</v>
      </c>
      <c r="G54" s="28">
        <f>'дод 2'!H100</f>
        <v>0</v>
      </c>
      <c r="H54" s="28">
        <f>'дод 2'!I100</f>
        <v>0</v>
      </c>
      <c r="I54" s="28">
        <f>'дод 2'!J100</f>
        <v>0</v>
      </c>
      <c r="J54" s="28">
        <f>'дод 2'!K100</f>
        <v>0</v>
      </c>
      <c r="K54" s="28">
        <f>'дод 2'!L100</f>
        <v>0</v>
      </c>
      <c r="L54" s="28">
        <f>'дод 2'!M100</f>
        <v>0</v>
      </c>
      <c r="M54" s="28">
        <f>'дод 2'!N100</f>
        <v>0</v>
      </c>
      <c r="N54" s="28">
        <f>'дод 2'!O100</f>
        <v>0</v>
      </c>
      <c r="O54" s="28">
        <f>'дод 2'!P100</f>
        <v>0</v>
      </c>
      <c r="P54" s="156"/>
    </row>
    <row r="55" spans="1:16" s="14" customFormat="1" ht="34.5" customHeight="1" x14ac:dyDescent="0.25">
      <c r="A55" s="15" t="s">
        <v>94</v>
      </c>
      <c r="B55" s="7"/>
      <c r="C55" s="7" t="s">
        <v>95</v>
      </c>
      <c r="D55" s="31">
        <f>D57+D59+D61+D63+D65+D66+D67+D68+D69+D70+D72+D74+D76+D78+D80+D82+D84+D85+D87+D89+D91+D93+D95+D96+D97+D98+D99+D100+D101+D102+D103+D104+D105+D106+D107+D108+D109+D111+D113+D115+D117+D118</f>
        <v>727422052</v>
      </c>
      <c r="E55" s="31">
        <f t="shared" ref="E55:O55" si="6">E57+E59+E61+E63+E65+E66+E67+E68+E69+E70+E72+E74+E76+E78+E80+E82+E84+E85+E87+E89+E91+E93+E95+E96+E97+E98+E99+E100+E101+E102+E103+E104+E105+E106+E107+E108+E109+E111+E113+E115+E117+E118</f>
        <v>727422052</v>
      </c>
      <c r="F55" s="31">
        <f t="shared" si="6"/>
        <v>14312964</v>
      </c>
      <c r="G55" s="31">
        <f t="shared" si="6"/>
        <v>957812</v>
      </c>
      <c r="H55" s="31">
        <f t="shared" si="6"/>
        <v>0</v>
      </c>
      <c r="I55" s="31">
        <f t="shared" si="6"/>
        <v>1248130</v>
      </c>
      <c r="J55" s="31">
        <f t="shared" si="6"/>
        <v>1152600</v>
      </c>
      <c r="K55" s="31">
        <f t="shared" si="6"/>
        <v>95530</v>
      </c>
      <c r="L55" s="31">
        <f t="shared" si="6"/>
        <v>75100</v>
      </c>
      <c r="M55" s="31">
        <f t="shared" si="6"/>
        <v>0</v>
      </c>
      <c r="N55" s="31">
        <f t="shared" si="6"/>
        <v>1152600</v>
      </c>
      <c r="O55" s="31">
        <f t="shared" si="6"/>
        <v>728670182</v>
      </c>
      <c r="P55" s="156"/>
    </row>
    <row r="56" spans="1:16" s="14" customFormat="1" ht="21.75" customHeight="1" x14ac:dyDescent="0.25">
      <c r="A56" s="15"/>
      <c r="B56" s="7"/>
      <c r="C56" s="7" t="s">
        <v>345</v>
      </c>
      <c r="D56" s="31">
        <f>D58+D60+D62+D64+D71+D73+D75+D77+D79+D81+D83+D86+D88+D90+D92+D94+D110+D112+D114+D116</f>
        <v>626270840</v>
      </c>
      <c r="E56" s="31">
        <f t="shared" ref="E56:O56" si="7">E58+E60+E62+E64+E71+E73+E75+E77+E79+E81+E83+E86+E88+E90+E92+E94+E110+E112+E114+E116</f>
        <v>626270840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626270840</v>
      </c>
      <c r="P56" s="156"/>
    </row>
    <row r="57" spans="1:16" ht="49.5" customHeight="1" x14ac:dyDescent="0.25">
      <c r="A57" s="3" t="s">
        <v>429</v>
      </c>
      <c r="B57" s="60">
        <v>1030</v>
      </c>
      <c r="C57" s="9" t="s">
        <v>433</v>
      </c>
      <c r="D57" s="28">
        <f>'дод 2'!E111</f>
        <v>60934500</v>
      </c>
      <c r="E57" s="28">
        <f>'дод 2'!F111</f>
        <v>60934500</v>
      </c>
      <c r="F57" s="28">
        <f>'дод 2'!G111</f>
        <v>0</v>
      </c>
      <c r="G57" s="28">
        <f>'дод 2'!H111</f>
        <v>0</v>
      </c>
      <c r="H57" s="28">
        <f>'дод 2'!I111</f>
        <v>0</v>
      </c>
      <c r="I57" s="28">
        <f>'дод 2'!J111</f>
        <v>0</v>
      </c>
      <c r="J57" s="28">
        <f>'дод 2'!K111</f>
        <v>0</v>
      </c>
      <c r="K57" s="28">
        <f>'дод 2'!L111</f>
        <v>0</v>
      </c>
      <c r="L57" s="28">
        <f>'дод 2'!M111</f>
        <v>0</v>
      </c>
      <c r="M57" s="28">
        <f>'дод 2'!N111</f>
        <v>0</v>
      </c>
      <c r="N57" s="28">
        <f>'дод 2'!O111</f>
        <v>0</v>
      </c>
      <c r="O57" s="28">
        <f>'дод 2'!P111</f>
        <v>60934500</v>
      </c>
      <c r="P57" s="156"/>
    </row>
    <row r="58" spans="1:16" ht="21.75" customHeight="1" x14ac:dyDescent="0.25">
      <c r="B58" s="60"/>
      <c r="C58" s="9" t="s">
        <v>345</v>
      </c>
      <c r="D58" s="28">
        <f>'дод 2'!E112</f>
        <v>60934500</v>
      </c>
      <c r="E58" s="28">
        <f>'дод 2'!F112</f>
        <v>60934500</v>
      </c>
      <c r="F58" s="28">
        <f>'дод 2'!G112</f>
        <v>0</v>
      </c>
      <c r="G58" s="28">
        <f>'дод 2'!H112</f>
        <v>0</v>
      </c>
      <c r="H58" s="28">
        <f>'дод 2'!I112</f>
        <v>0</v>
      </c>
      <c r="I58" s="28">
        <f>'дод 2'!J112</f>
        <v>0</v>
      </c>
      <c r="J58" s="28">
        <f>'дод 2'!K112</f>
        <v>0</v>
      </c>
      <c r="K58" s="28">
        <f>'дод 2'!L112</f>
        <v>0</v>
      </c>
      <c r="L58" s="28">
        <f>'дод 2'!M112</f>
        <v>0</v>
      </c>
      <c r="M58" s="28">
        <f>'дод 2'!N112</f>
        <v>0</v>
      </c>
      <c r="N58" s="28">
        <f>'дод 2'!O112</f>
        <v>0</v>
      </c>
      <c r="O58" s="28">
        <f>'дод 2'!P112</f>
        <v>60934500</v>
      </c>
      <c r="P58" s="156"/>
    </row>
    <row r="59" spans="1:16" ht="33" customHeight="1" x14ac:dyDescent="0.25">
      <c r="A59" s="3" t="s">
        <v>430</v>
      </c>
      <c r="B59" s="60">
        <v>1060</v>
      </c>
      <c r="C59" s="9" t="s">
        <v>434</v>
      </c>
      <c r="D59" s="28">
        <f>'дод 2'!E113</f>
        <v>222289440</v>
      </c>
      <c r="E59" s="28">
        <f>'дод 2'!F113</f>
        <v>222289440</v>
      </c>
      <c r="F59" s="28">
        <f>'дод 2'!G113</f>
        <v>0</v>
      </c>
      <c r="G59" s="28">
        <f>'дод 2'!H113</f>
        <v>0</v>
      </c>
      <c r="H59" s="28">
        <f>'дод 2'!I113</f>
        <v>0</v>
      </c>
      <c r="I59" s="28">
        <f>'дод 2'!J113</f>
        <v>0</v>
      </c>
      <c r="J59" s="28">
        <f>'дод 2'!K113</f>
        <v>0</v>
      </c>
      <c r="K59" s="28">
        <f>'дод 2'!L113</f>
        <v>0</v>
      </c>
      <c r="L59" s="28">
        <f>'дод 2'!M113</f>
        <v>0</v>
      </c>
      <c r="M59" s="28">
        <f>'дод 2'!N113</f>
        <v>0</v>
      </c>
      <c r="N59" s="28">
        <f>'дод 2'!O113</f>
        <v>0</v>
      </c>
      <c r="O59" s="28">
        <f>'дод 2'!P113</f>
        <v>222289440</v>
      </c>
      <c r="P59" s="156"/>
    </row>
    <row r="60" spans="1:16" ht="21.75" customHeight="1" x14ac:dyDescent="0.25">
      <c r="B60" s="9"/>
      <c r="C60" s="9" t="s">
        <v>345</v>
      </c>
      <c r="D60" s="28">
        <f>'дод 2'!E114</f>
        <v>222289440</v>
      </c>
      <c r="E60" s="28">
        <f>'дод 2'!F114</f>
        <v>222289440</v>
      </c>
      <c r="F60" s="28">
        <f>'дод 2'!G114</f>
        <v>0</v>
      </c>
      <c r="G60" s="28">
        <f>'дод 2'!H114</f>
        <v>0</v>
      </c>
      <c r="H60" s="28">
        <f>'дод 2'!I114</f>
        <v>0</v>
      </c>
      <c r="I60" s="28">
        <f>'дод 2'!J114</f>
        <v>0</v>
      </c>
      <c r="J60" s="28">
        <f>'дод 2'!K114</f>
        <v>0</v>
      </c>
      <c r="K60" s="28">
        <f>'дод 2'!L114</f>
        <v>0</v>
      </c>
      <c r="L60" s="28">
        <f>'дод 2'!M114</f>
        <v>0</v>
      </c>
      <c r="M60" s="28">
        <f>'дод 2'!N114</f>
        <v>0</v>
      </c>
      <c r="N60" s="28">
        <f>'дод 2'!O114</f>
        <v>0</v>
      </c>
      <c r="O60" s="28">
        <f>'дод 2'!P114</f>
        <v>222289440</v>
      </c>
      <c r="P60" s="156"/>
    </row>
    <row r="61" spans="1:16" ht="64.5" customHeight="1" x14ac:dyDescent="0.25">
      <c r="A61" s="3" t="s">
        <v>431</v>
      </c>
      <c r="B61" s="60">
        <v>1030</v>
      </c>
      <c r="C61" s="9" t="s">
        <v>435</v>
      </c>
      <c r="D61" s="28">
        <f>'дод 2'!E115</f>
        <v>60013</v>
      </c>
      <c r="E61" s="28">
        <f>'дод 2'!F115</f>
        <v>60013</v>
      </c>
      <c r="F61" s="28">
        <f>'дод 2'!G115</f>
        <v>0</v>
      </c>
      <c r="G61" s="28">
        <f>'дод 2'!H115</f>
        <v>0</v>
      </c>
      <c r="H61" s="28">
        <f>'дод 2'!I115</f>
        <v>0</v>
      </c>
      <c r="I61" s="28">
        <f>'дод 2'!J115</f>
        <v>0</v>
      </c>
      <c r="J61" s="28">
        <f>'дод 2'!K115</f>
        <v>0</v>
      </c>
      <c r="K61" s="28">
        <f>'дод 2'!L115</f>
        <v>0</v>
      </c>
      <c r="L61" s="28">
        <f>'дод 2'!M115</f>
        <v>0</v>
      </c>
      <c r="M61" s="28">
        <f>'дод 2'!N115</f>
        <v>0</v>
      </c>
      <c r="N61" s="28">
        <f>'дод 2'!O115</f>
        <v>0</v>
      </c>
      <c r="O61" s="28">
        <f>'дод 2'!P115</f>
        <v>60013</v>
      </c>
      <c r="P61" s="156"/>
    </row>
    <row r="62" spans="1:16" ht="21.75" customHeight="1" x14ac:dyDescent="0.25">
      <c r="B62" s="9"/>
      <c r="C62" s="9" t="s">
        <v>345</v>
      </c>
      <c r="D62" s="28">
        <f>'дод 2'!E116</f>
        <v>60013</v>
      </c>
      <c r="E62" s="28">
        <f>'дод 2'!F116</f>
        <v>60013</v>
      </c>
      <c r="F62" s="28">
        <f>'дод 2'!G116</f>
        <v>0</v>
      </c>
      <c r="G62" s="28">
        <f>'дод 2'!H116</f>
        <v>0</v>
      </c>
      <c r="H62" s="28">
        <f>'дод 2'!I116</f>
        <v>0</v>
      </c>
      <c r="I62" s="28">
        <f>'дод 2'!J116</f>
        <v>0</v>
      </c>
      <c r="J62" s="28">
        <f>'дод 2'!K116</f>
        <v>0</v>
      </c>
      <c r="K62" s="28">
        <f>'дод 2'!L116</f>
        <v>0</v>
      </c>
      <c r="L62" s="28">
        <f>'дод 2'!M116</f>
        <v>0</v>
      </c>
      <c r="M62" s="28">
        <f>'дод 2'!N116</f>
        <v>0</v>
      </c>
      <c r="N62" s="28">
        <f>'дод 2'!O116</f>
        <v>0</v>
      </c>
      <c r="O62" s="28">
        <f>'дод 2'!P116</f>
        <v>60013</v>
      </c>
      <c r="P62" s="156"/>
    </row>
    <row r="63" spans="1:16" ht="55.5" customHeight="1" x14ac:dyDescent="0.25">
      <c r="A63" s="3" t="s">
        <v>432</v>
      </c>
      <c r="B63" s="60">
        <v>1060</v>
      </c>
      <c r="C63" s="9" t="s">
        <v>436</v>
      </c>
      <c r="D63" s="28">
        <f>'дод 2'!E117</f>
        <v>292387</v>
      </c>
      <c r="E63" s="28">
        <f>'дод 2'!F117</f>
        <v>292387</v>
      </c>
      <c r="F63" s="28">
        <f>'дод 2'!G117</f>
        <v>0</v>
      </c>
      <c r="G63" s="28">
        <f>'дод 2'!H117</f>
        <v>0</v>
      </c>
      <c r="H63" s="28">
        <f>'дод 2'!I117</f>
        <v>0</v>
      </c>
      <c r="I63" s="28">
        <f>'дод 2'!J117</f>
        <v>0</v>
      </c>
      <c r="J63" s="28">
        <f>'дод 2'!K117</f>
        <v>0</v>
      </c>
      <c r="K63" s="28">
        <f>'дод 2'!L117</f>
        <v>0</v>
      </c>
      <c r="L63" s="28">
        <f>'дод 2'!M117</f>
        <v>0</v>
      </c>
      <c r="M63" s="28">
        <f>'дод 2'!N117</f>
        <v>0</v>
      </c>
      <c r="N63" s="28">
        <f>'дод 2'!O117</f>
        <v>0</v>
      </c>
      <c r="O63" s="28">
        <f>'дод 2'!P117</f>
        <v>292387</v>
      </c>
      <c r="P63" s="156"/>
    </row>
    <row r="64" spans="1:16" ht="21.75" customHeight="1" x14ac:dyDescent="0.25">
      <c r="B64" s="9"/>
      <c r="C64" s="9" t="s">
        <v>345</v>
      </c>
      <c r="D64" s="28">
        <f>'дод 2'!E118</f>
        <v>292387</v>
      </c>
      <c r="E64" s="28">
        <f>'дод 2'!F118</f>
        <v>292387</v>
      </c>
      <c r="F64" s="28">
        <f>'дод 2'!G118</f>
        <v>0</v>
      </c>
      <c r="G64" s="28">
        <f>'дод 2'!H118</f>
        <v>0</v>
      </c>
      <c r="H64" s="28">
        <f>'дод 2'!I118</f>
        <v>0</v>
      </c>
      <c r="I64" s="28">
        <f>'дод 2'!J118</f>
        <v>0</v>
      </c>
      <c r="J64" s="28">
        <f>'дод 2'!K118</f>
        <v>0</v>
      </c>
      <c r="K64" s="28">
        <f>'дод 2'!L118</f>
        <v>0</v>
      </c>
      <c r="L64" s="28">
        <f>'дод 2'!M118</f>
        <v>0</v>
      </c>
      <c r="M64" s="28">
        <f>'дод 2'!N118</f>
        <v>0</v>
      </c>
      <c r="N64" s="28">
        <f>'дод 2'!O118</f>
        <v>0</v>
      </c>
      <c r="O64" s="28">
        <f>'дод 2'!P118</f>
        <v>292387</v>
      </c>
      <c r="P64" s="156"/>
    </row>
    <row r="65" spans="1:16" ht="45" customHeight="1" x14ac:dyDescent="0.25">
      <c r="A65" s="3" t="s">
        <v>131</v>
      </c>
      <c r="B65" s="3" t="s">
        <v>77</v>
      </c>
      <c r="C65" s="9" t="s">
        <v>166</v>
      </c>
      <c r="D65" s="28">
        <f>'дод 2'!E119</f>
        <v>510136</v>
      </c>
      <c r="E65" s="28">
        <f>'дод 2'!F119</f>
        <v>510136</v>
      </c>
      <c r="F65" s="28">
        <f>'дод 2'!G119</f>
        <v>0</v>
      </c>
      <c r="G65" s="28">
        <f>'дод 2'!H119</f>
        <v>0</v>
      </c>
      <c r="H65" s="28">
        <f>'дод 2'!I119</f>
        <v>0</v>
      </c>
      <c r="I65" s="28">
        <f>'дод 2'!J119</f>
        <v>232600</v>
      </c>
      <c r="J65" s="28">
        <f>'дод 2'!K119</f>
        <v>232600</v>
      </c>
      <c r="K65" s="28">
        <f>'дод 2'!L119</f>
        <v>0</v>
      </c>
      <c r="L65" s="28">
        <f>'дод 2'!M119</f>
        <v>0</v>
      </c>
      <c r="M65" s="28">
        <f>'дод 2'!N119</f>
        <v>0</v>
      </c>
      <c r="N65" s="28">
        <f>'дод 2'!O119</f>
        <v>232600</v>
      </c>
      <c r="O65" s="28">
        <f>'дод 2'!P119</f>
        <v>742736</v>
      </c>
      <c r="P65" s="156"/>
    </row>
    <row r="66" spans="1:16" ht="32.25" customHeight="1" x14ac:dyDescent="0.25">
      <c r="A66" s="3" t="s">
        <v>168</v>
      </c>
      <c r="B66" s="3" t="s">
        <v>79</v>
      </c>
      <c r="C66" s="9" t="s">
        <v>167</v>
      </c>
      <c r="D66" s="28">
        <f>'дод 2'!E120</f>
        <v>1436397</v>
      </c>
      <c r="E66" s="28">
        <f>'дод 2'!F120</f>
        <v>1436397</v>
      </c>
      <c r="F66" s="28">
        <f>'дод 2'!G120</f>
        <v>0</v>
      </c>
      <c r="G66" s="28">
        <f>'дод 2'!H120</f>
        <v>0</v>
      </c>
      <c r="H66" s="28">
        <f>'дод 2'!I120</f>
        <v>0</v>
      </c>
      <c r="I66" s="28">
        <f>'дод 2'!J120</f>
        <v>0</v>
      </c>
      <c r="J66" s="28">
        <f>'дод 2'!K120</f>
        <v>0</v>
      </c>
      <c r="K66" s="28">
        <f>'дод 2'!L120</f>
        <v>0</v>
      </c>
      <c r="L66" s="28">
        <f>'дод 2'!M120</f>
        <v>0</v>
      </c>
      <c r="M66" s="28">
        <f>'дод 2'!N120</f>
        <v>0</v>
      </c>
      <c r="N66" s="28">
        <f>'дод 2'!O120</f>
        <v>0</v>
      </c>
      <c r="O66" s="28">
        <f>'дод 2'!P120</f>
        <v>1436397</v>
      </c>
      <c r="P66" s="156"/>
    </row>
    <row r="67" spans="1:16" ht="54.75" customHeight="1" x14ac:dyDescent="0.25">
      <c r="A67" s="3" t="s">
        <v>132</v>
      </c>
      <c r="B67" s="3" t="s">
        <v>79</v>
      </c>
      <c r="C67" s="9" t="s">
        <v>65</v>
      </c>
      <c r="D67" s="28">
        <f>'дод 2'!E121+'дод 2'!E16</f>
        <v>10197296</v>
      </c>
      <c r="E67" s="28">
        <f>'дод 2'!F121+'дод 2'!F16</f>
        <v>10197296</v>
      </c>
      <c r="F67" s="28">
        <f>'дод 2'!G121+'дод 2'!G16</f>
        <v>0</v>
      </c>
      <c r="G67" s="28">
        <f>'дод 2'!H121+'дод 2'!H16</f>
        <v>0</v>
      </c>
      <c r="H67" s="28">
        <f>'дод 2'!I121+'дод 2'!I16</f>
        <v>0</v>
      </c>
      <c r="I67" s="28">
        <f>'дод 2'!J121+'дод 2'!J16</f>
        <v>0</v>
      </c>
      <c r="J67" s="28">
        <f>'дод 2'!K121+'дод 2'!K16</f>
        <v>0</v>
      </c>
      <c r="K67" s="28">
        <f>'дод 2'!L121+'дод 2'!L16</f>
        <v>0</v>
      </c>
      <c r="L67" s="28">
        <f>'дод 2'!M121+'дод 2'!M16</f>
        <v>0</v>
      </c>
      <c r="M67" s="28">
        <f>'дод 2'!N121+'дод 2'!N16</f>
        <v>0</v>
      </c>
      <c r="N67" s="28">
        <f>'дод 2'!O121+'дод 2'!O16</f>
        <v>0</v>
      </c>
      <c r="O67" s="28">
        <f>'дод 2'!P121+'дод 2'!P16</f>
        <v>10197296</v>
      </c>
      <c r="P67" s="156"/>
    </row>
    <row r="68" spans="1:16" ht="54.75" hidden="1" customHeight="1" x14ac:dyDescent="0.25">
      <c r="A68" s="3" t="s">
        <v>495</v>
      </c>
      <c r="B68" s="3" t="s">
        <v>79</v>
      </c>
      <c r="C68" s="9" t="s">
        <v>494</v>
      </c>
      <c r="D68" s="28">
        <f>'дод 2'!E122</f>
        <v>0</v>
      </c>
      <c r="E68" s="28">
        <f>'дод 2'!F122</f>
        <v>0</v>
      </c>
      <c r="F68" s="28">
        <f>'дод 2'!G122</f>
        <v>0</v>
      </c>
      <c r="G68" s="28">
        <f>'дод 2'!H122</f>
        <v>0</v>
      </c>
      <c r="H68" s="28">
        <f>'дод 2'!I122</f>
        <v>0</v>
      </c>
      <c r="I68" s="28">
        <f>'дод 2'!J122</f>
        <v>0</v>
      </c>
      <c r="J68" s="28">
        <f>'дод 2'!K122</f>
        <v>0</v>
      </c>
      <c r="K68" s="28">
        <f>'дод 2'!L122</f>
        <v>0</v>
      </c>
      <c r="L68" s="28">
        <f>'дод 2'!M122</f>
        <v>0</v>
      </c>
      <c r="M68" s="28">
        <f>'дод 2'!N122</f>
        <v>0</v>
      </c>
      <c r="N68" s="28">
        <f>'дод 2'!O122</f>
        <v>0</v>
      </c>
      <c r="O68" s="28">
        <f>'дод 2'!P122</f>
        <v>0</v>
      </c>
      <c r="P68" s="156"/>
    </row>
    <row r="69" spans="1:16" ht="45" customHeight="1" x14ac:dyDescent="0.25">
      <c r="A69" s="3" t="s">
        <v>169</v>
      </c>
      <c r="B69" s="3" t="s">
        <v>79</v>
      </c>
      <c r="C69" s="9" t="s">
        <v>32</v>
      </c>
      <c r="D69" s="28">
        <f>'дод 2'!E123+'дод 2'!E17</f>
        <v>20508680</v>
      </c>
      <c r="E69" s="28">
        <f>'дод 2'!F123+'дод 2'!F17</f>
        <v>20508680</v>
      </c>
      <c r="F69" s="28">
        <f>'дод 2'!G123+'дод 2'!G17</f>
        <v>0</v>
      </c>
      <c r="G69" s="28">
        <f>'дод 2'!H123+'дод 2'!H17</f>
        <v>0</v>
      </c>
      <c r="H69" s="28">
        <f>'дод 2'!I123+'дод 2'!I17</f>
        <v>0</v>
      </c>
      <c r="I69" s="28">
        <f>'дод 2'!J123+'дод 2'!J17</f>
        <v>0</v>
      </c>
      <c r="J69" s="28">
        <f>'дод 2'!K123+'дод 2'!K17</f>
        <v>0</v>
      </c>
      <c r="K69" s="28">
        <f>'дод 2'!L123+'дод 2'!L17</f>
        <v>0</v>
      </c>
      <c r="L69" s="28">
        <f>'дод 2'!M123+'дод 2'!M17</f>
        <v>0</v>
      </c>
      <c r="M69" s="28">
        <f>'дод 2'!N123+'дод 2'!N17</f>
        <v>0</v>
      </c>
      <c r="N69" s="28">
        <f>'дод 2'!O123+'дод 2'!O17</f>
        <v>0</v>
      </c>
      <c r="O69" s="28">
        <f>'дод 2'!P123+'дод 2'!P17</f>
        <v>20508680</v>
      </c>
      <c r="P69" s="156"/>
    </row>
    <row r="70" spans="1:16" ht="27" customHeight="1" x14ac:dyDescent="0.25">
      <c r="A70" s="3" t="s">
        <v>441</v>
      </c>
      <c r="B70" s="3" t="s">
        <v>133</v>
      </c>
      <c r="C70" s="9" t="s">
        <v>448</v>
      </c>
      <c r="D70" s="28">
        <f>'дод 2'!E124</f>
        <v>3180550</v>
      </c>
      <c r="E70" s="28">
        <f>'дод 2'!F124</f>
        <v>3180550</v>
      </c>
      <c r="F70" s="28">
        <f>'дод 2'!G124</f>
        <v>0</v>
      </c>
      <c r="G70" s="28">
        <f>'дод 2'!H124</f>
        <v>0</v>
      </c>
      <c r="H70" s="28">
        <f>'дод 2'!I124</f>
        <v>0</v>
      </c>
      <c r="I70" s="28">
        <f>'дод 2'!J124</f>
        <v>0</v>
      </c>
      <c r="J70" s="28">
        <f>'дод 2'!K124</f>
        <v>0</v>
      </c>
      <c r="K70" s="28">
        <f>'дод 2'!L124</f>
        <v>0</v>
      </c>
      <c r="L70" s="28">
        <f>'дод 2'!M124</f>
        <v>0</v>
      </c>
      <c r="M70" s="28">
        <f>'дод 2'!N124</f>
        <v>0</v>
      </c>
      <c r="N70" s="28">
        <f>'дод 2'!O124</f>
        <v>0</v>
      </c>
      <c r="O70" s="28">
        <f>'дод 2'!P124</f>
        <v>3180550</v>
      </c>
      <c r="P70" s="156"/>
    </row>
    <row r="71" spans="1:16" ht="21.75" customHeight="1" x14ac:dyDescent="0.25">
      <c r="B71" s="3"/>
      <c r="C71" s="9" t="s">
        <v>345</v>
      </c>
      <c r="D71" s="28">
        <f>'дод 2'!E125</f>
        <v>3180550</v>
      </c>
      <c r="E71" s="28">
        <f>'дод 2'!F125</f>
        <v>3180550</v>
      </c>
      <c r="F71" s="28">
        <f>'дод 2'!G125</f>
        <v>0</v>
      </c>
      <c r="G71" s="28">
        <f>'дод 2'!H125</f>
        <v>0</v>
      </c>
      <c r="H71" s="28">
        <f>'дод 2'!I125</f>
        <v>0</v>
      </c>
      <c r="I71" s="28">
        <f>'дод 2'!J125</f>
        <v>0</v>
      </c>
      <c r="J71" s="28">
        <f>'дод 2'!K125</f>
        <v>0</v>
      </c>
      <c r="K71" s="28">
        <f>'дод 2'!L125</f>
        <v>0</v>
      </c>
      <c r="L71" s="28">
        <f>'дод 2'!M125</f>
        <v>0</v>
      </c>
      <c r="M71" s="28">
        <f>'дод 2'!N125</f>
        <v>0</v>
      </c>
      <c r="N71" s="28">
        <f>'дод 2'!O125</f>
        <v>0</v>
      </c>
      <c r="O71" s="28">
        <f>'дод 2'!P125</f>
        <v>3180550</v>
      </c>
      <c r="P71" s="156"/>
    </row>
    <row r="72" spans="1:16" ht="27" customHeight="1" x14ac:dyDescent="0.25">
      <c r="A72" s="3" t="s">
        <v>442</v>
      </c>
      <c r="B72" s="3" t="s">
        <v>133</v>
      </c>
      <c r="C72" s="9" t="s">
        <v>449</v>
      </c>
      <c r="D72" s="28">
        <f>'дод 2'!E126</f>
        <v>516000</v>
      </c>
      <c r="E72" s="28">
        <f>'дод 2'!F126</f>
        <v>516000</v>
      </c>
      <c r="F72" s="28">
        <f>'дод 2'!G126</f>
        <v>0</v>
      </c>
      <c r="G72" s="28">
        <f>'дод 2'!H126</f>
        <v>0</v>
      </c>
      <c r="H72" s="28">
        <f>'дод 2'!I126</f>
        <v>0</v>
      </c>
      <c r="I72" s="28">
        <f>'дод 2'!J126</f>
        <v>0</v>
      </c>
      <c r="J72" s="28">
        <f>'дод 2'!K126</f>
        <v>0</v>
      </c>
      <c r="K72" s="28">
        <f>'дод 2'!L126</f>
        <v>0</v>
      </c>
      <c r="L72" s="28">
        <f>'дод 2'!M126</f>
        <v>0</v>
      </c>
      <c r="M72" s="28">
        <f>'дод 2'!N126</f>
        <v>0</v>
      </c>
      <c r="N72" s="28">
        <f>'дод 2'!O126</f>
        <v>0</v>
      </c>
      <c r="O72" s="28">
        <f>'дод 2'!P126</f>
        <v>516000</v>
      </c>
      <c r="P72" s="156"/>
    </row>
    <row r="73" spans="1:16" ht="25.5" customHeight="1" x14ac:dyDescent="0.25">
      <c r="B73" s="3"/>
      <c r="C73" s="9" t="s">
        <v>345</v>
      </c>
      <c r="D73" s="28">
        <f>'дод 2'!E127</f>
        <v>516000</v>
      </c>
      <c r="E73" s="28">
        <f>'дод 2'!F127</f>
        <v>516000</v>
      </c>
      <c r="F73" s="28">
        <f>'дод 2'!G127</f>
        <v>0</v>
      </c>
      <c r="G73" s="28">
        <f>'дод 2'!H127</f>
        <v>0</v>
      </c>
      <c r="H73" s="28">
        <f>'дод 2'!I127</f>
        <v>0</v>
      </c>
      <c r="I73" s="28">
        <f>'дод 2'!J127</f>
        <v>0</v>
      </c>
      <c r="J73" s="28">
        <f>'дод 2'!K127</f>
        <v>0</v>
      </c>
      <c r="K73" s="28">
        <f>'дод 2'!L127</f>
        <v>0</v>
      </c>
      <c r="L73" s="28">
        <f>'дод 2'!M127</f>
        <v>0</v>
      </c>
      <c r="M73" s="28">
        <f>'дод 2'!N127</f>
        <v>0</v>
      </c>
      <c r="N73" s="28">
        <f>'дод 2'!O127</f>
        <v>0</v>
      </c>
      <c r="O73" s="28">
        <f>'дод 2'!P127</f>
        <v>516000</v>
      </c>
      <c r="P73" s="156"/>
    </row>
    <row r="74" spans="1:16" ht="27" customHeight="1" x14ac:dyDescent="0.25">
      <c r="A74" s="3" t="s">
        <v>443</v>
      </c>
      <c r="B74" s="3" t="s">
        <v>133</v>
      </c>
      <c r="C74" s="9" t="s">
        <v>450</v>
      </c>
      <c r="D74" s="28">
        <f>'дод 2'!E128</f>
        <v>126211100</v>
      </c>
      <c r="E74" s="28">
        <f>'дод 2'!F128</f>
        <v>126211100</v>
      </c>
      <c r="F74" s="28">
        <f>'дод 2'!G128</f>
        <v>0</v>
      </c>
      <c r="G74" s="28">
        <f>'дод 2'!H128</f>
        <v>0</v>
      </c>
      <c r="H74" s="28">
        <f>'дод 2'!I128</f>
        <v>0</v>
      </c>
      <c r="I74" s="28">
        <f>'дод 2'!J128</f>
        <v>0</v>
      </c>
      <c r="J74" s="28">
        <f>'дод 2'!K128</f>
        <v>0</v>
      </c>
      <c r="K74" s="28">
        <f>'дод 2'!L128</f>
        <v>0</v>
      </c>
      <c r="L74" s="28">
        <f>'дод 2'!M128</f>
        <v>0</v>
      </c>
      <c r="M74" s="28">
        <f>'дод 2'!N128</f>
        <v>0</v>
      </c>
      <c r="N74" s="28">
        <f>'дод 2'!O128</f>
        <v>0</v>
      </c>
      <c r="O74" s="28">
        <f>'дод 2'!P128</f>
        <v>126211100</v>
      </c>
      <c r="P74" s="156"/>
    </row>
    <row r="75" spans="1:16" ht="19.5" customHeight="1" x14ac:dyDescent="0.25">
      <c r="B75" s="3"/>
      <c r="C75" s="9" t="s">
        <v>345</v>
      </c>
      <c r="D75" s="28">
        <f>'дод 2'!E129</f>
        <v>126211100</v>
      </c>
      <c r="E75" s="28">
        <f>'дод 2'!F129</f>
        <v>126211100</v>
      </c>
      <c r="F75" s="28">
        <f>'дод 2'!G129</f>
        <v>0</v>
      </c>
      <c r="G75" s="28">
        <f>'дод 2'!H129</f>
        <v>0</v>
      </c>
      <c r="H75" s="28">
        <f>'дод 2'!I129</f>
        <v>0</v>
      </c>
      <c r="I75" s="28">
        <f>'дод 2'!J129</f>
        <v>0</v>
      </c>
      <c r="J75" s="28">
        <f>'дод 2'!K129</f>
        <v>0</v>
      </c>
      <c r="K75" s="28">
        <f>'дод 2'!L129</f>
        <v>0</v>
      </c>
      <c r="L75" s="28">
        <f>'дод 2'!M129</f>
        <v>0</v>
      </c>
      <c r="M75" s="28">
        <f>'дод 2'!N129</f>
        <v>0</v>
      </c>
      <c r="N75" s="28">
        <f>'дод 2'!O129</f>
        <v>0</v>
      </c>
      <c r="O75" s="28">
        <f>'дод 2'!P129</f>
        <v>126211100</v>
      </c>
      <c r="P75" s="156"/>
    </row>
    <row r="76" spans="1:16" ht="36" customHeight="1" x14ac:dyDescent="0.25">
      <c r="A76" s="3" t="s">
        <v>444</v>
      </c>
      <c r="B76" s="3" t="s">
        <v>133</v>
      </c>
      <c r="C76" s="9" t="s">
        <v>451</v>
      </c>
      <c r="D76" s="28">
        <f>'дод 2'!E130</f>
        <v>11189800</v>
      </c>
      <c r="E76" s="28">
        <f>'дод 2'!F130</f>
        <v>11189800</v>
      </c>
      <c r="F76" s="28">
        <f>'дод 2'!G130</f>
        <v>0</v>
      </c>
      <c r="G76" s="28">
        <f>'дод 2'!H130</f>
        <v>0</v>
      </c>
      <c r="H76" s="28">
        <f>'дод 2'!I130</f>
        <v>0</v>
      </c>
      <c r="I76" s="28">
        <f>'дод 2'!J130</f>
        <v>0</v>
      </c>
      <c r="J76" s="28">
        <f>'дод 2'!K130</f>
        <v>0</v>
      </c>
      <c r="K76" s="28">
        <f>'дод 2'!L130</f>
        <v>0</v>
      </c>
      <c r="L76" s="28">
        <f>'дод 2'!M130</f>
        <v>0</v>
      </c>
      <c r="M76" s="28">
        <f>'дод 2'!N130</f>
        <v>0</v>
      </c>
      <c r="N76" s="28">
        <f>'дод 2'!O130</f>
        <v>0</v>
      </c>
      <c r="O76" s="28">
        <f>'дод 2'!P130</f>
        <v>11189800</v>
      </c>
      <c r="P76" s="156"/>
    </row>
    <row r="77" spans="1:16" x14ac:dyDescent="0.25">
      <c r="B77" s="3"/>
      <c r="C77" s="9" t="s">
        <v>345</v>
      </c>
      <c r="D77" s="28">
        <f>'дод 2'!E131</f>
        <v>11189800</v>
      </c>
      <c r="E77" s="28">
        <f>'дод 2'!F131</f>
        <v>11189800</v>
      </c>
      <c r="F77" s="28">
        <f>'дод 2'!G131</f>
        <v>0</v>
      </c>
      <c r="G77" s="28">
        <f>'дод 2'!H131</f>
        <v>0</v>
      </c>
      <c r="H77" s="28">
        <f>'дод 2'!I131</f>
        <v>0</v>
      </c>
      <c r="I77" s="28">
        <f>'дод 2'!J131</f>
        <v>0</v>
      </c>
      <c r="J77" s="28">
        <f>'дод 2'!K131</f>
        <v>0</v>
      </c>
      <c r="K77" s="28">
        <f>'дод 2'!L131</f>
        <v>0</v>
      </c>
      <c r="L77" s="28">
        <f>'дод 2'!M131</f>
        <v>0</v>
      </c>
      <c r="M77" s="28">
        <f>'дод 2'!N131</f>
        <v>0</v>
      </c>
      <c r="N77" s="28">
        <f>'дод 2'!O131</f>
        <v>0</v>
      </c>
      <c r="O77" s="28">
        <f>'дод 2'!P131</f>
        <v>11189800</v>
      </c>
      <c r="P77" s="156"/>
    </row>
    <row r="78" spans="1:16" ht="27" customHeight="1" x14ac:dyDescent="0.25">
      <c r="A78" s="3" t="s">
        <v>445</v>
      </c>
      <c r="B78" s="3" t="s">
        <v>133</v>
      </c>
      <c r="C78" s="9" t="s">
        <v>452</v>
      </c>
      <c r="D78" s="28">
        <f>'дод 2'!E132</f>
        <v>50396740</v>
      </c>
      <c r="E78" s="28">
        <f>'дод 2'!F132</f>
        <v>50396740</v>
      </c>
      <c r="F78" s="28">
        <f>'дод 2'!G132</f>
        <v>0</v>
      </c>
      <c r="G78" s="28">
        <f>'дод 2'!H132</f>
        <v>0</v>
      </c>
      <c r="H78" s="28">
        <f>'дод 2'!I132</f>
        <v>0</v>
      </c>
      <c r="I78" s="28">
        <f>'дод 2'!J132</f>
        <v>0</v>
      </c>
      <c r="J78" s="28">
        <f>'дод 2'!K132</f>
        <v>0</v>
      </c>
      <c r="K78" s="28">
        <f>'дод 2'!L132</f>
        <v>0</v>
      </c>
      <c r="L78" s="28">
        <f>'дод 2'!M132</f>
        <v>0</v>
      </c>
      <c r="M78" s="28">
        <f>'дод 2'!N132</f>
        <v>0</v>
      </c>
      <c r="N78" s="28">
        <f>'дод 2'!O132</f>
        <v>0</v>
      </c>
      <c r="O78" s="28">
        <f>'дод 2'!P132</f>
        <v>50396740</v>
      </c>
      <c r="P78" s="156"/>
    </row>
    <row r="79" spans="1:16" ht="17.25" customHeight="1" x14ac:dyDescent="0.25">
      <c r="B79" s="3"/>
      <c r="C79" s="9" t="s">
        <v>345</v>
      </c>
      <c r="D79" s="28">
        <f>'дод 2'!E133</f>
        <v>50396740</v>
      </c>
      <c r="E79" s="28">
        <f>'дод 2'!F133</f>
        <v>50396740</v>
      </c>
      <c r="F79" s="28">
        <f>'дод 2'!G133</f>
        <v>0</v>
      </c>
      <c r="G79" s="28">
        <f>'дод 2'!H133</f>
        <v>0</v>
      </c>
      <c r="H79" s="28">
        <f>'дод 2'!I133</f>
        <v>0</v>
      </c>
      <c r="I79" s="28">
        <f>'дод 2'!J133</f>
        <v>0</v>
      </c>
      <c r="J79" s="28">
        <f>'дод 2'!K133</f>
        <v>0</v>
      </c>
      <c r="K79" s="28">
        <f>'дод 2'!L133</f>
        <v>0</v>
      </c>
      <c r="L79" s="28">
        <f>'дод 2'!M133</f>
        <v>0</v>
      </c>
      <c r="M79" s="28">
        <f>'дод 2'!N133</f>
        <v>0</v>
      </c>
      <c r="N79" s="28">
        <f>'дод 2'!O133</f>
        <v>0</v>
      </c>
      <c r="O79" s="28">
        <f>'дод 2'!P133</f>
        <v>50396740</v>
      </c>
      <c r="P79" s="156"/>
    </row>
    <row r="80" spans="1:16" ht="27" customHeight="1" x14ac:dyDescent="0.25">
      <c r="A80" s="3" t="s">
        <v>446</v>
      </c>
      <c r="B80" s="3" t="s">
        <v>133</v>
      </c>
      <c r="C80" s="9" t="s">
        <v>453</v>
      </c>
      <c r="D80" s="28">
        <f>'дод 2'!E134</f>
        <v>1473500</v>
      </c>
      <c r="E80" s="28">
        <f>'дод 2'!F134</f>
        <v>1473500</v>
      </c>
      <c r="F80" s="28">
        <f>'дод 2'!G134</f>
        <v>0</v>
      </c>
      <c r="G80" s="28">
        <f>'дод 2'!H134</f>
        <v>0</v>
      </c>
      <c r="H80" s="28">
        <f>'дод 2'!I134</f>
        <v>0</v>
      </c>
      <c r="I80" s="28">
        <f>'дод 2'!J134</f>
        <v>0</v>
      </c>
      <c r="J80" s="28">
        <f>'дод 2'!K134</f>
        <v>0</v>
      </c>
      <c r="K80" s="28">
        <f>'дод 2'!L134</f>
        <v>0</v>
      </c>
      <c r="L80" s="28">
        <f>'дод 2'!M134</f>
        <v>0</v>
      </c>
      <c r="M80" s="28">
        <f>'дод 2'!N134</f>
        <v>0</v>
      </c>
      <c r="N80" s="28">
        <f>'дод 2'!O134</f>
        <v>0</v>
      </c>
      <c r="O80" s="28">
        <f>'дод 2'!P134</f>
        <v>1473500</v>
      </c>
      <c r="P80" s="156"/>
    </row>
    <row r="81" spans="1:16" ht="24.75" customHeight="1" x14ac:dyDescent="0.25">
      <c r="B81" s="3"/>
      <c r="C81" s="9" t="s">
        <v>345</v>
      </c>
      <c r="D81" s="28">
        <f>'дод 2'!E135</f>
        <v>1473500</v>
      </c>
      <c r="E81" s="28">
        <f>'дод 2'!F135</f>
        <v>1473500</v>
      </c>
      <c r="F81" s="28">
        <f>'дод 2'!G135</f>
        <v>0</v>
      </c>
      <c r="G81" s="28">
        <f>'дод 2'!H135</f>
        <v>0</v>
      </c>
      <c r="H81" s="28">
        <f>'дод 2'!I135</f>
        <v>0</v>
      </c>
      <c r="I81" s="28">
        <f>'дод 2'!J135</f>
        <v>0</v>
      </c>
      <c r="J81" s="28">
        <f>'дод 2'!K135</f>
        <v>0</v>
      </c>
      <c r="K81" s="28">
        <f>'дод 2'!L135</f>
        <v>0</v>
      </c>
      <c r="L81" s="28">
        <f>'дод 2'!M135</f>
        <v>0</v>
      </c>
      <c r="M81" s="28">
        <f>'дод 2'!N135</f>
        <v>0</v>
      </c>
      <c r="N81" s="28">
        <f>'дод 2'!O135</f>
        <v>0</v>
      </c>
      <c r="O81" s="28">
        <f>'дод 2'!P135</f>
        <v>1473500</v>
      </c>
      <c r="P81" s="156"/>
    </row>
    <row r="82" spans="1:16" ht="32.25" customHeight="1" x14ac:dyDescent="0.25">
      <c r="A82" s="3" t="s">
        <v>447</v>
      </c>
      <c r="B82" s="3" t="s">
        <v>133</v>
      </c>
      <c r="C82" s="9" t="s">
        <v>454</v>
      </c>
      <c r="D82" s="28">
        <f>'дод 2'!E136</f>
        <v>49683060</v>
      </c>
      <c r="E82" s="28">
        <f>'дод 2'!F136</f>
        <v>49683060</v>
      </c>
      <c r="F82" s="28">
        <f>'дод 2'!G136</f>
        <v>0</v>
      </c>
      <c r="G82" s="28">
        <f>'дод 2'!H136</f>
        <v>0</v>
      </c>
      <c r="H82" s="28">
        <f>'дод 2'!I136</f>
        <v>0</v>
      </c>
      <c r="I82" s="28">
        <f>'дод 2'!J136</f>
        <v>0</v>
      </c>
      <c r="J82" s="28">
        <f>'дод 2'!K136</f>
        <v>0</v>
      </c>
      <c r="K82" s="28">
        <f>'дод 2'!L136</f>
        <v>0</v>
      </c>
      <c r="L82" s="28">
        <f>'дод 2'!M136</f>
        <v>0</v>
      </c>
      <c r="M82" s="28">
        <f>'дод 2'!N136</f>
        <v>0</v>
      </c>
      <c r="N82" s="28">
        <f>'дод 2'!O136</f>
        <v>0</v>
      </c>
      <c r="O82" s="28">
        <f>'дод 2'!P136</f>
        <v>49683060</v>
      </c>
      <c r="P82" s="156"/>
    </row>
    <row r="83" spans="1:16" ht="22.5" customHeight="1" x14ac:dyDescent="0.25">
      <c r="B83" s="3"/>
      <c r="C83" s="9" t="s">
        <v>345</v>
      </c>
      <c r="D83" s="28">
        <f>'дод 2'!E137</f>
        <v>49683060</v>
      </c>
      <c r="E83" s="28">
        <f>'дод 2'!F137</f>
        <v>49683060</v>
      </c>
      <c r="F83" s="28">
        <f>'дод 2'!G137</f>
        <v>0</v>
      </c>
      <c r="G83" s="28">
        <f>'дод 2'!H137</f>
        <v>0</v>
      </c>
      <c r="H83" s="28">
        <f>'дод 2'!I137</f>
        <v>0</v>
      </c>
      <c r="I83" s="28">
        <f>'дод 2'!J137</f>
        <v>0</v>
      </c>
      <c r="J83" s="28">
        <f>'дод 2'!K137</f>
        <v>0</v>
      </c>
      <c r="K83" s="28">
        <f>'дод 2'!L137</f>
        <v>0</v>
      </c>
      <c r="L83" s="28">
        <f>'дод 2'!M137</f>
        <v>0</v>
      </c>
      <c r="M83" s="28">
        <f>'дод 2'!N137</f>
        <v>0</v>
      </c>
      <c r="N83" s="28">
        <f>'дод 2'!O137</f>
        <v>0</v>
      </c>
      <c r="O83" s="28">
        <f>'дод 2'!P137</f>
        <v>49683060</v>
      </c>
      <c r="P83" s="156"/>
    </row>
    <row r="84" spans="1:16" ht="40.5" customHeight="1" x14ac:dyDescent="0.25">
      <c r="A84" s="3" t="s">
        <v>134</v>
      </c>
      <c r="B84" s="3" t="s">
        <v>79</v>
      </c>
      <c r="C84" s="9" t="s">
        <v>49</v>
      </c>
      <c r="D84" s="28">
        <f>'дод 2'!E138</f>
        <v>686000</v>
      </c>
      <c r="E84" s="28">
        <f>'дод 2'!F138</f>
        <v>686000</v>
      </c>
      <c r="F84" s="28">
        <f>'дод 2'!G138</f>
        <v>0</v>
      </c>
      <c r="G84" s="28">
        <f>'дод 2'!H138</f>
        <v>0</v>
      </c>
      <c r="H84" s="28">
        <f>'дод 2'!I138</f>
        <v>0</v>
      </c>
      <c r="I84" s="28">
        <f>'дод 2'!J138</f>
        <v>0</v>
      </c>
      <c r="J84" s="28">
        <f>'дод 2'!K138</f>
        <v>0</v>
      </c>
      <c r="K84" s="28">
        <f>'дод 2'!L138</f>
        <v>0</v>
      </c>
      <c r="L84" s="28">
        <f>'дод 2'!M138</f>
        <v>0</v>
      </c>
      <c r="M84" s="28">
        <f>'дод 2'!N138</f>
        <v>0</v>
      </c>
      <c r="N84" s="28">
        <f>'дод 2'!O138</f>
        <v>0</v>
      </c>
      <c r="O84" s="28">
        <f>'дод 2'!P138</f>
        <v>686000</v>
      </c>
      <c r="P84" s="156"/>
    </row>
    <row r="85" spans="1:16" ht="40.5" customHeight="1" x14ac:dyDescent="0.25">
      <c r="A85" s="3" t="s">
        <v>462</v>
      </c>
      <c r="B85" s="3" t="s">
        <v>73</v>
      </c>
      <c r="C85" s="9" t="s">
        <v>468</v>
      </c>
      <c r="D85" s="28">
        <f>'дод 2'!E139</f>
        <v>70995980</v>
      </c>
      <c r="E85" s="28">
        <f>'дод 2'!F139</f>
        <v>70995980</v>
      </c>
      <c r="F85" s="28">
        <f>'дод 2'!G139</f>
        <v>0</v>
      </c>
      <c r="G85" s="28">
        <f>'дод 2'!H139</f>
        <v>0</v>
      </c>
      <c r="H85" s="28">
        <f>'дод 2'!I139</f>
        <v>0</v>
      </c>
      <c r="I85" s="28">
        <f>'дод 2'!J139</f>
        <v>0</v>
      </c>
      <c r="J85" s="28">
        <f>'дод 2'!K139</f>
        <v>0</v>
      </c>
      <c r="K85" s="28">
        <f>'дод 2'!L139</f>
        <v>0</v>
      </c>
      <c r="L85" s="28">
        <f>'дод 2'!M139</f>
        <v>0</v>
      </c>
      <c r="M85" s="28">
        <f>'дод 2'!N139</f>
        <v>0</v>
      </c>
      <c r="N85" s="28">
        <f>'дод 2'!O139</f>
        <v>0</v>
      </c>
      <c r="O85" s="28">
        <f>'дод 2'!P139</f>
        <v>70995980</v>
      </c>
      <c r="P85" s="156"/>
    </row>
    <row r="86" spans="1:16" ht="27" customHeight="1" x14ac:dyDescent="0.25">
      <c r="B86" s="3"/>
      <c r="C86" s="9" t="s">
        <v>345</v>
      </c>
      <c r="D86" s="28">
        <f>'дод 2'!E140</f>
        <v>70995980</v>
      </c>
      <c r="E86" s="28">
        <f>'дод 2'!F140</f>
        <v>70995980</v>
      </c>
      <c r="F86" s="28">
        <f>'дод 2'!G140</f>
        <v>0</v>
      </c>
      <c r="G86" s="28">
        <f>'дод 2'!H140</f>
        <v>0</v>
      </c>
      <c r="H86" s="28">
        <f>'дод 2'!I140</f>
        <v>0</v>
      </c>
      <c r="I86" s="28">
        <f>'дод 2'!J140</f>
        <v>0</v>
      </c>
      <c r="J86" s="28">
        <f>'дод 2'!K140</f>
        <v>0</v>
      </c>
      <c r="K86" s="28">
        <f>'дод 2'!L140</f>
        <v>0</v>
      </c>
      <c r="L86" s="28">
        <f>'дод 2'!M140</f>
        <v>0</v>
      </c>
      <c r="M86" s="28">
        <f>'дод 2'!N140</f>
        <v>0</v>
      </c>
      <c r="N86" s="28">
        <f>'дод 2'!O140</f>
        <v>0</v>
      </c>
      <c r="O86" s="28">
        <f>'дод 2'!P140</f>
        <v>70995980</v>
      </c>
      <c r="P86" s="156"/>
    </row>
    <row r="87" spans="1:16" ht="66" customHeight="1" x14ac:dyDescent="0.25">
      <c r="A87" s="3" t="s">
        <v>463</v>
      </c>
      <c r="B87" s="3" t="s">
        <v>73</v>
      </c>
      <c r="C87" s="9" t="s">
        <v>469</v>
      </c>
      <c r="D87" s="28">
        <f>'дод 2'!E141</f>
        <v>10842650</v>
      </c>
      <c r="E87" s="28">
        <f>'дод 2'!F141</f>
        <v>10842650</v>
      </c>
      <c r="F87" s="28">
        <f>'дод 2'!G141</f>
        <v>0</v>
      </c>
      <c r="G87" s="28">
        <f>'дод 2'!H141</f>
        <v>0</v>
      </c>
      <c r="H87" s="28">
        <f>'дод 2'!I141</f>
        <v>0</v>
      </c>
      <c r="I87" s="28">
        <f>'дод 2'!J141</f>
        <v>0</v>
      </c>
      <c r="J87" s="28">
        <f>'дод 2'!K141</f>
        <v>0</v>
      </c>
      <c r="K87" s="28">
        <f>'дод 2'!L141</f>
        <v>0</v>
      </c>
      <c r="L87" s="28">
        <f>'дод 2'!M141</f>
        <v>0</v>
      </c>
      <c r="M87" s="28">
        <f>'дод 2'!N141</f>
        <v>0</v>
      </c>
      <c r="N87" s="28">
        <f>'дод 2'!O141</f>
        <v>0</v>
      </c>
      <c r="O87" s="28">
        <f>'дод 2'!P141</f>
        <v>10842650</v>
      </c>
      <c r="P87" s="156"/>
    </row>
    <row r="88" spans="1:16" ht="27" customHeight="1" x14ac:dyDescent="0.25">
      <c r="B88" s="3"/>
      <c r="C88" s="9" t="s">
        <v>345</v>
      </c>
      <c r="D88" s="28">
        <f>'дод 2'!E142</f>
        <v>10842650</v>
      </c>
      <c r="E88" s="28">
        <f>'дод 2'!F142</f>
        <v>10842650</v>
      </c>
      <c r="F88" s="28">
        <f>'дод 2'!G142</f>
        <v>0</v>
      </c>
      <c r="G88" s="28">
        <f>'дод 2'!H142</f>
        <v>0</v>
      </c>
      <c r="H88" s="28">
        <f>'дод 2'!I142</f>
        <v>0</v>
      </c>
      <c r="I88" s="28">
        <f>'дод 2'!J142</f>
        <v>0</v>
      </c>
      <c r="J88" s="28">
        <f>'дод 2'!K142</f>
        <v>0</v>
      </c>
      <c r="K88" s="28">
        <f>'дод 2'!L142</f>
        <v>0</v>
      </c>
      <c r="L88" s="28">
        <f>'дод 2'!M142</f>
        <v>0</v>
      </c>
      <c r="M88" s="28">
        <f>'дод 2'!N142</f>
        <v>0</v>
      </c>
      <c r="N88" s="28">
        <f>'дод 2'!O142</f>
        <v>0</v>
      </c>
      <c r="O88" s="28">
        <f>'дод 2'!P142</f>
        <v>10842650</v>
      </c>
      <c r="P88" s="156"/>
    </row>
    <row r="89" spans="1:16" ht="53.25" customHeight="1" x14ac:dyDescent="0.25">
      <c r="A89" s="3" t="s">
        <v>464</v>
      </c>
      <c r="B89" s="3" t="s">
        <v>73</v>
      </c>
      <c r="C89" s="9" t="s">
        <v>470</v>
      </c>
      <c r="D89" s="28">
        <f>'дод 2'!E143</f>
        <v>12553970</v>
      </c>
      <c r="E89" s="28">
        <f>'дод 2'!F143</f>
        <v>12553970</v>
      </c>
      <c r="F89" s="28">
        <f>'дод 2'!G143</f>
        <v>0</v>
      </c>
      <c r="G89" s="28">
        <f>'дод 2'!H143</f>
        <v>0</v>
      </c>
      <c r="H89" s="28">
        <f>'дод 2'!I143</f>
        <v>0</v>
      </c>
      <c r="I89" s="28">
        <f>'дод 2'!J143</f>
        <v>0</v>
      </c>
      <c r="J89" s="28">
        <f>'дод 2'!K143</f>
        <v>0</v>
      </c>
      <c r="K89" s="28">
        <f>'дод 2'!L143</f>
        <v>0</v>
      </c>
      <c r="L89" s="28">
        <f>'дод 2'!M143</f>
        <v>0</v>
      </c>
      <c r="M89" s="28">
        <f>'дод 2'!N143</f>
        <v>0</v>
      </c>
      <c r="N89" s="28">
        <f>'дод 2'!O143</f>
        <v>0</v>
      </c>
      <c r="O89" s="28">
        <f>'дод 2'!P143</f>
        <v>12553970</v>
      </c>
      <c r="P89" s="156"/>
    </row>
    <row r="90" spans="1:16" ht="27" customHeight="1" x14ac:dyDescent="0.25">
      <c r="B90" s="3"/>
      <c r="C90" s="9" t="s">
        <v>345</v>
      </c>
      <c r="D90" s="28">
        <f>'дод 2'!E144</f>
        <v>12553970</v>
      </c>
      <c r="E90" s="28">
        <f>'дод 2'!F144</f>
        <v>12553970</v>
      </c>
      <c r="F90" s="28">
        <f>'дод 2'!G144</f>
        <v>0</v>
      </c>
      <c r="G90" s="28">
        <f>'дод 2'!H144</f>
        <v>0</v>
      </c>
      <c r="H90" s="28">
        <f>'дод 2'!I144</f>
        <v>0</v>
      </c>
      <c r="I90" s="28">
        <f>'дод 2'!J144</f>
        <v>0</v>
      </c>
      <c r="J90" s="28">
        <f>'дод 2'!K144</f>
        <v>0</v>
      </c>
      <c r="K90" s="28">
        <f>'дод 2'!L144</f>
        <v>0</v>
      </c>
      <c r="L90" s="28">
        <f>'дод 2'!M144</f>
        <v>0</v>
      </c>
      <c r="M90" s="28">
        <f>'дод 2'!N144</f>
        <v>0</v>
      </c>
      <c r="N90" s="28">
        <f>'дод 2'!O144</f>
        <v>0</v>
      </c>
      <c r="O90" s="28">
        <f>'дод 2'!P144</f>
        <v>12553970</v>
      </c>
      <c r="P90" s="156"/>
    </row>
    <row r="91" spans="1:16" ht="72" customHeight="1" x14ac:dyDescent="0.25">
      <c r="A91" s="3" t="s">
        <v>465</v>
      </c>
      <c r="B91" s="3" t="s">
        <v>133</v>
      </c>
      <c r="C91" s="9" t="s">
        <v>471</v>
      </c>
      <c r="D91" s="28">
        <f>'дод 2'!E145</f>
        <v>1859870</v>
      </c>
      <c r="E91" s="28">
        <f>'дод 2'!F145</f>
        <v>1859870</v>
      </c>
      <c r="F91" s="28">
        <f>'дод 2'!G145</f>
        <v>0</v>
      </c>
      <c r="G91" s="28">
        <f>'дод 2'!H145</f>
        <v>0</v>
      </c>
      <c r="H91" s="28">
        <f>'дод 2'!I145</f>
        <v>0</v>
      </c>
      <c r="I91" s="28">
        <f>'дод 2'!J145</f>
        <v>0</v>
      </c>
      <c r="J91" s="28">
        <f>'дод 2'!K145</f>
        <v>0</v>
      </c>
      <c r="K91" s="28">
        <f>'дод 2'!L145</f>
        <v>0</v>
      </c>
      <c r="L91" s="28">
        <f>'дод 2'!M145</f>
        <v>0</v>
      </c>
      <c r="M91" s="28">
        <f>'дод 2'!N145</f>
        <v>0</v>
      </c>
      <c r="N91" s="28">
        <f>'дод 2'!O145</f>
        <v>0</v>
      </c>
      <c r="O91" s="28">
        <f>'дод 2'!P145</f>
        <v>1859870</v>
      </c>
      <c r="P91" s="156"/>
    </row>
    <row r="92" spans="1:16" ht="27" customHeight="1" x14ac:dyDescent="0.25">
      <c r="B92" s="3"/>
      <c r="C92" s="9" t="s">
        <v>345</v>
      </c>
      <c r="D92" s="28">
        <f>'дод 2'!E146</f>
        <v>1859870</v>
      </c>
      <c r="E92" s="28">
        <f>'дод 2'!F146</f>
        <v>1859870</v>
      </c>
      <c r="F92" s="28">
        <f>'дод 2'!G146</f>
        <v>0</v>
      </c>
      <c r="G92" s="28">
        <f>'дод 2'!H146</f>
        <v>0</v>
      </c>
      <c r="H92" s="28">
        <f>'дод 2'!I146</f>
        <v>0</v>
      </c>
      <c r="I92" s="28">
        <f>'дод 2'!J146</f>
        <v>0</v>
      </c>
      <c r="J92" s="28">
        <f>'дод 2'!K146</f>
        <v>0</v>
      </c>
      <c r="K92" s="28">
        <f>'дод 2'!L146</f>
        <v>0</v>
      </c>
      <c r="L92" s="28">
        <f>'дод 2'!M146</f>
        <v>0</v>
      </c>
      <c r="M92" s="28">
        <f>'дод 2'!N146</f>
        <v>0</v>
      </c>
      <c r="N92" s="28">
        <f>'дод 2'!O146</f>
        <v>0</v>
      </c>
      <c r="O92" s="28">
        <f>'дод 2'!P146</f>
        <v>1859870</v>
      </c>
      <c r="P92" s="156"/>
    </row>
    <row r="93" spans="1:16" ht="64.5" customHeight="1" x14ac:dyDescent="0.25">
      <c r="A93" s="3" t="s">
        <v>466</v>
      </c>
      <c r="B93" s="3" t="s">
        <v>73</v>
      </c>
      <c r="C93" s="9" t="s">
        <v>472</v>
      </c>
      <c r="D93" s="28">
        <f>'дод 2'!E147</f>
        <v>190380</v>
      </c>
      <c r="E93" s="28">
        <f>'дод 2'!F147</f>
        <v>190380</v>
      </c>
      <c r="F93" s="28">
        <f>'дод 2'!G147</f>
        <v>0</v>
      </c>
      <c r="G93" s="28">
        <f>'дод 2'!H147</f>
        <v>0</v>
      </c>
      <c r="H93" s="28">
        <f>'дод 2'!I147</f>
        <v>0</v>
      </c>
      <c r="I93" s="28">
        <f>'дод 2'!J147</f>
        <v>0</v>
      </c>
      <c r="J93" s="28">
        <f>'дод 2'!K147</f>
        <v>0</v>
      </c>
      <c r="K93" s="28">
        <f>'дод 2'!L147</f>
        <v>0</v>
      </c>
      <c r="L93" s="28">
        <f>'дод 2'!M147</f>
        <v>0</v>
      </c>
      <c r="M93" s="28">
        <f>'дод 2'!N147</f>
        <v>0</v>
      </c>
      <c r="N93" s="28">
        <f>'дод 2'!O147</f>
        <v>0</v>
      </c>
      <c r="O93" s="28">
        <f>'дод 2'!P147</f>
        <v>190380</v>
      </c>
      <c r="P93" s="156"/>
    </row>
    <row r="94" spans="1:16" ht="27" customHeight="1" x14ac:dyDescent="0.25">
      <c r="B94" s="3"/>
      <c r="C94" s="9" t="s">
        <v>345</v>
      </c>
      <c r="D94" s="28">
        <f>'дод 2'!E148</f>
        <v>190380</v>
      </c>
      <c r="E94" s="28">
        <f>'дод 2'!F148</f>
        <v>190380</v>
      </c>
      <c r="F94" s="28">
        <f>'дод 2'!G148</f>
        <v>0</v>
      </c>
      <c r="G94" s="28">
        <f>'дод 2'!H148</f>
        <v>0</v>
      </c>
      <c r="H94" s="28">
        <f>'дод 2'!I148</f>
        <v>0</v>
      </c>
      <c r="I94" s="28">
        <f>'дод 2'!J148</f>
        <v>0</v>
      </c>
      <c r="J94" s="28">
        <f>'дод 2'!K148</f>
        <v>0</v>
      </c>
      <c r="K94" s="28">
        <f>'дод 2'!L148</f>
        <v>0</v>
      </c>
      <c r="L94" s="28">
        <f>'дод 2'!M148</f>
        <v>0</v>
      </c>
      <c r="M94" s="28">
        <f>'дод 2'!N148</f>
        <v>0</v>
      </c>
      <c r="N94" s="28">
        <f>'дод 2'!O148</f>
        <v>0</v>
      </c>
      <c r="O94" s="28">
        <f>'дод 2'!P148</f>
        <v>190380</v>
      </c>
      <c r="P94" s="156"/>
    </row>
    <row r="95" spans="1:16" ht="40.5" customHeight="1" x14ac:dyDescent="0.25">
      <c r="A95" s="3" t="s">
        <v>419</v>
      </c>
      <c r="B95" s="3" t="s">
        <v>77</v>
      </c>
      <c r="C95" s="9" t="s">
        <v>420</v>
      </c>
      <c r="D95" s="28">
        <f>'дод 2'!E149</f>
        <v>215500</v>
      </c>
      <c r="E95" s="28">
        <f>'дод 2'!F149</f>
        <v>215500</v>
      </c>
      <c r="F95" s="28">
        <f>'дод 2'!G149</f>
        <v>0</v>
      </c>
      <c r="G95" s="28">
        <f>'дод 2'!H149</f>
        <v>0</v>
      </c>
      <c r="H95" s="28">
        <f>'дод 2'!I149</f>
        <v>0</v>
      </c>
      <c r="I95" s="28">
        <f>'дод 2'!J149</f>
        <v>0</v>
      </c>
      <c r="J95" s="28">
        <f>'дод 2'!K149</f>
        <v>0</v>
      </c>
      <c r="K95" s="28">
        <f>'дод 2'!L149</f>
        <v>0</v>
      </c>
      <c r="L95" s="28">
        <f>'дод 2'!M149</f>
        <v>0</v>
      </c>
      <c r="M95" s="28">
        <f>'дод 2'!N149</f>
        <v>0</v>
      </c>
      <c r="N95" s="28">
        <f>'дод 2'!O149</f>
        <v>0</v>
      </c>
      <c r="O95" s="28">
        <f>'дод 2'!P149</f>
        <v>215500</v>
      </c>
      <c r="P95" s="156"/>
    </row>
    <row r="96" spans="1:16" ht="74.25" customHeight="1" x14ac:dyDescent="0.25">
      <c r="A96" s="3" t="s">
        <v>135</v>
      </c>
      <c r="B96" s="3" t="s">
        <v>75</v>
      </c>
      <c r="C96" s="9" t="s">
        <v>50</v>
      </c>
      <c r="D96" s="28">
        <f>'дод 2'!E150</f>
        <v>11483600</v>
      </c>
      <c r="E96" s="28">
        <f>'дод 2'!F150</f>
        <v>11483600</v>
      </c>
      <c r="F96" s="28">
        <f>'дод 2'!G150</f>
        <v>8737044</v>
      </c>
      <c r="G96" s="28">
        <f>'дод 2'!H150</f>
        <v>251038</v>
      </c>
      <c r="H96" s="28">
        <f>'дод 2'!I150</f>
        <v>0</v>
      </c>
      <c r="I96" s="28">
        <f>'дод 2'!J150</f>
        <v>105530</v>
      </c>
      <c r="J96" s="28">
        <f>'дод 2'!K150</f>
        <v>10000</v>
      </c>
      <c r="K96" s="28">
        <f>'дод 2'!L150</f>
        <v>95530</v>
      </c>
      <c r="L96" s="28">
        <f>'дод 2'!M150</f>
        <v>75100</v>
      </c>
      <c r="M96" s="28">
        <f>'дод 2'!N150</f>
        <v>0</v>
      </c>
      <c r="N96" s="28">
        <f>'дод 2'!O150</f>
        <v>10000</v>
      </c>
      <c r="O96" s="28">
        <f>'дод 2'!P150</f>
        <v>11589130</v>
      </c>
      <c r="P96" s="156"/>
    </row>
    <row r="97" spans="1:16" s="5" customFormat="1" ht="43.5" customHeight="1" x14ac:dyDescent="0.25">
      <c r="A97" s="3" t="s">
        <v>136</v>
      </c>
      <c r="B97" s="3" t="s">
        <v>133</v>
      </c>
      <c r="C97" s="9" t="s">
        <v>52</v>
      </c>
      <c r="D97" s="26">
        <f>'дод 2'!E176</f>
        <v>100000</v>
      </c>
      <c r="E97" s="26">
        <f>'дод 2'!F176</f>
        <v>100000</v>
      </c>
      <c r="F97" s="26">
        <f>'дод 2'!G176</f>
        <v>0</v>
      </c>
      <c r="G97" s="26">
        <f>'дод 2'!H176</f>
        <v>0</v>
      </c>
      <c r="H97" s="26">
        <f>'дод 2'!I176</f>
        <v>0</v>
      </c>
      <c r="I97" s="26">
        <f>'дод 2'!J176</f>
        <v>0</v>
      </c>
      <c r="J97" s="26">
        <f>'дод 2'!K176</f>
        <v>0</v>
      </c>
      <c r="K97" s="26">
        <f>'дод 2'!L176</f>
        <v>0</v>
      </c>
      <c r="L97" s="26">
        <f>'дод 2'!M176</f>
        <v>0</v>
      </c>
      <c r="M97" s="26">
        <f>'дод 2'!N176</f>
        <v>0</v>
      </c>
      <c r="N97" s="26">
        <f>'дод 2'!O176</f>
        <v>0</v>
      </c>
      <c r="O97" s="26">
        <f>'дод 2'!P176</f>
        <v>100000</v>
      </c>
      <c r="P97" s="156"/>
    </row>
    <row r="98" spans="1:16" s="5" customFormat="1" ht="42.75" customHeight="1" x14ac:dyDescent="0.25">
      <c r="A98" s="3" t="s">
        <v>170</v>
      </c>
      <c r="B98" s="3" t="s">
        <v>133</v>
      </c>
      <c r="C98" s="9" t="s">
        <v>171</v>
      </c>
      <c r="D98" s="26">
        <f>'дод 2'!E18</f>
        <v>2260500</v>
      </c>
      <c r="E98" s="26">
        <f>'дод 2'!F18</f>
        <v>2260500</v>
      </c>
      <c r="F98" s="26">
        <f>'дод 2'!G18</f>
        <v>1724250</v>
      </c>
      <c r="G98" s="26">
        <f>'дод 2'!H18</f>
        <v>53204</v>
      </c>
      <c r="H98" s="26">
        <f>'дод 2'!I18</f>
        <v>0</v>
      </c>
      <c r="I98" s="26">
        <f>'дод 2'!J18</f>
        <v>0</v>
      </c>
      <c r="J98" s="26">
        <f>'дод 2'!K18</f>
        <v>0</v>
      </c>
      <c r="K98" s="26">
        <f>'дод 2'!L18</f>
        <v>0</v>
      </c>
      <c r="L98" s="26">
        <f>'дод 2'!M18</f>
        <v>0</v>
      </c>
      <c r="M98" s="26">
        <f>'дод 2'!N18</f>
        <v>0</v>
      </c>
      <c r="N98" s="26">
        <f>'дод 2'!O18</f>
        <v>0</v>
      </c>
      <c r="O98" s="26">
        <f>'дод 2'!P18</f>
        <v>2260500</v>
      </c>
      <c r="P98" s="156"/>
    </row>
    <row r="99" spans="1:16" s="5" customFormat="1" ht="58.5" customHeight="1" x14ac:dyDescent="0.25">
      <c r="A99" s="17" t="s">
        <v>140</v>
      </c>
      <c r="B99" s="17" t="s">
        <v>133</v>
      </c>
      <c r="C99" s="9" t="s">
        <v>191</v>
      </c>
      <c r="D99" s="26">
        <f>'дод 2'!E19</f>
        <v>800000</v>
      </c>
      <c r="E99" s="26">
        <f>'дод 2'!F19</f>
        <v>800000</v>
      </c>
      <c r="F99" s="26">
        <f>'дод 2'!G19</f>
        <v>0</v>
      </c>
      <c r="G99" s="26">
        <f>'дод 2'!H19</f>
        <v>0</v>
      </c>
      <c r="H99" s="26">
        <f>'дод 2'!I19</f>
        <v>0</v>
      </c>
      <c r="I99" s="26">
        <f>'дод 2'!J19</f>
        <v>0</v>
      </c>
      <c r="J99" s="26">
        <f>'дод 2'!K19</f>
        <v>0</v>
      </c>
      <c r="K99" s="26">
        <f>'дод 2'!L19</f>
        <v>0</v>
      </c>
      <c r="L99" s="26">
        <f>'дод 2'!M19</f>
        <v>0</v>
      </c>
      <c r="M99" s="26">
        <f>'дод 2'!N19</f>
        <v>0</v>
      </c>
      <c r="N99" s="26">
        <f>'дод 2'!O19</f>
        <v>0</v>
      </c>
      <c r="O99" s="26">
        <f>'дод 2'!P19</f>
        <v>800000</v>
      </c>
      <c r="P99" s="156"/>
    </row>
    <row r="100" spans="1:16" ht="75" customHeight="1" x14ac:dyDescent="0.25">
      <c r="A100" s="3" t="s">
        <v>141</v>
      </c>
      <c r="B100" s="3" t="s">
        <v>133</v>
      </c>
      <c r="C100" s="12" t="s">
        <v>35</v>
      </c>
      <c r="D100" s="26">
        <f>'дод 2'!E69+'дод 2'!E20</f>
        <v>7789000</v>
      </c>
      <c r="E100" s="26">
        <f>'дод 2'!F69+'дод 2'!F20</f>
        <v>7789000</v>
      </c>
      <c r="F100" s="26">
        <f>'дод 2'!G69+'дод 2'!G20</f>
        <v>0</v>
      </c>
      <c r="G100" s="26">
        <f>'дод 2'!H69+'дод 2'!H20</f>
        <v>0</v>
      </c>
      <c r="H100" s="26">
        <f>'дод 2'!I69+'дод 2'!I20</f>
        <v>0</v>
      </c>
      <c r="I100" s="26">
        <f>'дод 2'!J69+'дод 2'!J20</f>
        <v>0</v>
      </c>
      <c r="J100" s="26">
        <f>'дод 2'!K69+'дод 2'!K20</f>
        <v>0</v>
      </c>
      <c r="K100" s="26">
        <f>'дод 2'!L69+'дод 2'!L20</f>
        <v>0</v>
      </c>
      <c r="L100" s="26">
        <f>'дод 2'!M69+'дод 2'!M20</f>
        <v>0</v>
      </c>
      <c r="M100" s="26">
        <f>'дод 2'!N69+'дод 2'!N20</f>
        <v>0</v>
      </c>
      <c r="N100" s="26">
        <f>'дод 2'!O69+'дод 2'!O20</f>
        <v>0</v>
      </c>
      <c r="O100" s="26">
        <f>'дод 2'!P69+'дод 2'!P20</f>
        <v>7789000</v>
      </c>
      <c r="P100" s="156"/>
    </row>
    <row r="101" spans="1:16" ht="92.25" customHeight="1" x14ac:dyDescent="0.25">
      <c r="A101" s="3" t="s">
        <v>142</v>
      </c>
      <c r="B101" s="20">
        <v>1010</v>
      </c>
      <c r="C101" s="9" t="s">
        <v>377</v>
      </c>
      <c r="D101" s="26">
        <f>'дод 2'!E151</f>
        <v>1812956</v>
      </c>
      <c r="E101" s="26">
        <f>'дод 2'!F151</f>
        <v>1812956</v>
      </c>
      <c r="F101" s="26">
        <f>'дод 2'!G151</f>
        <v>0</v>
      </c>
      <c r="G101" s="26">
        <f>'дод 2'!H151</f>
        <v>0</v>
      </c>
      <c r="H101" s="26">
        <f>'дод 2'!I151</f>
        <v>0</v>
      </c>
      <c r="I101" s="26">
        <f>'дод 2'!J151</f>
        <v>0</v>
      </c>
      <c r="J101" s="26">
        <f>'дод 2'!K151</f>
        <v>0</v>
      </c>
      <c r="K101" s="26">
        <f>'дод 2'!L151</f>
        <v>0</v>
      </c>
      <c r="L101" s="26">
        <f>'дод 2'!M151</f>
        <v>0</v>
      </c>
      <c r="M101" s="26">
        <f>'дод 2'!N151</f>
        <v>0</v>
      </c>
      <c r="N101" s="26">
        <f>'дод 2'!O151</f>
        <v>0</v>
      </c>
      <c r="O101" s="26">
        <f>'дод 2'!P151</f>
        <v>1812956</v>
      </c>
      <c r="P101" s="156"/>
    </row>
    <row r="102" spans="1:16" s="5" customFormat="1" ht="67.5" customHeight="1" x14ac:dyDescent="0.25">
      <c r="A102" s="3" t="s">
        <v>421</v>
      </c>
      <c r="B102" s="20">
        <v>1010</v>
      </c>
      <c r="C102" s="9" t="s">
        <v>423</v>
      </c>
      <c r="D102" s="26">
        <f>'дод 2'!E152</f>
        <v>205040</v>
      </c>
      <c r="E102" s="26">
        <f>'дод 2'!F152</f>
        <v>205040</v>
      </c>
      <c r="F102" s="26">
        <f>'дод 2'!G152</f>
        <v>0</v>
      </c>
      <c r="G102" s="26">
        <f>'дод 2'!H152</f>
        <v>0</v>
      </c>
      <c r="H102" s="26">
        <f>'дод 2'!I152</f>
        <v>0</v>
      </c>
      <c r="I102" s="26">
        <f>'дод 2'!J152</f>
        <v>0</v>
      </c>
      <c r="J102" s="26">
        <f>'дод 2'!K152</f>
        <v>0</v>
      </c>
      <c r="K102" s="26">
        <f>'дод 2'!L152</f>
        <v>0</v>
      </c>
      <c r="L102" s="26">
        <f>'дод 2'!M152</f>
        <v>0</v>
      </c>
      <c r="M102" s="26">
        <f>'дод 2'!N152</f>
        <v>0</v>
      </c>
      <c r="N102" s="26">
        <f>'дод 2'!O152</f>
        <v>0</v>
      </c>
      <c r="O102" s="26">
        <f>'дод 2'!P152</f>
        <v>205040</v>
      </c>
      <c r="P102" s="156"/>
    </row>
    <row r="103" spans="1:16" s="5" customFormat="1" ht="32.25" customHeight="1" x14ac:dyDescent="0.25">
      <c r="A103" s="3" t="s">
        <v>422</v>
      </c>
      <c r="B103" s="20">
        <v>1010</v>
      </c>
      <c r="C103" s="9" t="s">
        <v>424</v>
      </c>
      <c r="D103" s="26">
        <f>'дод 2'!E153</f>
        <v>680</v>
      </c>
      <c r="E103" s="26">
        <f>'дод 2'!F153</f>
        <v>680</v>
      </c>
      <c r="F103" s="26">
        <f>'дод 2'!G153</f>
        <v>0</v>
      </c>
      <c r="G103" s="26">
        <f>'дод 2'!H153</f>
        <v>0</v>
      </c>
      <c r="H103" s="26">
        <f>'дод 2'!I153</f>
        <v>0</v>
      </c>
      <c r="I103" s="26">
        <f>'дод 2'!J153</f>
        <v>0</v>
      </c>
      <c r="J103" s="26">
        <f>'дод 2'!K153</f>
        <v>0</v>
      </c>
      <c r="K103" s="26">
        <f>'дод 2'!L153</f>
        <v>0</v>
      </c>
      <c r="L103" s="26">
        <f>'дод 2'!M153</f>
        <v>0</v>
      </c>
      <c r="M103" s="26">
        <f>'дод 2'!N153</f>
        <v>0</v>
      </c>
      <c r="N103" s="26">
        <f>'дод 2'!O153</f>
        <v>0</v>
      </c>
      <c r="O103" s="26">
        <f>'дод 2'!P153</f>
        <v>680</v>
      </c>
      <c r="P103" s="156"/>
    </row>
    <row r="104" spans="1:16" ht="85.5" customHeight="1" x14ac:dyDescent="0.25">
      <c r="A104" s="3" t="s">
        <v>137</v>
      </c>
      <c r="B104" s="3" t="s">
        <v>78</v>
      </c>
      <c r="C104" s="9" t="s">
        <v>568</v>
      </c>
      <c r="D104" s="26">
        <f>'дод 2'!E154</f>
        <v>1866099</v>
      </c>
      <c r="E104" s="26">
        <f>'дод 2'!F154</f>
        <v>1866099</v>
      </c>
      <c r="F104" s="26">
        <f>'дод 2'!G154</f>
        <v>0</v>
      </c>
      <c r="G104" s="26">
        <f>'дод 2'!H154</f>
        <v>0</v>
      </c>
      <c r="H104" s="26">
        <f>'дод 2'!I154</f>
        <v>0</v>
      </c>
      <c r="I104" s="26">
        <f>'дод 2'!J154</f>
        <v>0</v>
      </c>
      <c r="J104" s="26">
        <f>'дод 2'!K154</f>
        <v>0</v>
      </c>
      <c r="K104" s="26">
        <f>'дод 2'!L154</f>
        <v>0</v>
      </c>
      <c r="L104" s="26">
        <f>'дод 2'!M154</f>
        <v>0</v>
      </c>
      <c r="M104" s="26">
        <f>'дод 2'!N154</f>
        <v>0</v>
      </c>
      <c r="N104" s="26">
        <f>'дод 2'!O154</f>
        <v>0</v>
      </c>
      <c r="O104" s="26">
        <f>'дод 2'!P154</f>
        <v>1866099</v>
      </c>
      <c r="P104" s="156"/>
    </row>
    <row r="105" spans="1:16" s="5" customFormat="1" ht="42.75" customHeight="1" x14ac:dyDescent="0.25">
      <c r="A105" s="3" t="s">
        <v>378</v>
      </c>
      <c r="B105" s="3" t="s">
        <v>77</v>
      </c>
      <c r="C105" s="9" t="s">
        <v>31</v>
      </c>
      <c r="D105" s="26">
        <f>'дод 2'!E155</f>
        <v>2464572</v>
      </c>
      <c r="E105" s="26">
        <f>'дод 2'!F155</f>
        <v>2464572</v>
      </c>
      <c r="F105" s="26">
        <f>'дод 2'!G155</f>
        <v>0</v>
      </c>
      <c r="G105" s="26">
        <f>'дод 2'!H155</f>
        <v>0</v>
      </c>
      <c r="H105" s="26">
        <f>'дод 2'!I155</f>
        <v>0</v>
      </c>
      <c r="I105" s="26">
        <f>'дод 2'!J155</f>
        <v>0</v>
      </c>
      <c r="J105" s="26">
        <f>'дод 2'!K155</f>
        <v>0</v>
      </c>
      <c r="K105" s="26">
        <f>'дод 2'!L155</f>
        <v>0</v>
      </c>
      <c r="L105" s="26">
        <f>'дод 2'!M155</f>
        <v>0</v>
      </c>
      <c r="M105" s="26">
        <f>'дод 2'!N155</f>
        <v>0</v>
      </c>
      <c r="N105" s="26">
        <f>'дод 2'!O155</f>
        <v>0</v>
      </c>
      <c r="O105" s="26">
        <f>'дод 2'!P155</f>
        <v>2464572</v>
      </c>
      <c r="P105" s="156"/>
    </row>
    <row r="106" spans="1:16" s="5" customFormat="1" ht="55.5" customHeight="1" x14ac:dyDescent="0.25">
      <c r="A106" s="3" t="s">
        <v>379</v>
      </c>
      <c r="B106" s="3" t="s">
        <v>77</v>
      </c>
      <c r="C106" s="9" t="s">
        <v>415</v>
      </c>
      <c r="D106" s="26">
        <f>'дод 2'!E156</f>
        <v>1385920</v>
      </c>
      <c r="E106" s="26">
        <f>'дод 2'!F156</f>
        <v>1385920</v>
      </c>
      <c r="F106" s="26">
        <f>'дод 2'!G156</f>
        <v>0</v>
      </c>
      <c r="G106" s="26">
        <f>'дод 2'!H156</f>
        <v>0</v>
      </c>
      <c r="H106" s="26">
        <f>'дод 2'!I156</f>
        <v>0</v>
      </c>
      <c r="I106" s="26">
        <f>'дод 2'!J156</f>
        <v>0</v>
      </c>
      <c r="J106" s="26">
        <f>'дод 2'!K156</f>
        <v>0</v>
      </c>
      <c r="K106" s="26">
        <f>'дод 2'!L156</f>
        <v>0</v>
      </c>
      <c r="L106" s="26">
        <f>'дод 2'!M156</f>
        <v>0</v>
      </c>
      <c r="M106" s="26">
        <f>'дод 2'!N156</f>
        <v>0</v>
      </c>
      <c r="N106" s="26">
        <f>'дод 2'!O156</f>
        <v>0</v>
      </c>
      <c r="O106" s="26">
        <f>'дод 2'!P156</f>
        <v>1385920</v>
      </c>
      <c r="P106" s="156"/>
    </row>
    <row r="107" spans="1:16" ht="43.5" customHeight="1" x14ac:dyDescent="0.25">
      <c r="A107" s="3" t="s">
        <v>138</v>
      </c>
      <c r="B107" s="3" t="s">
        <v>81</v>
      </c>
      <c r="C107" s="9" t="s">
        <v>192</v>
      </c>
      <c r="D107" s="26">
        <f>'дод 2'!E157</f>
        <v>81525</v>
      </c>
      <c r="E107" s="26">
        <f>'дод 2'!F157</f>
        <v>81525</v>
      </c>
      <c r="F107" s="26">
        <f>'дод 2'!G157</f>
        <v>0</v>
      </c>
      <c r="G107" s="26">
        <f>'дод 2'!H157</f>
        <v>0</v>
      </c>
      <c r="H107" s="26">
        <f>'дод 2'!I157</f>
        <v>0</v>
      </c>
      <c r="I107" s="26">
        <f>'дод 2'!J157</f>
        <v>0</v>
      </c>
      <c r="J107" s="26">
        <f>'дод 2'!K157</f>
        <v>0</v>
      </c>
      <c r="K107" s="26">
        <f>'дод 2'!L157</f>
        <v>0</v>
      </c>
      <c r="L107" s="26">
        <f>'дод 2'!M157</f>
        <v>0</v>
      </c>
      <c r="M107" s="26">
        <f>'дод 2'!N157</f>
        <v>0</v>
      </c>
      <c r="N107" s="26">
        <f>'дод 2'!O157</f>
        <v>0</v>
      </c>
      <c r="O107" s="26">
        <f>'дод 2'!P157</f>
        <v>81525</v>
      </c>
      <c r="P107" s="156"/>
    </row>
    <row r="108" spans="1:16" ht="27.75" customHeight="1" x14ac:dyDescent="0.25">
      <c r="A108" s="3" t="s">
        <v>380</v>
      </c>
      <c r="B108" s="3" t="s">
        <v>139</v>
      </c>
      <c r="C108" s="9" t="s">
        <v>60</v>
      </c>
      <c r="D108" s="26">
        <f>'дод 2'!E158+'дод 2'!E194</f>
        <v>680000</v>
      </c>
      <c r="E108" s="26">
        <f>'дод 2'!F158+'дод 2'!F194</f>
        <v>680000</v>
      </c>
      <c r="F108" s="26">
        <f>'дод 2'!G158+'дод 2'!G194</f>
        <v>245900</v>
      </c>
      <c r="G108" s="26">
        <f>'дод 2'!H158+'дод 2'!H194</f>
        <v>0</v>
      </c>
      <c r="H108" s="26">
        <f>'дод 2'!I158+'дод 2'!I194</f>
        <v>0</v>
      </c>
      <c r="I108" s="26">
        <f>'дод 2'!J158+'дод 2'!J194</f>
        <v>0</v>
      </c>
      <c r="J108" s="26">
        <f>'дод 2'!K158+'дод 2'!K194</f>
        <v>0</v>
      </c>
      <c r="K108" s="26">
        <f>'дод 2'!L158+'дод 2'!L194</f>
        <v>0</v>
      </c>
      <c r="L108" s="26">
        <f>'дод 2'!M158+'дод 2'!M194</f>
        <v>0</v>
      </c>
      <c r="M108" s="26">
        <f>'дод 2'!N158+'дод 2'!N194</f>
        <v>0</v>
      </c>
      <c r="N108" s="26">
        <f>'дод 2'!O158+'дод 2'!O194</f>
        <v>0</v>
      </c>
      <c r="O108" s="26">
        <f>'дод 2'!P158+'дод 2'!P194</f>
        <v>680000</v>
      </c>
      <c r="P108" s="156"/>
    </row>
    <row r="109" spans="1:16" ht="183" hidden="1" customHeight="1" x14ac:dyDescent="0.25">
      <c r="A109" s="3" t="s">
        <v>538</v>
      </c>
      <c r="B109" s="3" t="s">
        <v>78</v>
      </c>
      <c r="C109" s="61" t="s">
        <v>539</v>
      </c>
      <c r="D109" s="26">
        <f>'дод 2'!E159</f>
        <v>0</v>
      </c>
      <c r="E109" s="26">
        <f>'дод 2'!F159</f>
        <v>0</v>
      </c>
      <c r="F109" s="26">
        <f>'дод 2'!G159</f>
        <v>0</v>
      </c>
      <c r="G109" s="26">
        <f>'дод 2'!H159</f>
        <v>0</v>
      </c>
      <c r="H109" s="26">
        <f>'дод 2'!I159</f>
        <v>0</v>
      </c>
      <c r="I109" s="26">
        <f>'дод 2'!J159</f>
        <v>0</v>
      </c>
      <c r="J109" s="26">
        <f>'дод 2'!K159</f>
        <v>0</v>
      </c>
      <c r="K109" s="26">
        <f>'дод 2'!L159</f>
        <v>0</v>
      </c>
      <c r="L109" s="26">
        <f>'дод 2'!M159</f>
        <v>0</v>
      </c>
      <c r="M109" s="26">
        <f>'дод 2'!N159</f>
        <v>0</v>
      </c>
      <c r="N109" s="26">
        <f>'дод 2'!O159</f>
        <v>0</v>
      </c>
      <c r="O109" s="26">
        <f>'дод 2'!P159</f>
        <v>0</v>
      </c>
      <c r="P109" s="156"/>
    </row>
    <row r="110" spans="1:16" s="5" customFormat="1" ht="27.75" hidden="1" customHeight="1" x14ac:dyDescent="0.25">
      <c r="A110" s="3"/>
      <c r="B110" s="3"/>
      <c r="C110" s="9" t="s">
        <v>345</v>
      </c>
      <c r="D110" s="26">
        <f>'дод 2'!E160</f>
        <v>0</v>
      </c>
      <c r="E110" s="26">
        <f>'дод 2'!F160</f>
        <v>0</v>
      </c>
      <c r="F110" s="26">
        <f>'дод 2'!G160</f>
        <v>0</v>
      </c>
      <c r="G110" s="26">
        <f>'дод 2'!H160</f>
        <v>0</v>
      </c>
      <c r="H110" s="26">
        <f>'дод 2'!I160</f>
        <v>0</v>
      </c>
      <c r="I110" s="26">
        <f>'дод 2'!J160</f>
        <v>0</v>
      </c>
      <c r="J110" s="26">
        <f>'дод 2'!K160</f>
        <v>0</v>
      </c>
      <c r="K110" s="26">
        <f>'дод 2'!L160</f>
        <v>0</v>
      </c>
      <c r="L110" s="26">
        <f>'дод 2'!M160</f>
        <v>0</v>
      </c>
      <c r="M110" s="26">
        <f>'дод 2'!N160</f>
        <v>0</v>
      </c>
      <c r="N110" s="26">
        <f>'дод 2'!O160</f>
        <v>0</v>
      </c>
      <c r="O110" s="26">
        <f>'дод 2'!P160</f>
        <v>0</v>
      </c>
      <c r="P110" s="156"/>
    </row>
    <row r="111" spans="1:16" s="5" customFormat="1" ht="211.5" hidden="1" customHeight="1" x14ac:dyDescent="0.25">
      <c r="A111" s="3" t="s">
        <v>545</v>
      </c>
      <c r="B111" s="3" t="s">
        <v>78</v>
      </c>
      <c r="C111" s="61" t="s">
        <v>544</v>
      </c>
      <c r="D111" s="26">
        <f>'дод 2'!E161</f>
        <v>0</v>
      </c>
      <c r="E111" s="26">
        <f>'дод 2'!F161</f>
        <v>0</v>
      </c>
      <c r="F111" s="26">
        <f>'дод 2'!G161</f>
        <v>0</v>
      </c>
      <c r="G111" s="26">
        <f>'дод 2'!H161</f>
        <v>0</v>
      </c>
      <c r="H111" s="26">
        <f>'дод 2'!I161</f>
        <v>0</v>
      </c>
      <c r="I111" s="26">
        <f>'дод 2'!J161</f>
        <v>0</v>
      </c>
      <c r="J111" s="26">
        <f>'дод 2'!K161</f>
        <v>0</v>
      </c>
      <c r="K111" s="26">
        <f>'дод 2'!L161</f>
        <v>0</v>
      </c>
      <c r="L111" s="26">
        <f>'дод 2'!M161</f>
        <v>0</v>
      </c>
      <c r="M111" s="26">
        <f>'дод 2'!N161</f>
        <v>0</v>
      </c>
      <c r="N111" s="26">
        <f>'дод 2'!O161</f>
        <v>0</v>
      </c>
      <c r="O111" s="26">
        <f>'дод 2'!P161</f>
        <v>0</v>
      </c>
      <c r="P111" s="156"/>
    </row>
    <row r="112" spans="1:16" s="5" customFormat="1" ht="27.75" hidden="1" customHeight="1" x14ac:dyDescent="0.25">
      <c r="A112" s="3"/>
      <c r="B112" s="3"/>
      <c r="C112" s="9" t="s">
        <v>345</v>
      </c>
      <c r="D112" s="26">
        <f>'дод 2'!E162</f>
        <v>0</v>
      </c>
      <c r="E112" s="26">
        <f>'дод 2'!F162</f>
        <v>0</v>
      </c>
      <c r="F112" s="26">
        <f>'дод 2'!G162</f>
        <v>0</v>
      </c>
      <c r="G112" s="26">
        <f>'дод 2'!H162</f>
        <v>0</v>
      </c>
      <c r="H112" s="26">
        <f>'дод 2'!I162</f>
        <v>0</v>
      </c>
      <c r="I112" s="26">
        <f>'дод 2'!J162</f>
        <v>0</v>
      </c>
      <c r="J112" s="26">
        <f>'дод 2'!K162</f>
        <v>0</v>
      </c>
      <c r="K112" s="26">
        <f>'дод 2'!L162</f>
        <v>0</v>
      </c>
      <c r="L112" s="26">
        <f>'дод 2'!M162</f>
        <v>0</v>
      </c>
      <c r="M112" s="26">
        <f>'дод 2'!N162</f>
        <v>0</v>
      </c>
      <c r="N112" s="26">
        <f>'дод 2'!O162</f>
        <v>0</v>
      </c>
      <c r="O112" s="26">
        <f>'дод 2'!P162</f>
        <v>0</v>
      </c>
      <c r="P112" s="156"/>
    </row>
    <row r="113" spans="1:16" s="5" customFormat="1" ht="180.75" hidden="1" customHeight="1" x14ac:dyDescent="0.25">
      <c r="A113" s="3" t="s">
        <v>547</v>
      </c>
      <c r="B113" s="3" t="s">
        <v>78</v>
      </c>
      <c r="C113" s="61" t="s">
        <v>546</v>
      </c>
      <c r="D113" s="26">
        <f>'дод 2'!E163</f>
        <v>0</v>
      </c>
      <c r="E113" s="26">
        <f>'дод 2'!F163</f>
        <v>0</v>
      </c>
      <c r="F113" s="26">
        <f>'дод 2'!G163</f>
        <v>0</v>
      </c>
      <c r="G113" s="26">
        <f>'дод 2'!H163</f>
        <v>0</v>
      </c>
      <c r="H113" s="26">
        <f>'дод 2'!I163</f>
        <v>0</v>
      </c>
      <c r="I113" s="26">
        <f>'дод 2'!J163</f>
        <v>0</v>
      </c>
      <c r="J113" s="26">
        <f>'дод 2'!K163</f>
        <v>0</v>
      </c>
      <c r="K113" s="26">
        <f>'дод 2'!L163</f>
        <v>0</v>
      </c>
      <c r="L113" s="26">
        <f>'дод 2'!M163</f>
        <v>0</v>
      </c>
      <c r="M113" s="26">
        <f>'дод 2'!N163</f>
        <v>0</v>
      </c>
      <c r="N113" s="26">
        <f>'дод 2'!O163</f>
        <v>0</v>
      </c>
      <c r="O113" s="26">
        <f>'дод 2'!P163</f>
        <v>0</v>
      </c>
      <c r="P113" s="156"/>
    </row>
    <row r="114" spans="1:16" s="5" customFormat="1" ht="27.75" hidden="1" customHeight="1" x14ac:dyDescent="0.25">
      <c r="A114" s="3"/>
      <c r="B114" s="3"/>
      <c r="C114" s="9" t="s">
        <v>345</v>
      </c>
      <c r="D114" s="26">
        <f>'дод 2'!E164</f>
        <v>0</v>
      </c>
      <c r="E114" s="26">
        <f>'дод 2'!F164</f>
        <v>0</v>
      </c>
      <c r="F114" s="26">
        <f>'дод 2'!G164</f>
        <v>0</v>
      </c>
      <c r="G114" s="26">
        <f>'дод 2'!H164</f>
        <v>0</v>
      </c>
      <c r="H114" s="26">
        <f>'дод 2'!I164</f>
        <v>0</v>
      </c>
      <c r="I114" s="26">
        <f>'дод 2'!J164</f>
        <v>0</v>
      </c>
      <c r="J114" s="26">
        <f>'дод 2'!K164</f>
        <v>0</v>
      </c>
      <c r="K114" s="26">
        <f>'дод 2'!L164</f>
        <v>0</v>
      </c>
      <c r="L114" s="26">
        <f>'дод 2'!M164</f>
        <v>0</v>
      </c>
      <c r="M114" s="26">
        <f>'дод 2'!N164</f>
        <v>0</v>
      </c>
      <c r="N114" s="26">
        <f>'дод 2'!O164</f>
        <v>0</v>
      </c>
      <c r="O114" s="26">
        <f>'дод 2'!P164</f>
        <v>0</v>
      </c>
      <c r="P114" s="156"/>
    </row>
    <row r="115" spans="1:16" ht="180" customHeight="1" x14ac:dyDescent="0.25">
      <c r="A115" s="3" t="s">
        <v>467</v>
      </c>
      <c r="B115" s="3" t="s">
        <v>133</v>
      </c>
      <c r="C115" s="9" t="s">
        <v>581</v>
      </c>
      <c r="D115" s="26">
        <f>'дод 2'!E165</f>
        <v>3600900</v>
      </c>
      <c r="E115" s="26">
        <f>'дод 2'!F165</f>
        <v>3600900</v>
      </c>
      <c r="F115" s="26">
        <f>'дод 2'!G165</f>
        <v>0</v>
      </c>
      <c r="G115" s="26">
        <f>'дод 2'!H165</f>
        <v>0</v>
      </c>
      <c r="H115" s="26">
        <f>'дод 2'!I165</f>
        <v>0</v>
      </c>
      <c r="I115" s="26">
        <f>'дод 2'!J165</f>
        <v>0</v>
      </c>
      <c r="J115" s="26">
        <f>'дод 2'!K165</f>
        <v>0</v>
      </c>
      <c r="K115" s="26">
        <f>'дод 2'!L165</f>
        <v>0</v>
      </c>
      <c r="L115" s="26">
        <f>'дод 2'!M165</f>
        <v>0</v>
      </c>
      <c r="M115" s="26">
        <f>'дод 2'!N165</f>
        <v>0</v>
      </c>
      <c r="N115" s="26">
        <f>'дод 2'!O165</f>
        <v>0</v>
      </c>
      <c r="O115" s="26">
        <f>'дод 2'!P165</f>
        <v>3600900</v>
      </c>
      <c r="P115" s="156"/>
    </row>
    <row r="116" spans="1:16" ht="27.75" customHeight="1" x14ac:dyDescent="0.25">
      <c r="B116" s="3"/>
      <c r="C116" s="9" t="s">
        <v>345</v>
      </c>
      <c r="D116" s="26">
        <f>'дод 2'!E166</f>
        <v>3600900</v>
      </c>
      <c r="E116" s="26">
        <f>'дод 2'!F166</f>
        <v>3600900</v>
      </c>
      <c r="F116" s="26">
        <f>'дод 2'!G166</f>
        <v>0</v>
      </c>
      <c r="G116" s="26">
        <f>'дод 2'!H166</f>
        <v>0</v>
      </c>
      <c r="H116" s="26">
        <f>'дод 2'!I166</f>
        <v>0</v>
      </c>
      <c r="I116" s="26">
        <f>'дод 2'!J166</f>
        <v>0</v>
      </c>
      <c r="J116" s="26">
        <f>'дод 2'!K166</f>
        <v>0</v>
      </c>
      <c r="K116" s="26">
        <f>'дод 2'!L166</f>
        <v>0</v>
      </c>
      <c r="L116" s="26">
        <f>'дод 2'!M166</f>
        <v>0</v>
      </c>
      <c r="M116" s="26">
        <f>'дод 2'!N166</f>
        <v>0</v>
      </c>
      <c r="N116" s="26">
        <f>'дод 2'!O166</f>
        <v>0</v>
      </c>
      <c r="O116" s="26">
        <f>'дод 2'!P166</f>
        <v>3600900</v>
      </c>
      <c r="P116" s="156"/>
    </row>
    <row r="117" spans="1:16" s="5" customFormat="1" ht="32.25" customHeight="1" x14ac:dyDescent="0.25">
      <c r="A117" s="3" t="s">
        <v>381</v>
      </c>
      <c r="B117" s="3" t="s">
        <v>81</v>
      </c>
      <c r="C117" s="9" t="s">
        <v>383</v>
      </c>
      <c r="D117" s="26">
        <f>'дод 2'!E167+'дод 2'!E21</f>
        <v>5920300</v>
      </c>
      <c r="E117" s="26">
        <f>'дод 2'!F167+'дод 2'!F21</f>
        <v>5920300</v>
      </c>
      <c r="F117" s="26">
        <f>'дод 2'!G167+'дод 2'!G21</f>
        <v>3605770</v>
      </c>
      <c r="G117" s="26">
        <f>'дод 2'!H167+'дод 2'!H21</f>
        <v>653570</v>
      </c>
      <c r="H117" s="26">
        <f>'дод 2'!I167+'дод 2'!I21</f>
        <v>0</v>
      </c>
      <c r="I117" s="26">
        <f>'дод 2'!J167+'дод 2'!J21</f>
        <v>910000</v>
      </c>
      <c r="J117" s="26">
        <f>'дод 2'!K167+'дод 2'!K21</f>
        <v>910000</v>
      </c>
      <c r="K117" s="26">
        <f>'дод 2'!L167+'дод 2'!L21</f>
        <v>0</v>
      </c>
      <c r="L117" s="26">
        <f>'дод 2'!M167+'дод 2'!M21</f>
        <v>0</v>
      </c>
      <c r="M117" s="26">
        <f>'дод 2'!N167+'дод 2'!N21</f>
        <v>0</v>
      </c>
      <c r="N117" s="26">
        <f>'дод 2'!O167+'дод 2'!O21</f>
        <v>910000</v>
      </c>
      <c r="O117" s="26">
        <f>'дод 2'!P167+'дод 2'!P21</f>
        <v>6830300</v>
      </c>
      <c r="P117" s="156"/>
    </row>
    <row r="118" spans="1:16" s="5" customFormat="1" ht="41.25" customHeight="1" x14ac:dyDescent="0.25">
      <c r="A118" s="3" t="s">
        <v>382</v>
      </c>
      <c r="B118" s="3" t="s">
        <v>81</v>
      </c>
      <c r="C118" s="9" t="s">
        <v>384</v>
      </c>
      <c r="D118" s="26">
        <f>'дод 2'!E70+'дод 2'!E168+'дод 2'!E22</f>
        <v>30747011</v>
      </c>
      <c r="E118" s="26">
        <f>'дод 2'!F70+'дод 2'!F168+'дод 2'!F22</f>
        <v>30747011</v>
      </c>
      <c r="F118" s="26">
        <f>'дод 2'!G70+'дод 2'!G168+'дод 2'!G22</f>
        <v>0</v>
      </c>
      <c r="G118" s="26">
        <f>'дод 2'!H70+'дод 2'!H168+'дод 2'!H22</f>
        <v>0</v>
      </c>
      <c r="H118" s="26">
        <f>'дод 2'!I70+'дод 2'!I168+'дод 2'!I22</f>
        <v>0</v>
      </c>
      <c r="I118" s="26">
        <f>'дод 2'!J70+'дод 2'!J168+'дод 2'!J22</f>
        <v>0</v>
      </c>
      <c r="J118" s="26">
        <f>'дод 2'!K70+'дод 2'!K168+'дод 2'!K22</f>
        <v>0</v>
      </c>
      <c r="K118" s="26">
        <f>'дод 2'!L70+'дод 2'!L168+'дод 2'!L22</f>
        <v>0</v>
      </c>
      <c r="L118" s="26">
        <f>'дод 2'!M70+'дод 2'!M168+'дод 2'!M22</f>
        <v>0</v>
      </c>
      <c r="M118" s="26">
        <f>'дод 2'!N70+'дод 2'!N168+'дод 2'!N22</f>
        <v>0</v>
      </c>
      <c r="N118" s="26">
        <f>'дод 2'!O70+'дод 2'!O168+'дод 2'!O22</f>
        <v>0</v>
      </c>
      <c r="O118" s="26">
        <f>'дод 2'!P70+'дод 2'!P168+'дод 2'!P22</f>
        <v>30747011</v>
      </c>
      <c r="P118" s="156"/>
    </row>
    <row r="119" spans="1:16" s="14" customFormat="1" ht="19.5" customHeight="1" x14ac:dyDescent="0.25">
      <c r="A119" s="15" t="s">
        <v>101</v>
      </c>
      <c r="B119" s="7"/>
      <c r="C119" s="7" t="s">
        <v>102</v>
      </c>
      <c r="D119" s="27">
        <f>D120+D121+D122+D123</f>
        <v>26764600</v>
      </c>
      <c r="E119" s="27">
        <f t="shared" ref="E119:O119" si="8">E120+E121+E122+E123</f>
        <v>26764600</v>
      </c>
      <c r="F119" s="27">
        <f t="shared" si="8"/>
        <v>15900840</v>
      </c>
      <c r="G119" s="27">
        <f t="shared" si="8"/>
        <v>1818855</v>
      </c>
      <c r="H119" s="27">
        <f t="shared" si="8"/>
        <v>0</v>
      </c>
      <c r="I119" s="27">
        <f t="shared" si="8"/>
        <v>371000</v>
      </c>
      <c r="J119" s="27">
        <f t="shared" si="8"/>
        <v>343000</v>
      </c>
      <c r="K119" s="27">
        <f t="shared" si="8"/>
        <v>28000</v>
      </c>
      <c r="L119" s="27">
        <f t="shared" si="8"/>
        <v>5000</v>
      </c>
      <c r="M119" s="27">
        <f t="shared" si="8"/>
        <v>0</v>
      </c>
      <c r="N119" s="27">
        <f t="shared" si="8"/>
        <v>343000</v>
      </c>
      <c r="O119" s="27">
        <f t="shared" si="8"/>
        <v>27135600</v>
      </c>
      <c r="P119" s="156"/>
    </row>
    <row r="120" spans="1:16" ht="22.5" customHeight="1" x14ac:dyDescent="0.25">
      <c r="A120" s="3" t="s">
        <v>103</v>
      </c>
      <c r="B120" s="3" t="s">
        <v>104</v>
      </c>
      <c r="C120" s="9" t="s">
        <v>25</v>
      </c>
      <c r="D120" s="26">
        <f>'дод 2'!E184</f>
        <v>17534840</v>
      </c>
      <c r="E120" s="26">
        <f>'дод 2'!F184</f>
        <v>17534840</v>
      </c>
      <c r="F120" s="26">
        <f>'дод 2'!G184</f>
        <v>12497600</v>
      </c>
      <c r="G120" s="26">
        <f>'дод 2'!H184</f>
        <v>1288000</v>
      </c>
      <c r="H120" s="26">
        <f>'дод 2'!I184</f>
        <v>0</v>
      </c>
      <c r="I120" s="26">
        <f>'дод 2'!J184</f>
        <v>328000</v>
      </c>
      <c r="J120" s="26">
        <f>'дод 2'!K184</f>
        <v>300000</v>
      </c>
      <c r="K120" s="26">
        <f>'дод 2'!L184</f>
        <v>28000</v>
      </c>
      <c r="L120" s="26">
        <f>'дод 2'!M184</f>
        <v>5000</v>
      </c>
      <c r="M120" s="26">
        <f>'дод 2'!N184</f>
        <v>0</v>
      </c>
      <c r="N120" s="26">
        <f>'дод 2'!O184</f>
        <v>300000</v>
      </c>
      <c r="O120" s="26">
        <f>'дод 2'!P184</f>
        <v>17862840</v>
      </c>
      <c r="P120" s="156"/>
    </row>
    <row r="121" spans="1:16" ht="33.75" customHeight="1" x14ac:dyDescent="0.25">
      <c r="A121" s="3" t="s">
        <v>487</v>
      </c>
      <c r="B121" s="3" t="s">
        <v>488</v>
      </c>
      <c r="C121" s="9" t="s">
        <v>489</v>
      </c>
      <c r="D121" s="26">
        <f>'дод 2'!E23</f>
        <v>2487400</v>
      </c>
      <c r="E121" s="26">
        <f>'дод 2'!F23</f>
        <v>2487400</v>
      </c>
      <c r="F121" s="26">
        <f>'дод 2'!G23</f>
        <v>1067040</v>
      </c>
      <c r="G121" s="26">
        <f>'дод 2'!H23</f>
        <v>409840</v>
      </c>
      <c r="H121" s="26">
        <f>'дод 2'!I23</f>
        <v>0</v>
      </c>
      <c r="I121" s="26">
        <f>'дод 2'!J23</f>
        <v>20000</v>
      </c>
      <c r="J121" s="26">
        <f>'дод 2'!K23</f>
        <v>20000</v>
      </c>
      <c r="K121" s="26">
        <f>'дод 2'!L23</f>
        <v>0</v>
      </c>
      <c r="L121" s="26">
        <f>'дод 2'!M23</f>
        <v>0</v>
      </c>
      <c r="M121" s="26">
        <f>'дод 2'!N23</f>
        <v>0</v>
      </c>
      <c r="N121" s="26">
        <f>'дод 2'!O23</f>
        <v>20000</v>
      </c>
      <c r="O121" s="26">
        <f>'дод 2'!P23</f>
        <v>2507400</v>
      </c>
      <c r="P121" s="156"/>
    </row>
    <row r="122" spans="1:16" s="5" customFormat="1" ht="39.75" customHeight="1" x14ac:dyDescent="0.25">
      <c r="A122" s="3" t="s">
        <v>385</v>
      </c>
      <c r="B122" s="3" t="s">
        <v>105</v>
      </c>
      <c r="C122" s="9" t="s">
        <v>387</v>
      </c>
      <c r="D122" s="26">
        <f>'дод 2'!E24+'дод 2'!E185</f>
        <v>4023860</v>
      </c>
      <c r="E122" s="26">
        <f>'дод 2'!F24+'дод 2'!F185</f>
        <v>4023860</v>
      </c>
      <c r="F122" s="26">
        <f>'дод 2'!G24+'дод 2'!G185</f>
        <v>2336200</v>
      </c>
      <c r="G122" s="26">
        <f>'дод 2'!H24+'дод 2'!H185</f>
        <v>121015</v>
      </c>
      <c r="H122" s="26">
        <f>'дод 2'!I24+'дод 2'!I185</f>
        <v>0</v>
      </c>
      <c r="I122" s="26">
        <f>'дод 2'!J24+'дод 2'!J185</f>
        <v>23000</v>
      </c>
      <c r="J122" s="26">
        <f>'дод 2'!K24+'дод 2'!K185</f>
        <v>23000</v>
      </c>
      <c r="K122" s="26">
        <f>'дод 2'!L24+'дод 2'!L185</f>
        <v>0</v>
      </c>
      <c r="L122" s="26">
        <f>'дод 2'!M24+'дод 2'!M185</f>
        <v>0</v>
      </c>
      <c r="M122" s="26">
        <f>'дод 2'!N24+'дод 2'!N185</f>
        <v>0</v>
      </c>
      <c r="N122" s="26">
        <f>'дод 2'!O24+'дод 2'!O185</f>
        <v>23000</v>
      </c>
      <c r="O122" s="26">
        <f>'дод 2'!P24+'дод 2'!P185</f>
        <v>4046860</v>
      </c>
      <c r="P122" s="156"/>
    </row>
    <row r="123" spans="1:16" s="5" customFormat="1" ht="30" customHeight="1" x14ac:dyDescent="0.25">
      <c r="A123" s="3" t="s">
        <v>386</v>
      </c>
      <c r="B123" s="3" t="s">
        <v>105</v>
      </c>
      <c r="C123" s="9" t="s">
        <v>388</v>
      </c>
      <c r="D123" s="26">
        <f>'дод 2'!E25+'дод 2'!E186</f>
        <v>2718500</v>
      </c>
      <c r="E123" s="26">
        <f>'дод 2'!F25+'дод 2'!F186</f>
        <v>2718500</v>
      </c>
      <c r="F123" s="26">
        <f>'дод 2'!G25+'дод 2'!G186</f>
        <v>0</v>
      </c>
      <c r="G123" s="26">
        <f>'дод 2'!H25+'дод 2'!H186</f>
        <v>0</v>
      </c>
      <c r="H123" s="26">
        <f>'дод 2'!I25+'дод 2'!I186</f>
        <v>0</v>
      </c>
      <c r="I123" s="26">
        <f>'дод 2'!J25+'дод 2'!J186</f>
        <v>0</v>
      </c>
      <c r="J123" s="26">
        <f>'дод 2'!K25+'дод 2'!K186</f>
        <v>0</v>
      </c>
      <c r="K123" s="26">
        <f>'дод 2'!L25+'дод 2'!L186</f>
        <v>0</v>
      </c>
      <c r="L123" s="26">
        <f>'дод 2'!M25+'дод 2'!M186</f>
        <v>0</v>
      </c>
      <c r="M123" s="26">
        <f>'дод 2'!N25+'дод 2'!N186</f>
        <v>0</v>
      </c>
      <c r="N123" s="26">
        <f>'дод 2'!O25+'дод 2'!O186</f>
        <v>0</v>
      </c>
      <c r="O123" s="26">
        <f>'дод 2'!P25+'дод 2'!P186</f>
        <v>2718500</v>
      </c>
      <c r="P123" s="156"/>
    </row>
    <row r="124" spans="1:16" s="14" customFormat="1" ht="21.75" customHeight="1" x14ac:dyDescent="0.25">
      <c r="A124" s="15" t="s">
        <v>108</v>
      </c>
      <c r="B124" s="7"/>
      <c r="C124" s="7" t="s">
        <v>109</v>
      </c>
      <c r="D124" s="27">
        <f>D125+D126+D127+D128+D129+D130</f>
        <v>34683400</v>
      </c>
      <c r="E124" s="27">
        <f t="shared" ref="E124:O124" si="9">E125+E126+E127+E128+E129+E130</f>
        <v>34683400</v>
      </c>
      <c r="F124" s="27">
        <f t="shared" si="9"/>
        <v>13015800</v>
      </c>
      <c r="G124" s="27">
        <f t="shared" si="9"/>
        <v>1365600</v>
      </c>
      <c r="H124" s="27">
        <f t="shared" si="9"/>
        <v>0</v>
      </c>
      <c r="I124" s="27">
        <f t="shared" si="9"/>
        <v>635389</v>
      </c>
      <c r="J124" s="27">
        <f t="shared" si="9"/>
        <v>385000</v>
      </c>
      <c r="K124" s="27">
        <f t="shared" si="9"/>
        <v>250389</v>
      </c>
      <c r="L124" s="27">
        <f t="shared" si="9"/>
        <v>158895</v>
      </c>
      <c r="M124" s="27">
        <f t="shared" si="9"/>
        <v>55055</v>
      </c>
      <c r="N124" s="27">
        <f t="shared" si="9"/>
        <v>385000</v>
      </c>
      <c r="O124" s="27">
        <f t="shared" si="9"/>
        <v>35318789</v>
      </c>
      <c r="P124" s="156"/>
    </row>
    <row r="125" spans="1:16" s="5" customFormat="1" ht="43.5" customHeight="1" x14ac:dyDescent="0.25">
      <c r="A125" s="3" t="s">
        <v>110</v>
      </c>
      <c r="B125" s="3" t="s">
        <v>111</v>
      </c>
      <c r="C125" s="9" t="s">
        <v>36</v>
      </c>
      <c r="D125" s="26">
        <f>'дод 2'!E26</f>
        <v>750000</v>
      </c>
      <c r="E125" s="26">
        <f>'дод 2'!F26</f>
        <v>750000</v>
      </c>
      <c r="F125" s="26">
        <f>'дод 2'!G26</f>
        <v>0</v>
      </c>
      <c r="G125" s="26">
        <f>'дод 2'!H26</f>
        <v>0</v>
      </c>
      <c r="H125" s="26">
        <f>'дод 2'!I26</f>
        <v>0</v>
      </c>
      <c r="I125" s="26">
        <f>'дод 2'!J26</f>
        <v>0</v>
      </c>
      <c r="J125" s="26">
        <f>'дод 2'!K26</f>
        <v>0</v>
      </c>
      <c r="K125" s="26">
        <f>'дод 2'!L26</f>
        <v>0</v>
      </c>
      <c r="L125" s="26">
        <f>'дод 2'!M26</f>
        <v>0</v>
      </c>
      <c r="M125" s="26">
        <f>'дод 2'!N26</f>
        <v>0</v>
      </c>
      <c r="N125" s="26">
        <f>'дод 2'!O26</f>
        <v>0</v>
      </c>
      <c r="O125" s="26">
        <f>'дод 2'!P26</f>
        <v>750000</v>
      </c>
      <c r="P125" s="156"/>
    </row>
    <row r="126" spans="1:16" s="5" customFormat="1" ht="39.75" customHeight="1" x14ac:dyDescent="0.25">
      <c r="A126" s="3" t="s">
        <v>112</v>
      </c>
      <c r="B126" s="3" t="s">
        <v>111</v>
      </c>
      <c r="C126" s="9" t="s">
        <v>27</v>
      </c>
      <c r="D126" s="26">
        <f>'дод 2'!E27</f>
        <v>750000</v>
      </c>
      <c r="E126" s="26">
        <f>'дод 2'!F27</f>
        <v>750000</v>
      </c>
      <c r="F126" s="26">
        <f>'дод 2'!G27</f>
        <v>0</v>
      </c>
      <c r="G126" s="26">
        <f>'дод 2'!H27</f>
        <v>0</v>
      </c>
      <c r="H126" s="26">
        <f>'дод 2'!I27</f>
        <v>0</v>
      </c>
      <c r="I126" s="26">
        <f>'дод 2'!J27</f>
        <v>0</v>
      </c>
      <c r="J126" s="26">
        <f>'дод 2'!K27</f>
        <v>0</v>
      </c>
      <c r="K126" s="26">
        <f>'дод 2'!L27</f>
        <v>0</v>
      </c>
      <c r="L126" s="26">
        <f>'дод 2'!M27</f>
        <v>0</v>
      </c>
      <c r="M126" s="26">
        <f>'дод 2'!N27</f>
        <v>0</v>
      </c>
      <c r="N126" s="26">
        <f>'дод 2'!O27</f>
        <v>0</v>
      </c>
      <c r="O126" s="26">
        <f>'дод 2'!P27</f>
        <v>750000</v>
      </c>
      <c r="P126" s="156"/>
    </row>
    <row r="127" spans="1:16" s="5" customFormat="1" ht="36.75" customHeight="1" x14ac:dyDescent="0.25">
      <c r="A127" s="3" t="s">
        <v>150</v>
      </c>
      <c r="B127" s="3" t="s">
        <v>111</v>
      </c>
      <c r="C127" s="9" t="s">
        <v>37</v>
      </c>
      <c r="D127" s="26">
        <f>'дод 2'!E71+'дод 2'!E28</f>
        <v>14887400</v>
      </c>
      <c r="E127" s="26">
        <f>'дод 2'!F71+'дод 2'!F28</f>
        <v>14887400</v>
      </c>
      <c r="F127" s="26">
        <f>'дод 2'!G71+'дод 2'!G28</f>
        <v>10909500</v>
      </c>
      <c r="G127" s="26">
        <f>'дод 2'!H71+'дод 2'!H28</f>
        <v>879300</v>
      </c>
      <c r="H127" s="26">
        <f>'дод 2'!I71+'дод 2'!I28</f>
        <v>0</v>
      </c>
      <c r="I127" s="26">
        <f>'дод 2'!J71+'дод 2'!J28</f>
        <v>250000</v>
      </c>
      <c r="J127" s="26">
        <f>'дод 2'!K71+'дод 2'!K28</f>
        <v>250000</v>
      </c>
      <c r="K127" s="26">
        <f>'дод 2'!L71+'дод 2'!L28</f>
        <v>0</v>
      </c>
      <c r="L127" s="26">
        <f>'дод 2'!M71+'дод 2'!M28</f>
        <v>0</v>
      </c>
      <c r="M127" s="26">
        <f>'дод 2'!N71+'дод 2'!N28</f>
        <v>0</v>
      </c>
      <c r="N127" s="26">
        <f>'дод 2'!O71+'дод 2'!O28</f>
        <v>250000</v>
      </c>
      <c r="O127" s="26">
        <f>'дод 2'!P71+'дод 2'!P28</f>
        <v>15137400</v>
      </c>
      <c r="P127" s="156"/>
    </row>
    <row r="128" spans="1:16" s="5" customFormat="1" ht="31.5" customHeight="1" x14ac:dyDescent="0.25">
      <c r="A128" s="3" t="s">
        <v>151</v>
      </c>
      <c r="B128" s="3" t="s">
        <v>111</v>
      </c>
      <c r="C128" s="9" t="s">
        <v>38</v>
      </c>
      <c r="D128" s="26">
        <f>'дод 2'!E29</f>
        <v>8727300</v>
      </c>
      <c r="E128" s="26">
        <f>'дод 2'!F29</f>
        <v>8727300</v>
      </c>
      <c r="F128" s="26">
        <f>'дод 2'!G29</f>
        <v>0</v>
      </c>
      <c r="G128" s="26">
        <f>'дод 2'!H29</f>
        <v>0</v>
      </c>
      <c r="H128" s="26">
        <f>'дод 2'!I29</f>
        <v>0</v>
      </c>
      <c r="I128" s="26">
        <f>'дод 2'!J29</f>
        <v>0</v>
      </c>
      <c r="J128" s="26">
        <f>'дод 2'!K29</f>
        <v>0</v>
      </c>
      <c r="K128" s="26">
        <f>'дод 2'!L29</f>
        <v>0</v>
      </c>
      <c r="L128" s="26">
        <f>'дод 2'!M29</f>
        <v>0</v>
      </c>
      <c r="M128" s="26">
        <f>'дод 2'!N29</f>
        <v>0</v>
      </c>
      <c r="N128" s="26">
        <f>'дод 2'!O29</f>
        <v>0</v>
      </c>
      <c r="O128" s="26">
        <f>'дод 2'!P29</f>
        <v>8727300</v>
      </c>
      <c r="P128" s="156"/>
    </row>
    <row r="129" spans="1:16" s="5" customFormat="1" ht="60" customHeight="1" x14ac:dyDescent="0.25">
      <c r="A129" s="3" t="s">
        <v>146</v>
      </c>
      <c r="B129" s="3" t="s">
        <v>111</v>
      </c>
      <c r="C129" s="9" t="s">
        <v>147</v>
      </c>
      <c r="D129" s="26">
        <f>'дод 2'!E30</f>
        <v>3511500</v>
      </c>
      <c r="E129" s="26">
        <f>'дод 2'!F30</f>
        <v>3511500</v>
      </c>
      <c r="F129" s="26">
        <f>'дод 2'!G30</f>
        <v>2106300</v>
      </c>
      <c r="G129" s="26">
        <f>'дод 2'!H30</f>
        <v>486300</v>
      </c>
      <c r="H129" s="26">
        <f>'дод 2'!I30</f>
        <v>0</v>
      </c>
      <c r="I129" s="26">
        <f>'дод 2'!J30</f>
        <v>385389</v>
      </c>
      <c r="J129" s="26">
        <f>'дод 2'!K30</f>
        <v>135000</v>
      </c>
      <c r="K129" s="26">
        <f>'дод 2'!L30</f>
        <v>250389</v>
      </c>
      <c r="L129" s="26">
        <f>'дод 2'!M30</f>
        <v>158895</v>
      </c>
      <c r="M129" s="26">
        <f>'дод 2'!N30</f>
        <v>55055</v>
      </c>
      <c r="N129" s="26">
        <f>'дод 2'!O30</f>
        <v>135000</v>
      </c>
      <c r="O129" s="26">
        <f>'дод 2'!P30</f>
        <v>3896889</v>
      </c>
      <c r="P129" s="156"/>
    </row>
    <row r="130" spans="1:16" s="5" customFormat="1" ht="54" customHeight="1" x14ac:dyDescent="0.25">
      <c r="A130" s="3" t="s">
        <v>149</v>
      </c>
      <c r="B130" s="3" t="s">
        <v>111</v>
      </c>
      <c r="C130" s="9" t="s">
        <v>148</v>
      </c>
      <c r="D130" s="26">
        <f>'дод 2'!E31</f>
        <v>6057200</v>
      </c>
      <c r="E130" s="26">
        <f>'дод 2'!F31</f>
        <v>6057200</v>
      </c>
      <c r="F130" s="26">
        <f>'дод 2'!G31</f>
        <v>0</v>
      </c>
      <c r="G130" s="26">
        <f>'дод 2'!H31</f>
        <v>0</v>
      </c>
      <c r="H130" s="26">
        <f>'дод 2'!I31</f>
        <v>0</v>
      </c>
      <c r="I130" s="26">
        <f>'дод 2'!J31</f>
        <v>0</v>
      </c>
      <c r="J130" s="26">
        <f>'дод 2'!K31</f>
        <v>0</v>
      </c>
      <c r="K130" s="26">
        <f>'дод 2'!L31</f>
        <v>0</v>
      </c>
      <c r="L130" s="26">
        <f>'дод 2'!M31</f>
        <v>0</v>
      </c>
      <c r="M130" s="26">
        <f>'дод 2'!N31</f>
        <v>0</v>
      </c>
      <c r="N130" s="26">
        <f>'дод 2'!O31</f>
        <v>0</v>
      </c>
      <c r="O130" s="26">
        <f>'дод 2'!P31</f>
        <v>6057200</v>
      </c>
      <c r="P130" s="156"/>
    </row>
    <row r="131" spans="1:16" s="14" customFormat="1" ht="27" customHeight="1" x14ac:dyDescent="0.25">
      <c r="A131" s="15" t="s">
        <v>96</v>
      </c>
      <c r="B131" s="7"/>
      <c r="C131" s="7" t="s">
        <v>97</v>
      </c>
      <c r="D131" s="27">
        <f>D133+D134+D135+D136+D137+D138+D139+D140+D142+D143+D145+D146</f>
        <v>200187706</v>
      </c>
      <c r="E131" s="27">
        <f t="shared" ref="E131:O131" si="10">E133+E134+E135+E136+E137+E138+E139+E140+E142+E143+E145+E146</f>
        <v>190430706</v>
      </c>
      <c r="F131" s="27">
        <f t="shared" si="10"/>
        <v>0</v>
      </c>
      <c r="G131" s="27">
        <f t="shared" si="10"/>
        <v>20303000</v>
      </c>
      <c r="H131" s="27">
        <f t="shared" si="10"/>
        <v>9757000</v>
      </c>
      <c r="I131" s="27">
        <f t="shared" si="10"/>
        <v>181018726</v>
      </c>
      <c r="J131" s="27">
        <f t="shared" si="10"/>
        <v>180976600</v>
      </c>
      <c r="K131" s="27">
        <f t="shared" si="10"/>
        <v>42126</v>
      </c>
      <c r="L131" s="27">
        <f t="shared" si="10"/>
        <v>0</v>
      </c>
      <c r="M131" s="27">
        <f t="shared" si="10"/>
        <v>0</v>
      </c>
      <c r="N131" s="27">
        <f t="shared" si="10"/>
        <v>180976600</v>
      </c>
      <c r="O131" s="27">
        <f t="shared" si="10"/>
        <v>381206432</v>
      </c>
      <c r="P131" s="156"/>
    </row>
    <row r="132" spans="1:16" s="18" customFormat="1" ht="27" hidden="1" customHeight="1" x14ac:dyDescent="0.25">
      <c r="A132" s="118"/>
      <c r="B132" s="121"/>
      <c r="C132" s="121" t="s">
        <v>345</v>
      </c>
      <c r="D132" s="120">
        <f>D141+D144</f>
        <v>0</v>
      </c>
      <c r="E132" s="120">
        <f t="shared" ref="E132:O132" si="11">E141+E144</f>
        <v>0</v>
      </c>
      <c r="F132" s="120">
        <f t="shared" si="11"/>
        <v>0</v>
      </c>
      <c r="G132" s="120">
        <f t="shared" si="11"/>
        <v>0</v>
      </c>
      <c r="H132" s="120">
        <f t="shared" si="11"/>
        <v>0</v>
      </c>
      <c r="I132" s="120">
        <f t="shared" si="11"/>
        <v>0</v>
      </c>
      <c r="J132" s="120">
        <f t="shared" si="11"/>
        <v>0</v>
      </c>
      <c r="K132" s="120">
        <f t="shared" si="11"/>
        <v>0</v>
      </c>
      <c r="L132" s="120">
        <f t="shared" si="11"/>
        <v>0</v>
      </c>
      <c r="M132" s="120">
        <f t="shared" si="11"/>
        <v>0</v>
      </c>
      <c r="N132" s="120">
        <f t="shared" si="11"/>
        <v>0</v>
      </c>
      <c r="O132" s="120">
        <f t="shared" si="11"/>
        <v>0</v>
      </c>
      <c r="P132" s="156"/>
    </row>
    <row r="133" spans="1:16" s="5" customFormat="1" ht="33.75" customHeight="1" x14ac:dyDescent="0.25">
      <c r="A133" s="3" t="s">
        <v>172</v>
      </c>
      <c r="B133" s="3" t="s">
        <v>98</v>
      </c>
      <c r="C133" s="9" t="s">
        <v>173</v>
      </c>
      <c r="D133" s="26">
        <f>'дод 2'!E195</f>
        <v>0</v>
      </c>
      <c r="E133" s="26">
        <f>'дод 2'!F195</f>
        <v>0</v>
      </c>
      <c r="F133" s="26">
        <f>'дод 2'!G195</f>
        <v>0</v>
      </c>
      <c r="G133" s="26">
        <f>'дод 2'!H195</f>
        <v>0</v>
      </c>
      <c r="H133" s="26">
        <f>'дод 2'!I195</f>
        <v>0</v>
      </c>
      <c r="I133" s="26">
        <f>'дод 2'!J195</f>
        <v>26800000</v>
      </c>
      <c r="J133" s="26">
        <f>'дод 2'!K195</f>
        <v>26800000</v>
      </c>
      <c r="K133" s="26">
        <f>'дод 2'!L195</f>
        <v>0</v>
      </c>
      <c r="L133" s="26">
        <f>'дод 2'!M195</f>
        <v>0</v>
      </c>
      <c r="M133" s="26">
        <f>'дод 2'!N195</f>
        <v>0</v>
      </c>
      <c r="N133" s="26">
        <f>'дод 2'!O195</f>
        <v>26800000</v>
      </c>
      <c r="O133" s="26">
        <f>'дод 2'!P195</f>
        <v>26800000</v>
      </c>
      <c r="P133" s="156"/>
    </row>
    <row r="134" spans="1:16" s="5" customFormat="1" ht="36.75" customHeight="1" x14ac:dyDescent="0.25">
      <c r="A134" s="3" t="s">
        <v>174</v>
      </c>
      <c r="B134" s="3" t="s">
        <v>100</v>
      </c>
      <c r="C134" s="9" t="s">
        <v>200</v>
      </c>
      <c r="D134" s="26">
        <f>'дод 2'!E196</f>
        <v>8760000</v>
      </c>
      <c r="E134" s="26">
        <f>'дод 2'!F196</f>
        <v>110000</v>
      </c>
      <c r="F134" s="26">
        <f>'дод 2'!G196</f>
        <v>0</v>
      </c>
      <c r="G134" s="26">
        <f>'дод 2'!H196</f>
        <v>0</v>
      </c>
      <c r="H134" s="26">
        <f>'дод 2'!I196</f>
        <v>8650000</v>
      </c>
      <c r="I134" s="26">
        <f>'дод 2'!J196</f>
        <v>0</v>
      </c>
      <c r="J134" s="26">
        <f>'дод 2'!K196</f>
        <v>0</v>
      </c>
      <c r="K134" s="26">
        <f>'дод 2'!L196</f>
        <v>0</v>
      </c>
      <c r="L134" s="26">
        <f>'дод 2'!M196</f>
        <v>0</v>
      </c>
      <c r="M134" s="26">
        <f>'дод 2'!N196</f>
        <v>0</v>
      </c>
      <c r="N134" s="26">
        <f>'дод 2'!O196</f>
        <v>0</v>
      </c>
      <c r="O134" s="26">
        <f>'дод 2'!P196</f>
        <v>8760000</v>
      </c>
      <c r="P134" s="156"/>
    </row>
    <row r="135" spans="1:16" s="5" customFormat="1" ht="36.75" customHeight="1" x14ac:dyDescent="0.25">
      <c r="A135" s="17" t="s">
        <v>337</v>
      </c>
      <c r="B135" s="17" t="s">
        <v>100</v>
      </c>
      <c r="C135" s="9" t="s">
        <v>338</v>
      </c>
      <c r="D135" s="26">
        <f>'дод 2'!E197</f>
        <v>520000</v>
      </c>
      <c r="E135" s="26">
        <f>'дод 2'!F197</f>
        <v>520000</v>
      </c>
      <c r="F135" s="26">
        <f>'дод 2'!G197</f>
        <v>0</v>
      </c>
      <c r="G135" s="26">
        <f>'дод 2'!H197</f>
        <v>0</v>
      </c>
      <c r="H135" s="26">
        <f>'дод 2'!I197</f>
        <v>0</v>
      </c>
      <c r="I135" s="26">
        <f>'дод 2'!J197</f>
        <v>19865000</v>
      </c>
      <c r="J135" s="26">
        <f>'дод 2'!K197</f>
        <v>19865000</v>
      </c>
      <c r="K135" s="26">
        <f>'дод 2'!L197</f>
        <v>0</v>
      </c>
      <c r="L135" s="26">
        <f>'дод 2'!M197</f>
        <v>0</v>
      </c>
      <c r="M135" s="26">
        <f>'дод 2'!N197</f>
        <v>0</v>
      </c>
      <c r="N135" s="26">
        <f>'дод 2'!O197</f>
        <v>19865000</v>
      </c>
      <c r="O135" s="26">
        <f>'дод 2'!P197</f>
        <v>20385000</v>
      </c>
      <c r="P135" s="156"/>
    </row>
    <row r="136" spans="1:16" s="5" customFormat="1" ht="46.5" customHeight="1" x14ac:dyDescent="0.25">
      <c r="A136" s="17" t="s">
        <v>504</v>
      </c>
      <c r="B136" s="17" t="s">
        <v>100</v>
      </c>
      <c r="C136" s="9" t="s">
        <v>505</v>
      </c>
      <c r="D136" s="26">
        <f>'дод 2'!E198</f>
        <v>0</v>
      </c>
      <c r="E136" s="26">
        <f>'дод 2'!F198</f>
        <v>0</v>
      </c>
      <c r="F136" s="26">
        <f>'дод 2'!G198</f>
        <v>0</v>
      </c>
      <c r="G136" s="26">
        <f>'дод 2'!H198</f>
        <v>0</v>
      </c>
      <c r="H136" s="26">
        <f>'дод 2'!I198</f>
        <v>0</v>
      </c>
      <c r="I136" s="26">
        <f>'дод 2'!J198</f>
        <v>1108600</v>
      </c>
      <c r="J136" s="26">
        <f>'дод 2'!K198</f>
        <v>1108600</v>
      </c>
      <c r="K136" s="26">
        <f>'дод 2'!L198</f>
        <v>0</v>
      </c>
      <c r="L136" s="26">
        <f>'дод 2'!M198</f>
        <v>0</v>
      </c>
      <c r="M136" s="26">
        <f>'дод 2'!N198</f>
        <v>0</v>
      </c>
      <c r="N136" s="26">
        <f>'дод 2'!O198</f>
        <v>1108600</v>
      </c>
      <c r="O136" s="26">
        <f>'дод 2'!P198</f>
        <v>1108600</v>
      </c>
      <c r="P136" s="156"/>
    </row>
    <row r="137" spans="1:16" s="5" customFormat="1" ht="33" customHeight="1" x14ac:dyDescent="0.25">
      <c r="A137" s="3" t="s">
        <v>340</v>
      </c>
      <c r="B137" s="3" t="s">
        <v>100</v>
      </c>
      <c r="C137" s="9" t="s">
        <v>341</v>
      </c>
      <c r="D137" s="26">
        <f>'дод 2'!E199</f>
        <v>500000</v>
      </c>
      <c r="E137" s="26">
        <f>'дод 2'!F199</f>
        <v>500000</v>
      </c>
      <c r="F137" s="26">
        <f>'дод 2'!G199</f>
        <v>0</v>
      </c>
      <c r="G137" s="26">
        <f>'дод 2'!H199</f>
        <v>0</v>
      </c>
      <c r="H137" s="26">
        <f>'дод 2'!I199</f>
        <v>0</v>
      </c>
      <c r="I137" s="26">
        <f>'дод 2'!J199</f>
        <v>0</v>
      </c>
      <c r="J137" s="26">
        <f>'дод 2'!K199</f>
        <v>0</v>
      </c>
      <c r="K137" s="26">
        <f>'дод 2'!L199</f>
        <v>0</v>
      </c>
      <c r="L137" s="26">
        <f>'дод 2'!M199</f>
        <v>0</v>
      </c>
      <c r="M137" s="26">
        <f>'дод 2'!N199</f>
        <v>0</v>
      </c>
      <c r="N137" s="26">
        <f>'дод 2'!O199</f>
        <v>0</v>
      </c>
      <c r="O137" s="26">
        <f>'дод 2'!P199</f>
        <v>500000</v>
      </c>
      <c r="P137" s="156"/>
    </row>
    <row r="138" spans="1:16" s="5" customFormat="1" ht="52.5" customHeight="1" x14ac:dyDescent="0.25">
      <c r="A138" s="3" t="s">
        <v>99</v>
      </c>
      <c r="B138" s="3" t="s">
        <v>100</v>
      </c>
      <c r="C138" s="9" t="s">
        <v>177</v>
      </c>
      <c r="D138" s="26">
        <f>'дод 2'!E200</f>
        <v>1107000</v>
      </c>
      <c r="E138" s="26">
        <f>'дод 2'!F200</f>
        <v>0</v>
      </c>
      <c r="F138" s="26">
        <f>'дод 2'!G200</f>
        <v>0</v>
      </c>
      <c r="G138" s="26">
        <f>'дод 2'!H200</f>
        <v>0</v>
      </c>
      <c r="H138" s="26">
        <f>'дод 2'!I200</f>
        <v>1107000</v>
      </c>
      <c r="I138" s="26">
        <f>'дод 2'!J200</f>
        <v>0</v>
      </c>
      <c r="J138" s="26">
        <f>'дод 2'!K200</f>
        <v>0</v>
      </c>
      <c r="K138" s="26">
        <f>'дод 2'!L200</f>
        <v>0</v>
      </c>
      <c r="L138" s="26">
        <f>'дод 2'!M200</f>
        <v>0</v>
      </c>
      <c r="M138" s="26">
        <f>'дод 2'!N200</f>
        <v>0</v>
      </c>
      <c r="N138" s="26">
        <f>'дод 2'!O200</f>
        <v>0</v>
      </c>
      <c r="O138" s="26">
        <f>'дод 2'!P200</f>
        <v>1107000</v>
      </c>
      <c r="P138" s="156"/>
    </row>
    <row r="139" spans="1:16" ht="30" customHeight="1" x14ac:dyDescent="0.25">
      <c r="A139" s="3" t="s">
        <v>175</v>
      </c>
      <c r="B139" s="3" t="s">
        <v>100</v>
      </c>
      <c r="C139" s="9" t="s">
        <v>176</v>
      </c>
      <c r="D139" s="26">
        <f>'дод 2'!E201+'дод 2'!E226</f>
        <v>178717300</v>
      </c>
      <c r="E139" s="26">
        <f>'дод 2'!F201+'дод 2'!F226</f>
        <v>178717300</v>
      </c>
      <c r="F139" s="26">
        <f>'дод 2'!G201+'дод 2'!G226</f>
        <v>0</v>
      </c>
      <c r="G139" s="26">
        <f>'дод 2'!H201+'дод 2'!H226</f>
        <v>20263000</v>
      </c>
      <c r="H139" s="26">
        <f>'дод 2'!I201+'дод 2'!I226</f>
        <v>0</v>
      </c>
      <c r="I139" s="26">
        <f>'дод 2'!J201+'дод 2'!J226</f>
        <v>115853000</v>
      </c>
      <c r="J139" s="26">
        <f>'дод 2'!K201+'дод 2'!K226</f>
        <v>115853000</v>
      </c>
      <c r="K139" s="26">
        <f>'дод 2'!L201+'дод 2'!L226</f>
        <v>0</v>
      </c>
      <c r="L139" s="26">
        <f>'дод 2'!M201+'дод 2'!M226</f>
        <v>0</v>
      </c>
      <c r="M139" s="26">
        <f>'дод 2'!N201+'дод 2'!N226</f>
        <v>0</v>
      </c>
      <c r="N139" s="26">
        <f>'дод 2'!O201+'дод 2'!O226</f>
        <v>115853000</v>
      </c>
      <c r="O139" s="26">
        <f>'дод 2'!P201+'дод 2'!P226</f>
        <v>294570300</v>
      </c>
      <c r="P139" s="156"/>
    </row>
    <row r="140" spans="1:16" s="5" customFormat="1" ht="208.5" hidden="1" customHeight="1" x14ac:dyDescent="0.25">
      <c r="A140" s="3" t="s">
        <v>525</v>
      </c>
      <c r="B140" s="3" t="s">
        <v>408</v>
      </c>
      <c r="C140" s="9" t="s">
        <v>526</v>
      </c>
      <c r="D140" s="26">
        <f>'дод 2'!E203</f>
        <v>0</v>
      </c>
      <c r="E140" s="26">
        <f>'дод 2'!F203</f>
        <v>0</v>
      </c>
      <c r="F140" s="26">
        <f>'дод 2'!G203</f>
        <v>0</v>
      </c>
      <c r="G140" s="26">
        <f>'дод 2'!H203</f>
        <v>0</v>
      </c>
      <c r="H140" s="26">
        <f>'дод 2'!I203</f>
        <v>0</v>
      </c>
      <c r="I140" s="26">
        <f>'дод 2'!J203</f>
        <v>0</v>
      </c>
      <c r="J140" s="26">
        <f>'дод 2'!K203</f>
        <v>0</v>
      </c>
      <c r="K140" s="26">
        <f>'дод 2'!L203</f>
        <v>0</v>
      </c>
      <c r="L140" s="26">
        <f>'дод 2'!M203</f>
        <v>0</v>
      </c>
      <c r="M140" s="26">
        <f>'дод 2'!N203</f>
        <v>0</v>
      </c>
      <c r="N140" s="26">
        <f>'дод 2'!O203</f>
        <v>0</v>
      </c>
      <c r="O140" s="26">
        <f>'дод 2'!P203</f>
        <v>0</v>
      </c>
      <c r="P140" s="156"/>
    </row>
    <row r="141" spans="1:16" s="5" customFormat="1" ht="27.75" hidden="1" customHeight="1" x14ac:dyDescent="0.25">
      <c r="A141" s="3"/>
      <c r="B141" s="3"/>
      <c r="C141" s="9" t="s">
        <v>345</v>
      </c>
      <c r="D141" s="26">
        <f>'дод 2'!E204</f>
        <v>0</v>
      </c>
      <c r="E141" s="26">
        <f>'дод 2'!F204</f>
        <v>0</v>
      </c>
      <c r="F141" s="26">
        <f>'дод 2'!G204</f>
        <v>0</v>
      </c>
      <c r="G141" s="26">
        <f>'дод 2'!H204</f>
        <v>0</v>
      </c>
      <c r="H141" s="26">
        <f>'дод 2'!I204</f>
        <v>0</v>
      </c>
      <c r="I141" s="26">
        <f>'дод 2'!J204</f>
        <v>0</v>
      </c>
      <c r="J141" s="26">
        <f>'дод 2'!K204</f>
        <v>0</v>
      </c>
      <c r="K141" s="26">
        <f>'дод 2'!L204</f>
        <v>0</v>
      </c>
      <c r="L141" s="26">
        <f>'дод 2'!M204</f>
        <v>0</v>
      </c>
      <c r="M141" s="26">
        <f>'дод 2'!N204</f>
        <v>0</v>
      </c>
      <c r="N141" s="26">
        <f>'дод 2'!O204</f>
        <v>0</v>
      </c>
      <c r="O141" s="26">
        <f>'дод 2'!P204</f>
        <v>0</v>
      </c>
      <c r="P141" s="156"/>
    </row>
    <row r="142" spans="1:16" ht="42.75" hidden="1" customHeight="1" x14ac:dyDescent="0.25">
      <c r="A142" s="3" t="s">
        <v>517</v>
      </c>
      <c r="B142" s="3" t="s">
        <v>98</v>
      </c>
      <c r="C142" s="9" t="s">
        <v>518</v>
      </c>
      <c r="D142" s="26">
        <f>'дод 2'!E227</f>
        <v>0</v>
      </c>
      <c r="E142" s="26">
        <f>'дод 2'!F227</f>
        <v>0</v>
      </c>
      <c r="F142" s="26">
        <f>'дод 2'!G227</f>
        <v>0</v>
      </c>
      <c r="G142" s="26">
        <f>'дод 2'!H227</f>
        <v>0</v>
      </c>
      <c r="H142" s="26">
        <f>'дод 2'!I227</f>
        <v>0</v>
      </c>
      <c r="I142" s="26">
        <f>'дод 2'!J227</f>
        <v>0</v>
      </c>
      <c r="J142" s="26">
        <f>'дод 2'!K227</f>
        <v>0</v>
      </c>
      <c r="K142" s="26">
        <f>'дод 2'!L227</f>
        <v>0</v>
      </c>
      <c r="L142" s="26">
        <f>'дод 2'!M227</f>
        <v>0</v>
      </c>
      <c r="M142" s="26">
        <f>'дод 2'!N227</f>
        <v>0</v>
      </c>
      <c r="N142" s="26">
        <f>'дод 2'!O227</f>
        <v>0</v>
      </c>
      <c r="O142" s="26">
        <f>'дод 2'!P227</f>
        <v>0</v>
      </c>
      <c r="P142" s="156"/>
    </row>
    <row r="143" spans="1:16" ht="81.75" hidden="1" customHeight="1" x14ac:dyDescent="0.25">
      <c r="A143" s="3" t="s">
        <v>550</v>
      </c>
      <c r="B143" s="3" t="s">
        <v>98</v>
      </c>
      <c r="C143" s="9" t="s">
        <v>549</v>
      </c>
      <c r="D143" s="26">
        <f>'дод 2'!E177+'дод 2'!E228</f>
        <v>0</v>
      </c>
      <c r="E143" s="26">
        <f>'дод 2'!F177+'дод 2'!F228</f>
        <v>0</v>
      </c>
      <c r="F143" s="26">
        <f>'дод 2'!G177+'дод 2'!G228</f>
        <v>0</v>
      </c>
      <c r="G143" s="26">
        <f>'дод 2'!H177+'дод 2'!H228</f>
        <v>0</v>
      </c>
      <c r="H143" s="26">
        <f>'дод 2'!I177+'дод 2'!I228</f>
        <v>0</v>
      </c>
      <c r="I143" s="26">
        <f>'дод 2'!J177+'дод 2'!J228</f>
        <v>0</v>
      </c>
      <c r="J143" s="26">
        <f>'дод 2'!K177+'дод 2'!K228</f>
        <v>0</v>
      </c>
      <c r="K143" s="26">
        <f>'дод 2'!L177+'дод 2'!L228</f>
        <v>0</v>
      </c>
      <c r="L143" s="26">
        <f>'дод 2'!M177+'дод 2'!M228</f>
        <v>0</v>
      </c>
      <c r="M143" s="26">
        <f>'дод 2'!N177+'дод 2'!N228</f>
        <v>0</v>
      </c>
      <c r="N143" s="26">
        <f>'дод 2'!O177+'дод 2'!O228</f>
        <v>0</v>
      </c>
      <c r="O143" s="26">
        <f>'дод 2'!P177+'дод 2'!P228</f>
        <v>0</v>
      </c>
      <c r="P143" s="156"/>
    </row>
    <row r="144" spans="1:16" ht="28.5" hidden="1" customHeight="1" x14ac:dyDescent="0.25">
      <c r="B144" s="3"/>
      <c r="C144" s="9" t="s">
        <v>345</v>
      </c>
      <c r="D144" s="26">
        <f>'дод 2'!E178</f>
        <v>0</v>
      </c>
      <c r="E144" s="26">
        <f>'дод 2'!F178</f>
        <v>0</v>
      </c>
      <c r="F144" s="26">
        <f>'дод 2'!G178</f>
        <v>0</v>
      </c>
      <c r="G144" s="26">
        <f>'дод 2'!H178</f>
        <v>0</v>
      </c>
      <c r="H144" s="26">
        <f>'дод 2'!I178</f>
        <v>0</v>
      </c>
      <c r="I144" s="26">
        <f>'дод 2'!J178</f>
        <v>0</v>
      </c>
      <c r="J144" s="26">
        <f>'дод 2'!K178</f>
        <v>0</v>
      </c>
      <c r="K144" s="26">
        <f>'дод 2'!L178</f>
        <v>0</v>
      </c>
      <c r="L144" s="26">
        <f>'дод 2'!M178</f>
        <v>0</v>
      </c>
      <c r="M144" s="26">
        <f>'дод 2'!N178</f>
        <v>0</v>
      </c>
      <c r="N144" s="26">
        <f>'дод 2'!O178</f>
        <v>0</v>
      </c>
      <c r="O144" s="26">
        <f>'дод 2'!P178</f>
        <v>0</v>
      </c>
      <c r="P144" s="156"/>
    </row>
    <row r="145" spans="1:16" s="5" customFormat="1" ht="67.5" customHeight="1" x14ac:dyDescent="0.25">
      <c r="A145" s="3" t="s">
        <v>179</v>
      </c>
      <c r="B145" s="8" t="s">
        <v>98</v>
      </c>
      <c r="C145" s="9" t="s">
        <v>180</v>
      </c>
      <c r="D145" s="26">
        <f>'дод 2'!E229</f>
        <v>84906</v>
      </c>
      <c r="E145" s="26">
        <f>'дод 2'!F229</f>
        <v>84906</v>
      </c>
      <c r="F145" s="26">
        <f>'дод 2'!G229</f>
        <v>0</v>
      </c>
      <c r="G145" s="26">
        <f>'дод 2'!H229</f>
        <v>0</v>
      </c>
      <c r="H145" s="26">
        <f>'дод 2'!I229</f>
        <v>0</v>
      </c>
      <c r="I145" s="26">
        <f>'дод 2'!J229</f>
        <v>42126</v>
      </c>
      <c r="J145" s="26">
        <f>'дод 2'!K229</f>
        <v>0</v>
      </c>
      <c r="K145" s="26">
        <f>'дод 2'!L229</f>
        <v>42126</v>
      </c>
      <c r="L145" s="26">
        <f>'дод 2'!M229</f>
        <v>0</v>
      </c>
      <c r="M145" s="26">
        <f>'дод 2'!N229</f>
        <v>0</v>
      </c>
      <c r="N145" s="26">
        <f>'дод 2'!O229</f>
        <v>0</v>
      </c>
      <c r="O145" s="26">
        <f>'дод 2'!P229</f>
        <v>127032</v>
      </c>
      <c r="P145" s="156"/>
    </row>
    <row r="146" spans="1:16" ht="39.75" customHeight="1" x14ac:dyDescent="0.25">
      <c r="A146" s="3" t="s">
        <v>193</v>
      </c>
      <c r="B146" s="8" t="s">
        <v>408</v>
      </c>
      <c r="C146" s="9" t="s">
        <v>194</v>
      </c>
      <c r="D146" s="26">
        <f>'дод 2'!E202+'дод 2'!E247</f>
        <v>10498500</v>
      </c>
      <c r="E146" s="26">
        <f>'дод 2'!F202+'дод 2'!F247</f>
        <v>10498500</v>
      </c>
      <c r="F146" s="26">
        <f>'дод 2'!G202+'дод 2'!G247</f>
        <v>0</v>
      </c>
      <c r="G146" s="26">
        <f>'дод 2'!H202+'дод 2'!H247</f>
        <v>40000</v>
      </c>
      <c r="H146" s="26">
        <f>'дод 2'!I202+'дод 2'!I247</f>
        <v>0</v>
      </c>
      <c r="I146" s="26">
        <f>'дод 2'!J202+'дод 2'!J247</f>
        <v>17350000</v>
      </c>
      <c r="J146" s="26">
        <f>'дод 2'!K202+'дод 2'!K247</f>
        <v>17350000</v>
      </c>
      <c r="K146" s="26">
        <f>'дод 2'!L202+'дод 2'!L247</f>
        <v>0</v>
      </c>
      <c r="L146" s="26">
        <f>'дод 2'!M202+'дод 2'!M247</f>
        <v>0</v>
      </c>
      <c r="M146" s="26">
        <f>'дод 2'!N202+'дод 2'!N247</f>
        <v>0</v>
      </c>
      <c r="N146" s="26">
        <f>'дод 2'!O202+'дод 2'!O247</f>
        <v>17350000</v>
      </c>
      <c r="O146" s="26">
        <f>'дод 2'!P202+'дод 2'!P247</f>
        <v>27848500</v>
      </c>
      <c r="P146" s="156"/>
    </row>
    <row r="147" spans="1:16" s="14" customFormat="1" ht="29.25" customHeight="1" x14ac:dyDescent="0.25">
      <c r="A147" s="15" t="s">
        <v>181</v>
      </c>
      <c r="B147" s="7"/>
      <c r="C147" s="7" t="s">
        <v>182</v>
      </c>
      <c r="D147" s="27">
        <f t="shared" ref="D147:O147" si="12">D148+D150+D163+D172+D174</f>
        <v>30075850</v>
      </c>
      <c r="E147" s="27">
        <f t="shared" si="12"/>
        <v>18795850</v>
      </c>
      <c r="F147" s="27">
        <f t="shared" si="12"/>
        <v>37557</v>
      </c>
      <c r="G147" s="27">
        <f t="shared" si="12"/>
        <v>0</v>
      </c>
      <c r="H147" s="27">
        <f t="shared" si="12"/>
        <v>11280000</v>
      </c>
      <c r="I147" s="27">
        <f t="shared" si="12"/>
        <v>306740497</v>
      </c>
      <c r="J147" s="27">
        <f t="shared" si="12"/>
        <v>274247580</v>
      </c>
      <c r="K147" s="27">
        <f t="shared" si="12"/>
        <v>513464</v>
      </c>
      <c r="L147" s="27">
        <f t="shared" si="12"/>
        <v>0</v>
      </c>
      <c r="M147" s="27">
        <f t="shared" si="12"/>
        <v>0</v>
      </c>
      <c r="N147" s="27">
        <f t="shared" si="12"/>
        <v>306227033</v>
      </c>
      <c r="O147" s="27">
        <f t="shared" si="12"/>
        <v>336816347</v>
      </c>
      <c r="P147" s="156"/>
    </row>
    <row r="148" spans="1:16" s="14" customFormat="1" x14ac:dyDescent="0.25">
      <c r="A148" s="15" t="s">
        <v>195</v>
      </c>
      <c r="B148" s="7"/>
      <c r="C148" s="7" t="s">
        <v>196</v>
      </c>
      <c r="D148" s="27">
        <f>D149</f>
        <v>1351000</v>
      </c>
      <c r="E148" s="27">
        <f t="shared" ref="E148:O148" si="13">E149</f>
        <v>1351000</v>
      </c>
      <c r="F148" s="27">
        <f t="shared" si="13"/>
        <v>0</v>
      </c>
      <c r="G148" s="27">
        <f t="shared" si="13"/>
        <v>0</v>
      </c>
      <c r="H148" s="27">
        <f t="shared" si="13"/>
        <v>0</v>
      </c>
      <c r="I148" s="27">
        <f t="shared" si="13"/>
        <v>0</v>
      </c>
      <c r="J148" s="27">
        <f t="shared" si="13"/>
        <v>0</v>
      </c>
      <c r="K148" s="27">
        <f t="shared" si="13"/>
        <v>0</v>
      </c>
      <c r="L148" s="27">
        <f t="shared" si="13"/>
        <v>0</v>
      </c>
      <c r="M148" s="27">
        <f t="shared" si="13"/>
        <v>0</v>
      </c>
      <c r="N148" s="27">
        <f t="shared" si="13"/>
        <v>0</v>
      </c>
      <c r="O148" s="27">
        <f t="shared" si="13"/>
        <v>1351000</v>
      </c>
      <c r="P148" s="156"/>
    </row>
    <row r="149" spans="1:16" ht="24" customHeight="1" x14ac:dyDescent="0.25">
      <c r="A149" s="3" t="s">
        <v>183</v>
      </c>
      <c r="B149" s="3" t="s">
        <v>114</v>
      </c>
      <c r="C149" s="9" t="s">
        <v>184</v>
      </c>
      <c r="D149" s="26">
        <f>'дод 2'!E257</f>
        <v>1351000</v>
      </c>
      <c r="E149" s="26">
        <f>'дод 2'!F257</f>
        <v>1351000</v>
      </c>
      <c r="F149" s="26">
        <f>'дод 2'!G257</f>
        <v>0</v>
      </c>
      <c r="G149" s="26">
        <f>'дод 2'!H257</f>
        <v>0</v>
      </c>
      <c r="H149" s="26">
        <f>'дод 2'!I257</f>
        <v>0</v>
      </c>
      <c r="I149" s="26">
        <f>'дод 2'!J257</f>
        <v>0</v>
      </c>
      <c r="J149" s="26">
        <f>'дод 2'!K257</f>
        <v>0</v>
      </c>
      <c r="K149" s="26">
        <f>'дод 2'!L257</f>
        <v>0</v>
      </c>
      <c r="L149" s="26">
        <f>'дод 2'!M257</f>
        <v>0</v>
      </c>
      <c r="M149" s="26">
        <f>'дод 2'!N257</f>
        <v>0</v>
      </c>
      <c r="N149" s="26">
        <f>'дод 2'!O257</f>
        <v>0</v>
      </c>
      <c r="O149" s="26">
        <f>'дод 2'!P257</f>
        <v>1351000</v>
      </c>
      <c r="P149" s="156"/>
    </row>
    <row r="150" spans="1:16" s="14" customFormat="1" ht="27.75" customHeight="1" x14ac:dyDescent="0.25">
      <c r="A150" s="15" t="s">
        <v>130</v>
      </c>
      <c r="B150" s="15"/>
      <c r="C150" s="34" t="s">
        <v>185</v>
      </c>
      <c r="D150" s="27">
        <f>D152+D153+D154+D155+D156+D157+D158+D159+D160+D162</f>
        <v>935200</v>
      </c>
      <c r="E150" s="27">
        <f t="shared" ref="E150:O150" si="14">E152+E153+E154+E155+E156+E157+E158+E159+E160+E162</f>
        <v>935200</v>
      </c>
      <c r="F150" s="27">
        <f t="shared" si="14"/>
        <v>0</v>
      </c>
      <c r="G150" s="27">
        <f t="shared" si="14"/>
        <v>0</v>
      </c>
      <c r="H150" s="27">
        <f t="shared" si="14"/>
        <v>0</v>
      </c>
      <c r="I150" s="27">
        <f t="shared" si="14"/>
        <v>115704153</v>
      </c>
      <c r="J150" s="27">
        <f t="shared" si="14"/>
        <v>115704153</v>
      </c>
      <c r="K150" s="27">
        <f t="shared" si="14"/>
        <v>0</v>
      </c>
      <c r="L150" s="27">
        <f t="shared" si="14"/>
        <v>0</v>
      </c>
      <c r="M150" s="27">
        <f t="shared" si="14"/>
        <v>0</v>
      </c>
      <c r="N150" s="27">
        <f t="shared" si="14"/>
        <v>115704153</v>
      </c>
      <c r="O150" s="27">
        <f t="shared" si="14"/>
        <v>116639353</v>
      </c>
      <c r="P150" s="156"/>
    </row>
    <row r="151" spans="1:16" s="18" customFormat="1" ht="27.75" hidden="1" customHeight="1" x14ac:dyDescent="0.25">
      <c r="A151" s="118"/>
      <c r="B151" s="118"/>
      <c r="C151" s="119" t="s">
        <v>345</v>
      </c>
      <c r="D151" s="120">
        <f>D161</f>
        <v>0</v>
      </c>
      <c r="E151" s="120">
        <f t="shared" ref="E151:O151" si="15">E161</f>
        <v>0</v>
      </c>
      <c r="F151" s="120">
        <f t="shared" si="15"/>
        <v>0</v>
      </c>
      <c r="G151" s="120">
        <f t="shared" si="15"/>
        <v>0</v>
      </c>
      <c r="H151" s="120">
        <f t="shared" si="15"/>
        <v>0</v>
      </c>
      <c r="I151" s="120">
        <f t="shared" si="15"/>
        <v>0</v>
      </c>
      <c r="J151" s="120">
        <f t="shared" si="15"/>
        <v>0</v>
      </c>
      <c r="K151" s="120">
        <f t="shared" si="15"/>
        <v>0</v>
      </c>
      <c r="L151" s="120">
        <f t="shared" si="15"/>
        <v>0</v>
      </c>
      <c r="M151" s="120">
        <f t="shared" si="15"/>
        <v>0</v>
      </c>
      <c r="N151" s="120">
        <f t="shared" si="15"/>
        <v>0</v>
      </c>
      <c r="O151" s="120">
        <f t="shared" si="15"/>
        <v>0</v>
      </c>
      <c r="P151" s="156"/>
    </row>
    <row r="152" spans="1:16" ht="32.25" customHeight="1" x14ac:dyDescent="0.25">
      <c r="A152" s="17" t="s">
        <v>354</v>
      </c>
      <c r="B152" s="17" t="s">
        <v>145</v>
      </c>
      <c r="C152" s="9" t="s">
        <v>365</v>
      </c>
      <c r="D152" s="26">
        <f>'дод 2'!E230+'дод 2'!E206</f>
        <v>0</v>
      </c>
      <c r="E152" s="26">
        <f>'дод 2'!F230+'дод 2'!F206</f>
        <v>0</v>
      </c>
      <c r="F152" s="26">
        <f>'дод 2'!G230+'дод 2'!G206</f>
        <v>0</v>
      </c>
      <c r="G152" s="26">
        <f>'дод 2'!H230+'дод 2'!H206</f>
        <v>0</v>
      </c>
      <c r="H152" s="26">
        <f>'дод 2'!I230+'дод 2'!I206</f>
        <v>0</v>
      </c>
      <c r="I152" s="26">
        <f>'дод 2'!J230+'дод 2'!J206</f>
        <v>34750000</v>
      </c>
      <c r="J152" s="26">
        <f>'дод 2'!K230+'дод 2'!K206</f>
        <v>34750000</v>
      </c>
      <c r="K152" s="26">
        <f>'дод 2'!L230+'дод 2'!L206</f>
        <v>0</v>
      </c>
      <c r="L152" s="26">
        <f>'дод 2'!M230+'дод 2'!M206</f>
        <v>0</v>
      </c>
      <c r="M152" s="26">
        <f>'дод 2'!N230+'дод 2'!N206</f>
        <v>0</v>
      </c>
      <c r="N152" s="26">
        <f>'дод 2'!O230+'дод 2'!O206</f>
        <v>34750000</v>
      </c>
      <c r="O152" s="26">
        <f>'дод 2'!P230+'дод 2'!P206</f>
        <v>34750000</v>
      </c>
      <c r="P152" s="156"/>
    </row>
    <row r="153" spans="1:16" s="5" customFormat="1" ht="32.25" customHeight="1" x14ac:dyDescent="0.25">
      <c r="A153" s="17" t="s">
        <v>359</v>
      </c>
      <c r="B153" s="17" t="s">
        <v>145</v>
      </c>
      <c r="C153" s="9" t="s">
        <v>366</v>
      </c>
      <c r="D153" s="26">
        <f>'дод 2'!E231</f>
        <v>0</v>
      </c>
      <c r="E153" s="26">
        <f>'дод 2'!F231</f>
        <v>0</v>
      </c>
      <c r="F153" s="26">
        <f>'дод 2'!G231</f>
        <v>0</v>
      </c>
      <c r="G153" s="26">
        <f>'дод 2'!H231</f>
        <v>0</v>
      </c>
      <c r="H153" s="26">
        <f>'дод 2'!I231</f>
        <v>0</v>
      </c>
      <c r="I153" s="26">
        <f>'дод 2'!J231</f>
        <v>12300000</v>
      </c>
      <c r="J153" s="26">
        <f>'дод 2'!K231</f>
        <v>12300000</v>
      </c>
      <c r="K153" s="26">
        <f>'дод 2'!L231</f>
        <v>0</v>
      </c>
      <c r="L153" s="26">
        <f>'дод 2'!M231</f>
        <v>0</v>
      </c>
      <c r="M153" s="26">
        <f>'дод 2'!N231</f>
        <v>0</v>
      </c>
      <c r="N153" s="26">
        <f>'дод 2'!O231</f>
        <v>12300000</v>
      </c>
      <c r="O153" s="26">
        <f>'дод 2'!P231</f>
        <v>12300000</v>
      </c>
      <c r="P153" s="156"/>
    </row>
    <row r="154" spans="1:16" s="5" customFormat="1" ht="32.25" customHeight="1" x14ac:dyDescent="0.25">
      <c r="A154" s="17" t="s">
        <v>361</v>
      </c>
      <c r="B154" s="17" t="s">
        <v>145</v>
      </c>
      <c r="C154" s="9" t="s">
        <v>368</v>
      </c>
      <c r="D154" s="26">
        <f>'дод 2'!E232</f>
        <v>0</v>
      </c>
      <c r="E154" s="26">
        <f>'дод 2'!F232</f>
        <v>0</v>
      </c>
      <c r="F154" s="26">
        <f>'дод 2'!G232</f>
        <v>0</v>
      </c>
      <c r="G154" s="26">
        <f>'дод 2'!H232</f>
        <v>0</v>
      </c>
      <c r="H154" s="26">
        <f>'дод 2'!I232</f>
        <v>0</v>
      </c>
      <c r="I154" s="26">
        <f>'дод 2'!J232</f>
        <v>4200000</v>
      </c>
      <c r="J154" s="26">
        <f>'дод 2'!K232</f>
        <v>4200000</v>
      </c>
      <c r="K154" s="26">
        <f>'дод 2'!L232</f>
        <v>0</v>
      </c>
      <c r="L154" s="26">
        <f>'дод 2'!M232</f>
        <v>0</v>
      </c>
      <c r="M154" s="26">
        <f>'дод 2'!N232</f>
        <v>0</v>
      </c>
      <c r="N154" s="26">
        <f>'дод 2'!O232</f>
        <v>4200000</v>
      </c>
      <c r="O154" s="26">
        <f>'дод 2'!P232</f>
        <v>4200000</v>
      </c>
      <c r="P154" s="156"/>
    </row>
    <row r="155" spans="1:16" s="5" customFormat="1" ht="32.25" customHeight="1" x14ac:dyDescent="0.25">
      <c r="A155" s="17" t="s">
        <v>363</v>
      </c>
      <c r="B155" s="17" t="s">
        <v>145</v>
      </c>
      <c r="C155" s="9" t="s">
        <v>367</v>
      </c>
      <c r="D155" s="26">
        <f>'дод 2'!E233</f>
        <v>0</v>
      </c>
      <c r="E155" s="26">
        <f>'дод 2'!F233</f>
        <v>0</v>
      </c>
      <c r="F155" s="26">
        <f>'дод 2'!G233</f>
        <v>0</v>
      </c>
      <c r="G155" s="26">
        <f>'дод 2'!H233</f>
        <v>0</v>
      </c>
      <c r="H155" s="26">
        <f>'дод 2'!I233</f>
        <v>0</v>
      </c>
      <c r="I155" s="26">
        <f>'дод 2'!J233</f>
        <v>8000000</v>
      </c>
      <c r="J155" s="26">
        <f>'дод 2'!K233</f>
        <v>8000000</v>
      </c>
      <c r="K155" s="26">
        <f>'дод 2'!L233</f>
        <v>0</v>
      </c>
      <c r="L155" s="26">
        <f>'дод 2'!M233</f>
        <v>0</v>
      </c>
      <c r="M155" s="26">
        <f>'дод 2'!N233</f>
        <v>0</v>
      </c>
      <c r="N155" s="26">
        <f>'дод 2'!O233</f>
        <v>8000000</v>
      </c>
      <c r="O155" s="26">
        <f>'дод 2'!P233</f>
        <v>8000000</v>
      </c>
      <c r="P155" s="156"/>
    </row>
    <row r="156" spans="1:16" ht="32.25" customHeight="1" x14ac:dyDescent="0.25">
      <c r="A156" s="17" t="s">
        <v>356</v>
      </c>
      <c r="B156" s="17" t="s">
        <v>145</v>
      </c>
      <c r="C156" s="9" t="s">
        <v>582</v>
      </c>
      <c r="D156" s="26">
        <f>'дод 2'!E234+'дод 2'!E207</f>
        <v>0</v>
      </c>
      <c r="E156" s="26">
        <f>'дод 2'!F234+'дод 2'!F207</f>
        <v>0</v>
      </c>
      <c r="F156" s="26">
        <f>'дод 2'!G234+'дод 2'!G207</f>
        <v>0</v>
      </c>
      <c r="G156" s="26">
        <f>'дод 2'!H234+'дод 2'!H207</f>
        <v>0</v>
      </c>
      <c r="H156" s="26">
        <f>'дод 2'!I234+'дод 2'!I207</f>
        <v>0</v>
      </c>
      <c r="I156" s="26">
        <f>'дод 2'!J234+'дод 2'!J207</f>
        <v>39965753</v>
      </c>
      <c r="J156" s="26">
        <f>'дод 2'!K234+'дод 2'!K207</f>
        <v>39965753</v>
      </c>
      <c r="K156" s="26">
        <f>'дод 2'!L234+'дод 2'!L207</f>
        <v>0</v>
      </c>
      <c r="L156" s="26">
        <f>'дод 2'!M234+'дод 2'!M207</f>
        <v>0</v>
      </c>
      <c r="M156" s="26">
        <f>'дод 2'!N234+'дод 2'!N207</f>
        <v>0</v>
      </c>
      <c r="N156" s="26">
        <f>'дод 2'!O234+'дод 2'!O207</f>
        <v>39965753</v>
      </c>
      <c r="O156" s="26">
        <f>'дод 2'!P234+'дод 2'!P207</f>
        <v>39965753</v>
      </c>
      <c r="P156" s="156"/>
    </row>
    <row r="157" spans="1:16" ht="35.25" customHeight="1" x14ac:dyDescent="0.25">
      <c r="A157" s="3" t="s">
        <v>186</v>
      </c>
      <c r="B157" s="3" t="s">
        <v>145</v>
      </c>
      <c r="C157" s="9" t="s">
        <v>1</v>
      </c>
      <c r="D157" s="26">
        <f>'дод 2'!E235+'дод 2'!E208</f>
        <v>0</v>
      </c>
      <c r="E157" s="26">
        <f>'дод 2'!F235+'дод 2'!F208</f>
        <v>0</v>
      </c>
      <c r="F157" s="26">
        <f>'дод 2'!G235+'дод 2'!G208</f>
        <v>0</v>
      </c>
      <c r="G157" s="26">
        <f>'дод 2'!H235+'дод 2'!H208</f>
        <v>0</v>
      </c>
      <c r="H157" s="26">
        <f>'дод 2'!I235+'дод 2'!I208</f>
        <v>0</v>
      </c>
      <c r="I157" s="26">
        <f>'дод 2'!J235+'дод 2'!J208</f>
        <v>3600000</v>
      </c>
      <c r="J157" s="26">
        <f>'дод 2'!K235+'дод 2'!K208</f>
        <v>3600000</v>
      </c>
      <c r="K157" s="26">
        <f>'дод 2'!L235+'дод 2'!L208</f>
        <v>0</v>
      </c>
      <c r="L157" s="26">
        <f>'дод 2'!M235+'дод 2'!M208</f>
        <v>0</v>
      </c>
      <c r="M157" s="26">
        <f>'дод 2'!N235+'дод 2'!N208</f>
        <v>0</v>
      </c>
      <c r="N157" s="26">
        <f>'дод 2'!O235+'дод 2'!O208</f>
        <v>3600000</v>
      </c>
      <c r="O157" s="26">
        <f>'дод 2'!P235+'дод 2'!P208</f>
        <v>3600000</v>
      </c>
      <c r="P157" s="156"/>
    </row>
    <row r="158" spans="1:16" ht="35.25" hidden="1" customHeight="1" x14ac:dyDescent="0.25">
      <c r="A158" s="3" t="s">
        <v>523</v>
      </c>
      <c r="B158" s="3" t="s">
        <v>145</v>
      </c>
      <c r="C158" s="9" t="s">
        <v>524</v>
      </c>
      <c r="D158" s="26">
        <f>'дод 2'!E248</f>
        <v>0</v>
      </c>
      <c r="E158" s="26">
        <f>'дод 2'!F248</f>
        <v>0</v>
      </c>
      <c r="F158" s="26">
        <f>'дод 2'!G248</f>
        <v>0</v>
      </c>
      <c r="G158" s="26">
        <f>'дод 2'!H248</f>
        <v>0</v>
      </c>
      <c r="H158" s="26">
        <f>'дод 2'!I248</f>
        <v>0</v>
      </c>
      <c r="I158" s="26">
        <f>'дод 2'!J248</f>
        <v>0</v>
      </c>
      <c r="J158" s="26">
        <f>'дод 2'!K248</f>
        <v>0</v>
      </c>
      <c r="K158" s="26">
        <f>'дод 2'!L248</f>
        <v>0</v>
      </c>
      <c r="L158" s="26">
        <f>'дод 2'!M248</f>
        <v>0</v>
      </c>
      <c r="M158" s="26">
        <f>'дод 2'!N248</f>
        <v>0</v>
      </c>
      <c r="N158" s="26">
        <f>'дод 2'!O248</f>
        <v>0</v>
      </c>
      <c r="O158" s="26">
        <f>'дод 2'!P248</f>
        <v>0</v>
      </c>
      <c r="P158" s="156"/>
    </row>
    <row r="159" spans="1:16" s="5" customFormat="1" ht="54.75" hidden="1" customHeight="1" x14ac:dyDescent="0.25">
      <c r="A159" s="3" t="s">
        <v>515</v>
      </c>
      <c r="B159" s="3" t="s">
        <v>113</v>
      </c>
      <c r="C159" s="9" t="s">
        <v>516</v>
      </c>
      <c r="D159" s="26">
        <f>'дод 2'!E236+'дод 2'!E209</f>
        <v>0</v>
      </c>
      <c r="E159" s="26">
        <f>'дод 2'!F236+'дод 2'!F209</f>
        <v>0</v>
      </c>
      <c r="F159" s="26">
        <f>'дод 2'!G236+'дод 2'!G209</f>
        <v>0</v>
      </c>
      <c r="G159" s="26">
        <f>'дод 2'!H236+'дод 2'!H209</f>
        <v>0</v>
      </c>
      <c r="H159" s="26">
        <f>'дод 2'!I236+'дод 2'!I209</f>
        <v>0</v>
      </c>
      <c r="I159" s="26">
        <f>'дод 2'!J236+'дод 2'!J209</f>
        <v>0</v>
      </c>
      <c r="J159" s="26">
        <f>'дод 2'!K236+'дод 2'!K209</f>
        <v>0</v>
      </c>
      <c r="K159" s="26">
        <f>'дод 2'!L236+'дод 2'!L209</f>
        <v>0</v>
      </c>
      <c r="L159" s="26">
        <f>'дод 2'!M236+'дод 2'!M209</f>
        <v>0</v>
      </c>
      <c r="M159" s="26">
        <f>'дод 2'!N236+'дод 2'!N209</f>
        <v>0</v>
      </c>
      <c r="N159" s="26">
        <f>'дод 2'!O236+'дод 2'!O209</f>
        <v>0</v>
      </c>
      <c r="O159" s="26">
        <f>'дод 2'!P236+'дод 2'!P209</f>
        <v>0</v>
      </c>
      <c r="P159" s="156"/>
    </row>
    <row r="160" spans="1:16" s="5" customFormat="1" ht="48.75" hidden="1" customHeight="1" x14ac:dyDescent="0.25">
      <c r="A160" s="3" t="s">
        <v>498</v>
      </c>
      <c r="B160" s="3" t="s">
        <v>113</v>
      </c>
      <c r="C160" s="9" t="s">
        <v>499</v>
      </c>
      <c r="D160" s="26">
        <f>'дод 2'!E72+'дод 2'!E101+'дод 2'!E187+'дод 2'!E237+'дод 2'!E210</f>
        <v>0</v>
      </c>
      <c r="E160" s="26">
        <f>'дод 2'!F72+'дод 2'!F101+'дод 2'!F187+'дод 2'!F237+'дод 2'!F210</f>
        <v>0</v>
      </c>
      <c r="F160" s="26">
        <f>'дод 2'!G72+'дод 2'!G101+'дод 2'!G187+'дод 2'!G237+'дод 2'!G210</f>
        <v>0</v>
      </c>
      <c r="G160" s="26">
        <f>'дод 2'!H72+'дод 2'!H101+'дод 2'!H187+'дод 2'!H237+'дод 2'!H210</f>
        <v>0</v>
      </c>
      <c r="H160" s="26">
        <f>'дод 2'!I72+'дод 2'!I101+'дод 2'!I187+'дод 2'!I237+'дод 2'!I210</f>
        <v>0</v>
      </c>
      <c r="I160" s="26">
        <f>'дод 2'!J72+'дод 2'!J101+'дод 2'!J187+'дод 2'!J237+'дод 2'!J210</f>
        <v>0</v>
      </c>
      <c r="J160" s="26">
        <f>'дод 2'!K72+'дод 2'!K101+'дод 2'!K187+'дод 2'!K237+'дод 2'!K210</f>
        <v>0</v>
      </c>
      <c r="K160" s="26">
        <f>'дод 2'!L72+'дод 2'!L101+'дод 2'!L187+'дод 2'!L237+'дод 2'!L210</f>
        <v>0</v>
      </c>
      <c r="L160" s="26">
        <f>'дод 2'!M72+'дод 2'!M101+'дод 2'!M187+'дод 2'!M237+'дод 2'!M210</f>
        <v>0</v>
      </c>
      <c r="M160" s="26">
        <f>'дод 2'!N72+'дод 2'!N101+'дод 2'!N187+'дод 2'!N237+'дод 2'!N210</f>
        <v>0</v>
      </c>
      <c r="N160" s="26">
        <f>'дод 2'!O72+'дод 2'!O101+'дод 2'!O187+'дод 2'!O237+'дод 2'!O210</f>
        <v>0</v>
      </c>
      <c r="O160" s="26">
        <f>'дод 2'!P72+'дод 2'!P101+'дод 2'!P187+'дод 2'!P237+'дод 2'!P210</f>
        <v>0</v>
      </c>
      <c r="P160" s="156"/>
    </row>
    <row r="161" spans="1:16" s="5" customFormat="1" ht="27" hidden="1" customHeight="1" x14ac:dyDescent="0.25">
      <c r="A161" s="3"/>
      <c r="B161" s="3"/>
      <c r="C161" s="9" t="s">
        <v>345</v>
      </c>
      <c r="D161" s="26">
        <f>'дод 2'!E73+'дод 2'!E102+'дод 2'!E188+'дод 2'!E238+'дод 2'!E211</f>
        <v>0</v>
      </c>
      <c r="E161" s="26">
        <f>'дод 2'!F73+'дод 2'!F102+'дод 2'!F188+'дод 2'!F238+'дод 2'!F211</f>
        <v>0</v>
      </c>
      <c r="F161" s="26">
        <f>'дод 2'!G73+'дод 2'!G102+'дод 2'!G188+'дод 2'!G238+'дод 2'!G211</f>
        <v>0</v>
      </c>
      <c r="G161" s="26">
        <f>'дод 2'!H73+'дод 2'!H102+'дод 2'!H188+'дод 2'!H238+'дод 2'!H211</f>
        <v>0</v>
      </c>
      <c r="H161" s="26">
        <f>'дод 2'!I73+'дод 2'!I102+'дод 2'!I188+'дод 2'!I238+'дод 2'!I211</f>
        <v>0</v>
      </c>
      <c r="I161" s="26">
        <f>'дод 2'!J73+'дод 2'!J102+'дод 2'!J188+'дод 2'!J238+'дод 2'!J211</f>
        <v>0</v>
      </c>
      <c r="J161" s="26">
        <f>'дод 2'!K73+'дод 2'!K102+'дод 2'!K188+'дод 2'!K238+'дод 2'!K211</f>
        <v>0</v>
      </c>
      <c r="K161" s="26">
        <f>'дод 2'!L73+'дод 2'!L102+'дод 2'!L188+'дод 2'!L238+'дод 2'!L211</f>
        <v>0</v>
      </c>
      <c r="L161" s="26">
        <f>'дод 2'!M73+'дод 2'!M102+'дод 2'!M188+'дод 2'!M238+'дод 2'!M211</f>
        <v>0</v>
      </c>
      <c r="M161" s="26">
        <f>'дод 2'!N73+'дод 2'!N102+'дод 2'!N188+'дод 2'!N238+'дод 2'!N211</f>
        <v>0</v>
      </c>
      <c r="N161" s="26">
        <f>'дод 2'!O73+'дод 2'!O102+'дод 2'!O188+'дод 2'!O238+'дод 2'!O211</f>
        <v>0</v>
      </c>
      <c r="O161" s="26">
        <f>'дод 2'!P73+'дод 2'!P102+'дод 2'!P188+'дод 2'!P238+'дод 2'!P211</f>
        <v>0</v>
      </c>
      <c r="P161" s="156"/>
    </row>
    <row r="162" spans="1:16" ht="40.5" customHeight="1" x14ac:dyDescent="0.25">
      <c r="A162" s="3" t="s">
        <v>557</v>
      </c>
      <c r="B162" s="3" t="s">
        <v>113</v>
      </c>
      <c r="C162" s="9" t="s">
        <v>567</v>
      </c>
      <c r="D162" s="26">
        <f>'дод 2'!E249+'дод 2'!E258</f>
        <v>935200</v>
      </c>
      <c r="E162" s="26">
        <f>'дод 2'!F249+'дод 2'!F258</f>
        <v>935200</v>
      </c>
      <c r="F162" s="26">
        <f>'дод 2'!G249+'дод 2'!G258</f>
        <v>0</v>
      </c>
      <c r="G162" s="26">
        <f>'дод 2'!H249+'дод 2'!H258</f>
        <v>0</v>
      </c>
      <c r="H162" s="26">
        <f>'дод 2'!I249+'дод 2'!I258</f>
        <v>0</v>
      </c>
      <c r="I162" s="26">
        <f>'дод 2'!J249+'дод 2'!J258</f>
        <v>12888400</v>
      </c>
      <c r="J162" s="26">
        <f>'дод 2'!K249+'дод 2'!K258</f>
        <v>12888400</v>
      </c>
      <c r="K162" s="26">
        <f>'дод 2'!L249+'дод 2'!L258</f>
        <v>0</v>
      </c>
      <c r="L162" s="26">
        <f>'дод 2'!M249+'дод 2'!M258</f>
        <v>0</v>
      </c>
      <c r="M162" s="26">
        <f>'дод 2'!N249+'дод 2'!N258</f>
        <v>0</v>
      </c>
      <c r="N162" s="26">
        <f>'дод 2'!O249+'дод 2'!O258</f>
        <v>12888400</v>
      </c>
      <c r="O162" s="26">
        <f>'дод 2'!P249+'дод 2'!P258</f>
        <v>13823600</v>
      </c>
      <c r="P162" s="156"/>
    </row>
    <row r="163" spans="1:16" s="14" customFormat="1" ht="39.75" customHeight="1" x14ac:dyDescent="0.25">
      <c r="A163" s="15" t="s">
        <v>117</v>
      </c>
      <c r="B163" s="7"/>
      <c r="C163" s="7" t="s">
        <v>2</v>
      </c>
      <c r="D163" s="27">
        <f>D165+D166+D167+D168+D169+D170</f>
        <v>11000000</v>
      </c>
      <c r="E163" s="27">
        <f t="shared" ref="E163:O163" si="16">E165+E166+E167+E168+E169+E170</f>
        <v>0</v>
      </c>
      <c r="F163" s="27">
        <f t="shared" si="16"/>
        <v>0</v>
      </c>
      <c r="G163" s="27">
        <f t="shared" si="16"/>
        <v>0</v>
      </c>
      <c r="H163" s="27">
        <f t="shared" si="16"/>
        <v>11000000</v>
      </c>
      <c r="I163" s="27">
        <f t="shared" si="16"/>
        <v>0</v>
      </c>
      <c r="J163" s="27">
        <f t="shared" si="16"/>
        <v>0</v>
      </c>
      <c r="K163" s="27">
        <f t="shared" si="16"/>
        <v>0</v>
      </c>
      <c r="L163" s="27">
        <f t="shared" si="16"/>
        <v>0</v>
      </c>
      <c r="M163" s="27">
        <f t="shared" si="16"/>
        <v>0</v>
      </c>
      <c r="N163" s="27">
        <f t="shared" si="16"/>
        <v>0</v>
      </c>
      <c r="O163" s="27">
        <f t="shared" si="16"/>
        <v>11000000</v>
      </c>
      <c r="P163" s="156"/>
    </row>
    <row r="164" spans="1:16" s="18" customFormat="1" ht="21" customHeight="1" x14ac:dyDescent="0.25">
      <c r="A164" s="15"/>
      <c r="B164" s="7"/>
      <c r="C164" s="7" t="s">
        <v>345</v>
      </c>
      <c r="D164" s="27">
        <f>D171</f>
        <v>0</v>
      </c>
      <c r="E164" s="27">
        <f t="shared" ref="E164:O164" si="17">E171</f>
        <v>0</v>
      </c>
      <c r="F164" s="27">
        <f t="shared" si="17"/>
        <v>0</v>
      </c>
      <c r="G164" s="27">
        <f t="shared" si="17"/>
        <v>0</v>
      </c>
      <c r="H164" s="27">
        <f t="shared" si="17"/>
        <v>0</v>
      </c>
      <c r="I164" s="27">
        <f t="shared" si="17"/>
        <v>0</v>
      </c>
      <c r="J164" s="27">
        <f t="shared" si="17"/>
        <v>0</v>
      </c>
      <c r="K164" s="27">
        <f t="shared" si="17"/>
        <v>0</v>
      </c>
      <c r="L164" s="27">
        <f t="shared" si="17"/>
        <v>0</v>
      </c>
      <c r="M164" s="27">
        <f t="shared" si="17"/>
        <v>0</v>
      </c>
      <c r="N164" s="27">
        <f t="shared" si="17"/>
        <v>0</v>
      </c>
      <c r="O164" s="27">
        <f t="shared" si="17"/>
        <v>0</v>
      </c>
      <c r="P164" s="156"/>
    </row>
    <row r="165" spans="1:16" s="5" customFormat="1" ht="39.75" customHeight="1" x14ac:dyDescent="0.25">
      <c r="A165" s="3" t="s">
        <v>4</v>
      </c>
      <c r="B165" s="3" t="s">
        <v>115</v>
      </c>
      <c r="C165" s="9" t="s">
        <v>59</v>
      </c>
      <c r="D165" s="26">
        <f>'дод 2'!E32</f>
        <v>4000000</v>
      </c>
      <c r="E165" s="26">
        <f>'дод 2'!F32</f>
        <v>0</v>
      </c>
      <c r="F165" s="26">
        <f>'дод 2'!G32</f>
        <v>0</v>
      </c>
      <c r="G165" s="26">
        <f>'дод 2'!H32</f>
        <v>0</v>
      </c>
      <c r="H165" s="26">
        <f>'дод 2'!I32</f>
        <v>4000000</v>
      </c>
      <c r="I165" s="26">
        <f>'дод 2'!J32</f>
        <v>0</v>
      </c>
      <c r="J165" s="26">
        <f>'дод 2'!K32</f>
        <v>0</v>
      </c>
      <c r="K165" s="26">
        <f>'дод 2'!L32</f>
        <v>0</v>
      </c>
      <c r="L165" s="26">
        <f>'дод 2'!M32</f>
        <v>0</v>
      </c>
      <c r="M165" s="26">
        <f>'дод 2'!N32</f>
        <v>0</v>
      </c>
      <c r="N165" s="26">
        <f>'дод 2'!O32</f>
        <v>0</v>
      </c>
      <c r="O165" s="26">
        <f>'дод 2'!P32</f>
        <v>4000000</v>
      </c>
      <c r="P165" s="156"/>
    </row>
    <row r="166" spans="1:16" s="5" customFormat="1" ht="39.75" customHeight="1" x14ac:dyDescent="0.25">
      <c r="A166" s="3" t="s">
        <v>5</v>
      </c>
      <c r="B166" s="3" t="s">
        <v>116</v>
      </c>
      <c r="C166" s="9" t="s">
        <v>197</v>
      </c>
      <c r="D166" s="26">
        <f>'дод 2'!E33</f>
        <v>7000000</v>
      </c>
      <c r="E166" s="26">
        <f>'дод 2'!F33</f>
        <v>0</v>
      </c>
      <c r="F166" s="26">
        <f>'дод 2'!G33</f>
        <v>0</v>
      </c>
      <c r="G166" s="26">
        <f>'дод 2'!H33</f>
        <v>0</v>
      </c>
      <c r="H166" s="26">
        <f>'дод 2'!I33</f>
        <v>7000000</v>
      </c>
      <c r="I166" s="26">
        <f>'дод 2'!J33</f>
        <v>0</v>
      </c>
      <c r="J166" s="26">
        <f>'дод 2'!K33</f>
        <v>0</v>
      </c>
      <c r="K166" s="26">
        <f>'дод 2'!L33</f>
        <v>0</v>
      </c>
      <c r="L166" s="26">
        <f>'дод 2'!M33</f>
        <v>0</v>
      </c>
      <c r="M166" s="26">
        <f>'дод 2'!N33</f>
        <v>0</v>
      </c>
      <c r="N166" s="26">
        <f>'дод 2'!O33</f>
        <v>0</v>
      </c>
      <c r="O166" s="26">
        <f>'дод 2'!P33</f>
        <v>7000000</v>
      </c>
      <c r="P166" s="156"/>
    </row>
    <row r="167" spans="1:16" s="5" customFormat="1" ht="24" hidden="1" customHeight="1" x14ac:dyDescent="0.25">
      <c r="A167" s="3" t="s">
        <v>6</v>
      </c>
      <c r="B167" s="3" t="s">
        <v>116</v>
      </c>
      <c r="C167" s="9" t="s">
        <v>28</v>
      </c>
      <c r="D167" s="26">
        <f>'дод 2'!E34</f>
        <v>0</v>
      </c>
      <c r="E167" s="26">
        <f>'дод 2'!F34</f>
        <v>0</v>
      </c>
      <c r="F167" s="26">
        <f>'дод 2'!G34</f>
        <v>0</v>
      </c>
      <c r="G167" s="26">
        <f>'дод 2'!H34</f>
        <v>0</v>
      </c>
      <c r="H167" s="26">
        <f>'дод 2'!I34</f>
        <v>0</v>
      </c>
      <c r="I167" s="26">
        <f>'дод 2'!J34</f>
        <v>0</v>
      </c>
      <c r="J167" s="26">
        <f>'дод 2'!K34</f>
        <v>0</v>
      </c>
      <c r="K167" s="26">
        <f>'дод 2'!L34</f>
        <v>0</v>
      </c>
      <c r="L167" s="26">
        <f>'дод 2'!M34</f>
        <v>0</v>
      </c>
      <c r="M167" s="26">
        <f>'дод 2'!N34</f>
        <v>0</v>
      </c>
      <c r="N167" s="26">
        <f>'дод 2'!O34</f>
        <v>0</v>
      </c>
      <c r="O167" s="26">
        <f>'дод 2'!P34</f>
        <v>0</v>
      </c>
      <c r="P167" s="156"/>
    </row>
    <row r="168" spans="1:16" s="5" customFormat="1" ht="42.75" hidden="1" customHeight="1" x14ac:dyDescent="0.25">
      <c r="A168" s="3" t="s">
        <v>510</v>
      </c>
      <c r="B168" s="3" t="s">
        <v>411</v>
      </c>
      <c r="C168" s="9" t="s">
        <v>511</v>
      </c>
      <c r="D168" s="26">
        <f>'дод 2'!E239</f>
        <v>0</v>
      </c>
      <c r="E168" s="26">
        <f>'дод 2'!F239</f>
        <v>0</v>
      </c>
      <c r="F168" s="26">
        <f>'дод 2'!G239</f>
        <v>0</v>
      </c>
      <c r="G168" s="26">
        <f>'дод 2'!H239</f>
        <v>0</v>
      </c>
      <c r="H168" s="26">
        <f>'дод 2'!I239</f>
        <v>0</v>
      </c>
      <c r="I168" s="26">
        <f>'дод 2'!J239</f>
        <v>0</v>
      </c>
      <c r="J168" s="26">
        <f>'дод 2'!K239</f>
        <v>0</v>
      </c>
      <c r="K168" s="26">
        <f>'дод 2'!L239</f>
        <v>0</v>
      </c>
      <c r="L168" s="26">
        <f>'дод 2'!M239</f>
        <v>0</v>
      </c>
      <c r="M168" s="26">
        <f>'дод 2'!N239</f>
        <v>0</v>
      </c>
      <c r="N168" s="26">
        <f>'дод 2'!O239</f>
        <v>0</v>
      </c>
      <c r="O168" s="26">
        <f>'дод 2'!P239</f>
        <v>0</v>
      </c>
      <c r="P168" s="156"/>
    </row>
    <row r="169" spans="1:16" ht="24" hidden="1" customHeight="1" x14ac:dyDescent="0.25">
      <c r="A169" s="3" t="s">
        <v>410</v>
      </c>
      <c r="B169" s="3" t="s">
        <v>411</v>
      </c>
      <c r="C169" s="9" t="s">
        <v>412</v>
      </c>
      <c r="D169" s="26">
        <f>'дод 2'!E35</f>
        <v>0</v>
      </c>
      <c r="E169" s="26">
        <f>'дод 2'!F35</f>
        <v>0</v>
      </c>
      <c r="F169" s="26">
        <f>'дод 2'!G35</f>
        <v>0</v>
      </c>
      <c r="G169" s="26">
        <f>'дод 2'!H35</f>
        <v>0</v>
      </c>
      <c r="H169" s="26">
        <f>'дод 2'!I35</f>
        <v>0</v>
      </c>
      <c r="I169" s="26">
        <f>'дод 2'!J35</f>
        <v>0</v>
      </c>
      <c r="J169" s="26">
        <f>'дод 2'!K35</f>
        <v>0</v>
      </c>
      <c r="K169" s="26">
        <f>'дод 2'!L35</f>
        <v>0</v>
      </c>
      <c r="L169" s="26">
        <f>'дод 2'!M35</f>
        <v>0</v>
      </c>
      <c r="M169" s="26">
        <f>'дод 2'!N35</f>
        <v>0</v>
      </c>
      <c r="N169" s="26">
        <f>'дод 2'!O35</f>
        <v>0</v>
      </c>
      <c r="O169" s="26">
        <f>'дод 2'!P35</f>
        <v>0</v>
      </c>
      <c r="P169" s="156"/>
    </row>
    <row r="170" spans="1:16" ht="59.25" hidden="1" customHeight="1" x14ac:dyDescent="0.25">
      <c r="A170" s="3" t="s">
        <v>529</v>
      </c>
      <c r="B170" s="3" t="s">
        <v>411</v>
      </c>
      <c r="C170" s="9" t="s">
        <v>530</v>
      </c>
      <c r="D170" s="26">
        <f>'дод 2'!E240</f>
        <v>0</v>
      </c>
      <c r="E170" s="26">
        <f>'дод 2'!F240</f>
        <v>0</v>
      </c>
      <c r="F170" s="26">
        <f>'дод 2'!G240</f>
        <v>0</v>
      </c>
      <c r="G170" s="26">
        <f>'дод 2'!H240</f>
        <v>0</v>
      </c>
      <c r="H170" s="26">
        <f>'дод 2'!I240</f>
        <v>0</v>
      </c>
      <c r="I170" s="26">
        <f>'дод 2'!J240</f>
        <v>0</v>
      </c>
      <c r="J170" s="26">
        <f>'дод 2'!K240</f>
        <v>0</v>
      </c>
      <c r="K170" s="26">
        <f>'дод 2'!L240</f>
        <v>0</v>
      </c>
      <c r="L170" s="26">
        <f>'дод 2'!M240</f>
        <v>0</v>
      </c>
      <c r="M170" s="26">
        <f>'дод 2'!N240</f>
        <v>0</v>
      </c>
      <c r="N170" s="26">
        <f>'дод 2'!O240</f>
        <v>0</v>
      </c>
      <c r="O170" s="26">
        <f>'дод 2'!P240</f>
        <v>0</v>
      </c>
      <c r="P170" s="156"/>
    </row>
    <row r="171" spans="1:16" ht="24" hidden="1" customHeight="1" x14ac:dyDescent="0.25">
      <c r="B171" s="3"/>
      <c r="C171" s="9" t="s">
        <v>345</v>
      </c>
      <c r="D171" s="26">
        <f>'дод 2'!E241</f>
        <v>0</v>
      </c>
      <c r="E171" s="26">
        <f>'дод 2'!F241</f>
        <v>0</v>
      </c>
      <c r="F171" s="26">
        <f>'дод 2'!G241</f>
        <v>0</v>
      </c>
      <c r="G171" s="26">
        <f>'дод 2'!H241</f>
        <v>0</v>
      </c>
      <c r="H171" s="26">
        <f>'дод 2'!I241</f>
        <v>0</v>
      </c>
      <c r="I171" s="26">
        <f>'дод 2'!J241</f>
        <v>0</v>
      </c>
      <c r="J171" s="26">
        <f>'дод 2'!K241</f>
        <v>0</v>
      </c>
      <c r="K171" s="26">
        <f>'дод 2'!L241</f>
        <v>0</v>
      </c>
      <c r="L171" s="26">
        <f>'дод 2'!M241</f>
        <v>0</v>
      </c>
      <c r="M171" s="26">
        <f>'дод 2'!N241</f>
        <v>0</v>
      </c>
      <c r="N171" s="26">
        <f>'дод 2'!O241</f>
        <v>0</v>
      </c>
      <c r="O171" s="26">
        <f>'дод 2'!P241</f>
        <v>0</v>
      </c>
      <c r="P171" s="156"/>
    </row>
    <row r="172" spans="1:16" s="14" customFormat="1" ht="28.5" customHeight="1" x14ac:dyDescent="0.25">
      <c r="A172" s="21" t="s">
        <v>312</v>
      </c>
      <c r="B172" s="7"/>
      <c r="C172" s="7" t="s">
        <v>313</v>
      </c>
      <c r="D172" s="27">
        <f>D173</f>
        <v>10063860</v>
      </c>
      <c r="E172" s="27">
        <f t="shared" ref="E172:O172" si="18">E173</f>
        <v>10063860</v>
      </c>
      <c r="F172" s="27">
        <f t="shared" si="18"/>
        <v>0</v>
      </c>
      <c r="G172" s="27">
        <f t="shared" si="18"/>
        <v>0</v>
      </c>
      <c r="H172" s="27">
        <f t="shared" si="18"/>
        <v>0</v>
      </c>
      <c r="I172" s="27">
        <f t="shared" si="18"/>
        <v>3787500</v>
      </c>
      <c r="J172" s="27">
        <f t="shared" si="18"/>
        <v>3787500</v>
      </c>
      <c r="K172" s="27">
        <f t="shared" si="18"/>
        <v>0</v>
      </c>
      <c r="L172" s="27">
        <f t="shared" si="18"/>
        <v>0</v>
      </c>
      <c r="M172" s="27">
        <f t="shared" si="18"/>
        <v>0</v>
      </c>
      <c r="N172" s="27">
        <f t="shared" si="18"/>
        <v>3787500</v>
      </c>
      <c r="O172" s="27">
        <f t="shared" si="18"/>
        <v>13851360</v>
      </c>
      <c r="P172" s="156"/>
    </row>
    <row r="173" spans="1:16" ht="37.5" customHeight="1" x14ac:dyDescent="0.25">
      <c r="A173" s="17" t="s">
        <v>310</v>
      </c>
      <c r="B173" s="17" t="s">
        <v>311</v>
      </c>
      <c r="C173" s="29" t="s">
        <v>309</v>
      </c>
      <c r="D173" s="26">
        <f>'дод 2'!E36</f>
        <v>10063860</v>
      </c>
      <c r="E173" s="26">
        <f>'дод 2'!F36</f>
        <v>10063860</v>
      </c>
      <c r="F173" s="26">
        <f>'дод 2'!G36</f>
        <v>0</v>
      </c>
      <c r="G173" s="26">
        <f>'дод 2'!H36</f>
        <v>0</v>
      </c>
      <c r="H173" s="26">
        <f>'дод 2'!I36</f>
        <v>0</v>
      </c>
      <c r="I173" s="26">
        <f>'дод 2'!J36</f>
        <v>3787500</v>
      </c>
      <c r="J173" s="26">
        <f>'дод 2'!K36</f>
        <v>3787500</v>
      </c>
      <c r="K173" s="26">
        <f>'дод 2'!L36</f>
        <v>0</v>
      </c>
      <c r="L173" s="26">
        <f>'дод 2'!M36</f>
        <v>0</v>
      </c>
      <c r="M173" s="26">
        <f>'дод 2'!N36</f>
        <v>0</v>
      </c>
      <c r="N173" s="26">
        <f>'дод 2'!O36</f>
        <v>3787500</v>
      </c>
      <c r="O173" s="26">
        <f>'дод 2'!P36</f>
        <v>13851360</v>
      </c>
      <c r="P173" s="156"/>
    </row>
    <row r="174" spans="1:16" s="14" customFormat="1" ht="38.25" customHeight="1" x14ac:dyDescent="0.25">
      <c r="A174" s="15" t="s">
        <v>120</v>
      </c>
      <c r="B174" s="7"/>
      <c r="C174" s="7" t="s">
        <v>7</v>
      </c>
      <c r="D174" s="27">
        <f>D175+D176+D177+D178+D179+D180+D181+D182</f>
        <v>6725790</v>
      </c>
      <c r="E174" s="27">
        <f t="shared" ref="E174:O174" si="19">E175+E176+E177+E178+E179+E180+E181+E182</f>
        <v>6445790</v>
      </c>
      <c r="F174" s="27">
        <f t="shared" si="19"/>
        <v>37557</v>
      </c>
      <c r="G174" s="27">
        <f t="shared" si="19"/>
        <v>0</v>
      </c>
      <c r="H174" s="27">
        <f t="shared" si="19"/>
        <v>280000</v>
      </c>
      <c r="I174" s="27">
        <f t="shared" si="19"/>
        <v>187248844</v>
      </c>
      <c r="J174" s="27">
        <f t="shared" si="19"/>
        <v>154755927</v>
      </c>
      <c r="K174" s="27">
        <f t="shared" si="19"/>
        <v>513464</v>
      </c>
      <c r="L174" s="27">
        <f t="shared" si="19"/>
        <v>0</v>
      </c>
      <c r="M174" s="27">
        <f t="shared" si="19"/>
        <v>0</v>
      </c>
      <c r="N174" s="27">
        <f t="shared" si="19"/>
        <v>186735380</v>
      </c>
      <c r="O174" s="27">
        <f t="shared" si="19"/>
        <v>193974634</v>
      </c>
      <c r="P174" s="156"/>
    </row>
    <row r="175" spans="1:16" ht="38.25" customHeight="1" x14ac:dyDescent="0.25">
      <c r="A175" s="3" t="s">
        <v>8</v>
      </c>
      <c r="B175" s="3" t="s">
        <v>119</v>
      </c>
      <c r="C175" s="9" t="s">
        <v>39</v>
      </c>
      <c r="D175" s="26">
        <f>'дод 2'!E37+'дод 2'!E259</f>
        <v>422000</v>
      </c>
      <c r="E175" s="26">
        <f>'дод 2'!F37+'дод 2'!F259</f>
        <v>422000</v>
      </c>
      <c r="F175" s="26">
        <f>'дод 2'!G37+'дод 2'!G259</f>
        <v>0</v>
      </c>
      <c r="G175" s="26">
        <f>'дод 2'!H37+'дод 2'!H259</f>
        <v>0</v>
      </c>
      <c r="H175" s="26">
        <f>'дод 2'!I37+'дод 2'!I259</f>
        <v>0</v>
      </c>
      <c r="I175" s="26">
        <f>'дод 2'!J37+'дод 2'!J259</f>
        <v>0</v>
      </c>
      <c r="J175" s="26">
        <f>'дод 2'!K37+'дод 2'!K259</f>
        <v>0</v>
      </c>
      <c r="K175" s="26">
        <f>'дод 2'!L37+'дод 2'!L259</f>
        <v>0</v>
      </c>
      <c r="L175" s="26">
        <f>'дод 2'!M37+'дод 2'!M259</f>
        <v>0</v>
      </c>
      <c r="M175" s="26">
        <f>'дод 2'!N37+'дод 2'!N259</f>
        <v>0</v>
      </c>
      <c r="N175" s="26">
        <f>'дод 2'!O37+'дод 2'!O259</f>
        <v>0</v>
      </c>
      <c r="O175" s="26">
        <f>'дод 2'!P37+'дод 2'!P259</f>
        <v>422000</v>
      </c>
      <c r="P175" s="156"/>
    </row>
    <row r="176" spans="1:16" ht="24.75" customHeight="1" x14ac:dyDescent="0.25">
      <c r="A176" s="3" t="s">
        <v>3</v>
      </c>
      <c r="B176" s="3" t="s">
        <v>118</v>
      </c>
      <c r="C176" s="9" t="s">
        <v>55</v>
      </c>
      <c r="D176" s="26">
        <f>'дод 2'!E38+'дод 2'!E74+'дод 2'!E103+'дод 2'!E169+'дод 2'!E189+'дод 2'!E212+'дод 2'!E242+'дод 2'!E268</f>
        <v>2732000</v>
      </c>
      <c r="E176" s="26">
        <f>'дод 2'!F38+'дод 2'!F74+'дод 2'!F103+'дод 2'!F169+'дод 2'!F189+'дод 2'!F212+'дод 2'!F242+'дод 2'!F268</f>
        <v>2452000</v>
      </c>
      <c r="F176" s="26">
        <f>'дод 2'!G38+'дод 2'!G74+'дод 2'!G103+'дод 2'!G169+'дод 2'!G189+'дод 2'!G212+'дод 2'!G242+'дод 2'!G268</f>
        <v>0</v>
      </c>
      <c r="G176" s="26">
        <f>'дод 2'!H38+'дод 2'!H74+'дод 2'!H103+'дод 2'!H169+'дод 2'!H189+'дод 2'!H212+'дод 2'!H242+'дод 2'!H268</f>
        <v>0</v>
      </c>
      <c r="H176" s="26">
        <f>'дод 2'!I38+'дод 2'!I74+'дод 2'!I103+'дод 2'!I169+'дод 2'!I189+'дод 2'!I212+'дод 2'!I242+'дод 2'!I268</f>
        <v>280000</v>
      </c>
      <c r="I176" s="26">
        <f>'дод 2'!J38+'дод 2'!J74+'дод 2'!J103+'дод 2'!J169+'дод 2'!J189+'дод 2'!J212+'дод 2'!J242+'дод 2'!J268</f>
        <v>123609180</v>
      </c>
      <c r="J176" s="26">
        <f>'дод 2'!K38+'дод 2'!K74+'дод 2'!K103+'дод 2'!K169+'дод 2'!K189+'дод 2'!K212+'дод 2'!K242+'дод 2'!K268</f>
        <v>92665727</v>
      </c>
      <c r="K176" s="26">
        <f>'дод 2'!L38+'дод 2'!L74+'дод 2'!L103+'дод 2'!L169+'дод 2'!L189+'дод 2'!L212+'дод 2'!L242+'дод 2'!L268</f>
        <v>0</v>
      </c>
      <c r="L176" s="26">
        <f>'дод 2'!M38+'дод 2'!M74+'дод 2'!M103+'дод 2'!M169+'дод 2'!M189+'дод 2'!M212+'дод 2'!M242+'дод 2'!M268</f>
        <v>0</v>
      </c>
      <c r="M176" s="26">
        <f>'дод 2'!N38+'дод 2'!N74+'дод 2'!N103+'дод 2'!N169+'дод 2'!N189+'дод 2'!N212+'дод 2'!N242+'дод 2'!N268</f>
        <v>0</v>
      </c>
      <c r="N176" s="26">
        <f>'дод 2'!O38+'дод 2'!O74+'дод 2'!O103+'дод 2'!O169+'дод 2'!O189+'дод 2'!O212+'дод 2'!O242+'дод 2'!O268</f>
        <v>123609180</v>
      </c>
      <c r="O176" s="26">
        <f>'дод 2'!P38+'дод 2'!P74+'дод 2'!P103+'дод 2'!P169+'дод 2'!P189+'дод 2'!P212+'дод 2'!P242+'дод 2'!P268</f>
        <v>126341180</v>
      </c>
      <c r="P176" s="156"/>
    </row>
    <row r="177" spans="1:16" ht="33.75" customHeight="1" x14ac:dyDescent="0.25">
      <c r="A177" s="3" t="s">
        <v>347</v>
      </c>
      <c r="B177" s="3" t="s">
        <v>113</v>
      </c>
      <c r="C177" s="9" t="s">
        <v>350</v>
      </c>
      <c r="D177" s="26">
        <f>'дод 2'!E260</f>
        <v>0</v>
      </c>
      <c r="E177" s="26">
        <f>'дод 2'!F260</f>
        <v>0</v>
      </c>
      <c r="F177" s="26">
        <f>'дод 2'!G260</f>
        <v>0</v>
      </c>
      <c r="G177" s="26">
        <f>'дод 2'!H260</f>
        <v>0</v>
      </c>
      <c r="H177" s="26">
        <f>'дод 2'!I260</f>
        <v>0</v>
      </c>
      <c r="I177" s="26">
        <f>'дод 2'!J260</f>
        <v>50000</v>
      </c>
      <c r="J177" s="26">
        <f>'дод 2'!K260</f>
        <v>50000</v>
      </c>
      <c r="K177" s="26">
        <f>'дод 2'!L260</f>
        <v>0</v>
      </c>
      <c r="L177" s="26">
        <f>'дод 2'!M260</f>
        <v>0</v>
      </c>
      <c r="M177" s="26">
        <f>'дод 2'!N260</f>
        <v>0</v>
      </c>
      <c r="N177" s="26">
        <f>'дод 2'!O260</f>
        <v>50000</v>
      </c>
      <c r="O177" s="26">
        <f>'дод 2'!P260</f>
        <v>50000</v>
      </c>
      <c r="P177" s="156"/>
    </row>
    <row r="178" spans="1:16" ht="66.75" customHeight="1" x14ac:dyDescent="0.25">
      <c r="A178" s="3" t="s">
        <v>349</v>
      </c>
      <c r="B178" s="3" t="s">
        <v>113</v>
      </c>
      <c r="C178" s="9" t="s">
        <v>351</v>
      </c>
      <c r="D178" s="26">
        <f>'дод 2'!E261</f>
        <v>0</v>
      </c>
      <c r="E178" s="26">
        <f>'дод 2'!F261</f>
        <v>0</v>
      </c>
      <c r="F178" s="26">
        <f>'дод 2'!G261</f>
        <v>0</v>
      </c>
      <c r="G178" s="26">
        <f>'дод 2'!H261</f>
        <v>0</v>
      </c>
      <c r="H178" s="26">
        <f>'дод 2'!I261</f>
        <v>0</v>
      </c>
      <c r="I178" s="26">
        <f>'дод 2'!J261</f>
        <v>25000</v>
      </c>
      <c r="J178" s="26">
        <f>'дод 2'!K261</f>
        <v>25000</v>
      </c>
      <c r="K178" s="26">
        <f>'дод 2'!L261</f>
        <v>0</v>
      </c>
      <c r="L178" s="26">
        <f>'дод 2'!M261</f>
        <v>0</v>
      </c>
      <c r="M178" s="26">
        <f>'дод 2'!N261</f>
        <v>0</v>
      </c>
      <c r="N178" s="26">
        <f>'дод 2'!O261</f>
        <v>25000</v>
      </c>
      <c r="O178" s="26">
        <f>'дод 2'!P261</f>
        <v>25000</v>
      </c>
      <c r="P178" s="156"/>
    </row>
    <row r="179" spans="1:16" ht="41.25" customHeight="1" x14ac:dyDescent="0.25">
      <c r="A179" s="3" t="s">
        <v>9</v>
      </c>
      <c r="B179" s="3" t="s">
        <v>113</v>
      </c>
      <c r="C179" s="9" t="s">
        <v>40</v>
      </c>
      <c r="D179" s="26">
        <f>'дод 2'!E39+'дод 2'!E213</f>
        <v>0</v>
      </c>
      <c r="E179" s="26">
        <f>'дод 2'!F39+'дод 2'!F213</f>
        <v>0</v>
      </c>
      <c r="F179" s="26">
        <f>'дод 2'!G39+'дод 2'!G213</f>
        <v>0</v>
      </c>
      <c r="G179" s="26">
        <f>'дод 2'!H39+'дод 2'!H213</f>
        <v>0</v>
      </c>
      <c r="H179" s="26">
        <f>'дод 2'!I39+'дод 2'!I213</f>
        <v>0</v>
      </c>
      <c r="I179" s="26">
        <f>'дод 2'!J39+'дод 2'!J213</f>
        <v>61989300</v>
      </c>
      <c r="J179" s="26">
        <f>'дод 2'!K39+'дод 2'!K213</f>
        <v>61989300</v>
      </c>
      <c r="K179" s="26">
        <f>'дод 2'!L39+'дод 2'!L213</f>
        <v>0</v>
      </c>
      <c r="L179" s="26">
        <f>'дод 2'!M39+'дод 2'!M213</f>
        <v>0</v>
      </c>
      <c r="M179" s="26">
        <f>'дод 2'!N39+'дод 2'!N213</f>
        <v>0</v>
      </c>
      <c r="N179" s="26">
        <f>'дод 2'!O39+'дод 2'!O213</f>
        <v>61989300</v>
      </c>
      <c r="O179" s="26">
        <f>'дод 2'!P39+'дод 2'!P213</f>
        <v>61989300</v>
      </c>
      <c r="P179" s="156"/>
    </row>
    <row r="180" spans="1:16" ht="36.75" customHeight="1" x14ac:dyDescent="0.25">
      <c r="A180" s="3" t="s">
        <v>323</v>
      </c>
      <c r="B180" s="3" t="s">
        <v>113</v>
      </c>
      <c r="C180" s="9" t="s">
        <v>324</v>
      </c>
      <c r="D180" s="26">
        <f>'дод 2'!E40</f>
        <v>243690</v>
      </c>
      <c r="E180" s="26">
        <f>'дод 2'!F40</f>
        <v>243690</v>
      </c>
      <c r="F180" s="26">
        <f>'дод 2'!G40</f>
        <v>0</v>
      </c>
      <c r="G180" s="26">
        <f>'дод 2'!H40</f>
        <v>0</v>
      </c>
      <c r="H180" s="26">
        <f>'дод 2'!I40</f>
        <v>0</v>
      </c>
      <c r="I180" s="26">
        <f>'дод 2'!J40</f>
        <v>0</v>
      </c>
      <c r="J180" s="26">
        <f>'дод 2'!K40</f>
        <v>0</v>
      </c>
      <c r="K180" s="26">
        <f>'дод 2'!L40</f>
        <v>0</v>
      </c>
      <c r="L180" s="26">
        <f>'дод 2'!M40</f>
        <v>0</v>
      </c>
      <c r="M180" s="26">
        <f>'дод 2'!N40</f>
        <v>0</v>
      </c>
      <c r="N180" s="26">
        <f>'дод 2'!O40</f>
        <v>0</v>
      </c>
      <c r="O180" s="26">
        <f>'дод 2'!P40</f>
        <v>243690</v>
      </c>
      <c r="P180" s="156"/>
    </row>
    <row r="181" spans="1:16" s="5" customFormat="1" ht="122.25" customHeight="1" x14ac:dyDescent="0.25">
      <c r="A181" s="3" t="s">
        <v>389</v>
      </c>
      <c r="B181" s="3" t="s">
        <v>113</v>
      </c>
      <c r="C181" s="9" t="s">
        <v>416</v>
      </c>
      <c r="D181" s="26">
        <f>'дод 2'!E41+'дод 2'!E250+'дод 2'!E243+'дод 2'!E214</f>
        <v>0</v>
      </c>
      <c r="E181" s="26">
        <f>'дод 2'!F41+'дод 2'!F250+'дод 2'!F243+'дод 2'!F214</f>
        <v>0</v>
      </c>
      <c r="F181" s="26">
        <f>'дод 2'!G41+'дод 2'!G250+'дод 2'!G243+'дод 2'!G214</f>
        <v>0</v>
      </c>
      <c r="G181" s="26">
        <f>'дод 2'!H41+'дод 2'!H250+'дод 2'!H243+'дод 2'!H214</f>
        <v>0</v>
      </c>
      <c r="H181" s="26">
        <f>'дод 2'!I41+'дод 2'!I250+'дод 2'!I243+'дод 2'!I214</f>
        <v>0</v>
      </c>
      <c r="I181" s="26">
        <f>'дод 2'!J41+'дод 2'!J250+'дод 2'!J243+'дод 2'!J214</f>
        <v>1549464</v>
      </c>
      <c r="J181" s="26">
        <f>'дод 2'!K41+'дод 2'!K250+'дод 2'!K243+'дод 2'!K214</f>
        <v>0</v>
      </c>
      <c r="K181" s="26">
        <f>'дод 2'!L41+'дод 2'!L250+'дод 2'!L243+'дод 2'!L214</f>
        <v>513464</v>
      </c>
      <c r="L181" s="26">
        <f>'дод 2'!M41+'дод 2'!M250+'дод 2'!M243+'дод 2'!M214</f>
        <v>0</v>
      </c>
      <c r="M181" s="26">
        <f>'дод 2'!N41+'дод 2'!N250+'дод 2'!N243+'дод 2'!N214</f>
        <v>0</v>
      </c>
      <c r="N181" s="26">
        <f>'дод 2'!O41+'дод 2'!O250+'дод 2'!O243+'дод 2'!O214</f>
        <v>1036000</v>
      </c>
      <c r="O181" s="26">
        <f>'дод 2'!P41+'дод 2'!P250+'дод 2'!P243+'дод 2'!P214</f>
        <v>1549464</v>
      </c>
      <c r="P181" s="156"/>
    </row>
    <row r="182" spans="1:16" s="5" customFormat="1" ht="30.75" customHeight="1" x14ac:dyDescent="0.25">
      <c r="A182" s="3" t="s">
        <v>314</v>
      </c>
      <c r="B182" s="3" t="s">
        <v>113</v>
      </c>
      <c r="C182" s="9" t="s">
        <v>29</v>
      </c>
      <c r="D182" s="26">
        <f>'дод 2'!E42+'дод 2'!E262+'дод 2'!E269</f>
        <v>3328100</v>
      </c>
      <c r="E182" s="26">
        <f>'дод 2'!F42+'дод 2'!F262+'дод 2'!F269</f>
        <v>3328100</v>
      </c>
      <c r="F182" s="26">
        <f>'дод 2'!G42+'дод 2'!G262+'дод 2'!G269</f>
        <v>37557</v>
      </c>
      <c r="G182" s="26">
        <f>'дод 2'!H42+'дод 2'!H262+'дод 2'!H269</f>
        <v>0</v>
      </c>
      <c r="H182" s="26">
        <f>'дод 2'!I42+'дод 2'!I262+'дод 2'!I269</f>
        <v>0</v>
      </c>
      <c r="I182" s="26">
        <f>'дод 2'!J42+'дод 2'!J262+'дод 2'!J269</f>
        <v>25900</v>
      </c>
      <c r="J182" s="26">
        <f>'дод 2'!K42+'дод 2'!K262+'дод 2'!K269</f>
        <v>25900</v>
      </c>
      <c r="K182" s="26">
        <f>'дод 2'!L42+'дод 2'!L262+'дод 2'!L269</f>
        <v>0</v>
      </c>
      <c r="L182" s="26">
        <f>'дод 2'!M42+'дод 2'!M262+'дод 2'!M269</f>
        <v>0</v>
      </c>
      <c r="M182" s="26">
        <f>'дод 2'!N42+'дод 2'!N262+'дод 2'!N269</f>
        <v>0</v>
      </c>
      <c r="N182" s="26">
        <f>'дод 2'!O42+'дод 2'!O262+'дод 2'!O269</f>
        <v>25900</v>
      </c>
      <c r="O182" s="26">
        <f>'дод 2'!P42+'дод 2'!P262+'дод 2'!P269</f>
        <v>3354000</v>
      </c>
      <c r="P182" s="156"/>
    </row>
    <row r="183" spans="1:16" s="18" customFormat="1" ht="61.5" customHeight="1" x14ac:dyDescent="0.25">
      <c r="A183" s="15" t="s">
        <v>569</v>
      </c>
      <c r="B183" s="15"/>
      <c r="C183" s="7" t="s">
        <v>570</v>
      </c>
      <c r="D183" s="27">
        <f>D184</f>
        <v>0</v>
      </c>
      <c r="E183" s="27">
        <f t="shared" ref="E183:O183" si="20">E184</f>
        <v>0</v>
      </c>
      <c r="F183" s="27">
        <f t="shared" si="20"/>
        <v>0</v>
      </c>
      <c r="G183" s="27">
        <f t="shared" si="20"/>
        <v>0</v>
      </c>
      <c r="H183" s="27">
        <f t="shared" si="20"/>
        <v>0</v>
      </c>
      <c r="I183" s="27">
        <f t="shared" si="20"/>
        <v>5760000</v>
      </c>
      <c r="J183" s="27">
        <f t="shared" si="20"/>
        <v>0</v>
      </c>
      <c r="K183" s="27">
        <f t="shared" si="20"/>
        <v>0</v>
      </c>
      <c r="L183" s="27">
        <f t="shared" si="20"/>
        <v>0</v>
      </c>
      <c r="M183" s="27">
        <f t="shared" si="20"/>
        <v>0</v>
      </c>
      <c r="N183" s="27">
        <f t="shared" si="20"/>
        <v>5760000</v>
      </c>
      <c r="O183" s="27">
        <f t="shared" si="20"/>
        <v>5760000</v>
      </c>
      <c r="P183" s="156"/>
    </row>
    <row r="184" spans="1:16" s="5" customFormat="1" ht="52.5" customHeight="1" x14ac:dyDescent="0.25">
      <c r="A184" s="3" t="s">
        <v>569</v>
      </c>
      <c r="B184" s="3" t="s">
        <v>126</v>
      </c>
      <c r="C184" s="9" t="s">
        <v>570</v>
      </c>
      <c r="D184" s="26">
        <f>'дод 2'!E104</f>
        <v>0</v>
      </c>
      <c r="E184" s="26">
        <f>'дод 2'!F104</f>
        <v>0</v>
      </c>
      <c r="F184" s="26">
        <f>'дод 2'!G104</f>
        <v>0</v>
      </c>
      <c r="G184" s="26">
        <f>'дод 2'!H104</f>
        <v>0</v>
      </c>
      <c r="H184" s="26">
        <f>'дод 2'!I104</f>
        <v>0</v>
      </c>
      <c r="I184" s="26">
        <f>'дод 2'!J104</f>
        <v>5760000</v>
      </c>
      <c r="J184" s="26">
        <f>'дод 2'!K104</f>
        <v>0</v>
      </c>
      <c r="K184" s="26">
        <f>'дод 2'!L104</f>
        <v>0</v>
      </c>
      <c r="L184" s="26">
        <f>'дод 2'!M104</f>
        <v>0</v>
      </c>
      <c r="M184" s="26">
        <f>'дод 2'!N104</f>
        <v>0</v>
      </c>
      <c r="N184" s="26">
        <f>'дод 2'!O104</f>
        <v>5760000</v>
      </c>
      <c r="O184" s="26">
        <f>'дод 2'!P104</f>
        <v>5760000</v>
      </c>
      <c r="P184" s="156"/>
    </row>
    <row r="185" spans="1:16" s="14" customFormat="1" ht="23.25" customHeight="1" x14ac:dyDescent="0.25">
      <c r="A185" s="15" t="s">
        <v>127</v>
      </c>
      <c r="B185" s="6"/>
      <c r="C185" s="7" t="s">
        <v>11</v>
      </c>
      <c r="D185" s="27">
        <f>D186+D189+D191+D194+D196+D197</f>
        <v>16877786.66</v>
      </c>
      <c r="E185" s="27">
        <f t="shared" ref="E185:O185" si="21">E186+E189+E191+E194+E196+E197</f>
        <v>3305127.66</v>
      </c>
      <c r="F185" s="27">
        <f t="shared" si="21"/>
        <v>1264118</v>
      </c>
      <c r="G185" s="27">
        <f t="shared" si="21"/>
        <v>362993</v>
      </c>
      <c r="H185" s="27">
        <f t="shared" si="21"/>
        <v>0</v>
      </c>
      <c r="I185" s="27">
        <f t="shared" si="21"/>
        <v>6693400</v>
      </c>
      <c r="J185" s="27">
        <f t="shared" ref="J185" si="22">J186+J189+J191+J194+J196+J197</f>
        <v>2007200</v>
      </c>
      <c r="K185" s="27">
        <f t="shared" si="21"/>
        <v>2660300</v>
      </c>
      <c r="L185" s="27">
        <f t="shared" si="21"/>
        <v>0</v>
      </c>
      <c r="M185" s="27">
        <f t="shared" si="21"/>
        <v>1400</v>
      </c>
      <c r="N185" s="27">
        <f t="shared" si="21"/>
        <v>4033100</v>
      </c>
      <c r="O185" s="27">
        <f t="shared" si="21"/>
        <v>23571186.66</v>
      </c>
      <c r="P185" s="156"/>
    </row>
    <row r="186" spans="1:16" s="14" customFormat="1" ht="49.5" customHeight="1" x14ac:dyDescent="0.25">
      <c r="A186" s="15" t="s">
        <v>129</v>
      </c>
      <c r="B186" s="19"/>
      <c r="C186" s="7" t="s">
        <v>12</v>
      </c>
      <c r="D186" s="27">
        <f>D187+D188</f>
        <v>2148800</v>
      </c>
      <c r="E186" s="27">
        <f t="shared" ref="E186:O186" si="23">E187+E188</f>
        <v>2148800</v>
      </c>
      <c r="F186" s="27">
        <f t="shared" si="23"/>
        <v>1264118</v>
      </c>
      <c r="G186" s="27">
        <f t="shared" si="23"/>
        <v>93093</v>
      </c>
      <c r="H186" s="27">
        <f t="shared" si="23"/>
        <v>0</v>
      </c>
      <c r="I186" s="27">
        <f t="shared" si="23"/>
        <v>2012500</v>
      </c>
      <c r="J186" s="27">
        <f t="shared" ref="J186" si="24">J187+J188</f>
        <v>2007200</v>
      </c>
      <c r="K186" s="27">
        <f t="shared" si="23"/>
        <v>5300</v>
      </c>
      <c r="L186" s="27">
        <f t="shared" si="23"/>
        <v>0</v>
      </c>
      <c r="M186" s="27">
        <f t="shared" si="23"/>
        <v>1400</v>
      </c>
      <c r="N186" s="27">
        <f t="shared" si="23"/>
        <v>2007200</v>
      </c>
      <c r="O186" s="27">
        <f t="shared" si="23"/>
        <v>4161300</v>
      </c>
      <c r="P186" s="156"/>
    </row>
    <row r="187" spans="1:16" s="14" customFormat="1" ht="36.75" customHeight="1" x14ac:dyDescent="0.25">
      <c r="A187" s="17" t="s">
        <v>13</v>
      </c>
      <c r="B187" s="17" t="s">
        <v>122</v>
      </c>
      <c r="C187" s="9" t="s">
        <v>390</v>
      </c>
      <c r="D187" s="26">
        <f>'дод 2'!E43+'дод 2'!E170</f>
        <v>450600</v>
      </c>
      <c r="E187" s="26">
        <f>'дод 2'!F43+'дод 2'!F170</f>
        <v>450600</v>
      </c>
      <c r="F187" s="26">
        <f>'дод 2'!G43+'дод 2'!G170</f>
        <v>0</v>
      </c>
      <c r="G187" s="26">
        <f>'дод 2'!H43+'дод 2'!H170</f>
        <v>6500</v>
      </c>
      <c r="H187" s="26">
        <f>'дод 2'!I43+'дод 2'!I170</f>
        <v>0</v>
      </c>
      <c r="I187" s="26">
        <f>'дод 2'!J43+'дод 2'!J170</f>
        <v>2007200</v>
      </c>
      <c r="J187" s="26">
        <f>'дод 2'!K43+'дод 2'!K170</f>
        <v>2007200</v>
      </c>
      <c r="K187" s="26">
        <f>'дод 2'!L43+'дод 2'!L170</f>
        <v>0</v>
      </c>
      <c r="L187" s="26">
        <f>'дод 2'!M43+'дод 2'!M170</f>
        <v>0</v>
      </c>
      <c r="M187" s="26">
        <f>'дод 2'!N43+'дод 2'!N170</f>
        <v>0</v>
      </c>
      <c r="N187" s="26">
        <f>'дод 2'!O43+'дод 2'!O170</f>
        <v>2007200</v>
      </c>
      <c r="O187" s="26">
        <f>'дод 2'!P43+'дод 2'!P170</f>
        <v>2457800</v>
      </c>
      <c r="P187" s="156"/>
    </row>
    <row r="188" spans="1:16" ht="24.75" customHeight="1" x14ac:dyDescent="0.25">
      <c r="A188" s="3" t="s">
        <v>201</v>
      </c>
      <c r="B188" s="8" t="s">
        <v>122</v>
      </c>
      <c r="C188" s="9" t="s">
        <v>14</v>
      </c>
      <c r="D188" s="26">
        <f>'дод 2'!E44</f>
        <v>1698200</v>
      </c>
      <c r="E188" s="26">
        <f>'дод 2'!F44</f>
        <v>1698200</v>
      </c>
      <c r="F188" s="26">
        <f>'дод 2'!G44</f>
        <v>1264118</v>
      </c>
      <c r="G188" s="26">
        <f>'дод 2'!H44</f>
        <v>86593</v>
      </c>
      <c r="H188" s="26">
        <f>'дод 2'!I44</f>
        <v>0</v>
      </c>
      <c r="I188" s="26">
        <f>'дод 2'!J44</f>
        <v>5300</v>
      </c>
      <c r="J188" s="26">
        <f>'дод 2'!K44</f>
        <v>0</v>
      </c>
      <c r="K188" s="26">
        <f>'дод 2'!L44</f>
        <v>5300</v>
      </c>
      <c r="L188" s="26">
        <f>'дод 2'!M44</f>
        <v>0</v>
      </c>
      <c r="M188" s="26">
        <f>'дод 2'!N44</f>
        <v>1400</v>
      </c>
      <c r="N188" s="26">
        <f>'дод 2'!O44</f>
        <v>0</v>
      </c>
      <c r="O188" s="26">
        <f>'дод 2'!P44</f>
        <v>1703500</v>
      </c>
      <c r="P188" s="156"/>
    </row>
    <row r="189" spans="1:16" s="14" customFormat="1" ht="30" customHeight="1" x14ac:dyDescent="0.25">
      <c r="A189" s="15" t="s">
        <v>325</v>
      </c>
      <c r="B189" s="15"/>
      <c r="C189" s="30" t="s">
        <v>326</v>
      </c>
      <c r="D189" s="27">
        <f>D190</f>
        <v>819800</v>
      </c>
      <c r="E189" s="27">
        <f t="shared" ref="E189:O189" si="25">E190</f>
        <v>819800</v>
      </c>
      <c r="F189" s="27">
        <f t="shared" si="25"/>
        <v>0</v>
      </c>
      <c r="G189" s="27">
        <f t="shared" si="25"/>
        <v>269900</v>
      </c>
      <c r="H189" s="27">
        <f t="shared" si="25"/>
        <v>0</v>
      </c>
      <c r="I189" s="27">
        <f t="shared" si="25"/>
        <v>0</v>
      </c>
      <c r="J189" s="27">
        <f t="shared" si="25"/>
        <v>0</v>
      </c>
      <c r="K189" s="27">
        <f t="shared" si="25"/>
        <v>0</v>
      </c>
      <c r="L189" s="27">
        <f t="shared" si="25"/>
        <v>0</v>
      </c>
      <c r="M189" s="27">
        <f t="shared" si="25"/>
        <v>0</v>
      </c>
      <c r="N189" s="27">
        <f t="shared" si="25"/>
        <v>0</v>
      </c>
      <c r="O189" s="27">
        <f t="shared" si="25"/>
        <v>819800</v>
      </c>
      <c r="P189" s="157"/>
    </row>
    <row r="190" spans="1:16" ht="30" customHeight="1" x14ac:dyDescent="0.25">
      <c r="A190" s="3" t="s">
        <v>319</v>
      </c>
      <c r="B190" s="8" t="s">
        <v>320</v>
      </c>
      <c r="C190" s="9" t="s">
        <v>321</v>
      </c>
      <c r="D190" s="26">
        <f>'дод 2'!E45</f>
        <v>819800</v>
      </c>
      <c r="E190" s="26">
        <f>'дод 2'!F45</f>
        <v>819800</v>
      </c>
      <c r="F190" s="26">
        <f>'дод 2'!G45</f>
        <v>0</v>
      </c>
      <c r="G190" s="26">
        <f>'дод 2'!H45</f>
        <v>269900</v>
      </c>
      <c r="H190" s="26">
        <f>'дод 2'!I45</f>
        <v>0</v>
      </c>
      <c r="I190" s="26">
        <f>'дод 2'!J45</f>
        <v>0</v>
      </c>
      <c r="J190" s="26">
        <f>'дод 2'!K45</f>
        <v>0</v>
      </c>
      <c r="K190" s="26">
        <f>'дод 2'!L45</f>
        <v>0</v>
      </c>
      <c r="L190" s="26">
        <f>'дод 2'!M45</f>
        <v>0</v>
      </c>
      <c r="M190" s="26">
        <f>'дод 2'!N45</f>
        <v>0</v>
      </c>
      <c r="N190" s="26">
        <f>'дод 2'!O45</f>
        <v>0</v>
      </c>
      <c r="O190" s="26">
        <f>'дод 2'!P45</f>
        <v>819800</v>
      </c>
      <c r="P190" s="157"/>
    </row>
    <row r="191" spans="1:16" s="14" customFormat="1" ht="22.5" customHeight="1" x14ac:dyDescent="0.25">
      <c r="A191" s="15" t="s">
        <v>10</v>
      </c>
      <c r="B191" s="21"/>
      <c r="C191" s="7" t="s">
        <v>15</v>
      </c>
      <c r="D191" s="27">
        <f>D192+D193</f>
        <v>0</v>
      </c>
      <c r="E191" s="27">
        <f t="shared" ref="E191:O191" si="26">E192+E193</f>
        <v>0</v>
      </c>
      <c r="F191" s="27">
        <f t="shared" si="26"/>
        <v>0</v>
      </c>
      <c r="G191" s="27">
        <f t="shared" si="26"/>
        <v>0</v>
      </c>
      <c r="H191" s="27">
        <f t="shared" si="26"/>
        <v>0</v>
      </c>
      <c r="I191" s="27">
        <f t="shared" si="26"/>
        <v>4680900</v>
      </c>
      <c r="J191" s="27">
        <f t="shared" ref="J191" si="27">J192+J193</f>
        <v>0</v>
      </c>
      <c r="K191" s="27">
        <f t="shared" si="26"/>
        <v>2655000</v>
      </c>
      <c r="L191" s="27">
        <f t="shared" si="26"/>
        <v>0</v>
      </c>
      <c r="M191" s="27">
        <f t="shared" si="26"/>
        <v>0</v>
      </c>
      <c r="N191" s="27">
        <f t="shared" si="26"/>
        <v>2025900</v>
      </c>
      <c r="O191" s="27">
        <f t="shared" si="26"/>
        <v>4680900</v>
      </c>
      <c r="P191" s="157"/>
    </row>
    <row r="192" spans="1:16" s="14" customFormat="1" ht="26.25" hidden="1" customHeight="1" x14ac:dyDescent="0.25">
      <c r="A192" s="3" t="s">
        <v>16</v>
      </c>
      <c r="B192" s="3" t="s">
        <v>121</v>
      </c>
      <c r="C192" s="9" t="s">
        <v>30</v>
      </c>
      <c r="D192" s="26">
        <f>'дод 2'!E215</f>
        <v>0</v>
      </c>
      <c r="E192" s="26">
        <f>'дод 2'!F215</f>
        <v>0</v>
      </c>
      <c r="F192" s="26">
        <f>'дод 2'!G215</f>
        <v>0</v>
      </c>
      <c r="G192" s="26">
        <f>'дод 2'!H215</f>
        <v>0</v>
      </c>
      <c r="H192" s="26">
        <f>'дод 2'!I215</f>
        <v>0</v>
      </c>
      <c r="I192" s="26">
        <f>'дод 2'!J215</f>
        <v>0</v>
      </c>
      <c r="J192" s="26">
        <f>'дод 2'!K215</f>
        <v>0</v>
      </c>
      <c r="K192" s="26">
        <f>'дод 2'!L215</f>
        <v>0</v>
      </c>
      <c r="L192" s="26">
        <f>'дод 2'!M215</f>
        <v>0</v>
      </c>
      <c r="M192" s="26">
        <f>'дод 2'!N215</f>
        <v>0</v>
      </c>
      <c r="N192" s="26">
        <f>'дод 2'!O215</f>
        <v>0</v>
      </c>
      <c r="O192" s="26">
        <f>'дод 2'!P215</f>
        <v>0</v>
      </c>
      <c r="P192" s="157"/>
    </row>
    <row r="193" spans="1:16" s="14" customFormat="1" ht="37.5" customHeight="1" x14ac:dyDescent="0.25">
      <c r="A193" s="3" t="s">
        <v>17</v>
      </c>
      <c r="B193" s="3" t="s">
        <v>125</v>
      </c>
      <c r="C193" s="9" t="s">
        <v>18</v>
      </c>
      <c r="D193" s="26">
        <f>'дод 2'!E46+'дод 2'!E75+'дод 2'!E105+'дод 2'!E216+'дод 2'!E270</f>
        <v>0</v>
      </c>
      <c r="E193" s="26">
        <f>'дод 2'!F46+'дод 2'!F75+'дод 2'!F105+'дод 2'!F216+'дод 2'!F270</f>
        <v>0</v>
      </c>
      <c r="F193" s="26">
        <f>'дод 2'!G46+'дод 2'!G75+'дод 2'!G105+'дод 2'!G216+'дод 2'!G270</f>
        <v>0</v>
      </c>
      <c r="G193" s="26">
        <f>'дод 2'!H46+'дод 2'!H75+'дод 2'!H105+'дод 2'!H216+'дод 2'!H270</f>
        <v>0</v>
      </c>
      <c r="H193" s="26">
        <f>'дод 2'!I46+'дод 2'!I75+'дод 2'!I105+'дод 2'!I216+'дод 2'!I270</f>
        <v>0</v>
      </c>
      <c r="I193" s="26">
        <f>'дод 2'!J46+'дод 2'!J75+'дод 2'!J105+'дод 2'!J216+'дод 2'!J270</f>
        <v>4680900</v>
      </c>
      <c r="J193" s="26">
        <f>'дод 2'!K46+'дод 2'!K75+'дод 2'!K105+'дод 2'!K216+'дод 2'!K270</f>
        <v>0</v>
      </c>
      <c r="K193" s="26">
        <f>'дод 2'!L46+'дод 2'!L75+'дод 2'!L105+'дод 2'!L216+'дод 2'!L270</f>
        <v>2655000</v>
      </c>
      <c r="L193" s="26">
        <f>'дод 2'!M46+'дод 2'!M75+'дод 2'!M105+'дод 2'!M216+'дод 2'!M270</f>
        <v>0</v>
      </c>
      <c r="M193" s="26">
        <f>'дод 2'!N46+'дод 2'!N75+'дод 2'!N105+'дод 2'!N216+'дод 2'!N270</f>
        <v>0</v>
      </c>
      <c r="N193" s="26">
        <f>'дод 2'!O46+'дод 2'!O75+'дод 2'!O105+'дод 2'!O216+'дод 2'!O270</f>
        <v>2025900</v>
      </c>
      <c r="O193" s="26">
        <f>'дод 2'!P46+'дод 2'!P75+'дод 2'!P105+'дод 2'!P216+'дод 2'!P270</f>
        <v>4680900</v>
      </c>
      <c r="P193" s="157"/>
    </row>
    <row r="194" spans="1:16" s="14" customFormat="1" ht="26.25" customHeight="1" x14ac:dyDescent="0.25">
      <c r="A194" s="15" t="s">
        <v>178</v>
      </c>
      <c r="B194" s="21"/>
      <c r="C194" s="7" t="s">
        <v>106</v>
      </c>
      <c r="D194" s="27">
        <f>D195</f>
        <v>150000</v>
      </c>
      <c r="E194" s="27">
        <f t="shared" ref="E194:O194" si="28">E195</f>
        <v>150000</v>
      </c>
      <c r="F194" s="27">
        <f t="shared" si="28"/>
        <v>0</v>
      </c>
      <c r="G194" s="27">
        <f t="shared" si="28"/>
        <v>0</v>
      </c>
      <c r="H194" s="27">
        <f t="shared" si="28"/>
        <v>0</v>
      </c>
      <c r="I194" s="27">
        <f t="shared" si="28"/>
        <v>0</v>
      </c>
      <c r="J194" s="27">
        <f t="shared" si="28"/>
        <v>0</v>
      </c>
      <c r="K194" s="27">
        <f t="shared" si="28"/>
        <v>0</v>
      </c>
      <c r="L194" s="27">
        <f t="shared" si="28"/>
        <v>0</v>
      </c>
      <c r="M194" s="27">
        <f t="shared" si="28"/>
        <v>0</v>
      </c>
      <c r="N194" s="27">
        <f t="shared" si="28"/>
        <v>0</v>
      </c>
      <c r="O194" s="27">
        <f t="shared" si="28"/>
        <v>150000</v>
      </c>
      <c r="P194" s="157"/>
    </row>
    <row r="195" spans="1:16" s="14" customFormat="1" ht="25.5" customHeight="1" x14ac:dyDescent="0.25">
      <c r="A195" s="3" t="s">
        <v>330</v>
      </c>
      <c r="B195" s="8" t="s">
        <v>107</v>
      </c>
      <c r="C195" s="9" t="s">
        <v>331</v>
      </c>
      <c r="D195" s="26">
        <f>'дод 2'!E47</f>
        <v>150000</v>
      </c>
      <c r="E195" s="26">
        <f>'дод 2'!F47</f>
        <v>150000</v>
      </c>
      <c r="F195" s="26">
        <f>'дод 2'!G47</f>
        <v>0</v>
      </c>
      <c r="G195" s="26">
        <f>'дод 2'!H47</f>
        <v>0</v>
      </c>
      <c r="H195" s="26">
        <f>'дод 2'!I47</f>
        <v>0</v>
      </c>
      <c r="I195" s="26">
        <f>'дод 2'!J47</f>
        <v>0</v>
      </c>
      <c r="J195" s="26">
        <f>'дод 2'!K47</f>
        <v>0</v>
      </c>
      <c r="K195" s="26">
        <f>'дод 2'!L47</f>
        <v>0</v>
      </c>
      <c r="L195" s="26">
        <f>'дод 2'!M47</f>
        <v>0</v>
      </c>
      <c r="M195" s="26">
        <f>'дод 2'!N47</f>
        <v>0</v>
      </c>
      <c r="N195" s="26">
        <f>'дод 2'!O47</f>
        <v>0</v>
      </c>
      <c r="O195" s="26">
        <f>'дод 2'!P47</f>
        <v>150000</v>
      </c>
      <c r="P195" s="157"/>
    </row>
    <row r="196" spans="1:16" s="14" customFormat="1" ht="26.25" customHeight="1" x14ac:dyDescent="0.25">
      <c r="A196" s="15" t="s">
        <v>128</v>
      </c>
      <c r="B196" s="15" t="s">
        <v>123</v>
      </c>
      <c r="C196" s="7" t="s">
        <v>19</v>
      </c>
      <c r="D196" s="27">
        <f>'дод 2'!E271</f>
        <v>186527.66</v>
      </c>
      <c r="E196" s="27">
        <f>'дод 2'!F271</f>
        <v>186527.66</v>
      </c>
      <c r="F196" s="27">
        <f>'дод 2'!G271</f>
        <v>0</v>
      </c>
      <c r="G196" s="27">
        <f>'дод 2'!H271</f>
        <v>0</v>
      </c>
      <c r="H196" s="27">
        <f>'дод 2'!I271</f>
        <v>0</v>
      </c>
      <c r="I196" s="27">
        <f>'дод 2'!J271</f>
        <v>0</v>
      </c>
      <c r="J196" s="27">
        <f>'дод 2'!K271</f>
        <v>0</v>
      </c>
      <c r="K196" s="27">
        <f>'дод 2'!L271</f>
        <v>0</v>
      </c>
      <c r="L196" s="27">
        <f>'дод 2'!M271</f>
        <v>0</v>
      </c>
      <c r="M196" s="27">
        <f>'дод 2'!N271</f>
        <v>0</v>
      </c>
      <c r="N196" s="27">
        <f>'дод 2'!O271</f>
        <v>0</v>
      </c>
      <c r="O196" s="27">
        <f>'дод 2'!P271</f>
        <v>186527.66</v>
      </c>
      <c r="P196" s="157"/>
    </row>
    <row r="197" spans="1:16" s="14" customFormat="1" ht="26.25" customHeight="1" x14ac:dyDescent="0.25">
      <c r="A197" s="15" t="s">
        <v>20</v>
      </c>
      <c r="B197" s="15" t="s">
        <v>126</v>
      </c>
      <c r="C197" s="7" t="s">
        <v>33</v>
      </c>
      <c r="D197" s="27">
        <f>'дод 2'!E272</f>
        <v>13572659</v>
      </c>
      <c r="E197" s="27">
        <f>'дод 2'!F272</f>
        <v>0</v>
      </c>
      <c r="F197" s="27">
        <f>'дод 2'!G272</f>
        <v>0</v>
      </c>
      <c r="G197" s="27">
        <f>'дод 2'!H272</f>
        <v>0</v>
      </c>
      <c r="H197" s="27">
        <f>'дод 2'!I272</f>
        <v>0</v>
      </c>
      <c r="I197" s="27">
        <f>'дод 2'!J272</f>
        <v>0</v>
      </c>
      <c r="J197" s="27">
        <f>'дод 2'!K272</f>
        <v>0</v>
      </c>
      <c r="K197" s="27">
        <f>'дод 2'!L272</f>
        <v>0</v>
      </c>
      <c r="L197" s="27">
        <f>'дод 2'!M272</f>
        <v>0</v>
      </c>
      <c r="M197" s="27">
        <f>'дод 2'!N272</f>
        <v>0</v>
      </c>
      <c r="N197" s="27">
        <f>'дод 2'!O272</f>
        <v>0</v>
      </c>
      <c r="O197" s="27">
        <f>'дод 2'!P272</f>
        <v>13572659</v>
      </c>
      <c r="P197" s="157"/>
    </row>
    <row r="198" spans="1:16" s="14" customFormat="1" ht="27.75" customHeight="1" x14ac:dyDescent="0.25">
      <c r="A198" s="15" t="s">
        <v>21</v>
      </c>
      <c r="B198" s="15"/>
      <c r="C198" s="7" t="s">
        <v>144</v>
      </c>
      <c r="D198" s="27">
        <f>D200+D202+D206+D208</f>
        <v>111754200</v>
      </c>
      <c r="E198" s="27">
        <f t="shared" ref="E198:O198" si="29">E200+E202+E206+E208</f>
        <v>111754200</v>
      </c>
      <c r="F198" s="27">
        <f t="shared" si="29"/>
        <v>0</v>
      </c>
      <c r="G198" s="27">
        <f t="shared" si="29"/>
        <v>0</v>
      </c>
      <c r="H198" s="27">
        <f t="shared" si="29"/>
        <v>0</v>
      </c>
      <c r="I198" s="27">
        <f t="shared" si="29"/>
        <v>7500000</v>
      </c>
      <c r="J198" s="27">
        <f t="shared" ref="J198" si="30">J200+J202+J206+J208</f>
        <v>7500000</v>
      </c>
      <c r="K198" s="27">
        <f t="shared" si="29"/>
        <v>0</v>
      </c>
      <c r="L198" s="27">
        <f t="shared" si="29"/>
        <v>0</v>
      </c>
      <c r="M198" s="27">
        <f t="shared" si="29"/>
        <v>0</v>
      </c>
      <c r="N198" s="27">
        <f t="shared" si="29"/>
        <v>7500000</v>
      </c>
      <c r="O198" s="27">
        <f t="shared" si="29"/>
        <v>119254200</v>
      </c>
      <c r="P198" s="157"/>
    </row>
    <row r="199" spans="1:16" s="14" customFormat="1" ht="27.75" hidden="1" customHeight="1" x14ac:dyDescent="0.25">
      <c r="A199" s="15"/>
      <c r="B199" s="15"/>
      <c r="C199" s="7" t="s">
        <v>345</v>
      </c>
      <c r="D199" s="27">
        <f>D203</f>
        <v>0</v>
      </c>
      <c r="E199" s="27">
        <f t="shared" ref="E199:O199" si="31">E203</f>
        <v>0</v>
      </c>
      <c r="F199" s="27">
        <f t="shared" si="31"/>
        <v>0</v>
      </c>
      <c r="G199" s="27">
        <f t="shared" si="31"/>
        <v>0</v>
      </c>
      <c r="H199" s="27">
        <f t="shared" si="31"/>
        <v>0</v>
      </c>
      <c r="I199" s="27">
        <f t="shared" si="31"/>
        <v>0</v>
      </c>
      <c r="J199" s="27">
        <f t="shared" ref="J199" si="32">J203</f>
        <v>0</v>
      </c>
      <c r="K199" s="27">
        <f t="shared" si="31"/>
        <v>0</v>
      </c>
      <c r="L199" s="27">
        <f t="shared" si="31"/>
        <v>0</v>
      </c>
      <c r="M199" s="27">
        <f t="shared" si="31"/>
        <v>0</v>
      </c>
      <c r="N199" s="27">
        <f t="shared" si="31"/>
        <v>0</v>
      </c>
      <c r="O199" s="27">
        <f t="shared" si="31"/>
        <v>0</v>
      </c>
      <c r="P199" s="157"/>
    </row>
    <row r="200" spans="1:16" s="14" customFormat="1" ht="27.75" customHeight="1" x14ac:dyDescent="0.25">
      <c r="A200" s="15" t="s">
        <v>328</v>
      </c>
      <c r="B200" s="15"/>
      <c r="C200" s="7" t="s">
        <v>391</v>
      </c>
      <c r="D200" s="27">
        <f>D201</f>
        <v>111090200</v>
      </c>
      <c r="E200" s="27">
        <f t="shared" ref="E200:O200" si="33">E201</f>
        <v>111090200</v>
      </c>
      <c r="F200" s="27">
        <f t="shared" si="33"/>
        <v>0</v>
      </c>
      <c r="G200" s="27">
        <f t="shared" si="33"/>
        <v>0</v>
      </c>
      <c r="H200" s="27">
        <f t="shared" si="33"/>
        <v>0</v>
      </c>
      <c r="I200" s="27">
        <f t="shared" si="33"/>
        <v>0</v>
      </c>
      <c r="J200" s="27">
        <f t="shared" si="33"/>
        <v>0</v>
      </c>
      <c r="K200" s="27">
        <f t="shared" si="33"/>
        <v>0</v>
      </c>
      <c r="L200" s="27">
        <f t="shared" si="33"/>
        <v>0</v>
      </c>
      <c r="M200" s="27">
        <f t="shared" si="33"/>
        <v>0</v>
      </c>
      <c r="N200" s="27">
        <f t="shared" si="33"/>
        <v>0</v>
      </c>
      <c r="O200" s="27">
        <f t="shared" si="33"/>
        <v>111090200</v>
      </c>
      <c r="P200" s="157"/>
    </row>
    <row r="201" spans="1:16" s="14" customFormat="1" ht="21.75" customHeight="1" x14ac:dyDescent="0.25">
      <c r="A201" s="3" t="s">
        <v>124</v>
      </c>
      <c r="B201" s="8" t="s">
        <v>69</v>
      </c>
      <c r="C201" s="9" t="s">
        <v>143</v>
      </c>
      <c r="D201" s="26">
        <f>'дод 2'!E273</f>
        <v>111090200</v>
      </c>
      <c r="E201" s="26">
        <f>'дод 2'!F273</f>
        <v>111090200</v>
      </c>
      <c r="F201" s="26">
        <f>'дод 2'!G273</f>
        <v>0</v>
      </c>
      <c r="G201" s="26">
        <f>'дод 2'!H273</f>
        <v>0</v>
      </c>
      <c r="H201" s="26">
        <f>'дод 2'!I273</f>
        <v>0</v>
      </c>
      <c r="I201" s="26">
        <f>'дод 2'!J273</f>
        <v>0</v>
      </c>
      <c r="J201" s="26">
        <f>'дод 2'!K273</f>
        <v>0</v>
      </c>
      <c r="K201" s="26">
        <f>'дод 2'!L273</f>
        <v>0</v>
      </c>
      <c r="L201" s="26">
        <f>'дод 2'!M273</f>
        <v>0</v>
      </c>
      <c r="M201" s="26">
        <f>'дод 2'!N273</f>
        <v>0</v>
      </c>
      <c r="N201" s="26">
        <f>'дод 2'!O273</f>
        <v>0</v>
      </c>
      <c r="O201" s="26">
        <f>'дод 2'!P273</f>
        <v>111090200</v>
      </c>
      <c r="P201" s="157"/>
    </row>
    <row r="202" spans="1:16" s="14" customFormat="1" ht="67.150000000000006" hidden="1" customHeight="1" x14ac:dyDescent="0.25">
      <c r="A202" s="15" t="s">
        <v>536</v>
      </c>
      <c r="B202" s="8"/>
      <c r="C202" s="44" t="s">
        <v>537</v>
      </c>
      <c r="D202" s="26">
        <f>D204</f>
        <v>0</v>
      </c>
      <c r="E202" s="26">
        <f t="shared" ref="E202:O202" si="34">E204</f>
        <v>0</v>
      </c>
      <c r="F202" s="26">
        <f t="shared" si="34"/>
        <v>0</v>
      </c>
      <c r="G202" s="26">
        <f t="shared" si="34"/>
        <v>0</v>
      </c>
      <c r="H202" s="26">
        <f t="shared" si="34"/>
        <v>0</v>
      </c>
      <c r="I202" s="26">
        <f t="shared" si="34"/>
        <v>0</v>
      </c>
      <c r="J202" s="26">
        <f t="shared" ref="J202" si="35">J204</f>
        <v>0</v>
      </c>
      <c r="K202" s="26">
        <f t="shared" si="34"/>
        <v>0</v>
      </c>
      <c r="L202" s="26">
        <f t="shared" si="34"/>
        <v>0</v>
      </c>
      <c r="M202" s="26">
        <f t="shared" si="34"/>
        <v>0</v>
      </c>
      <c r="N202" s="26">
        <f t="shared" si="34"/>
        <v>0</v>
      </c>
      <c r="O202" s="26">
        <f t="shared" si="34"/>
        <v>0</v>
      </c>
      <c r="P202" s="157"/>
    </row>
    <row r="203" spans="1:16" s="18" customFormat="1" ht="23.25" hidden="1" customHeight="1" x14ac:dyDescent="0.25">
      <c r="A203" s="15"/>
      <c r="B203" s="6"/>
      <c r="C203" s="7" t="s">
        <v>345</v>
      </c>
      <c r="D203" s="27">
        <f>D205</f>
        <v>0</v>
      </c>
      <c r="E203" s="27">
        <f t="shared" ref="E203:O203" si="36">E205</f>
        <v>0</v>
      </c>
      <c r="F203" s="27">
        <f t="shared" si="36"/>
        <v>0</v>
      </c>
      <c r="G203" s="27">
        <f t="shared" si="36"/>
        <v>0</v>
      </c>
      <c r="H203" s="27">
        <f t="shared" si="36"/>
        <v>0</v>
      </c>
      <c r="I203" s="27">
        <f t="shared" si="36"/>
        <v>0</v>
      </c>
      <c r="J203" s="27">
        <f t="shared" ref="J203" si="37">J205</f>
        <v>0</v>
      </c>
      <c r="K203" s="27">
        <f t="shared" si="36"/>
        <v>0</v>
      </c>
      <c r="L203" s="27">
        <f t="shared" si="36"/>
        <v>0</v>
      </c>
      <c r="M203" s="27">
        <f t="shared" si="36"/>
        <v>0</v>
      </c>
      <c r="N203" s="27">
        <f t="shared" si="36"/>
        <v>0</v>
      </c>
      <c r="O203" s="27">
        <f t="shared" si="36"/>
        <v>0</v>
      </c>
      <c r="P203" s="157"/>
    </row>
    <row r="204" spans="1:16" s="14" customFormat="1" ht="112.5" hidden="1" customHeight="1" x14ac:dyDescent="0.25">
      <c r="A204" s="3" t="s">
        <v>535</v>
      </c>
      <c r="B204" s="8" t="s">
        <v>69</v>
      </c>
      <c r="C204" s="43" t="s">
        <v>534</v>
      </c>
      <c r="D204" s="26">
        <f>'дод 2'!E274</f>
        <v>0</v>
      </c>
      <c r="E204" s="26">
        <f>'дод 2'!F274</f>
        <v>0</v>
      </c>
      <c r="F204" s="26">
        <f>'дод 2'!G274</f>
        <v>0</v>
      </c>
      <c r="G204" s="26">
        <f>'дод 2'!H274</f>
        <v>0</v>
      </c>
      <c r="H204" s="26">
        <f>'дод 2'!I274</f>
        <v>0</v>
      </c>
      <c r="I204" s="26">
        <f>'дод 2'!J274</f>
        <v>0</v>
      </c>
      <c r="J204" s="26">
        <f>'дод 2'!K274</f>
        <v>0</v>
      </c>
      <c r="K204" s="26">
        <f>'дод 2'!L274</f>
        <v>0</v>
      </c>
      <c r="L204" s="26">
        <f>'дод 2'!M274</f>
        <v>0</v>
      </c>
      <c r="M204" s="26">
        <f>'дод 2'!N274</f>
        <v>0</v>
      </c>
      <c r="N204" s="26">
        <f>'дод 2'!O274</f>
        <v>0</v>
      </c>
      <c r="O204" s="26">
        <f>'дод 2'!P274</f>
        <v>0</v>
      </c>
      <c r="P204" s="157"/>
    </row>
    <row r="205" spans="1:16" s="14" customFormat="1" ht="23.25" hidden="1" customHeight="1" x14ac:dyDescent="0.25">
      <c r="A205" s="3"/>
      <c r="B205" s="8"/>
      <c r="C205" s="7" t="s">
        <v>345</v>
      </c>
      <c r="D205" s="26">
        <f>'дод 2'!E275</f>
        <v>0</v>
      </c>
      <c r="E205" s="26">
        <f>'дод 2'!F275</f>
        <v>0</v>
      </c>
      <c r="F205" s="26">
        <f>'дод 2'!G275</f>
        <v>0</v>
      </c>
      <c r="G205" s="26">
        <f>'дод 2'!H275</f>
        <v>0</v>
      </c>
      <c r="H205" s="26">
        <f>'дод 2'!I275</f>
        <v>0</v>
      </c>
      <c r="I205" s="26">
        <f>'дод 2'!J275</f>
        <v>0</v>
      </c>
      <c r="J205" s="26">
        <f>'дод 2'!K275</f>
        <v>0</v>
      </c>
      <c r="K205" s="26">
        <f>'дод 2'!L275</f>
        <v>0</v>
      </c>
      <c r="L205" s="26">
        <f>'дод 2'!M275</f>
        <v>0</v>
      </c>
      <c r="M205" s="26">
        <f>'дод 2'!N275</f>
        <v>0</v>
      </c>
      <c r="N205" s="26">
        <f>'дод 2'!O275</f>
        <v>0</v>
      </c>
      <c r="O205" s="26">
        <f>'дод 2'!P275</f>
        <v>0</v>
      </c>
      <c r="P205" s="157"/>
    </row>
    <row r="206" spans="1:16" s="14" customFormat="1" ht="57" customHeight="1" x14ac:dyDescent="0.25">
      <c r="A206" s="15" t="s">
        <v>22</v>
      </c>
      <c r="B206" s="6"/>
      <c r="C206" s="7" t="s">
        <v>23</v>
      </c>
      <c r="D206" s="27">
        <f>D207</f>
        <v>664000</v>
      </c>
      <c r="E206" s="27">
        <f t="shared" ref="E206:O206" si="38">E207</f>
        <v>664000</v>
      </c>
      <c r="F206" s="27">
        <f t="shared" si="38"/>
        <v>0</v>
      </c>
      <c r="G206" s="27">
        <f t="shared" si="38"/>
        <v>0</v>
      </c>
      <c r="H206" s="27">
        <f t="shared" si="38"/>
        <v>0</v>
      </c>
      <c r="I206" s="27">
        <f t="shared" si="38"/>
        <v>7500000</v>
      </c>
      <c r="J206" s="27">
        <f t="shared" si="38"/>
        <v>7500000</v>
      </c>
      <c r="K206" s="27">
        <f t="shared" si="38"/>
        <v>0</v>
      </c>
      <c r="L206" s="27">
        <f t="shared" si="38"/>
        <v>0</v>
      </c>
      <c r="M206" s="27">
        <f t="shared" si="38"/>
        <v>0</v>
      </c>
      <c r="N206" s="27">
        <f t="shared" si="38"/>
        <v>7500000</v>
      </c>
      <c r="O206" s="27">
        <f t="shared" si="38"/>
        <v>8164000</v>
      </c>
      <c r="P206" s="157"/>
    </row>
    <row r="207" spans="1:16" s="14" customFormat="1" ht="33.75" customHeight="1" x14ac:dyDescent="0.25">
      <c r="A207" s="3" t="s">
        <v>24</v>
      </c>
      <c r="B207" s="8" t="s">
        <v>69</v>
      </c>
      <c r="C207" s="12" t="s">
        <v>344</v>
      </c>
      <c r="D207" s="26">
        <f>'дод 2'!E276+'дод 2'!E217+'дод 2'!E171+'дод 2'!E106+'дод 2'!E48</f>
        <v>664000</v>
      </c>
      <c r="E207" s="26">
        <f>'дод 2'!F276+'дод 2'!F217+'дод 2'!F171+'дод 2'!F106+'дод 2'!F48</f>
        <v>664000</v>
      </c>
      <c r="F207" s="26">
        <f>'дод 2'!G276+'дод 2'!G217+'дод 2'!G171+'дод 2'!G106+'дод 2'!G48</f>
        <v>0</v>
      </c>
      <c r="G207" s="26">
        <f>'дод 2'!H276+'дод 2'!H217+'дод 2'!H171+'дод 2'!H106+'дод 2'!H48</f>
        <v>0</v>
      </c>
      <c r="H207" s="26">
        <f>'дод 2'!I276+'дод 2'!I217+'дод 2'!I171+'дод 2'!I106+'дод 2'!I48</f>
        <v>0</v>
      </c>
      <c r="I207" s="26">
        <f>'дод 2'!J276+'дод 2'!J217+'дод 2'!J171+'дод 2'!J106+'дод 2'!J48</f>
        <v>7500000</v>
      </c>
      <c r="J207" s="26">
        <f>'дод 2'!K276+'дод 2'!K217+'дод 2'!K171+'дод 2'!K106+'дод 2'!K48</f>
        <v>7500000</v>
      </c>
      <c r="K207" s="26">
        <f>'дод 2'!L276+'дод 2'!L217+'дод 2'!L171+'дод 2'!L106+'дод 2'!L48</f>
        <v>0</v>
      </c>
      <c r="L207" s="26">
        <f>'дод 2'!M276+'дод 2'!M217+'дод 2'!M171+'дод 2'!M106+'дод 2'!M48</f>
        <v>0</v>
      </c>
      <c r="M207" s="26">
        <f>'дод 2'!N276+'дод 2'!N217+'дод 2'!N171+'дод 2'!N106+'дод 2'!N48</f>
        <v>0</v>
      </c>
      <c r="N207" s="26">
        <f>'дод 2'!O276+'дод 2'!O217+'дод 2'!O171+'дод 2'!O106+'дод 2'!O48</f>
        <v>7500000</v>
      </c>
      <c r="O207" s="26">
        <f>'дод 2'!P276+'дод 2'!P217+'дод 2'!P171+'дод 2'!P106+'дод 2'!P48</f>
        <v>8164000</v>
      </c>
      <c r="P207" s="157"/>
    </row>
    <row r="208" spans="1:16" s="14" customFormat="1" ht="60" hidden="1" customHeight="1" x14ac:dyDescent="0.25">
      <c r="A208" s="15" t="s">
        <v>490</v>
      </c>
      <c r="B208" s="6"/>
      <c r="C208" s="22" t="s">
        <v>491</v>
      </c>
      <c r="D208" s="27">
        <f>D209</f>
        <v>0</v>
      </c>
      <c r="E208" s="27">
        <f t="shared" ref="E208:O208" si="39">E209</f>
        <v>0</v>
      </c>
      <c r="F208" s="27">
        <f t="shared" si="39"/>
        <v>0</v>
      </c>
      <c r="G208" s="27">
        <f t="shared" si="39"/>
        <v>0</v>
      </c>
      <c r="H208" s="27">
        <f t="shared" si="39"/>
        <v>0</v>
      </c>
      <c r="I208" s="27">
        <f t="shared" si="39"/>
        <v>0</v>
      </c>
      <c r="J208" s="27">
        <f t="shared" si="39"/>
        <v>0</v>
      </c>
      <c r="K208" s="27">
        <f t="shared" si="39"/>
        <v>0</v>
      </c>
      <c r="L208" s="27">
        <f t="shared" si="39"/>
        <v>0</v>
      </c>
      <c r="M208" s="27">
        <f t="shared" si="39"/>
        <v>0</v>
      </c>
      <c r="N208" s="27">
        <f t="shared" si="39"/>
        <v>0</v>
      </c>
      <c r="O208" s="27">
        <f t="shared" si="39"/>
        <v>0</v>
      </c>
      <c r="P208" s="157"/>
    </row>
    <row r="209" spans="1:16" s="14" customFormat="1" ht="60.75" hidden="1" customHeight="1" x14ac:dyDescent="0.25">
      <c r="A209" s="3" t="s">
        <v>490</v>
      </c>
      <c r="B209" s="8" t="s">
        <v>69</v>
      </c>
      <c r="C209" s="12" t="s">
        <v>491</v>
      </c>
      <c r="D209" s="26">
        <f>'дод 2'!E49+'дод 2'!E76+'дод 2'!E263</f>
        <v>0</v>
      </c>
      <c r="E209" s="26">
        <f>'дод 2'!F49+'дод 2'!F76+'дод 2'!F263</f>
        <v>0</v>
      </c>
      <c r="F209" s="26">
        <f>'дод 2'!G49+'дод 2'!G76+'дод 2'!G263</f>
        <v>0</v>
      </c>
      <c r="G209" s="26">
        <f>'дод 2'!H49+'дод 2'!H76+'дод 2'!H263</f>
        <v>0</v>
      </c>
      <c r="H209" s="26">
        <f>'дод 2'!I49+'дод 2'!I76+'дод 2'!I263</f>
        <v>0</v>
      </c>
      <c r="I209" s="26">
        <f>'дод 2'!J49+'дод 2'!J76+'дод 2'!J263</f>
        <v>0</v>
      </c>
      <c r="J209" s="26">
        <f>'дод 2'!K49+'дод 2'!K76+'дод 2'!K263</f>
        <v>0</v>
      </c>
      <c r="K209" s="26">
        <f>'дод 2'!L49+'дод 2'!L76+'дод 2'!L263</f>
        <v>0</v>
      </c>
      <c r="L209" s="26">
        <f>'дод 2'!M49+'дод 2'!M76+'дод 2'!M263</f>
        <v>0</v>
      </c>
      <c r="M209" s="26">
        <f>'дод 2'!N49+'дод 2'!N76+'дод 2'!N263</f>
        <v>0</v>
      </c>
      <c r="N209" s="26">
        <f>'дод 2'!O49+'дод 2'!O76+'дод 2'!O263</f>
        <v>0</v>
      </c>
      <c r="O209" s="26">
        <f>'дод 2'!P49+'дод 2'!P76+'дод 2'!P263</f>
        <v>0</v>
      </c>
      <c r="P209" s="157"/>
    </row>
    <row r="210" spans="1:16" s="14" customFormat="1" ht="25.5" customHeight="1" x14ac:dyDescent="0.25">
      <c r="A210" s="15"/>
      <c r="B210" s="15"/>
      <c r="C210" s="7" t="s">
        <v>34</v>
      </c>
      <c r="D210" s="27">
        <f>D13+D16+D33+D55+D119+D124+D131+D147+D185+D198+D183</f>
        <v>2569076547.6599998</v>
      </c>
      <c r="E210" s="27">
        <f t="shared" ref="E210:O210" si="40">E13+E16+E33+E55+E119+E124+E131+E147+E185+E198+E183</f>
        <v>2534466888.6599998</v>
      </c>
      <c r="F210" s="27">
        <f t="shared" si="40"/>
        <v>787462573</v>
      </c>
      <c r="G210" s="27">
        <f t="shared" si="40"/>
        <v>109411466</v>
      </c>
      <c r="H210" s="27">
        <f t="shared" si="40"/>
        <v>21037000</v>
      </c>
      <c r="I210" s="27">
        <f t="shared" si="40"/>
        <v>617021025</v>
      </c>
      <c r="J210" s="27">
        <f t="shared" si="40"/>
        <v>504296766</v>
      </c>
      <c r="K210" s="27">
        <f t="shared" si="40"/>
        <v>72837186</v>
      </c>
      <c r="L210" s="27">
        <f t="shared" si="40"/>
        <v>7954920</v>
      </c>
      <c r="M210" s="27">
        <f t="shared" si="40"/>
        <v>2775444</v>
      </c>
      <c r="N210" s="27">
        <f t="shared" si="40"/>
        <v>544183839</v>
      </c>
      <c r="O210" s="27">
        <f t="shared" si="40"/>
        <v>3186097572.6599998</v>
      </c>
      <c r="P210" s="157"/>
    </row>
    <row r="211" spans="1:16" s="14" customFormat="1" ht="25.5" customHeight="1" x14ac:dyDescent="0.25">
      <c r="A211" s="15"/>
      <c r="B211" s="15"/>
      <c r="C211" s="7" t="s">
        <v>345</v>
      </c>
      <c r="D211" s="27">
        <f t="shared" ref="D211:O211" si="41">D17+D34+D56+D132+D151+D164+D199</f>
        <v>1150805673</v>
      </c>
      <c r="E211" s="27">
        <f t="shared" si="41"/>
        <v>1150805673</v>
      </c>
      <c r="F211" s="27">
        <f t="shared" si="41"/>
        <v>256919167</v>
      </c>
      <c r="G211" s="27">
        <f t="shared" si="41"/>
        <v>0</v>
      </c>
      <c r="H211" s="27">
        <f t="shared" si="41"/>
        <v>0</v>
      </c>
      <c r="I211" s="27">
        <f t="shared" si="41"/>
        <v>134786</v>
      </c>
      <c r="J211" s="27">
        <f t="shared" si="41"/>
        <v>134786</v>
      </c>
      <c r="K211" s="27">
        <f t="shared" si="41"/>
        <v>0</v>
      </c>
      <c r="L211" s="27">
        <f t="shared" si="41"/>
        <v>0</v>
      </c>
      <c r="M211" s="27">
        <f t="shared" si="41"/>
        <v>0</v>
      </c>
      <c r="N211" s="27">
        <f t="shared" si="41"/>
        <v>134786</v>
      </c>
      <c r="O211" s="27">
        <f t="shared" si="41"/>
        <v>1150940459</v>
      </c>
      <c r="P211" s="157"/>
    </row>
    <row r="212" spans="1:16" s="14" customFormat="1" ht="25.5" customHeight="1" x14ac:dyDescent="0.25">
      <c r="A212" s="50"/>
      <c r="B212" s="50"/>
      <c r="C212" s="51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157"/>
    </row>
    <row r="213" spans="1:16" s="14" customFormat="1" ht="25.5" customHeight="1" x14ac:dyDescent="0.25">
      <c r="A213" s="50"/>
      <c r="B213" s="50"/>
      <c r="C213" s="51"/>
      <c r="D213" s="52">
        <f>D210-'дод 2'!E277</f>
        <v>0</v>
      </c>
      <c r="E213" s="52">
        <f>E210-'дод 2'!F277</f>
        <v>0</v>
      </c>
      <c r="F213" s="52">
        <f>F210-'дод 2'!G277</f>
        <v>0</v>
      </c>
      <c r="G213" s="52">
        <f>G210-'дод 2'!H277</f>
        <v>0</v>
      </c>
      <c r="H213" s="52">
        <f>H210-'дод 2'!I277</f>
        <v>0</v>
      </c>
      <c r="I213" s="52">
        <f>I210-'дод 2'!J277</f>
        <v>0</v>
      </c>
      <c r="J213" s="52">
        <f>J210-'дод 2'!K277</f>
        <v>0</v>
      </c>
      <c r="K213" s="52">
        <f>K210-'дод 2'!L277</f>
        <v>0</v>
      </c>
      <c r="L213" s="52">
        <f>L210-'дод 2'!M277</f>
        <v>0</v>
      </c>
      <c r="M213" s="52">
        <f>M210-'дод 2'!N277</f>
        <v>0</v>
      </c>
      <c r="N213" s="52">
        <f>N210-'дод 2'!O277</f>
        <v>0</v>
      </c>
      <c r="O213" s="52">
        <f>O210-'дод 2'!P277</f>
        <v>0</v>
      </c>
      <c r="P213" s="157"/>
    </row>
    <row r="214" spans="1:16" s="42" customFormat="1" ht="23.45" customHeight="1" x14ac:dyDescent="0.35">
      <c r="A214" s="162"/>
      <c r="B214" s="162"/>
      <c r="C214" s="162"/>
      <c r="D214" s="53">
        <f>D211-'дод 2'!E278</f>
        <v>0</v>
      </c>
      <c r="E214" s="53">
        <f>E211-'дод 2'!F278</f>
        <v>0</v>
      </c>
      <c r="F214" s="53">
        <f>F211-'дод 2'!G278</f>
        <v>0</v>
      </c>
      <c r="G214" s="53">
        <f>G211-'дод 2'!H278</f>
        <v>0</v>
      </c>
      <c r="H214" s="53">
        <f>H211-'дод 2'!I278</f>
        <v>0</v>
      </c>
      <c r="I214" s="53">
        <f>I211-'дод 2'!J278</f>
        <v>0</v>
      </c>
      <c r="J214" s="53">
        <f>J211-'дод 2'!K278</f>
        <v>0</v>
      </c>
      <c r="K214" s="53">
        <f>K211-'дод 2'!L278</f>
        <v>0</v>
      </c>
      <c r="L214" s="53">
        <f>L211-'дод 2'!M278</f>
        <v>0</v>
      </c>
      <c r="M214" s="53">
        <f>M211-'дод 2'!N278</f>
        <v>0</v>
      </c>
      <c r="N214" s="53">
        <f>N211-'дод 2'!O278</f>
        <v>0</v>
      </c>
      <c r="O214" s="53">
        <f>O211-'дод 2'!P278</f>
        <v>0</v>
      </c>
      <c r="P214" s="157"/>
    </row>
    <row r="215" spans="1:16" s="14" customFormat="1" ht="29.25" customHeight="1" x14ac:dyDescent="0.2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57"/>
    </row>
    <row r="216" spans="1:16" s="10" customFormat="1" ht="27.75" customHeight="1" x14ac:dyDescent="0.25">
      <c r="A216" s="135" t="s">
        <v>573</v>
      </c>
      <c r="B216" s="135"/>
      <c r="C216" s="135"/>
      <c r="D216" s="135"/>
      <c r="E216" s="135"/>
      <c r="F216" s="122"/>
      <c r="G216" s="122"/>
      <c r="H216" s="122"/>
      <c r="I216" s="122"/>
      <c r="J216" s="122"/>
      <c r="K216" s="122"/>
      <c r="L216" s="122"/>
      <c r="M216" s="145" t="s">
        <v>574</v>
      </c>
      <c r="N216" s="145"/>
      <c r="O216" s="145"/>
      <c r="P216" s="157"/>
    </row>
    <row r="217" spans="1:16" s="10" customFormat="1" ht="26.25" customHeight="1" x14ac:dyDescent="0.4">
      <c r="A217" s="37"/>
      <c r="B217" s="135"/>
      <c r="C217" s="135"/>
      <c r="D217" s="135"/>
      <c r="E217" s="135"/>
      <c r="F217" s="135"/>
      <c r="G217" s="135"/>
      <c r="H217" s="135"/>
      <c r="I217" s="122"/>
      <c r="J217" s="122"/>
      <c r="K217" s="124"/>
      <c r="L217" s="122"/>
      <c r="M217" s="38"/>
      <c r="N217" s="38"/>
      <c r="O217" s="38"/>
      <c r="P217" s="157"/>
    </row>
    <row r="218" spans="1:16" s="10" customFormat="1" ht="27.75" customHeight="1" x14ac:dyDescent="0.4">
      <c r="A218" s="126" t="s">
        <v>575</v>
      </c>
      <c r="B218" s="127"/>
      <c r="C218" s="128"/>
      <c r="D218" s="127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127"/>
      <c r="P218" s="157"/>
    </row>
    <row r="219" spans="1:16" s="10" customFormat="1" ht="25.5" customHeight="1" x14ac:dyDescent="0.25">
      <c r="A219" s="130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57"/>
    </row>
    <row r="220" spans="1:16" s="10" customFormat="1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57"/>
    </row>
    <row r="221" spans="1:16" s="10" customFormat="1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57"/>
    </row>
    <row r="222" spans="1:16" s="10" customFormat="1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57"/>
    </row>
    <row r="223" spans="1:16" s="10" customFormat="1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57"/>
    </row>
    <row r="224" spans="1:16" s="10" customFormat="1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57"/>
    </row>
    <row r="225" spans="1:16" s="10" customFormat="1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57"/>
    </row>
    <row r="226" spans="1:16" s="10" customFormat="1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6"/>
    </row>
    <row r="227" spans="1:16" s="10" customFormat="1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6"/>
    </row>
    <row r="228" spans="1:16" s="10" customFormat="1" x14ac:dyDescent="0.25">
      <c r="A228" s="11"/>
      <c r="B228" s="4"/>
      <c r="C228" s="25"/>
      <c r="D228" s="32"/>
      <c r="K228" s="32"/>
      <c r="L228" s="32"/>
      <c r="P228" s="116"/>
    </row>
    <row r="229" spans="1:16" s="10" customFormat="1" x14ac:dyDescent="0.25">
      <c r="A229" s="11"/>
      <c r="B229" s="4"/>
      <c r="C229" s="25"/>
      <c r="P229" s="116"/>
    </row>
    <row r="230" spans="1:16" s="10" customFormat="1" x14ac:dyDescent="0.25">
      <c r="A230" s="11"/>
      <c r="B230" s="4"/>
      <c r="C230" s="25"/>
      <c r="P230" s="116"/>
    </row>
    <row r="231" spans="1:16" s="10" customFormat="1" ht="27.75" x14ac:dyDescent="0.25">
      <c r="A231" s="160"/>
      <c r="B231" s="161"/>
      <c r="C231" s="161"/>
      <c r="D231" s="41"/>
      <c r="E231" s="48"/>
      <c r="F231" s="48"/>
      <c r="G231" s="48"/>
      <c r="H231" s="48"/>
      <c r="I231" s="48"/>
      <c r="J231" s="58"/>
      <c r="K231" s="48"/>
      <c r="L231" s="48"/>
      <c r="M231" s="48"/>
      <c r="N231" s="40"/>
      <c r="P231" s="116"/>
    </row>
    <row r="232" spans="1:16" s="10" customFormat="1" ht="27.75" x14ac:dyDescent="0.4">
      <c r="A232" s="37"/>
      <c r="B232" s="39"/>
      <c r="C232" s="39"/>
      <c r="D232" s="39"/>
      <c r="E232" s="39"/>
      <c r="F232" s="39"/>
      <c r="G232" s="39"/>
      <c r="H232" s="39"/>
      <c r="I232" s="48"/>
      <c r="J232" s="58"/>
      <c r="K232" s="48"/>
      <c r="L232" s="49"/>
      <c r="M232" s="48"/>
      <c r="N232" s="38"/>
      <c r="P232" s="116"/>
    </row>
    <row r="233" spans="1:16" s="10" customFormat="1" ht="26.25" x14ac:dyDescent="0.4">
      <c r="A233" s="159"/>
      <c r="B233" s="159"/>
      <c r="C233" s="159"/>
      <c r="D233" s="4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P233" s="116"/>
    </row>
    <row r="234" spans="1:16" s="10" customFormat="1" ht="27.75" x14ac:dyDescent="0.4">
      <c r="A234" s="47"/>
      <c r="B234" s="45"/>
      <c r="C234" s="45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P234" s="116"/>
    </row>
    <row r="235" spans="1:16" s="10" customFormat="1" x14ac:dyDescent="0.25">
      <c r="A235" s="11"/>
      <c r="B235" s="4"/>
      <c r="C235" s="25"/>
      <c r="D235" s="33"/>
      <c r="E235" s="33"/>
      <c r="K235" s="13"/>
      <c r="L235" s="13"/>
      <c r="P235" s="116"/>
    </row>
    <row r="236" spans="1:16" s="10" customFormat="1" x14ac:dyDescent="0.25">
      <c r="A236" s="11"/>
      <c r="B236" s="4"/>
      <c r="C236" s="25"/>
      <c r="K236" s="13"/>
      <c r="L236" s="13"/>
      <c r="P236" s="116"/>
    </row>
    <row r="237" spans="1:16" s="10" customFormat="1" x14ac:dyDescent="0.25">
      <c r="A237" s="11"/>
      <c r="B237" s="4"/>
      <c r="C237" s="25"/>
      <c r="P237" s="116"/>
    </row>
    <row r="238" spans="1:16" s="10" customFormat="1" x14ac:dyDescent="0.25">
      <c r="A238" s="11"/>
      <c r="B238" s="4"/>
      <c r="C238" s="25"/>
      <c r="P238" s="116"/>
    </row>
    <row r="239" spans="1:16" s="10" customFormat="1" x14ac:dyDescent="0.25">
      <c r="A239" s="11"/>
      <c r="B239" s="4"/>
      <c r="C239" s="25"/>
      <c r="P239" s="116"/>
    </row>
    <row r="240" spans="1:16" s="10" customFormat="1" x14ac:dyDescent="0.25">
      <c r="A240" s="11"/>
      <c r="B240" s="4"/>
      <c r="C240" s="25"/>
      <c r="P240" s="116"/>
    </row>
    <row r="241" spans="1:16" s="10" customFormat="1" x14ac:dyDescent="0.25">
      <c r="A241" s="11"/>
      <c r="B241" s="4"/>
      <c r="C241" s="25"/>
      <c r="P241" s="116"/>
    </row>
    <row r="242" spans="1:16" s="10" customFormat="1" ht="6.75" customHeight="1" x14ac:dyDescent="0.25">
      <c r="A242" s="11"/>
      <c r="B242" s="4"/>
      <c r="C242" s="25"/>
      <c r="P242" s="116"/>
    </row>
    <row r="243" spans="1:16" s="10" customFormat="1" ht="1.5" customHeight="1" x14ac:dyDescent="0.25">
      <c r="A243" s="11"/>
      <c r="B243" s="4"/>
      <c r="C243" s="25"/>
      <c r="D243" s="32"/>
      <c r="P243" s="116"/>
    </row>
    <row r="244" spans="1:16" s="10" customFormat="1" ht="22.5" customHeight="1" x14ac:dyDescent="0.25">
      <c r="A244" s="11"/>
      <c r="B244" s="4"/>
      <c r="C244" s="25"/>
      <c r="P244" s="116"/>
    </row>
    <row r="245" spans="1:16" s="10" customFormat="1" x14ac:dyDescent="0.25">
      <c r="A245" s="11"/>
      <c r="B245" s="4"/>
      <c r="C245" s="25"/>
      <c r="P245" s="116"/>
    </row>
    <row r="246" spans="1:16" s="10" customFormat="1" x14ac:dyDescent="0.25">
      <c r="A246" s="11"/>
      <c r="B246" s="4"/>
      <c r="C246" s="25"/>
      <c r="D246" s="32"/>
      <c r="P246" s="116"/>
    </row>
    <row r="247" spans="1:16" s="10" customFormat="1" x14ac:dyDescent="0.25">
      <c r="A247" s="11"/>
      <c r="B247" s="4"/>
      <c r="C247" s="25"/>
      <c r="P247" s="116"/>
    </row>
    <row r="248" spans="1:16" s="10" customFormat="1" x14ac:dyDescent="0.25">
      <c r="A248" s="11"/>
      <c r="B248" s="4"/>
      <c r="C248" s="25"/>
      <c r="P248" s="116"/>
    </row>
    <row r="249" spans="1:16" s="10" customFormat="1" x14ac:dyDescent="0.25">
      <c r="A249" s="11"/>
      <c r="B249" s="4"/>
      <c r="C249" s="25"/>
      <c r="P249" s="116"/>
    </row>
    <row r="250" spans="1:16" s="10" customFormat="1" x14ac:dyDescent="0.25">
      <c r="A250" s="11"/>
      <c r="B250" s="4"/>
      <c r="C250" s="25"/>
      <c r="P250" s="116"/>
    </row>
    <row r="251" spans="1:16" s="10" customFormat="1" x14ac:dyDescent="0.25">
      <c r="A251" s="11"/>
      <c r="B251" s="4"/>
      <c r="C251" s="25"/>
      <c r="P251" s="116"/>
    </row>
    <row r="252" spans="1:16" s="10" customFormat="1" x14ac:dyDescent="0.25">
      <c r="A252" s="11"/>
      <c r="B252" s="4"/>
      <c r="C252" s="25"/>
      <c r="P252" s="116"/>
    </row>
    <row r="253" spans="1:16" s="10" customFormat="1" x14ac:dyDescent="0.25">
      <c r="A253" s="11"/>
      <c r="B253" s="4"/>
      <c r="C253" s="25"/>
      <c r="P253" s="116"/>
    </row>
    <row r="254" spans="1:16" s="10" customFormat="1" x14ac:dyDescent="0.25">
      <c r="A254" s="11"/>
      <c r="B254" s="4"/>
      <c r="C254" s="25"/>
      <c r="P254" s="116"/>
    </row>
    <row r="255" spans="1:16" s="10" customFormat="1" x14ac:dyDescent="0.25">
      <c r="A255" s="11"/>
      <c r="B255" s="4"/>
      <c r="C255" s="25"/>
      <c r="P255" s="116"/>
    </row>
    <row r="256" spans="1:16" s="10" customFormat="1" x14ac:dyDescent="0.25">
      <c r="A256" s="11"/>
      <c r="B256" s="4"/>
      <c r="C256" s="25"/>
      <c r="P256" s="116"/>
    </row>
    <row r="257" spans="1:16" s="10" customFormat="1" x14ac:dyDescent="0.25">
      <c r="A257" s="11"/>
      <c r="B257" s="4"/>
      <c r="C257" s="25"/>
      <c r="P257" s="116"/>
    </row>
    <row r="258" spans="1:16" s="10" customFormat="1" x14ac:dyDescent="0.25">
      <c r="A258" s="11"/>
      <c r="B258" s="4"/>
      <c r="C258" s="25"/>
      <c r="P258" s="116"/>
    </row>
    <row r="259" spans="1:16" s="10" customFormat="1" x14ac:dyDescent="0.25">
      <c r="A259" s="11"/>
      <c r="B259" s="4"/>
      <c r="C259" s="25"/>
      <c r="P259" s="116"/>
    </row>
    <row r="260" spans="1:16" s="10" customFormat="1" x14ac:dyDescent="0.25">
      <c r="A260" s="11"/>
      <c r="B260" s="4"/>
      <c r="C260" s="25"/>
      <c r="P260" s="116"/>
    </row>
    <row r="261" spans="1:16" s="10" customFormat="1" x14ac:dyDescent="0.25">
      <c r="A261" s="11"/>
      <c r="B261" s="4"/>
      <c r="C261" s="25"/>
      <c r="P261" s="116"/>
    </row>
    <row r="262" spans="1:16" s="10" customFormat="1" x14ac:dyDescent="0.25">
      <c r="A262" s="11"/>
      <c r="B262" s="4"/>
      <c r="C262" s="25"/>
      <c r="P262" s="116"/>
    </row>
    <row r="263" spans="1:16" s="10" customFormat="1" x14ac:dyDescent="0.25">
      <c r="A263" s="11"/>
      <c r="B263" s="4"/>
      <c r="C263" s="25"/>
      <c r="P263" s="116"/>
    </row>
    <row r="264" spans="1:16" s="10" customFormat="1" x14ac:dyDescent="0.25">
      <c r="A264" s="11"/>
      <c r="B264" s="4"/>
      <c r="C264" s="25"/>
      <c r="P264" s="116"/>
    </row>
    <row r="265" spans="1:16" s="10" customFormat="1" x14ac:dyDescent="0.25">
      <c r="A265" s="11"/>
      <c r="B265" s="4"/>
      <c r="C265" s="25"/>
      <c r="P265" s="116"/>
    </row>
    <row r="266" spans="1:16" s="10" customFormat="1" x14ac:dyDescent="0.25">
      <c r="A266" s="11"/>
      <c r="B266" s="4"/>
      <c r="C266" s="25"/>
      <c r="P266" s="116"/>
    </row>
    <row r="267" spans="1:16" s="10" customFormat="1" x14ac:dyDescent="0.25">
      <c r="A267" s="11"/>
      <c r="B267" s="4"/>
      <c r="C267" s="25"/>
      <c r="P267" s="116"/>
    </row>
    <row r="268" spans="1:16" s="10" customFormat="1" x14ac:dyDescent="0.25">
      <c r="A268" s="11"/>
      <c r="B268" s="4"/>
      <c r="C268" s="25"/>
      <c r="P268" s="116"/>
    </row>
    <row r="269" spans="1:16" s="10" customFormat="1" x14ac:dyDescent="0.25">
      <c r="A269" s="11"/>
      <c r="B269" s="4"/>
      <c r="C269" s="25"/>
      <c r="P269" s="116"/>
    </row>
    <row r="270" spans="1:16" s="10" customFormat="1" x14ac:dyDescent="0.25">
      <c r="A270" s="11"/>
      <c r="B270" s="4"/>
      <c r="C270" s="25"/>
      <c r="P270" s="116"/>
    </row>
    <row r="271" spans="1:16" s="10" customFormat="1" x14ac:dyDescent="0.25">
      <c r="A271" s="11"/>
      <c r="B271" s="4"/>
      <c r="C271" s="25"/>
      <c r="P271" s="116"/>
    </row>
    <row r="272" spans="1:16" s="10" customFormat="1" x14ac:dyDescent="0.25">
      <c r="A272" s="11"/>
      <c r="B272" s="4"/>
      <c r="C272" s="25"/>
      <c r="P272" s="116"/>
    </row>
    <row r="273" spans="1:16" s="10" customFormat="1" x14ac:dyDescent="0.25">
      <c r="A273" s="11"/>
      <c r="B273" s="4"/>
      <c r="C273" s="25"/>
      <c r="P273" s="116"/>
    </row>
    <row r="274" spans="1:16" s="10" customFormat="1" x14ac:dyDescent="0.25">
      <c r="A274" s="11"/>
      <c r="B274" s="4"/>
      <c r="C274" s="25"/>
      <c r="P274" s="116"/>
    </row>
    <row r="275" spans="1:16" s="10" customFormat="1" x14ac:dyDescent="0.25">
      <c r="A275" s="11"/>
      <c r="B275" s="4"/>
      <c r="C275" s="25"/>
      <c r="P275" s="116"/>
    </row>
    <row r="276" spans="1:16" s="10" customFormat="1" x14ac:dyDescent="0.25">
      <c r="A276" s="11"/>
      <c r="B276" s="4"/>
      <c r="C276" s="25"/>
      <c r="P276" s="116"/>
    </row>
    <row r="277" spans="1:16" s="10" customFormat="1" x14ac:dyDescent="0.25">
      <c r="A277" s="11"/>
      <c r="B277" s="4"/>
      <c r="C277" s="25"/>
      <c r="P277" s="116"/>
    </row>
    <row r="278" spans="1:16" s="10" customFormat="1" x14ac:dyDescent="0.25">
      <c r="A278" s="11"/>
      <c r="B278" s="4"/>
      <c r="C278" s="25"/>
      <c r="P278" s="116"/>
    </row>
    <row r="279" spans="1:16" s="10" customFormat="1" x14ac:dyDescent="0.25">
      <c r="A279" s="11"/>
      <c r="B279" s="4"/>
      <c r="C279" s="25"/>
      <c r="P279" s="116"/>
    </row>
    <row r="280" spans="1:16" s="10" customFormat="1" x14ac:dyDescent="0.25">
      <c r="A280" s="11"/>
      <c r="B280" s="4"/>
      <c r="C280" s="25"/>
      <c r="P280" s="116"/>
    </row>
    <row r="281" spans="1:16" s="10" customFormat="1" x14ac:dyDescent="0.25">
      <c r="A281" s="11"/>
      <c r="B281" s="4"/>
      <c r="C281" s="25"/>
      <c r="P281" s="116"/>
    </row>
    <row r="282" spans="1:16" s="10" customFormat="1" x14ac:dyDescent="0.25">
      <c r="A282" s="11"/>
      <c r="B282" s="4"/>
      <c r="C282" s="25"/>
      <c r="P282" s="116"/>
    </row>
    <row r="283" spans="1:16" s="10" customFormat="1" x14ac:dyDescent="0.25">
      <c r="A283" s="11"/>
      <c r="B283" s="4"/>
      <c r="C283" s="25"/>
      <c r="P283" s="116"/>
    </row>
    <row r="284" spans="1:16" s="10" customFormat="1" x14ac:dyDescent="0.25">
      <c r="A284" s="11"/>
      <c r="B284" s="4"/>
      <c r="C284" s="25"/>
      <c r="P284" s="116"/>
    </row>
    <row r="285" spans="1:16" s="10" customFormat="1" x14ac:dyDescent="0.25">
      <c r="A285" s="11"/>
      <c r="B285" s="4"/>
      <c r="C285" s="25"/>
      <c r="P285" s="116"/>
    </row>
    <row r="286" spans="1:16" s="10" customFormat="1" x14ac:dyDescent="0.25">
      <c r="A286" s="11"/>
      <c r="B286" s="4"/>
      <c r="C286" s="25"/>
      <c r="P286" s="116"/>
    </row>
    <row r="287" spans="1:16" s="10" customFormat="1" x14ac:dyDescent="0.25">
      <c r="A287" s="11"/>
      <c r="B287" s="4"/>
      <c r="C287" s="25"/>
      <c r="P287" s="116"/>
    </row>
    <row r="288" spans="1:16" s="10" customFormat="1" x14ac:dyDescent="0.25">
      <c r="A288" s="11"/>
      <c r="B288" s="4"/>
      <c r="C288" s="25"/>
      <c r="P288" s="116"/>
    </row>
    <row r="289" spans="1:16" s="10" customFormat="1" x14ac:dyDescent="0.25">
      <c r="A289" s="11"/>
      <c r="B289" s="4"/>
      <c r="C289" s="25"/>
      <c r="P289" s="116"/>
    </row>
    <row r="290" spans="1:16" s="10" customFormat="1" x14ac:dyDescent="0.25">
      <c r="A290" s="11"/>
      <c r="B290" s="4"/>
      <c r="C290" s="25"/>
      <c r="P290" s="116"/>
    </row>
    <row r="291" spans="1:16" s="10" customFormat="1" x14ac:dyDescent="0.25">
      <c r="A291" s="11"/>
      <c r="B291" s="4"/>
      <c r="C291" s="25"/>
      <c r="P291" s="116"/>
    </row>
    <row r="292" spans="1:16" s="10" customFormat="1" x14ac:dyDescent="0.25">
      <c r="A292" s="11"/>
      <c r="B292" s="4"/>
      <c r="C292" s="25"/>
      <c r="P292" s="116"/>
    </row>
    <row r="293" spans="1:16" s="10" customFormat="1" x14ac:dyDescent="0.25">
      <c r="A293" s="11"/>
      <c r="B293" s="4"/>
      <c r="C293" s="25"/>
      <c r="P293" s="116"/>
    </row>
    <row r="294" spans="1:16" s="10" customFormat="1" x14ac:dyDescent="0.25">
      <c r="A294" s="11"/>
      <c r="B294" s="4"/>
      <c r="C294" s="25"/>
      <c r="P294" s="116"/>
    </row>
    <row r="295" spans="1:16" s="10" customFormat="1" x14ac:dyDescent="0.25">
      <c r="A295" s="11"/>
      <c r="B295" s="4"/>
      <c r="C295" s="25"/>
      <c r="P295" s="116"/>
    </row>
    <row r="296" spans="1:16" s="10" customFormat="1" x14ac:dyDescent="0.25">
      <c r="A296" s="11"/>
      <c r="B296" s="4"/>
      <c r="C296" s="25"/>
      <c r="P296" s="116"/>
    </row>
    <row r="297" spans="1:16" s="10" customFormat="1" x14ac:dyDescent="0.25">
      <c r="A297" s="11"/>
      <c r="B297" s="4"/>
      <c r="C297" s="25"/>
      <c r="P297" s="116"/>
    </row>
    <row r="298" spans="1:16" s="10" customFormat="1" x14ac:dyDescent="0.25">
      <c r="A298" s="11"/>
      <c r="B298" s="4"/>
      <c r="C298" s="25"/>
      <c r="P298" s="116"/>
    </row>
    <row r="299" spans="1:16" s="10" customFormat="1" x14ac:dyDescent="0.25">
      <c r="A299" s="11"/>
      <c r="B299" s="4"/>
      <c r="C299" s="25"/>
      <c r="P299" s="116"/>
    </row>
    <row r="300" spans="1:16" s="10" customFormat="1" x14ac:dyDescent="0.25">
      <c r="A300" s="11"/>
      <c r="B300" s="4"/>
      <c r="C300" s="25"/>
      <c r="P300" s="116"/>
    </row>
    <row r="301" spans="1:16" s="10" customFormat="1" x14ac:dyDescent="0.25">
      <c r="A301" s="11"/>
      <c r="B301" s="4"/>
      <c r="C301" s="25"/>
      <c r="P301" s="116"/>
    </row>
    <row r="302" spans="1:16" s="10" customFormat="1" x14ac:dyDescent="0.25">
      <c r="A302" s="11"/>
      <c r="B302" s="4"/>
      <c r="C302" s="25"/>
      <c r="P302" s="116"/>
    </row>
    <row r="303" spans="1:16" s="10" customFormat="1" x14ac:dyDescent="0.25">
      <c r="A303" s="11"/>
      <c r="B303" s="4"/>
      <c r="C303" s="25"/>
      <c r="P303" s="116"/>
    </row>
    <row r="304" spans="1:16" s="10" customFormat="1" x14ac:dyDescent="0.25">
      <c r="A304" s="11"/>
      <c r="B304" s="4"/>
      <c r="C304" s="25"/>
      <c r="P304" s="116"/>
    </row>
    <row r="305" spans="1:16" s="10" customFormat="1" x14ac:dyDescent="0.25">
      <c r="A305" s="11"/>
      <c r="B305" s="4"/>
      <c r="C305" s="25"/>
      <c r="P305" s="116"/>
    </row>
    <row r="306" spans="1:16" s="10" customFormat="1" x14ac:dyDescent="0.25">
      <c r="A306" s="11"/>
      <c r="B306" s="4"/>
      <c r="C306" s="25"/>
      <c r="P306" s="116"/>
    </row>
    <row r="307" spans="1:16" s="10" customFormat="1" x14ac:dyDescent="0.25">
      <c r="A307" s="11"/>
      <c r="B307" s="4"/>
      <c r="C307" s="25"/>
      <c r="P307" s="116"/>
    </row>
    <row r="308" spans="1:16" s="10" customFormat="1" x14ac:dyDescent="0.25">
      <c r="A308" s="11"/>
      <c r="B308" s="4"/>
      <c r="C308" s="25"/>
      <c r="P308" s="116"/>
    </row>
    <row r="309" spans="1:16" s="10" customFormat="1" x14ac:dyDescent="0.25">
      <c r="A309" s="11"/>
      <c r="B309" s="4"/>
      <c r="C309" s="25"/>
      <c r="P309" s="116"/>
    </row>
    <row r="310" spans="1:16" s="10" customFormat="1" x14ac:dyDescent="0.25">
      <c r="A310" s="11"/>
      <c r="B310" s="4"/>
      <c r="C310" s="25"/>
      <c r="P310" s="116"/>
    </row>
    <row r="311" spans="1:16" s="10" customFormat="1" x14ac:dyDescent="0.25">
      <c r="A311" s="11"/>
      <c r="B311" s="4"/>
      <c r="C311" s="25"/>
      <c r="P311" s="116"/>
    </row>
    <row r="312" spans="1:16" s="10" customFormat="1" x14ac:dyDescent="0.25">
      <c r="A312" s="11"/>
      <c r="B312" s="4"/>
      <c r="C312" s="25"/>
      <c r="P312" s="116"/>
    </row>
    <row r="313" spans="1:16" s="10" customFormat="1" x14ac:dyDescent="0.25">
      <c r="A313" s="11"/>
      <c r="B313" s="4"/>
      <c r="C313" s="25"/>
      <c r="P313" s="116"/>
    </row>
    <row r="314" spans="1:16" s="10" customFormat="1" x14ac:dyDescent="0.25">
      <c r="A314" s="11"/>
      <c r="B314" s="4"/>
      <c r="C314" s="25"/>
      <c r="P314" s="116"/>
    </row>
    <row r="315" spans="1:16" s="10" customFormat="1" x14ac:dyDescent="0.25">
      <c r="A315" s="11"/>
      <c r="B315" s="4"/>
      <c r="C315" s="25"/>
      <c r="P315" s="116"/>
    </row>
    <row r="316" spans="1:16" s="10" customFormat="1" x14ac:dyDescent="0.25">
      <c r="A316" s="11"/>
      <c r="B316" s="4"/>
      <c r="C316" s="25"/>
      <c r="P316" s="116"/>
    </row>
    <row r="317" spans="1:16" s="10" customFormat="1" x14ac:dyDescent="0.25">
      <c r="A317" s="11"/>
      <c r="B317" s="4"/>
      <c r="C317" s="25"/>
      <c r="P317" s="116"/>
    </row>
    <row r="318" spans="1:16" s="10" customFormat="1" x14ac:dyDescent="0.25">
      <c r="A318" s="11"/>
      <c r="B318" s="4"/>
      <c r="C318" s="25"/>
      <c r="P318" s="116"/>
    </row>
    <row r="319" spans="1:16" s="10" customFormat="1" x14ac:dyDescent="0.25">
      <c r="A319" s="11"/>
      <c r="B319" s="4"/>
      <c r="C319" s="25"/>
      <c r="P319" s="116"/>
    </row>
    <row r="320" spans="1:16" s="10" customFormat="1" x14ac:dyDescent="0.25">
      <c r="A320" s="11"/>
      <c r="B320" s="4"/>
      <c r="C320" s="25"/>
      <c r="P320" s="116"/>
    </row>
    <row r="321" spans="1:16" s="10" customFormat="1" x14ac:dyDescent="0.25">
      <c r="A321" s="11"/>
      <c r="B321" s="4"/>
      <c r="C321" s="25"/>
      <c r="P321" s="116"/>
    </row>
    <row r="322" spans="1:16" s="10" customFormat="1" x14ac:dyDescent="0.25">
      <c r="A322" s="11"/>
      <c r="B322" s="4"/>
      <c r="C322" s="25"/>
      <c r="P322" s="116"/>
    </row>
    <row r="323" spans="1:16" s="10" customFormat="1" x14ac:dyDescent="0.25">
      <c r="A323" s="11"/>
      <c r="B323" s="4"/>
      <c r="C323" s="25"/>
      <c r="P323" s="116"/>
    </row>
    <row r="324" spans="1:16" s="10" customFormat="1" x14ac:dyDescent="0.25">
      <c r="A324" s="11"/>
      <c r="B324" s="4"/>
      <c r="C324" s="25"/>
      <c r="P324" s="116"/>
    </row>
    <row r="325" spans="1:16" s="10" customFormat="1" x14ac:dyDescent="0.25">
      <c r="A325" s="11"/>
      <c r="B325" s="4"/>
      <c r="C325" s="25"/>
      <c r="P325" s="116"/>
    </row>
    <row r="326" spans="1:16" s="10" customFormat="1" x14ac:dyDescent="0.25">
      <c r="A326" s="11"/>
      <c r="B326" s="4"/>
      <c r="C326" s="25"/>
      <c r="P326" s="116"/>
    </row>
    <row r="327" spans="1:16" s="10" customFormat="1" x14ac:dyDescent="0.25">
      <c r="A327" s="11"/>
      <c r="B327" s="4"/>
      <c r="C327" s="25"/>
      <c r="P327" s="116"/>
    </row>
    <row r="328" spans="1:16" s="10" customFormat="1" x14ac:dyDescent="0.25">
      <c r="A328" s="11"/>
      <c r="B328" s="4"/>
      <c r="C328" s="25"/>
      <c r="P328" s="116"/>
    </row>
    <row r="329" spans="1:16" s="10" customFormat="1" x14ac:dyDescent="0.25">
      <c r="A329" s="11"/>
      <c r="B329" s="4"/>
      <c r="C329" s="25"/>
      <c r="P329" s="116"/>
    </row>
    <row r="330" spans="1:16" s="10" customFormat="1" x14ac:dyDescent="0.25">
      <c r="A330" s="11"/>
      <c r="B330" s="4"/>
      <c r="C330" s="25"/>
      <c r="P330" s="116"/>
    </row>
    <row r="331" spans="1:16" s="10" customFormat="1" x14ac:dyDescent="0.25">
      <c r="A331" s="11"/>
      <c r="B331" s="4"/>
      <c r="C331" s="25"/>
      <c r="P331" s="116"/>
    </row>
    <row r="332" spans="1:16" s="10" customFormat="1" x14ac:dyDescent="0.25">
      <c r="A332" s="11"/>
      <c r="B332" s="4"/>
      <c r="C332" s="25"/>
      <c r="P332" s="116"/>
    </row>
    <row r="333" spans="1:16" s="10" customFormat="1" x14ac:dyDescent="0.25">
      <c r="A333" s="11"/>
      <c r="B333" s="4"/>
      <c r="C333" s="25"/>
      <c r="P333" s="116"/>
    </row>
    <row r="334" spans="1:16" s="10" customFormat="1" x14ac:dyDescent="0.25">
      <c r="A334" s="11"/>
      <c r="B334" s="4"/>
      <c r="C334" s="25"/>
      <c r="P334" s="116"/>
    </row>
    <row r="335" spans="1:16" s="10" customFormat="1" x14ac:dyDescent="0.25">
      <c r="A335" s="11"/>
      <c r="B335" s="4"/>
      <c r="C335" s="25"/>
      <c r="P335" s="116"/>
    </row>
    <row r="336" spans="1:16" s="10" customFormat="1" x14ac:dyDescent="0.25">
      <c r="A336" s="11"/>
      <c r="B336" s="4"/>
      <c r="C336" s="25"/>
      <c r="P336" s="116"/>
    </row>
    <row r="337" spans="1:16" s="10" customFormat="1" x14ac:dyDescent="0.25">
      <c r="A337" s="11"/>
      <c r="B337" s="4"/>
      <c r="C337" s="25"/>
      <c r="P337" s="116"/>
    </row>
    <row r="338" spans="1:16" s="10" customFormat="1" x14ac:dyDescent="0.25">
      <c r="A338" s="11"/>
      <c r="B338" s="4"/>
      <c r="C338" s="25"/>
      <c r="P338" s="116"/>
    </row>
    <row r="339" spans="1:16" s="10" customFormat="1" x14ac:dyDescent="0.25">
      <c r="A339" s="11"/>
      <c r="B339" s="4"/>
      <c r="C339" s="25"/>
      <c r="P339" s="116"/>
    </row>
    <row r="340" spans="1:16" s="10" customFormat="1" x14ac:dyDescent="0.25">
      <c r="A340" s="11"/>
      <c r="B340" s="4"/>
      <c r="C340" s="25"/>
      <c r="P340" s="116"/>
    </row>
    <row r="341" spans="1:16" s="10" customFormat="1" x14ac:dyDescent="0.25">
      <c r="A341" s="11"/>
      <c r="B341" s="4"/>
      <c r="C341" s="25"/>
      <c r="P341" s="116"/>
    </row>
    <row r="342" spans="1:16" s="10" customFormat="1" x14ac:dyDescent="0.25">
      <c r="A342" s="11"/>
      <c r="B342" s="4"/>
      <c r="C342" s="25"/>
      <c r="P342" s="116"/>
    </row>
    <row r="343" spans="1:16" s="10" customFormat="1" x14ac:dyDescent="0.25">
      <c r="A343" s="11"/>
      <c r="B343" s="4"/>
      <c r="C343" s="25"/>
      <c r="P343" s="116"/>
    </row>
    <row r="344" spans="1:16" s="10" customFormat="1" x14ac:dyDescent="0.25">
      <c r="A344" s="11"/>
      <c r="B344" s="4"/>
      <c r="C344" s="25"/>
      <c r="P344" s="116"/>
    </row>
    <row r="345" spans="1:16" s="10" customFormat="1" x14ac:dyDescent="0.25">
      <c r="A345" s="11"/>
      <c r="B345" s="4"/>
      <c r="C345" s="25"/>
      <c r="P345" s="116"/>
    </row>
    <row r="346" spans="1:16" s="10" customFormat="1" x14ac:dyDescent="0.25">
      <c r="A346" s="11"/>
      <c r="B346" s="4"/>
      <c r="C346" s="25"/>
      <c r="P346" s="116"/>
    </row>
    <row r="347" spans="1:16" s="10" customFormat="1" x14ac:dyDescent="0.25">
      <c r="A347" s="11"/>
      <c r="B347" s="4"/>
      <c r="C347" s="25"/>
      <c r="P347" s="116"/>
    </row>
    <row r="348" spans="1:16" s="10" customFormat="1" x14ac:dyDescent="0.25">
      <c r="A348" s="11"/>
      <c r="B348" s="4"/>
      <c r="C348" s="25"/>
      <c r="P348" s="116"/>
    </row>
    <row r="349" spans="1:16" s="10" customFormat="1" x14ac:dyDescent="0.25">
      <c r="A349" s="11"/>
      <c r="B349" s="4"/>
      <c r="C349" s="25"/>
      <c r="P349" s="116"/>
    </row>
    <row r="350" spans="1:16" s="10" customFormat="1" x14ac:dyDescent="0.25">
      <c r="A350" s="11"/>
      <c r="B350" s="4"/>
      <c r="C350" s="25"/>
      <c r="P350" s="116"/>
    </row>
    <row r="351" spans="1:16" s="10" customFormat="1" x14ac:dyDescent="0.25">
      <c r="A351" s="11"/>
      <c r="B351" s="4"/>
      <c r="C351" s="25"/>
      <c r="P351" s="116"/>
    </row>
    <row r="352" spans="1:16" s="10" customFormat="1" x14ac:dyDescent="0.25">
      <c r="A352" s="11"/>
      <c r="B352" s="4"/>
      <c r="C352" s="25"/>
      <c r="P352" s="116"/>
    </row>
    <row r="353" spans="1:16" s="10" customFormat="1" x14ac:dyDescent="0.25">
      <c r="A353" s="11"/>
      <c r="B353" s="4"/>
      <c r="C353" s="25"/>
      <c r="P353" s="116"/>
    </row>
    <row r="354" spans="1:16" s="10" customFormat="1" x14ac:dyDescent="0.25">
      <c r="A354" s="11"/>
      <c r="B354" s="4"/>
      <c r="C354" s="25"/>
      <c r="P354" s="116"/>
    </row>
    <row r="355" spans="1:16" s="10" customFormat="1" x14ac:dyDescent="0.25">
      <c r="A355" s="11"/>
      <c r="B355" s="4"/>
      <c r="C355" s="25"/>
      <c r="P355" s="116"/>
    </row>
    <row r="356" spans="1:16" s="10" customFormat="1" x14ac:dyDescent="0.25">
      <c r="A356" s="11"/>
      <c r="B356" s="4"/>
      <c r="C356" s="25"/>
      <c r="P356" s="116"/>
    </row>
    <row r="357" spans="1:16" s="10" customFormat="1" x14ac:dyDescent="0.25">
      <c r="A357" s="11"/>
      <c r="B357" s="4"/>
      <c r="C357" s="25"/>
      <c r="P357" s="116"/>
    </row>
    <row r="358" spans="1:16" s="10" customFormat="1" x14ac:dyDescent="0.25">
      <c r="A358" s="11"/>
      <c r="B358" s="4"/>
      <c r="C358" s="25"/>
      <c r="P358" s="116"/>
    </row>
    <row r="359" spans="1:16" s="10" customFormat="1" x14ac:dyDescent="0.25">
      <c r="A359" s="11"/>
      <c r="B359" s="4"/>
      <c r="C359" s="25"/>
      <c r="P359" s="116"/>
    </row>
    <row r="360" spans="1:16" s="10" customFormat="1" x14ac:dyDescent="0.25">
      <c r="A360" s="11"/>
      <c r="B360" s="4"/>
      <c r="C360" s="25"/>
      <c r="P360" s="116"/>
    </row>
    <row r="361" spans="1:16" s="10" customFormat="1" x14ac:dyDescent="0.25">
      <c r="A361" s="11"/>
      <c r="B361" s="4"/>
      <c r="C361" s="25"/>
      <c r="P361" s="116"/>
    </row>
    <row r="362" spans="1:16" s="10" customFormat="1" x14ac:dyDescent="0.25">
      <c r="A362" s="11"/>
      <c r="B362" s="4"/>
      <c r="C362" s="25"/>
      <c r="P362" s="116"/>
    </row>
    <row r="363" spans="1:16" s="10" customFormat="1" x14ac:dyDescent="0.25">
      <c r="A363" s="11"/>
      <c r="B363" s="4"/>
      <c r="C363" s="25"/>
      <c r="P363" s="116"/>
    </row>
    <row r="364" spans="1:16" s="10" customFormat="1" x14ac:dyDescent="0.25">
      <c r="A364" s="11"/>
      <c r="B364" s="4"/>
      <c r="C364" s="25"/>
      <c r="P364" s="116"/>
    </row>
    <row r="365" spans="1:16" s="10" customFormat="1" x14ac:dyDescent="0.25">
      <c r="A365" s="11"/>
      <c r="B365" s="4"/>
      <c r="C365" s="25"/>
      <c r="P365" s="116"/>
    </row>
    <row r="366" spans="1:16" s="10" customFormat="1" x14ac:dyDescent="0.25">
      <c r="A366" s="11"/>
      <c r="B366" s="4"/>
      <c r="C366" s="25"/>
      <c r="P366" s="116"/>
    </row>
    <row r="367" spans="1:16" s="10" customFormat="1" x14ac:dyDescent="0.25">
      <c r="A367" s="11"/>
      <c r="B367" s="4"/>
      <c r="C367" s="25"/>
      <c r="P367" s="116"/>
    </row>
    <row r="368" spans="1:16" s="10" customFormat="1" x14ac:dyDescent="0.25">
      <c r="A368" s="11"/>
      <c r="B368" s="4"/>
      <c r="C368" s="25"/>
      <c r="P368" s="116"/>
    </row>
    <row r="369" spans="1:16" s="10" customFormat="1" x14ac:dyDescent="0.25">
      <c r="A369" s="11"/>
      <c r="B369" s="4"/>
      <c r="C369" s="25"/>
      <c r="P369" s="116"/>
    </row>
    <row r="370" spans="1:16" s="10" customFormat="1" x14ac:dyDescent="0.25">
      <c r="A370" s="11"/>
      <c r="B370" s="4"/>
      <c r="C370" s="25"/>
      <c r="P370" s="116"/>
    </row>
    <row r="371" spans="1:16" s="10" customFormat="1" x14ac:dyDescent="0.25">
      <c r="A371" s="11"/>
      <c r="B371" s="4"/>
      <c r="C371" s="25"/>
      <c r="P371" s="116"/>
    </row>
    <row r="372" spans="1:16" s="10" customFormat="1" x14ac:dyDescent="0.25">
      <c r="A372" s="11"/>
      <c r="B372" s="4"/>
      <c r="C372" s="25"/>
      <c r="P372" s="116"/>
    </row>
    <row r="373" spans="1:16" s="10" customFormat="1" x14ac:dyDescent="0.25">
      <c r="A373" s="11"/>
      <c r="B373" s="4"/>
      <c r="C373" s="25"/>
      <c r="P373" s="116"/>
    </row>
    <row r="374" spans="1:16" s="10" customFormat="1" x14ac:dyDescent="0.25">
      <c r="A374" s="11"/>
      <c r="B374" s="4"/>
      <c r="C374" s="25"/>
      <c r="P374" s="116"/>
    </row>
    <row r="375" spans="1:16" s="10" customFormat="1" x14ac:dyDescent="0.25">
      <c r="A375" s="11"/>
      <c r="B375" s="4"/>
      <c r="C375" s="25"/>
      <c r="P375" s="116"/>
    </row>
    <row r="376" spans="1:16" s="10" customFormat="1" x14ac:dyDescent="0.25">
      <c r="A376" s="11"/>
      <c r="B376" s="4"/>
      <c r="C376" s="25"/>
      <c r="P376" s="116"/>
    </row>
    <row r="377" spans="1:16" s="10" customFormat="1" x14ac:dyDescent="0.25">
      <c r="A377" s="11"/>
      <c r="B377" s="4"/>
      <c r="C377" s="25"/>
      <c r="P377" s="116"/>
    </row>
    <row r="378" spans="1:16" s="10" customFormat="1" x14ac:dyDescent="0.25">
      <c r="A378" s="11"/>
      <c r="B378" s="4"/>
      <c r="C378" s="25"/>
      <c r="P378" s="116"/>
    </row>
    <row r="379" spans="1:16" s="10" customFormat="1" x14ac:dyDescent="0.25">
      <c r="A379" s="11"/>
      <c r="B379" s="4"/>
      <c r="C379" s="25"/>
      <c r="P379" s="116"/>
    </row>
    <row r="380" spans="1:16" s="10" customFormat="1" x14ac:dyDescent="0.25">
      <c r="A380" s="11"/>
      <c r="B380" s="4"/>
      <c r="C380" s="25"/>
      <c r="P380" s="116"/>
    </row>
    <row r="381" spans="1:16" s="10" customFormat="1" x14ac:dyDescent="0.25">
      <c r="A381" s="11"/>
      <c r="B381" s="4"/>
      <c r="C381" s="25"/>
      <c r="P381" s="116"/>
    </row>
    <row r="382" spans="1:16" s="10" customFormat="1" x14ac:dyDescent="0.25">
      <c r="A382" s="11"/>
      <c r="B382" s="4"/>
      <c r="C382" s="25"/>
      <c r="P382" s="116"/>
    </row>
    <row r="383" spans="1:16" s="10" customFormat="1" x14ac:dyDescent="0.25">
      <c r="A383" s="11"/>
      <c r="B383" s="4"/>
      <c r="C383" s="25"/>
      <c r="P383" s="116"/>
    </row>
    <row r="384" spans="1:16" s="10" customFormat="1" x14ac:dyDescent="0.25">
      <c r="A384" s="11"/>
      <c r="B384" s="4"/>
      <c r="C384" s="25"/>
      <c r="P384" s="116"/>
    </row>
    <row r="385" spans="1:16" s="10" customFormat="1" x14ac:dyDescent="0.25">
      <c r="A385" s="11"/>
      <c r="B385" s="4"/>
      <c r="C385" s="25"/>
      <c r="P385" s="116"/>
    </row>
    <row r="386" spans="1:16" s="10" customFormat="1" x14ac:dyDescent="0.25">
      <c r="A386" s="11"/>
      <c r="B386" s="4"/>
      <c r="C386" s="25"/>
      <c r="P386" s="116"/>
    </row>
    <row r="387" spans="1:16" s="10" customFormat="1" x14ac:dyDescent="0.25">
      <c r="A387" s="11"/>
      <c r="B387" s="4"/>
      <c r="C387" s="25"/>
      <c r="P387" s="116"/>
    </row>
    <row r="388" spans="1:16" s="10" customFormat="1" x14ac:dyDescent="0.25">
      <c r="A388" s="11"/>
      <c r="B388" s="4"/>
      <c r="C388" s="25"/>
      <c r="P388" s="116"/>
    </row>
    <row r="389" spans="1:16" s="10" customFormat="1" x14ac:dyDescent="0.25">
      <c r="A389" s="11"/>
      <c r="B389" s="4"/>
      <c r="C389" s="25"/>
      <c r="P389" s="116"/>
    </row>
    <row r="390" spans="1:16" s="10" customFormat="1" x14ac:dyDescent="0.25">
      <c r="A390" s="11"/>
      <c r="B390" s="4"/>
      <c r="C390" s="25"/>
      <c r="P390" s="116"/>
    </row>
    <row r="391" spans="1:16" s="10" customFormat="1" x14ac:dyDescent="0.25">
      <c r="A391" s="11"/>
      <c r="B391" s="4"/>
      <c r="C391" s="25"/>
      <c r="P391" s="116"/>
    </row>
    <row r="392" spans="1:16" s="10" customFormat="1" x14ac:dyDescent="0.25">
      <c r="A392" s="11"/>
      <c r="B392" s="4"/>
      <c r="C392" s="25"/>
      <c r="P392" s="116"/>
    </row>
    <row r="393" spans="1:16" s="10" customFormat="1" x14ac:dyDescent="0.25">
      <c r="A393" s="11"/>
      <c r="B393" s="4"/>
      <c r="C393" s="25"/>
      <c r="P393" s="116"/>
    </row>
    <row r="394" spans="1:16" s="10" customFormat="1" x14ac:dyDescent="0.25">
      <c r="A394" s="11"/>
      <c r="B394" s="4"/>
      <c r="C394" s="25"/>
      <c r="P394" s="116"/>
    </row>
    <row r="395" spans="1:16" s="10" customFormat="1" x14ac:dyDescent="0.25">
      <c r="A395" s="11"/>
      <c r="B395" s="4"/>
      <c r="C395" s="25"/>
      <c r="P395" s="116"/>
    </row>
    <row r="396" spans="1:16" s="10" customFormat="1" x14ac:dyDescent="0.25">
      <c r="A396" s="11"/>
      <c r="B396" s="4"/>
      <c r="C396" s="25"/>
      <c r="P396" s="116"/>
    </row>
    <row r="397" spans="1:16" s="10" customFormat="1" x14ac:dyDescent="0.25">
      <c r="A397" s="11"/>
      <c r="B397" s="4"/>
      <c r="C397" s="25"/>
      <c r="P397" s="116"/>
    </row>
    <row r="398" spans="1:16" s="10" customFormat="1" x14ac:dyDescent="0.25">
      <c r="A398" s="11"/>
      <c r="B398" s="4"/>
      <c r="C398" s="25"/>
      <c r="P398" s="116"/>
    </row>
    <row r="399" spans="1:16" s="10" customFormat="1" x14ac:dyDescent="0.25">
      <c r="A399" s="11"/>
      <c r="B399" s="4"/>
      <c r="C399" s="25"/>
      <c r="P399" s="116"/>
    </row>
    <row r="400" spans="1:16" s="10" customFormat="1" x14ac:dyDescent="0.25">
      <c r="A400" s="11"/>
      <c r="B400" s="4"/>
      <c r="C400" s="25"/>
      <c r="P400" s="116"/>
    </row>
    <row r="401" spans="1:16" s="10" customFormat="1" x14ac:dyDescent="0.25">
      <c r="A401" s="11"/>
      <c r="B401" s="4"/>
      <c r="C401" s="25"/>
      <c r="P401" s="116"/>
    </row>
    <row r="402" spans="1:16" s="10" customFormat="1" x14ac:dyDescent="0.25">
      <c r="A402" s="11"/>
      <c r="B402" s="4"/>
      <c r="C402" s="25"/>
      <c r="P402" s="116"/>
    </row>
    <row r="403" spans="1:16" s="10" customFormat="1" x14ac:dyDescent="0.25">
      <c r="A403" s="11"/>
      <c r="B403" s="4"/>
      <c r="C403" s="25"/>
      <c r="P403" s="116"/>
    </row>
    <row r="404" spans="1:16" s="10" customFormat="1" x14ac:dyDescent="0.25">
      <c r="A404" s="11"/>
      <c r="B404" s="4"/>
      <c r="C404" s="25"/>
      <c r="P404" s="116"/>
    </row>
    <row r="405" spans="1:16" s="10" customFormat="1" x14ac:dyDescent="0.25">
      <c r="A405" s="11"/>
      <c r="B405" s="4"/>
      <c r="C405" s="25"/>
      <c r="P405" s="116"/>
    </row>
    <row r="406" spans="1:16" s="10" customFormat="1" x14ac:dyDescent="0.25">
      <c r="A406" s="11"/>
      <c r="B406" s="4"/>
      <c r="C406" s="25"/>
      <c r="P406" s="116"/>
    </row>
    <row r="407" spans="1:16" s="10" customFormat="1" x14ac:dyDescent="0.25">
      <c r="A407" s="11"/>
      <c r="B407" s="4"/>
      <c r="C407" s="25"/>
      <c r="P407" s="116"/>
    </row>
    <row r="408" spans="1:16" s="10" customFormat="1" x14ac:dyDescent="0.25">
      <c r="A408" s="11"/>
      <c r="B408" s="4"/>
      <c r="C408" s="25"/>
      <c r="P408" s="116"/>
    </row>
    <row r="409" spans="1:16" s="10" customFormat="1" x14ac:dyDescent="0.25">
      <c r="A409" s="11"/>
      <c r="B409" s="4"/>
      <c r="C409" s="25"/>
      <c r="P409" s="116"/>
    </row>
    <row r="410" spans="1:16" s="10" customFormat="1" x14ac:dyDescent="0.25">
      <c r="A410" s="11"/>
      <c r="B410" s="4"/>
      <c r="C410" s="25"/>
      <c r="P410" s="116"/>
    </row>
    <row r="411" spans="1:16" s="10" customFormat="1" x14ac:dyDescent="0.25">
      <c r="A411" s="11"/>
      <c r="B411" s="4"/>
      <c r="C411" s="25"/>
      <c r="P411" s="116"/>
    </row>
    <row r="412" spans="1:16" s="10" customFormat="1" x14ac:dyDescent="0.25">
      <c r="A412" s="11"/>
      <c r="B412" s="4"/>
      <c r="C412" s="25"/>
      <c r="P412" s="116"/>
    </row>
    <row r="413" spans="1:16" s="10" customFormat="1" x14ac:dyDescent="0.25">
      <c r="A413" s="11"/>
      <c r="B413" s="4"/>
      <c r="C413" s="25"/>
      <c r="P413" s="116"/>
    </row>
    <row r="414" spans="1:16" s="10" customFormat="1" x14ac:dyDescent="0.25">
      <c r="A414" s="11"/>
      <c r="B414" s="4"/>
      <c r="C414" s="25"/>
      <c r="P414" s="116"/>
    </row>
    <row r="415" spans="1:16" s="10" customFormat="1" x14ac:dyDescent="0.25">
      <c r="A415" s="11"/>
      <c r="B415" s="4"/>
      <c r="C415" s="25"/>
      <c r="P415" s="116"/>
    </row>
    <row r="416" spans="1:16" s="10" customFormat="1" x14ac:dyDescent="0.25">
      <c r="A416" s="11"/>
      <c r="B416" s="4"/>
      <c r="C416" s="25"/>
      <c r="P416" s="116"/>
    </row>
    <row r="417" spans="1:16" s="10" customFormat="1" x14ac:dyDescent="0.25">
      <c r="A417" s="11"/>
      <c r="B417" s="4"/>
      <c r="C417" s="25"/>
      <c r="P417" s="116"/>
    </row>
    <row r="418" spans="1:16" s="10" customFormat="1" x14ac:dyDescent="0.25">
      <c r="A418" s="11"/>
      <c r="B418" s="4"/>
      <c r="C418" s="25"/>
      <c r="P418" s="116"/>
    </row>
    <row r="419" spans="1:16" s="10" customFormat="1" x14ac:dyDescent="0.25">
      <c r="A419" s="11"/>
      <c r="B419" s="4"/>
      <c r="C419" s="25"/>
      <c r="P419" s="116"/>
    </row>
    <row r="420" spans="1:16" s="10" customFormat="1" x14ac:dyDescent="0.25">
      <c r="A420" s="11"/>
      <c r="B420" s="4"/>
      <c r="C420" s="25"/>
      <c r="P420" s="116"/>
    </row>
    <row r="421" spans="1:16" s="10" customFormat="1" x14ac:dyDescent="0.25">
      <c r="A421" s="11"/>
      <c r="B421" s="4"/>
      <c r="C421" s="25"/>
      <c r="P421" s="116"/>
    </row>
    <row r="422" spans="1:16" s="10" customFormat="1" x14ac:dyDescent="0.25">
      <c r="A422" s="11"/>
      <c r="B422" s="4"/>
      <c r="C422" s="25"/>
      <c r="P422" s="116"/>
    </row>
    <row r="423" spans="1:16" s="10" customFormat="1" x14ac:dyDescent="0.25">
      <c r="A423" s="11"/>
      <c r="B423" s="4"/>
      <c r="C423" s="25"/>
      <c r="P423" s="116"/>
    </row>
    <row r="424" spans="1:16" s="10" customFormat="1" x14ac:dyDescent="0.25">
      <c r="A424" s="11"/>
      <c r="B424" s="4"/>
      <c r="C424" s="25"/>
      <c r="P424" s="116"/>
    </row>
    <row r="425" spans="1:16" s="10" customFormat="1" x14ac:dyDescent="0.25">
      <c r="A425" s="11"/>
      <c r="B425" s="4"/>
      <c r="C425" s="25"/>
      <c r="P425" s="116"/>
    </row>
    <row r="426" spans="1:16" s="10" customFormat="1" x14ac:dyDescent="0.25">
      <c r="A426" s="11"/>
      <c r="B426" s="4"/>
      <c r="C426" s="25"/>
      <c r="P426" s="116"/>
    </row>
    <row r="427" spans="1:16" s="10" customFormat="1" x14ac:dyDescent="0.25">
      <c r="A427" s="11"/>
      <c r="B427" s="4"/>
      <c r="C427" s="25"/>
      <c r="P427" s="116"/>
    </row>
    <row r="428" spans="1:16" s="10" customFormat="1" x14ac:dyDescent="0.25">
      <c r="A428" s="11"/>
      <c r="B428" s="4"/>
      <c r="C428" s="25"/>
      <c r="P428" s="116"/>
    </row>
    <row r="429" spans="1:16" s="10" customFormat="1" x14ac:dyDescent="0.25">
      <c r="A429" s="11"/>
      <c r="B429" s="4"/>
      <c r="C429" s="25"/>
      <c r="P429" s="116"/>
    </row>
    <row r="430" spans="1:16" s="10" customFormat="1" x14ac:dyDescent="0.25">
      <c r="A430" s="11"/>
      <c r="B430" s="4"/>
      <c r="C430" s="25"/>
      <c r="P430" s="116"/>
    </row>
    <row r="431" spans="1:16" s="10" customFormat="1" x14ac:dyDescent="0.25">
      <c r="A431" s="11"/>
      <c r="B431" s="4"/>
      <c r="C431" s="25"/>
      <c r="P431" s="116"/>
    </row>
    <row r="432" spans="1:16" s="10" customFormat="1" x14ac:dyDescent="0.25">
      <c r="A432" s="11"/>
      <c r="B432" s="4"/>
      <c r="C432" s="25"/>
      <c r="P432" s="116"/>
    </row>
    <row r="433" spans="1:16" s="10" customFormat="1" x14ac:dyDescent="0.25">
      <c r="A433" s="11"/>
      <c r="B433" s="4"/>
      <c r="C433" s="25"/>
      <c r="P433" s="116"/>
    </row>
    <row r="434" spans="1:16" s="10" customFormat="1" x14ac:dyDescent="0.25">
      <c r="A434" s="11"/>
      <c r="B434" s="4"/>
      <c r="C434" s="25"/>
      <c r="P434" s="116"/>
    </row>
    <row r="435" spans="1:16" s="10" customFormat="1" x14ac:dyDescent="0.25">
      <c r="A435" s="11"/>
      <c r="B435" s="4"/>
      <c r="C435" s="25"/>
      <c r="P435" s="116"/>
    </row>
    <row r="436" spans="1:16" s="10" customFormat="1" x14ac:dyDescent="0.25">
      <c r="A436" s="11"/>
      <c r="B436" s="4"/>
      <c r="C436" s="25"/>
      <c r="P436" s="116"/>
    </row>
    <row r="437" spans="1:16" s="10" customFormat="1" x14ac:dyDescent="0.25">
      <c r="A437" s="11"/>
      <c r="B437" s="4"/>
      <c r="C437" s="25"/>
      <c r="P437" s="116"/>
    </row>
    <row r="438" spans="1:16" s="10" customFormat="1" x14ac:dyDescent="0.25">
      <c r="A438" s="11"/>
      <c r="B438" s="4"/>
      <c r="C438" s="25"/>
      <c r="P438" s="116"/>
    </row>
    <row r="439" spans="1:16" s="10" customFormat="1" x14ac:dyDescent="0.25">
      <c r="A439" s="11"/>
      <c r="B439" s="4"/>
      <c r="C439" s="25"/>
      <c r="P439" s="116"/>
    </row>
    <row r="440" spans="1:16" s="10" customFormat="1" x14ac:dyDescent="0.25">
      <c r="A440" s="11"/>
      <c r="B440" s="4"/>
      <c r="C440" s="25"/>
      <c r="P440" s="116"/>
    </row>
    <row r="441" spans="1:16" s="10" customFormat="1" x14ac:dyDescent="0.25">
      <c r="A441" s="11"/>
      <c r="B441" s="4"/>
      <c r="C441" s="25"/>
      <c r="P441" s="116"/>
    </row>
    <row r="442" spans="1:16" s="10" customFormat="1" x14ac:dyDescent="0.25">
      <c r="A442" s="11"/>
      <c r="B442" s="4"/>
      <c r="C442" s="25"/>
      <c r="P442" s="116"/>
    </row>
    <row r="443" spans="1:16" s="10" customFormat="1" x14ac:dyDescent="0.25">
      <c r="A443" s="11"/>
      <c r="B443" s="4"/>
      <c r="C443" s="25"/>
      <c r="P443" s="116"/>
    </row>
    <row r="444" spans="1:16" s="10" customFormat="1" x14ac:dyDescent="0.25">
      <c r="A444" s="11"/>
      <c r="B444" s="4"/>
      <c r="C444" s="25"/>
      <c r="P444" s="116"/>
    </row>
    <row r="445" spans="1:16" s="10" customFormat="1" x14ac:dyDescent="0.25">
      <c r="A445" s="11"/>
      <c r="B445" s="4"/>
      <c r="C445" s="25"/>
      <c r="P445" s="116"/>
    </row>
    <row r="446" spans="1:16" s="10" customFormat="1" x14ac:dyDescent="0.25">
      <c r="A446" s="11"/>
      <c r="B446" s="4"/>
      <c r="C446" s="25"/>
      <c r="P446" s="116"/>
    </row>
    <row r="447" spans="1:16" s="10" customFormat="1" x14ac:dyDescent="0.25">
      <c r="A447" s="11"/>
      <c r="B447" s="4"/>
      <c r="C447" s="25"/>
      <c r="P447" s="116"/>
    </row>
    <row r="448" spans="1:16" s="10" customFormat="1" x14ac:dyDescent="0.25">
      <c r="A448" s="11"/>
      <c r="B448" s="4"/>
      <c r="C448" s="25"/>
      <c r="P448" s="116"/>
    </row>
    <row r="449" spans="1:16" s="10" customFormat="1" x14ac:dyDescent="0.25">
      <c r="A449" s="11"/>
      <c r="B449" s="4"/>
      <c r="C449" s="25"/>
      <c r="P449" s="116"/>
    </row>
    <row r="450" spans="1:16" s="10" customFormat="1" x14ac:dyDescent="0.25">
      <c r="A450" s="11"/>
      <c r="B450" s="4"/>
      <c r="C450" s="25"/>
      <c r="P450" s="116"/>
    </row>
    <row r="451" spans="1:16" s="10" customFormat="1" x14ac:dyDescent="0.25">
      <c r="A451" s="11"/>
      <c r="B451" s="4"/>
      <c r="C451" s="25"/>
      <c r="P451" s="116"/>
    </row>
    <row r="452" spans="1:16" s="10" customFormat="1" x14ac:dyDescent="0.25">
      <c r="A452" s="11"/>
      <c r="B452" s="4"/>
      <c r="C452" s="25"/>
      <c r="P452" s="116"/>
    </row>
    <row r="453" spans="1:16" s="10" customFormat="1" x14ac:dyDescent="0.25">
      <c r="A453" s="11"/>
      <c r="B453" s="4"/>
      <c r="C453" s="25"/>
      <c r="P453" s="116"/>
    </row>
    <row r="454" spans="1:16" s="10" customFormat="1" x14ac:dyDescent="0.25">
      <c r="A454" s="11"/>
      <c r="B454" s="4"/>
      <c r="C454" s="25"/>
      <c r="P454" s="116"/>
    </row>
    <row r="455" spans="1:16" s="10" customFormat="1" x14ac:dyDescent="0.25">
      <c r="A455" s="11"/>
      <c r="B455" s="4"/>
      <c r="C455" s="25"/>
      <c r="P455" s="116"/>
    </row>
    <row r="456" spans="1:16" s="10" customFormat="1" x14ac:dyDescent="0.25">
      <c r="A456" s="11"/>
      <c r="B456" s="4"/>
      <c r="C456" s="25"/>
      <c r="P456" s="116"/>
    </row>
    <row r="457" spans="1:16" s="10" customFormat="1" x14ac:dyDescent="0.25">
      <c r="A457" s="11"/>
      <c r="B457" s="4"/>
      <c r="C457" s="25"/>
      <c r="P457" s="116"/>
    </row>
    <row r="458" spans="1:16" s="10" customFormat="1" x14ac:dyDescent="0.25">
      <c r="A458" s="11"/>
      <c r="B458" s="4"/>
      <c r="C458" s="25"/>
      <c r="P458" s="116"/>
    </row>
    <row r="459" spans="1:16" s="10" customFormat="1" x14ac:dyDescent="0.25">
      <c r="A459" s="11"/>
      <c r="B459" s="4"/>
      <c r="C459" s="25"/>
      <c r="P459" s="116"/>
    </row>
    <row r="460" spans="1:16" s="10" customFormat="1" x14ac:dyDescent="0.25">
      <c r="A460" s="11"/>
      <c r="B460" s="4"/>
      <c r="C460" s="25"/>
      <c r="P460" s="116"/>
    </row>
    <row r="461" spans="1:16" s="10" customFormat="1" x14ac:dyDescent="0.25">
      <c r="A461" s="11"/>
      <c r="B461" s="4"/>
      <c r="C461" s="25"/>
      <c r="P461" s="116"/>
    </row>
    <row r="462" spans="1:16" s="10" customFormat="1" x14ac:dyDescent="0.25">
      <c r="A462" s="11"/>
      <c r="B462" s="4"/>
      <c r="C462" s="25"/>
      <c r="P462" s="116"/>
    </row>
    <row r="463" spans="1:16" s="10" customFormat="1" x14ac:dyDescent="0.25">
      <c r="A463" s="11"/>
      <c r="B463" s="4"/>
      <c r="C463" s="25"/>
      <c r="P463" s="116"/>
    </row>
    <row r="464" spans="1:16" s="10" customFormat="1" x14ac:dyDescent="0.25">
      <c r="A464" s="11"/>
      <c r="B464" s="4"/>
      <c r="C464" s="25"/>
      <c r="P464" s="116"/>
    </row>
    <row r="465" spans="1:16" s="10" customFormat="1" x14ac:dyDescent="0.25">
      <c r="A465" s="11"/>
      <c r="B465" s="4"/>
      <c r="C465" s="25"/>
      <c r="P465" s="116"/>
    </row>
    <row r="466" spans="1:16" s="10" customFormat="1" x14ac:dyDescent="0.25">
      <c r="A466" s="11"/>
      <c r="B466" s="4"/>
      <c r="C466" s="25"/>
      <c r="P466" s="116"/>
    </row>
    <row r="467" spans="1:16" s="10" customFormat="1" x14ac:dyDescent="0.25">
      <c r="A467" s="11"/>
      <c r="B467" s="4"/>
      <c r="C467" s="25"/>
      <c r="P467" s="116"/>
    </row>
    <row r="468" spans="1:16" s="10" customFormat="1" x14ac:dyDescent="0.25">
      <c r="A468" s="11"/>
      <c r="B468" s="4"/>
      <c r="C468" s="25"/>
      <c r="P468" s="116"/>
    </row>
    <row r="469" spans="1:16" s="10" customFormat="1" x14ac:dyDescent="0.25">
      <c r="A469" s="11"/>
      <c r="B469" s="4"/>
      <c r="C469" s="25"/>
      <c r="P469" s="116"/>
    </row>
    <row r="470" spans="1:16" s="10" customFormat="1" x14ac:dyDescent="0.25">
      <c r="A470" s="11"/>
      <c r="B470" s="4"/>
      <c r="C470" s="25"/>
      <c r="P470" s="116"/>
    </row>
    <row r="471" spans="1:16" s="10" customFormat="1" x14ac:dyDescent="0.25">
      <c r="A471" s="11"/>
      <c r="B471" s="4"/>
      <c r="C471" s="25"/>
      <c r="P471" s="116"/>
    </row>
    <row r="472" spans="1:16" s="10" customFormat="1" x14ac:dyDescent="0.25">
      <c r="A472" s="11"/>
      <c r="B472" s="4"/>
      <c r="C472" s="25"/>
      <c r="P472" s="116"/>
    </row>
    <row r="473" spans="1:16" s="10" customFormat="1" x14ac:dyDescent="0.25">
      <c r="A473" s="11"/>
      <c r="B473" s="4"/>
      <c r="C473" s="25"/>
      <c r="P473" s="116"/>
    </row>
    <row r="474" spans="1:16" s="10" customFormat="1" x14ac:dyDescent="0.25">
      <c r="A474" s="11"/>
      <c r="B474" s="4"/>
      <c r="C474" s="25"/>
      <c r="P474" s="116"/>
    </row>
    <row r="475" spans="1:16" s="10" customFormat="1" x14ac:dyDescent="0.25">
      <c r="A475" s="11"/>
      <c r="B475" s="4"/>
      <c r="C475" s="25"/>
      <c r="P475" s="116"/>
    </row>
    <row r="476" spans="1:16" s="10" customFormat="1" x14ac:dyDescent="0.25">
      <c r="A476" s="11"/>
      <c r="B476" s="4"/>
      <c r="C476" s="25"/>
      <c r="P476" s="116"/>
    </row>
    <row r="477" spans="1:16" s="10" customFormat="1" x14ac:dyDescent="0.25">
      <c r="A477" s="11"/>
      <c r="B477" s="4"/>
      <c r="C477" s="25"/>
      <c r="P477" s="116"/>
    </row>
    <row r="478" spans="1:16" s="10" customFormat="1" x14ac:dyDescent="0.25">
      <c r="A478" s="11"/>
      <c r="B478" s="4"/>
      <c r="C478" s="25"/>
      <c r="P478" s="116"/>
    </row>
    <row r="479" spans="1:16" s="10" customFormat="1" x14ac:dyDescent="0.25">
      <c r="A479" s="11"/>
      <c r="B479" s="4"/>
      <c r="C479" s="25"/>
      <c r="P479" s="116"/>
    </row>
    <row r="480" spans="1:16" s="10" customFormat="1" x14ac:dyDescent="0.25">
      <c r="A480" s="11"/>
      <c r="B480" s="4"/>
      <c r="C480" s="25"/>
      <c r="P480" s="116"/>
    </row>
    <row r="481" spans="1:16" s="10" customFormat="1" x14ac:dyDescent="0.25">
      <c r="A481" s="11"/>
      <c r="B481" s="4"/>
      <c r="C481" s="25"/>
      <c r="P481" s="116"/>
    </row>
    <row r="482" spans="1:16" s="10" customFormat="1" x14ac:dyDescent="0.25">
      <c r="A482" s="11"/>
      <c r="B482" s="4"/>
      <c r="C482" s="25"/>
      <c r="P482" s="116"/>
    </row>
    <row r="483" spans="1:16" s="10" customFormat="1" x14ac:dyDescent="0.25">
      <c r="A483" s="11"/>
      <c r="B483" s="4"/>
      <c r="C483" s="25"/>
      <c r="P483" s="116"/>
    </row>
    <row r="484" spans="1:16" s="10" customFormat="1" x14ac:dyDescent="0.25">
      <c r="A484" s="11"/>
      <c r="B484" s="4"/>
      <c r="C484" s="25"/>
      <c r="P484" s="116"/>
    </row>
    <row r="485" spans="1:16" s="10" customFormat="1" x14ac:dyDescent="0.25">
      <c r="A485" s="11"/>
      <c r="B485" s="4"/>
      <c r="C485" s="25"/>
      <c r="P485" s="116"/>
    </row>
    <row r="486" spans="1:16" s="10" customFormat="1" x14ac:dyDescent="0.25">
      <c r="A486" s="11"/>
      <c r="B486" s="4"/>
      <c r="C486" s="25"/>
      <c r="P486" s="116"/>
    </row>
    <row r="487" spans="1:16" s="10" customFormat="1" x14ac:dyDescent="0.25">
      <c r="A487" s="11"/>
      <c r="B487" s="4"/>
      <c r="C487" s="25"/>
      <c r="P487" s="116"/>
    </row>
    <row r="488" spans="1:16" s="10" customFormat="1" x14ac:dyDescent="0.25">
      <c r="A488" s="11"/>
      <c r="B488" s="4"/>
      <c r="C488" s="25"/>
      <c r="P488" s="116"/>
    </row>
    <row r="489" spans="1:16" s="10" customFormat="1" x14ac:dyDescent="0.25">
      <c r="A489" s="11"/>
      <c r="B489" s="4"/>
      <c r="C489" s="25"/>
      <c r="P489" s="116"/>
    </row>
    <row r="490" spans="1:16" s="10" customFormat="1" x14ac:dyDescent="0.25">
      <c r="A490" s="11"/>
      <c r="B490" s="4"/>
      <c r="C490" s="25"/>
      <c r="P490" s="116"/>
    </row>
    <row r="491" spans="1:16" s="10" customFormat="1" x14ac:dyDescent="0.25">
      <c r="A491" s="11"/>
      <c r="B491" s="4"/>
      <c r="C491" s="25"/>
      <c r="P491" s="116"/>
    </row>
    <row r="492" spans="1:16" s="10" customFormat="1" x14ac:dyDescent="0.25">
      <c r="A492" s="11"/>
      <c r="B492" s="4"/>
      <c r="C492" s="25"/>
      <c r="P492" s="116"/>
    </row>
    <row r="493" spans="1:16" s="10" customFormat="1" x14ac:dyDescent="0.25">
      <c r="A493" s="11"/>
      <c r="B493" s="4"/>
      <c r="C493" s="25"/>
      <c r="P493" s="116"/>
    </row>
    <row r="494" spans="1:16" s="10" customFormat="1" x14ac:dyDescent="0.25">
      <c r="A494" s="11"/>
      <c r="B494" s="4"/>
      <c r="C494" s="25"/>
      <c r="P494" s="116"/>
    </row>
    <row r="495" spans="1:16" s="10" customFormat="1" x14ac:dyDescent="0.25">
      <c r="A495" s="11"/>
      <c r="B495" s="4"/>
      <c r="C495" s="25"/>
      <c r="P495" s="116"/>
    </row>
    <row r="496" spans="1:16" s="10" customFormat="1" x14ac:dyDescent="0.25">
      <c r="A496" s="11"/>
      <c r="B496" s="4"/>
      <c r="C496" s="25"/>
      <c r="P496" s="116"/>
    </row>
    <row r="497" spans="1:16" s="10" customFormat="1" x14ac:dyDescent="0.25">
      <c r="A497" s="11"/>
      <c r="B497" s="4"/>
      <c r="C497" s="25"/>
      <c r="P497" s="116"/>
    </row>
    <row r="498" spans="1:16" s="10" customFormat="1" x14ac:dyDescent="0.25">
      <c r="A498" s="11"/>
      <c r="B498" s="4"/>
      <c r="C498" s="25"/>
      <c r="P498" s="116"/>
    </row>
    <row r="499" spans="1:16" s="10" customFormat="1" x14ac:dyDescent="0.25">
      <c r="A499" s="11"/>
      <c r="B499" s="4"/>
      <c r="C499" s="25"/>
      <c r="P499" s="116"/>
    </row>
    <row r="500" spans="1:16" s="10" customFormat="1" x14ac:dyDescent="0.25">
      <c r="A500" s="11"/>
      <c r="B500" s="4"/>
      <c r="C500" s="25"/>
      <c r="P500" s="116"/>
    </row>
    <row r="501" spans="1:16" s="10" customFormat="1" x14ac:dyDescent="0.25">
      <c r="A501" s="11"/>
      <c r="B501" s="4"/>
      <c r="C501" s="25"/>
      <c r="P501" s="116"/>
    </row>
    <row r="502" spans="1:16" s="10" customFormat="1" x14ac:dyDescent="0.25">
      <c r="A502" s="11"/>
      <c r="B502" s="4"/>
      <c r="C502" s="25"/>
      <c r="P502" s="116"/>
    </row>
    <row r="503" spans="1:16" s="10" customFormat="1" x14ac:dyDescent="0.25">
      <c r="A503" s="11"/>
      <c r="B503" s="4"/>
      <c r="C503" s="25"/>
      <c r="P503" s="116"/>
    </row>
    <row r="504" spans="1:16" s="10" customFormat="1" x14ac:dyDescent="0.25">
      <c r="A504" s="11"/>
      <c r="B504" s="4"/>
      <c r="C504" s="25"/>
      <c r="P504" s="116"/>
    </row>
    <row r="505" spans="1:16" s="10" customFormat="1" x14ac:dyDescent="0.25">
      <c r="A505" s="11"/>
      <c r="B505" s="4"/>
      <c r="C505" s="25"/>
      <c r="P505" s="116"/>
    </row>
    <row r="506" spans="1:16" s="10" customFormat="1" x14ac:dyDescent="0.25">
      <c r="A506" s="11"/>
      <c r="B506" s="4"/>
      <c r="C506" s="25"/>
      <c r="P506" s="116"/>
    </row>
    <row r="507" spans="1:16" s="10" customFormat="1" x14ac:dyDescent="0.25">
      <c r="A507" s="11"/>
      <c r="B507" s="4"/>
      <c r="C507" s="25"/>
      <c r="P507" s="116"/>
    </row>
    <row r="508" spans="1:16" s="10" customFormat="1" x14ac:dyDescent="0.25">
      <c r="A508" s="11"/>
      <c r="B508" s="4"/>
      <c r="C508" s="25"/>
      <c r="P508" s="116"/>
    </row>
    <row r="509" spans="1:16" s="10" customFormat="1" x14ac:dyDescent="0.25">
      <c r="A509" s="11"/>
      <c r="B509" s="4"/>
      <c r="C509" s="25"/>
      <c r="P509" s="116"/>
    </row>
    <row r="510" spans="1:16" s="10" customFormat="1" x14ac:dyDescent="0.25">
      <c r="A510" s="11"/>
      <c r="B510" s="4"/>
      <c r="C510" s="25"/>
      <c r="P510" s="116"/>
    </row>
    <row r="511" spans="1:16" s="10" customFormat="1" x14ac:dyDescent="0.25">
      <c r="A511" s="11"/>
      <c r="B511" s="4"/>
      <c r="C511" s="25"/>
      <c r="P511" s="116"/>
    </row>
    <row r="512" spans="1:16" s="10" customFormat="1" x14ac:dyDescent="0.25">
      <c r="A512" s="11"/>
      <c r="B512" s="4"/>
      <c r="C512" s="25"/>
      <c r="P512" s="116"/>
    </row>
    <row r="513" spans="1:16" s="10" customFormat="1" x14ac:dyDescent="0.25">
      <c r="A513" s="11"/>
      <c r="B513" s="4"/>
      <c r="C513" s="25"/>
      <c r="P513" s="116"/>
    </row>
    <row r="514" spans="1:16" s="10" customFormat="1" x14ac:dyDescent="0.25">
      <c r="A514" s="11"/>
      <c r="B514" s="4"/>
      <c r="C514" s="25"/>
      <c r="P514" s="116"/>
    </row>
    <row r="515" spans="1:16" s="10" customFormat="1" x14ac:dyDescent="0.25">
      <c r="A515" s="11"/>
      <c r="B515" s="4"/>
      <c r="C515" s="25"/>
      <c r="P515" s="116"/>
    </row>
    <row r="516" spans="1:16" s="10" customFormat="1" x14ac:dyDescent="0.25">
      <c r="A516" s="11"/>
      <c r="B516" s="4"/>
      <c r="C516" s="25"/>
      <c r="P516" s="116"/>
    </row>
    <row r="517" spans="1:16" s="10" customFormat="1" x14ac:dyDescent="0.25">
      <c r="A517" s="11"/>
      <c r="B517" s="4"/>
      <c r="C517" s="25"/>
      <c r="P517" s="116"/>
    </row>
    <row r="518" spans="1:16" s="10" customFormat="1" x14ac:dyDescent="0.25">
      <c r="A518" s="11"/>
      <c r="B518" s="4"/>
      <c r="C518" s="25"/>
      <c r="P518" s="116"/>
    </row>
    <row r="519" spans="1:16" s="10" customFormat="1" x14ac:dyDescent="0.25">
      <c r="A519" s="11"/>
      <c r="B519" s="4"/>
      <c r="C519" s="25"/>
      <c r="P519" s="116"/>
    </row>
    <row r="520" spans="1:16" s="10" customFormat="1" x14ac:dyDescent="0.25">
      <c r="A520" s="11"/>
      <c r="B520" s="4"/>
      <c r="C520" s="25"/>
      <c r="P520" s="116"/>
    </row>
    <row r="521" spans="1:16" s="10" customFormat="1" x14ac:dyDescent="0.25">
      <c r="A521" s="11"/>
      <c r="B521" s="4"/>
      <c r="C521" s="25"/>
      <c r="P521" s="116"/>
    </row>
    <row r="522" spans="1:16" s="10" customFormat="1" x14ac:dyDescent="0.25">
      <c r="A522" s="11"/>
      <c r="B522" s="4"/>
      <c r="C522" s="25"/>
      <c r="P522" s="116"/>
    </row>
    <row r="523" spans="1:16" s="10" customFormat="1" x14ac:dyDescent="0.25">
      <c r="A523" s="11"/>
      <c r="B523" s="4"/>
      <c r="C523" s="25"/>
      <c r="P523" s="116"/>
    </row>
    <row r="524" spans="1:16" s="10" customFormat="1" x14ac:dyDescent="0.25">
      <c r="A524" s="11"/>
      <c r="B524" s="4"/>
      <c r="C524" s="25"/>
      <c r="P524" s="116"/>
    </row>
    <row r="525" spans="1:16" s="10" customFormat="1" x14ac:dyDescent="0.25">
      <c r="A525" s="11"/>
      <c r="B525" s="4"/>
      <c r="C525" s="25"/>
      <c r="P525" s="116"/>
    </row>
    <row r="526" spans="1:16" s="10" customFormat="1" x14ac:dyDescent="0.25">
      <c r="A526" s="11"/>
      <c r="B526" s="4"/>
      <c r="C526" s="25"/>
      <c r="P526" s="116"/>
    </row>
    <row r="527" spans="1:16" s="10" customFormat="1" x14ac:dyDescent="0.25">
      <c r="A527" s="11"/>
      <c r="B527" s="4"/>
      <c r="C527" s="25"/>
      <c r="P527" s="116"/>
    </row>
    <row r="528" spans="1:16" s="10" customFormat="1" x14ac:dyDescent="0.25">
      <c r="A528" s="11"/>
      <c r="B528" s="4"/>
      <c r="C528" s="25"/>
      <c r="P528" s="116"/>
    </row>
    <row r="529" spans="1:16" s="10" customFormat="1" x14ac:dyDescent="0.25">
      <c r="A529" s="11"/>
      <c r="B529" s="4"/>
      <c r="C529" s="25"/>
      <c r="P529" s="116"/>
    </row>
    <row r="530" spans="1:16" s="10" customFormat="1" x14ac:dyDescent="0.25">
      <c r="A530" s="11"/>
      <c r="B530" s="4"/>
      <c r="C530" s="25"/>
      <c r="P530" s="116"/>
    </row>
    <row r="531" spans="1:16" s="10" customFormat="1" x14ac:dyDescent="0.25">
      <c r="A531" s="11"/>
      <c r="B531" s="4"/>
      <c r="C531" s="25"/>
      <c r="P531" s="116"/>
    </row>
    <row r="532" spans="1:16" s="10" customFormat="1" x14ac:dyDescent="0.25">
      <c r="A532" s="11"/>
      <c r="B532" s="4"/>
      <c r="C532" s="25"/>
      <c r="P532" s="116"/>
    </row>
    <row r="533" spans="1:16" s="10" customFormat="1" x14ac:dyDescent="0.25">
      <c r="A533" s="11"/>
      <c r="B533" s="4"/>
      <c r="C533" s="25"/>
      <c r="P533" s="116"/>
    </row>
    <row r="534" spans="1:16" s="10" customFormat="1" x14ac:dyDescent="0.25">
      <c r="A534" s="11"/>
      <c r="B534" s="4"/>
      <c r="C534" s="25"/>
      <c r="P534" s="116"/>
    </row>
    <row r="535" spans="1:16" s="10" customFormat="1" x14ac:dyDescent="0.25">
      <c r="A535" s="11"/>
      <c r="B535" s="4"/>
      <c r="C535" s="25"/>
      <c r="P535" s="116"/>
    </row>
    <row r="536" spans="1:16" s="10" customFormat="1" x14ac:dyDescent="0.25">
      <c r="A536" s="11"/>
      <c r="B536" s="4"/>
      <c r="C536" s="25"/>
      <c r="P536" s="116"/>
    </row>
    <row r="537" spans="1:16" s="10" customFormat="1" x14ac:dyDescent="0.25">
      <c r="A537" s="11"/>
      <c r="B537" s="4"/>
      <c r="C537" s="25"/>
      <c r="P537" s="116"/>
    </row>
    <row r="538" spans="1:16" s="10" customFormat="1" x14ac:dyDescent="0.25">
      <c r="A538" s="11"/>
      <c r="B538" s="4"/>
      <c r="C538" s="25"/>
      <c r="P538" s="116"/>
    </row>
    <row r="539" spans="1:16" s="10" customFormat="1" x14ac:dyDescent="0.25">
      <c r="A539" s="11"/>
      <c r="B539" s="4"/>
      <c r="C539" s="25"/>
      <c r="P539" s="116"/>
    </row>
    <row r="540" spans="1:16" s="10" customFormat="1" x14ac:dyDescent="0.25">
      <c r="A540" s="11"/>
      <c r="B540" s="4"/>
      <c r="C540" s="25"/>
      <c r="P540" s="116"/>
    </row>
    <row r="541" spans="1:16" s="10" customFormat="1" x14ac:dyDescent="0.25">
      <c r="A541" s="11"/>
      <c r="B541" s="4"/>
      <c r="C541" s="25"/>
      <c r="P541" s="116"/>
    </row>
    <row r="542" spans="1:16" s="10" customFormat="1" x14ac:dyDescent="0.25">
      <c r="A542" s="11"/>
      <c r="B542" s="4"/>
      <c r="C542" s="25"/>
      <c r="P542" s="116"/>
    </row>
    <row r="543" spans="1:16" s="10" customFormat="1" x14ac:dyDescent="0.25">
      <c r="A543" s="11"/>
      <c r="B543" s="4"/>
      <c r="C543" s="25"/>
      <c r="P543" s="116"/>
    </row>
    <row r="544" spans="1:16" s="10" customFormat="1" x14ac:dyDescent="0.25">
      <c r="A544" s="11"/>
      <c r="B544" s="4"/>
      <c r="C544" s="25"/>
      <c r="P544" s="116"/>
    </row>
    <row r="545" spans="1:16" s="10" customFormat="1" x14ac:dyDescent="0.25">
      <c r="A545" s="11"/>
      <c r="B545" s="4"/>
      <c r="C545" s="25"/>
      <c r="P545" s="116"/>
    </row>
    <row r="546" spans="1:16" s="10" customFormat="1" x14ac:dyDescent="0.25">
      <c r="A546" s="11"/>
      <c r="B546" s="4"/>
      <c r="C546" s="25"/>
      <c r="P546" s="116"/>
    </row>
    <row r="547" spans="1:16" s="10" customFormat="1" x14ac:dyDescent="0.25">
      <c r="A547" s="11"/>
      <c r="B547" s="4"/>
      <c r="C547" s="25"/>
      <c r="P547" s="116"/>
    </row>
    <row r="548" spans="1:16" s="10" customFormat="1" x14ac:dyDescent="0.25">
      <c r="A548" s="11"/>
      <c r="B548" s="4"/>
      <c r="C548" s="25"/>
      <c r="P548" s="116"/>
    </row>
    <row r="549" spans="1:16" s="10" customFormat="1" x14ac:dyDescent="0.25">
      <c r="A549" s="11"/>
      <c r="B549" s="4"/>
      <c r="C549" s="25"/>
      <c r="P549" s="116"/>
    </row>
    <row r="550" spans="1:16" s="10" customFormat="1" x14ac:dyDescent="0.25">
      <c r="A550" s="11"/>
      <c r="B550" s="4"/>
      <c r="C550" s="25"/>
      <c r="P550" s="116"/>
    </row>
    <row r="551" spans="1:16" s="10" customFormat="1" x14ac:dyDescent="0.25">
      <c r="A551" s="11"/>
      <c r="B551" s="4"/>
      <c r="C551" s="25"/>
      <c r="P551" s="116"/>
    </row>
    <row r="552" spans="1:16" s="10" customFormat="1" x14ac:dyDescent="0.25">
      <c r="A552" s="11"/>
      <c r="B552" s="4"/>
      <c r="C552" s="25"/>
      <c r="P552" s="116"/>
    </row>
  </sheetData>
  <mergeCells count="30">
    <mergeCell ref="A233:C233"/>
    <mergeCell ref="A231:C231"/>
    <mergeCell ref="A214:C214"/>
    <mergeCell ref="B10:B12"/>
    <mergeCell ref="A8:O8"/>
    <mergeCell ref="C10:C12"/>
    <mergeCell ref="A10:A12"/>
    <mergeCell ref="L11:M11"/>
    <mergeCell ref="O10:O12"/>
    <mergeCell ref="N11:N12"/>
    <mergeCell ref="D11:D12"/>
    <mergeCell ref="E11:E12"/>
    <mergeCell ref="D10:H10"/>
    <mergeCell ref="H11:H12"/>
    <mergeCell ref="K11:K12"/>
    <mergeCell ref="F11:G11"/>
    <mergeCell ref="P107:P148"/>
    <mergeCell ref="P149:P188"/>
    <mergeCell ref="P189:P225"/>
    <mergeCell ref="P1:P37"/>
    <mergeCell ref="P38:P106"/>
    <mergeCell ref="A216:E216"/>
    <mergeCell ref="M216:O216"/>
    <mergeCell ref="B217:H217"/>
    <mergeCell ref="K1:N1"/>
    <mergeCell ref="K5:O5"/>
    <mergeCell ref="J11:J12"/>
    <mergeCell ref="I10:N10"/>
    <mergeCell ref="I11:I12"/>
    <mergeCell ref="K6:O6"/>
  </mergeCells>
  <phoneticPr fontId="3" type="noConversion"/>
  <printOptions horizontalCentered="1"/>
  <pageMargins left="0.27559055118110237" right="0.27559055118110237" top="0.74803149606299213" bottom="0.39370078740157483" header="0.39370078740157483" footer="0.23622047244094491"/>
  <pageSetup paperSize="9" scale="43" fitToHeight="10" orientation="landscape" verticalDpi="300" r:id="rId1"/>
  <headerFooter alignWithMargins="0">
    <oddFooter>&amp;R&amp;20Сторінка &amp;P</oddFooter>
  </headerFooter>
  <rowBreaks count="1" manualBreakCount="1">
    <brk id="2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2018-12-20T16:07:08Z</cp:lastPrinted>
  <dcterms:created xsi:type="dcterms:W3CDTF">2014-01-17T10:52:16Z</dcterms:created>
  <dcterms:modified xsi:type="dcterms:W3CDTF">2019-01-10T14:58:31Z</dcterms:modified>
</cp:coreProperties>
</file>