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8" windowWidth="12396" windowHeight="805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(с)'!$A$1:$K$355</definedName>
  </definedNames>
  <calcPr fullCalcOnLoad="1"/>
</workbook>
</file>

<file path=xl/sharedStrings.xml><?xml version="1.0" encoding="utf-8"?>
<sst xmlns="http://schemas.openxmlformats.org/spreadsheetml/2006/main" count="662" uniqueCount="485">
  <si>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</si>
  <si>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</si>
  <si>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</si>
  <si>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</si>
  <si>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</si>
  <si>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</si>
  <si>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</si>
  <si>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</si>
  <si>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</si>
  <si>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</si>
  <si>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</si>
  <si>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</si>
  <si>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</si>
  <si>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</si>
  <si>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</si>
  <si>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</si>
  <si>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</si>
  <si>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</si>
  <si>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</si>
  <si>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</si>
  <si>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</si>
  <si>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</si>
  <si>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</si>
  <si>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</si>
  <si>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</si>
  <si>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</si>
  <si>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</si>
  <si>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</si>
  <si>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</si>
  <si>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</si>
  <si>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</si>
  <si>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</si>
  <si>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</si>
  <si>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</si>
  <si>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</si>
  <si>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</si>
  <si>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</si>
  <si>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</si>
  <si>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</si>
  <si>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</si>
  <si>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</si>
  <si>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</si>
  <si>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</si>
  <si>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</si>
  <si>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</si>
  <si>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</si>
  <si>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</si>
  <si>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</si>
  <si>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</si>
  <si>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</si>
  <si>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</si>
  <si>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</si>
  <si>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</si>
  <si>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</si>
  <si>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</si>
  <si>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</si>
  <si>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</si>
  <si>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</si>
  <si>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</si>
  <si>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</si>
  <si>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</si>
  <si>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</si>
  <si>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</si>
  <si>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</si>
  <si>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</si>
  <si>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</si>
  <si>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</si>
  <si>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</si>
  <si>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</si>
  <si>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</si>
  <si>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</si>
  <si>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</si>
  <si>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</si>
  <si>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</si>
  <si>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</si>
  <si>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</si>
  <si>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</si>
  <si>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</si>
  <si>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</si>
  <si>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</si>
  <si>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</si>
  <si>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</si>
  <si>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</si>
  <si>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</si>
  <si>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</si>
  <si>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</si>
  <si>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</si>
  <si>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</si>
  <si>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</si>
  <si>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</si>
  <si>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</si>
  <si>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</si>
  <si>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</si>
  <si>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</si>
  <si>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</si>
  <si>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</si>
  <si>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</si>
  <si>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</si>
  <si>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</si>
  <si>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</si>
  <si>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</si>
  <si>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</si>
  <si>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</si>
  <si>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</si>
  <si>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</si>
  <si>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</si>
  <si>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</si>
  <si>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</si>
  <si>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</si>
  <si>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</si>
  <si>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</si>
  <si>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</si>
  <si>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</si>
  <si>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</si>
  <si>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</si>
  <si>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</si>
  <si>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</si>
  <si>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</si>
  <si>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</si>
  <si>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</si>
  <si>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</si>
  <si>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</si>
  <si>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</si>
  <si>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</si>
  <si>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</si>
  <si>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</si>
  <si>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</si>
  <si>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</si>
  <si>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</si>
  <si>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</si>
  <si>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</si>
  <si>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</si>
  <si>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</si>
  <si>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</si>
  <si>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</si>
  <si>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</si>
  <si>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</si>
  <si>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</si>
  <si>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</si>
  <si>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</si>
  <si>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</si>
  <si>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</si>
  <si>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</si>
  <si>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</si>
  <si>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</si>
  <si>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</si>
  <si>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</si>
  <si>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</si>
  <si>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</si>
  <si>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</si>
  <si>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</si>
  <si>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</si>
  <si>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</si>
  <si>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</si>
  <si>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</si>
  <si>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</si>
  <si>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</si>
  <si>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</si>
  <si>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</si>
  <si>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</si>
  <si>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</si>
  <si>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</si>
  <si>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</si>
  <si>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</si>
  <si>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</si>
  <si>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</si>
  <si>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</si>
  <si>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</si>
  <si>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</si>
  <si>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</si>
  <si>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</si>
  <si>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</si>
  <si>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</si>
  <si>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</si>
  <si>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</si>
  <si>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</si>
  <si>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</si>
  <si>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</si>
  <si>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</si>
  <si>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</si>
  <si>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</si>
  <si>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</si>
  <si>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</si>
  <si>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</si>
  <si>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</si>
  <si>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</si>
  <si>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</si>
  <si>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</si>
  <si>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</si>
  <si>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</si>
  <si>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</si>
  <si>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</si>
  <si>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</si>
  <si>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</si>
  <si>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</si>
  <si>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</si>
  <si>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</si>
  <si>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</si>
  <si>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</si>
  <si>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</si>
  <si>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</si>
  <si>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</si>
  <si>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</si>
  <si>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</si>
  <si>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</si>
  <si>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</si>
  <si>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</si>
  <si>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</si>
  <si>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</si>
  <si>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</si>
  <si>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</si>
  <si>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</si>
  <si>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</si>
  <si>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</si>
  <si>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</si>
  <si>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</si>
  <si>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</si>
  <si>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</si>
  <si>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</si>
  <si>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</si>
  <si>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</si>
  <si>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</si>
  <si>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</si>
  <si>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</si>
  <si>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</si>
  <si>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</si>
  <si>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</si>
  <si>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</si>
  <si>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</si>
  <si>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</si>
  <si>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</si>
  <si>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</si>
  <si>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</si>
  <si>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</si>
  <si>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</si>
  <si>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</si>
  <si>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</si>
  <si>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</si>
  <si>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</si>
  <si>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</si>
  <si>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</si>
  <si>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</si>
  <si>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</si>
  <si>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</si>
  <si>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</si>
  <si>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</si>
  <si>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</si>
  <si>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</si>
  <si>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</si>
  <si>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</si>
  <si>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</si>
  <si>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</si>
  <si>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</si>
  <si>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</si>
  <si>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</si>
  <si>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</si>
  <si>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</si>
  <si>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</si>
  <si>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</si>
  <si>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</si>
  <si>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</si>
  <si>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</si>
  <si>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</si>
  <si>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</si>
  <si>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</si>
  <si>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</si>
  <si>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</si>
  <si>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</si>
  <si>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</si>
  <si>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</si>
  <si>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</si>
  <si>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</si>
  <si>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</si>
  <si>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</si>
  <si>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</si>
  <si>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</si>
  <si>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</si>
  <si>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</si>
  <si>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</si>
  <si>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</si>
  <si>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</si>
  <si>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</si>
  <si>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</si>
  <si>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</si>
  <si>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</si>
  <si>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</si>
  <si>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</si>
  <si>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</si>
  <si>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</si>
  <si>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</si>
  <si>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</si>
  <si>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</si>
  <si>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</si>
  <si>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</si>
  <si>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</si>
  <si>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</si>
  <si>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</si>
  <si>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</si>
  <si>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</si>
  <si>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</si>
  <si>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</si>
  <si>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</si>
  <si>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</si>
  <si>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</si>
  <si>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</si>
  <si>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</si>
  <si>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</si>
  <si>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</si>
  <si>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</si>
  <si>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</si>
  <si>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</si>
  <si>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</si>
  <si>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</si>
  <si>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</si>
  <si>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</si>
  <si>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</si>
  <si>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</si>
  <si>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</si>
  <si>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</si>
  <si>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</si>
  <si>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</si>
  <si>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</si>
  <si>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</si>
  <si>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</si>
  <si>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</si>
  <si>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</si>
  <si>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</si>
  <si>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</si>
  <si>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</si>
  <si>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</si>
  <si>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</si>
  <si>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</si>
  <si>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</si>
  <si>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</si>
  <si>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</si>
  <si>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</si>
  <si>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</si>
  <si>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</si>
  <si>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</si>
  <si>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</si>
  <si>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</si>
  <si>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</si>
  <si>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</si>
  <si>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</si>
  <si>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</si>
  <si>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</si>
  <si>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</si>
  <si>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</si>
  <si>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</si>
  <si>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</si>
  <si>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</si>
  <si>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</si>
  <si>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</si>
  <si>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</si>
  <si>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</si>
  <si>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</si>
  <si>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</si>
  <si>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</si>
  <si>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</si>
  <si>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</si>
  <si>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</si>
  <si>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</si>
  <si>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</si>
  <si>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</si>
  <si>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</si>
  <si>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</si>
  <si>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</si>
  <si>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</si>
  <si>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</si>
  <si>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</si>
  <si>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</si>
  <si>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</si>
  <si>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</si>
  <si>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</si>
  <si>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</si>
  <si>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</si>
  <si>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</si>
  <si>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</si>
  <si>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</si>
  <si>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</si>
  <si>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</si>
  <si>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</si>
  <si>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</si>
  <si>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</si>
  <si>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</si>
  <si>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</si>
  <si>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</si>
  <si>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</si>
  <si>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</si>
  <si>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</si>
  <si>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</si>
  <si>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</si>
  <si>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</si>
  <si>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</si>
  <si>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</si>
  <si>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</si>
  <si>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</si>
  <si>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</si>
  <si>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</si>
  <si>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</si>
  <si>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</si>
  <si>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</si>
  <si>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</si>
  <si>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</si>
  <si>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</si>
  <si>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</si>
  <si>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</si>
  <si>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</si>
  <si>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</si>
  <si>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</si>
  <si>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</si>
  <si>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</si>
  <si>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</si>
  <si>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</si>
  <si>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</si>
  <si>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</si>
  <si>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</si>
  <si>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</si>
  <si>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</si>
  <si>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</si>
  <si>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</si>
  <si>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</si>
  <si>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</si>
  <si>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</si>
  <si>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</si>
  <si>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</si>
  <si>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</si>
  <si>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</si>
  <si>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</si>
  <si>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</si>
  <si>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</si>
  <si>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</si>
  <si>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</si>
  <si>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</si>
  <si>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</si>
  <si>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</si>
  <si>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</si>
  <si>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</si>
  <si>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</si>
  <si>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</si>
  <si>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</si>
  <si>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</si>
  <si>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</si>
  <si>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</si>
  <si>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</si>
  <si>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</si>
  <si>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</si>
  <si>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</si>
  <si>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</si>
  <si>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</si>
  <si>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</si>
  <si>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</si>
  <si>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</si>
  <si>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</si>
  <si>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</si>
  <si>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</si>
  <si>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</si>
  <si>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</si>
  <si>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</si>
  <si>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</si>
  <si>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</si>
  <si>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</si>
  <si>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</si>
  <si>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</si>
  <si>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0900000</t>
  </si>
  <si>
    <t>Служба у справах  дітей  Сумської міської ради</t>
  </si>
  <si>
    <t>0910000</t>
  </si>
  <si>
    <t>у т.ч. за рахунок субвенції з дербюджету</t>
  </si>
  <si>
    <t>0916080</t>
  </si>
  <si>
    <t>0916083</t>
  </si>
  <si>
    <t>до   рішення   Сумської  міської    ради</t>
  </si>
  <si>
    <t xml:space="preserve">«Про    внесення   змін   та   доповнень </t>
  </si>
  <si>
    <t xml:space="preserve">                      Додаток  № 5</t>
  </si>
  <si>
    <t>Сумський міський голова</t>
  </si>
  <si>
    <t>О.М. Лисенко</t>
  </si>
  <si>
    <t>Виконавець: Липова С.А.</t>
  </si>
  <si>
    <t>__________</t>
  </si>
  <si>
    <t>до   міського   бюджету   на   2018  рік»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</si>
  <si>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</si>
  <si>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</si>
  <si>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</si>
  <si>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</si>
  <si>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</si>
  <si>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</si>
  <si>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від                     2018  року  №        - 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</si>
</sst>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 horizontal="left"/>
      <protection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221" fontId="30" fillId="55" borderId="0" xfId="0" applyNumberFormat="1" applyFont="1" applyFill="1" applyAlignment="1">
      <alignment horizontal="center"/>
    </xf>
    <xf numFmtId="0" fontId="27" fillId="55" borderId="0" xfId="0" applyFont="1" applyFill="1" applyAlignment="1">
      <alignment/>
    </xf>
    <xf numFmtId="0" fontId="27" fillId="55" borderId="16" xfId="0" applyFont="1" applyFill="1" applyBorder="1" applyAlignment="1">
      <alignment horizontal="center"/>
    </xf>
    <xf numFmtId="221" fontId="27" fillId="55" borderId="16" xfId="0" applyNumberFormat="1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justify" vertical="center"/>
    </xf>
    <xf numFmtId="4" fontId="32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221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221" fontId="32" fillId="55" borderId="18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0" xfId="0" applyFont="1" applyFill="1" applyAlignment="1">
      <alignment vertical="center" wrapText="1"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justify" vertical="center" wrapText="1"/>
    </xf>
    <xf numFmtId="0" fontId="32" fillId="55" borderId="0" xfId="0" applyFont="1" applyFill="1" applyAlignment="1">
      <alignment wrapText="1"/>
    </xf>
    <xf numFmtId="0" fontId="29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21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4" fontId="37" fillId="55" borderId="16" xfId="0" applyNumberFormat="1" applyFont="1" applyFill="1" applyBorder="1" applyAlignment="1">
      <alignment horizontal="right" vertical="center"/>
    </xf>
    <xf numFmtId="221" fontId="37" fillId="55" borderId="16" xfId="0" applyNumberFormat="1" applyFont="1" applyFill="1" applyBorder="1" applyAlignment="1">
      <alignment horizontal="right" vertical="center"/>
    </xf>
    <xf numFmtId="0" fontId="37" fillId="55" borderId="0" xfId="0" applyFont="1" applyFill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32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221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221" fontId="30" fillId="55" borderId="0" xfId="0" applyNumberFormat="1" applyFont="1" applyFill="1" applyAlignment="1">
      <alignment/>
    </xf>
    <xf numFmtId="0" fontId="27" fillId="55" borderId="0" xfId="0" applyFont="1" applyFill="1" applyBorder="1" applyAlignment="1">
      <alignment horizontal="right"/>
    </xf>
    <xf numFmtId="221" fontId="0" fillId="55" borderId="0" xfId="0" applyNumberFormat="1" applyFont="1" applyFill="1" applyAlignment="1">
      <alignment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4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 horizontal="center"/>
    </xf>
    <xf numFmtId="0" fontId="33" fillId="55" borderId="0" xfId="0" applyFont="1" applyFill="1" applyAlignment="1">
      <alignment/>
    </xf>
    <xf numFmtId="4" fontId="32" fillId="56" borderId="16" xfId="0" applyNumberFormat="1" applyFont="1" applyFill="1" applyBorder="1" applyAlignment="1">
      <alignment horizontal="center" vertical="center"/>
    </xf>
    <xf numFmtId="4" fontId="32" fillId="56" borderId="16" xfId="0" applyNumberFormat="1" applyFont="1" applyFill="1" applyBorder="1" applyAlignment="1">
      <alignment horizontal="right" vertical="center"/>
    </xf>
    <xf numFmtId="49" fontId="32" fillId="56" borderId="16" xfId="0" applyNumberFormat="1" applyFont="1" applyFill="1" applyBorder="1" applyAlignment="1" applyProtection="1">
      <alignment horizontal="center" vertical="center"/>
      <protection/>
    </xf>
    <xf numFmtId="0" fontId="32" fillId="56" borderId="16" xfId="0" applyFont="1" applyFill="1" applyBorder="1" applyAlignment="1">
      <alignment horizontal="left" vertical="center" wrapText="1"/>
    </xf>
    <xf numFmtId="221" fontId="32" fillId="56" borderId="16" xfId="0" applyNumberFormat="1" applyFont="1" applyFill="1" applyBorder="1" applyAlignment="1">
      <alignment horizontal="right" vertical="center"/>
    </xf>
    <xf numFmtId="0" fontId="32" fillId="56" borderId="0" xfId="0" applyFont="1" applyFill="1" applyAlignment="1">
      <alignment vertical="center"/>
    </xf>
    <xf numFmtId="49" fontId="30" fillId="56" borderId="16" xfId="0" applyNumberFormat="1" applyFont="1" applyFill="1" applyBorder="1" applyAlignment="1" applyProtection="1">
      <alignment horizontal="center" vertical="center"/>
      <protection/>
    </xf>
    <xf numFmtId="0" fontId="30" fillId="56" borderId="16" xfId="0" applyFont="1" applyFill="1" applyBorder="1" applyAlignment="1">
      <alignment horizontal="left" vertical="center" wrapText="1"/>
    </xf>
    <xf numFmtId="4" fontId="30" fillId="56" borderId="16" xfId="0" applyNumberFormat="1" applyFont="1" applyFill="1" applyBorder="1" applyAlignment="1">
      <alignment horizontal="right" vertical="center"/>
    </xf>
    <xf numFmtId="4" fontId="30" fillId="56" borderId="16" xfId="0" applyNumberFormat="1" applyFont="1" applyFill="1" applyBorder="1" applyAlignment="1">
      <alignment horizontal="center" vertical="center"/>
    </xf>
    <xf numFmtId="4" fontId="37" fillId="56" borderId="16" xfId="0" applyNumberFormat="1" applyFont="1" applyFill="1" applyBorder="1" applyAlignment="1">
      <alignment horizontal="right" vertical="center"/>
    </xf>
    <xf numFmtId="3" fontId="30" fillId="56" borderId="16" xfId="0" applyNumberFormat="1" applyFont="1" applyFill="1" applyBorder="1" applyAlignment="1">
      <alignment horizontal="center" vertical="center"/>
    </xf>
    <xf numFmtId="0" fontId="30" fillId="56" borderId="16" xfId="0" applyFont="1" applyFill="1" applyBorder="1" applyAlignment="1">
      <alignment vertical="center" wrapText="1"/>
    </xf>
    <xf numFmtId="0" fontId="37" fillId="56" borderId="16" xfId="0" applyFont="1" applyFill="1" applyBorder="1" applyAlignment="1">
      <alignment horizontal="left" vertical="center" wrapText="1"/>
    </xf>
    <xf numFmtId="0" fontId="30" fillId="56" borderId="18" xfId="0" applyFont="1" applyFill="1" applyBorder="1" applyAlignment="1">
      <alignment horizontal="left" vertical="center" wrapText="1"/>
    </xf>
    <xf numFmtId="221" fontId="30" fillId="56" borderId="16" xfId="0" applyNumberFormat="1" applyFont="1" applyFill="1" applyBorder="1" applyAlignment="1">
      <alignment horizontal="right" vertical="center"/>
    </xf>
    <xf numFmtId="0" fontId="30" fillId="56" borderId="0" xfId="0" applyFont="1" applyFill="1" applyAlignment="1">
      <alignment vertical="center"/>
    </xf>
    <xf numFmtId="49" fontId="31" fillId="56" borderId="16" xfId="0" applyNumberFormat="1" applyFont="1" applyFill="1" applyBorder="1" applyAlignment="1" applyProtection="1">
      <alignment horizontal="center" vertical="center"/>
      <protection/>
    </xf>
    <xf numFmtId="0" fontId="31" fillId="56" borderId="16" xfId="0" applyFont="1" applyFill="1" applyBorder="1" applyAlignment="1">
      <alignment horizontal="left" vertical="center" wrapText="1"/>
    </xf>
    <xf numFmtId="4" fontId="31" fillId="56" borderId="16" xfId="0" applyNumberFormat="1" applyFont="1" applyFill="1" applyBorder="1" applyAlignment="1">
      <alignment horizontal="right" vertical="center"/>
    </xf>
    <xf numFmtId="0" fontId="31" fillId="56" borderId="0" xfId="0" applyFont="1" applyFill="1" applyAlignment="1">
      <alignment vertical="center"/>
    </xf>
    <xf numFmtId="0" fontId="26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0" fontId="33" fillId="55" borderId="0" xfId="0" applyFont="1" applyFill="1" applyAlignment="1">
      <alignment horizontal="center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Font="1" applyFill="1" applyBorder="1" applyAlignment="1">
      <alignment horizontal="center" vertical="center" wrapText="1"/>
    </xf>
    <xf numFmtId="0" fontId="36" fillId="55" borderId="0" xfId="0" applyNumberFormat="1" applyFont="1" applyFill="1" applyAlignment="1" applyProtection="1">
      <alignment horizontal="left"/>
      <protection/>
    </xf>
    <xf numFmtId="0" fontId="33" fillId="55" borderId="0" xfId="0" applyNumberFormat="1" applyFont="1" applyFill="1" applyAlignment="1" applyProtection="1">
      <alignment horizontal="left"/>
      <protection/>
    </xf>
    <xf numFmtId="221" fontId="35" fillId="55" borderId="16" xfId="0" applyNumberFormat="1" applyFont="1" applyFill="1" applyBorder="1" applyAlignment="1">
      <alignment horizontal="center" vertical="center" wrapText="1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49"/>
  <sheetViews>
    <sheetView showGridLines="0" tabSelected="1" view="pageBreakPreview" zoomScale="40" zoomScaleNormal="70" zoomScaleSheetLayoutView="40" zoomScalePageLayoutView="0" workbookViewId="0" topLeftCell="A343">
      <selection activeCell="G365" sqref="G365"/>
    </sheetView>
  </sheetViews>
  <sheetFormatPr defaultColWidth="9.16015625" defaultRowHeight="12.75"/>
  <cols>
    <col min="1" max="1" width="19.33203125" style="3" customWidth="1"/>
    <col min="2" max="2" width="17.33203125" style="4" customWidth="1"/>
    <col min="3" max="3" width="17.16015625" style="4" customWidth="1"/>
    <col min="4" max="5" width="56.83203125" style="5" customWidth="1"/>
    <col min="6" max="6" width="17.83203125" style="5" customWidth="1"/>
    <col min="7" max="7" width="19.16015625" style="5" customWidth="1"/>
    <col min="8" max="8" width="19.5" style="5" customWidth="1"/>
    <col min="9" max="9" width="24.33203125" style="128" customWidth="1"/>
    <col min="10" max="10" width="24.66015625" style="7" customWidth="1"/>
    <col min="11" max="11" width="25.83203125" style="129" customWidth="1"/>
    <col min="12" max="16384" width="9.16015625" style="7" customWidth="1"/>
  </cols>
  <sheetData>
    <row r="1" spans="7:11" ht="30" customHeight="1">
      <c r="G1" s="6"/>
      <c r="H1" s="171" t="s">
        <v>472</v>
      </c>
      <c r="I1" s="171"/>
      <c r="J1" s="171"/>
      <c r="K1" s="171"/>
    </row>
    <row r="2" spans="7:11" ht="30">
      <c r="G2" s="6"/>
      <c r="H2" s="171" t="s">
        <v>470</v>
      </c>
      <c r="I2" s="171"/>
      <c r="J2" s="171"/>
      <c r="K2" s="171"/>
    </row>
    <row r="3" spans="7:11" ht="30">
      <c r="G3" s="6"/>
      <c r="H3" s="171" t="s">
        <v>471</v>
      </c>
      <c r="I3" s="171"/>
      <c r="J3" s="171"/>
      <c r="K3" s="171"/>
    </row>
    <row r="4" spans="7:11" ht="33" customHeight="1">
      <c r="G4" s="6"/>
      <c r="H4" s="171" t="s">
        <v>477</v>
      </c>
      <c r="I4" s="171"/>
      <c r="J4" s="171"/>
      <c r="K4" s="171"/>
    </row>
    <row r="5" spans="7:11" ht="32.25" customHeight="1">
      <c r="G5" s="6"/>
      <c r="H5" s="171" t="s">
        <v>484</v>
      </c>
      <c r="I5" s="171"/>
      <c r="J5" s="171"/>
      <c r="K5" s="171"/>
    </row>
    <row r="6" spans="1:11" s="10" customFormat="1" ht="38.25" customHeight="1">
      <c r="A6" s="3"/>
      <c r="B6" s="4"/>
      <c r="C6" s="4"/>
      <c r="D6" s="8"/>
      <c r="E6" s="8"/>
      <c r="F6" s="8"/>
      <c r="G6" s="9"/>
      <c r="H6" s="2"/>
      <c r="I6" s="2"/>
      <c r="J6" s="2"/>
      <c r="K6" s="2"/>
    </row>
    <row r="7" spans="1:11" ht="45" customHeight="1">
      <c r="A7" s="177" t="s">
        <v>201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4:11" ht="18">
      <c r="D8" s="11"/>
      <c r="E8" s="11"/>
      <c r="F8" s="11"/>
      <c r="G8" s="11"/>
      <c r="H8" s="11"/>
      <c r="I8" s="12"/>
      <c r="K8" s="13" t="s">
        <v>144</v>
      </c>
    </row>
    <row r="9" spans="1:11" s="14" customFormat="1" ht="42.75" customHeight="1">
      <c r="A9" s="178" t="s">
        <v>55</v>
      </c>
      <c r="B9" s="179" t="s">
        <v>56</v>
      </c>
      <c r="C9" s="179" t="s">
        <v>32</v>
      </c>
      <c r="D9" s="179" t="s">
        <v>64</v>
      </c>
      <c r="E9" s="174" t="s">
        <v>196</v>
      </c>
      <c r="F9" s="167" t="s">
        <v>197</v>
      </c>
      <c r="G9" s="167" t="s">
        <v>198</v>
      </c>
      <c r="H9" s="167" t="s">
        <v>199</v>
      </c>
      <c r="I9" s="167" t="s">
        <v>200</v>
      </c>
      <c r="J9" s="170" t="s">
        <v>240</v>
      </c>
      <c r="K9" s="173" t="s">
        <v>241</v>
      </c>
    </row>
    <row r="10" spans="1:11" s="14" customFormat="1" ht="42" customHeight="1">
      <c r="A10" s="178"/>
      <c r="B10" s="179"/>
      <c r="C10" s="179"/>
      <c r="D10" s="179"/>
      <c r="E10" s="175"/>
      <c r="F10" s="168"/>
      <c r="G10" s="168"/>
      <c r="H10" s="168"/>
      <c r="I10" s="168"/>
      <c r="J10" s="170"/>
      <c r="K10" s="173"/>
    </row>
    <row r="11" spans="1:11" s="14" customFormat="1" ht="53.25" customHeight="1">
      <c r="A11" s="178"/>
      <c r="B11" s="179"/>
      <c r="C11" s="179"/>
      <c r="D11" s="179"/>
      <c r="E11" s="176"/>
      <c r="F11" s="169"/>
      <c r="G11" s="169"/>
      <c r="H11" s="169"/>
      <c r="I11" s="169"/>
      <c r="J11" s="170"/>
      <c r="K11" s="173"/>
    </row>
    <row r="12" spans="1:11" s="14" customFormat="1" ht="15.75" customHeight="1">
      <c r="A12" s="130" t="s">
        <v>195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5">
        <v>10</v>
      </c>
      <c r="K12" s="16">
        <v>11</v>
      </c>
    </row>
    <row r="13" spans="1:11" s="21" customFormat="1" ht="45" customHeight="1">
      <c r="A13" s="17" t="s">
        <v>87</v>
      </c>
      <c r="B13" s="17"/>
      <c r="C13" s="17"/>
      <c r="D13" s="18" t="s">
        <v>25</v>
      </c>
      <c r="E13" s="18"/>
      <c r="F13" s="18"/>
      <c r="G13" s="18"/>
      <c r="H13" s="18"/>
      <c r="I13" s="19">
        <f>I14</f>
        <v>50659724</v>
      </c>
      <c r="J13" s="19">
        <f>J14</f>
        <v>0</v>
      </c>
      <c r="K13" s="20">
        <f>K14</f>
        <v>50659724</v>
      </c>
    </row>
    <row r="14" spans="1:11" s="26" customFormat="1" ht="57" customHeight="1">
      <c r="A14" s="22" t="s">
        <v>88</v>
      </c>
      <c r="B14" s="22"/>
      <c r="C14" s="22"/>
      <c r="D14" s="23" t="s">
        <v>25</v>
      </c>
      <c r="E14" s="23"/>
      <c r="F14" s="23"/>
      <c r="G14" s="23"/>
      <c r="H14" s="23"/>
      <c r="I14" s="24">
        <f>I15+I16+I19+I23+I26+I31+I29+I21+I18+I30+I32+I35+I33+I34</f>
        <v>50659724</v>
      </c>
      <c r="J14" s="24">
        <f>J15+J16+J19+J23+J26+J31+J29+J21+J18+J30+J32+J35+J33+J34</f>
        <v>0</v>
      </c>
      <c r="K14" s="25">
        <f>K15+K16+K19+K23+K26+K31+K29+K21+K18+K30+K32+K35+K33+K34</f>
        <v>50659724</v>
      </c>
    </row>
    <row r="15" spans="1:11" s="31" customFormat="1" ht="75" customHeight="1">
      <c r="A15" s="27" t="s">
        <v>89</v>
      </c>
      <c r="B15" s="27" t="s">
        <v>66</v>
      </c>
      <c r="C15" s="27" t="s">
        <v>31</v>
      </c>
      <c r="D15" s="28" t="s">
        <v>67</v>
      </c>
      <c r="E15" s="28"/>
      <c r="F15" s="28"/>
      <c r="G15" s="28"/>
      <c r="H15" s="28"/>
      <c r="I15" s="29">
        <f>4000000-1295000+302014+31200+180000</f>
        <v>3218214</v>
      </c>
      <c r="J15" s="29"/>
      <c r="K15" s="30">
        <f>J15+I15</f>
        <v>3218214</v>
      </c>
    </row>
    <row r="16" spans="1:11" s="31" customFormat="1" ht="45" customHeight="1">
      <c r="A16" s="27" t="s">
        <v>90</v>
      </c>
      <c r="B16" s="27" t="s">
        <v>71</v>
      </c>
      <c r="C16" s="27"/>
      <c r="D16" s="28" t="s">
        <v>9</v>
      </c>
      <c r="E16" s="28"/>
      <c r="F16" s="28"/>
      <c r="G16" s="28"/>
      <c r="H16" s="28"/>
      <c r="I16" s="29">
        <f>I17</f>
        <v>790500</v>
      </c>
      <c r="J16" s="29">
        <f>J17</f>
        <v>0</v>
      </c>
      <c r="K16" s="30">
        <f>K17</f>
        <v>790500</v>
      </c>
    </row>
    <row r="17" spans="1:11" s="37" customFormat="1" ht="66.75" customHeight="1">
      <c r="A17" s="32" t="s">
        <v>91</v>
      </c>
      <c r="B17" s="32" t="s">
        <v>72</v>
      </c>
      <c r="C17" s="32" t="s">
        <v>54</v>
      </c>
      <c r="D17" s="33" t="s">
        <v>73</v>
      </c>
      <c r="E17" s="34"/>
      <c r="F17" s="34"/>
      <c r="G17" s="34"/>
      <c r="H17" s="34"/>
      <c r="I17" s="35">
        <f>20500+385000+300000+85000</f>
        <v>790500</v>
      </c>
      <c r="J17" s="35"/>
      <c r="K17" s="36">
        <f>J17+I17</f>
        <v>790500</v>
      </c>
    </row>
    <row r="18" spans="1:11" s="39" customFormat="1" ht="63" customHeight="1">
      <c r="A18" s="27" t="s">
        <v>263</v>
      </c>
      <c r="B18" s="27" t="s">
        <v>264</v>
      </c>
      <c r="C18" s="27" t="s">
        <v>262</v>
      </c>
      <c r="D18" s="28" t="s">
        <v>261</v>
      </c>
      <c r="E18" s="38"/>
      <c r="F18" s="38"/>
      <c r="G18" s="38"/>
      <c r="H18" s="38"/>
      <c r="I18" s="29">
        <v>28500</v>
      </c>
      <c r="J18" s="29"/>
      <c r="K18" s="30">
        <f>J18+I18</f>
        <v>28500</v>
      </c>
    </row>
    <row r="19" spans="1:11" s="31" customFormat="1" ht="42.75" customHeight="1">
      <c r="A19" s="27" t="s">
        <v>92</v>
      </c>
      <c r="B19" s="27" t="s">
        <v>6</v>
      </c>
      <c r="C19" s="27"/>
      <c r="D19" s="28" t="s">
        <v>7</v>
      </c>
      <c r="E19" s="28"/>
      <c r="F19" s="28"/>
      <c r="G19" s="28"/>
      <c r="H19" s="28"/>
      <c r="I19" s="29">
        <f>I20</f>
        <v>20500</v>
      </c>
      <c r="J19" s="29">
        <f>J20</f>
        <v>0</v>
      </c>
      <c r="K19" s="30">
        <f>K20</f>
        <v>20500</v>
      </c>
    </row>
    <row r="20" spans="1:11" s="40" customFormat="1" ht="56.25" customHeight="1">
      <c r="A20" s="32" t="s">
        <v>214</v>
      </c>
      <c r="B20" s="32" t="s">
        <v>215</v>
      </c>
      <c r="C20" s="32" t="s">
        <v>49</v>
      </c>
      <c r="D20" s="33" t="s">
        <v>216</v>
      </c>
      <c r="E20" s="33"/>
      <c r="F20" s="33"/>
      <c r="G20" s="33"/>
      <c r="H20" s="33"/>
      <c r="I20" s="35">
        <f>49000-28500</f>
        <v>20500</v>
      </c>
      <c r="J20" s="35"/>
      <c r="K20" s="36">
        <f>J20+I20</f>
        <v>20500</v>
      </c>
    </row>
    <row r="21" spans="1:11" s="31" customFormat="1" ht="28.5" customHeight="1">
      <c r="A21" s="27" t="s">
        <v>242</v>
      </c>
      <c r="B21" s="27" t="s">
        <v>245</v>
      </c>
      <c r="C21" s="27"/>
      <c r="D21" s="28" t="s">
        <v>244</v>
      </c>
      <c r="E21" s="28"/>
      <c r="F21" s="28"/>
      <c r="G21" s="28"/>
      <c r="H21" s="28"/>
      <c r="I21" s="29">
        <f>I22</f>
        <v>177000</v>
      </c>
      <c r="J21" s="29">
        <f>J22</f>
        <v>0</v>
      </c>
      <c r="K21" s="30">
        <f>K22</f>
        <v>177000</v>
      </c>
    </row>
    <row r="22" spans="1:11" s="40" customFormat="1" ht="63" customHeight="1">
      <c r="A22" s="32" t="s">
        <v>243</v>
      </c>
      <c r="B22" s="32" t="s">
        <v>246</v>
      </c>
      <c r="C22" s="32" t="s">
        <v>50</v>
      </c>
      <c r="D22" s="33" t="s">
        <v>247</v>
      </c>
      <c r="E22" s="33"/>
      <c r="F22" s="33"/>
      <c r="G22" s="33"/>
      <c r="H22" s="33"/>
      <c r="I22" s="35">
        <v>177000</v>
      </c>
      <c r="J22" s="35"/>
      <c r="K22" s="36">
        <f>J22+I22</f>
        <v>177000</v>
      </c>
    </row>
    <row r="23" spans="1:11" s="31" customFormat="1" ht="40.5" customHeight="1">
      <c r="A23" s="41" t="s">
        <v>93</v>
      </c>
      <c r="B23" s="41" t="s">
        <v>61</v>
      </c>
      <c r="C23" s="41"/>
      <c r="D23" s="28" t="s">
        <v>63</v>
      </c>
      <c r="E23" s="28"/>
      <c r="F23" s="28"/>
      <c r="G23" s="28"/>
      <c r="H23" s="28"/>
      <c r="I23" s="29">
        <f>I24+I25</f>
        <v>370650</v>
      </c>
      <c r="J23" s="29">
        <f>J24+J25</f>
        <v>0</v>
      </c>
      <c r="K23" s="30">
        <f>K24+K25</f>
        <v>370650</v>
      </c>
    </row>
    <row r="24" spans="1:11" s="37" customFormat="1" ht="75" customHeight="1">
      <c r="A24" s="42" t="s">
        <v>94</v>
      </c>
      <c r="B24" s="42" t="s">
        <v>62</v>
      </c>
      <c r="C24" s="42" t="s">
        <v>50</v>
      </c>
      <c r="D24" s="33" t="s">
        <v>10</v>
      </c>
      <c r="E24" s="34"/>
      <c r="F24" s="34"/>
      <c r="G24" s="34"/>
      <c r="H24" s="34"/>
      <c r="I24" s="35">
        <f>200000+25000+75000</f>
        <v>300000</v>
      </c>
      <c r="J24" s="35"/>
      <c r="K24" s="36">
        <f>J24+I24</f>
        <v>300000</v>
      </c>
    </row>
    <row r="25" spans="1:11" s="37" customFormat="1" ht="66" customHeight="1">
      <c r="A25" s="42" t="s">
        <v>386</v>
      </c>
      <c r="B25" s="42" t="s">
        <v>387</v>
      </c>
      <c r="C25" s="42" t="s">
        <v>50</v>
      </c>
      <c r="D25" s="33" t="s">
        <v>388</v>
      </c>
      <c r="E25" s="34"/>
      <c r="F25" s="34"/>
      <c r="G25" s="34"/>
      <c r="H25" s="34"/>
      <c r="I25" s="35">
        <f>10000+45650+15000</f>
        <v>70650</v>
      </c>
      <c r="J25" s="35"/>
      <c r="K25" s="36">
        <f>J25+I25</f>
        <v>70650</v>
      </c>
    </row>
    <row r="26" spans="1:11" s="40" customFormat="1" ht="52.5" customHeight="1">
      <c r="A26" s="41" t="s">
        <v>95</v>
      </c>
      <c r="B26" s="41" t="s">
        <v>51</v>
      </c>
      <c r="C26" s="41"/>
      <c r="D26" s="28" t="s">
        <v>58</v>
      </c>
      <c r="E26" s="28"/>
      <c r="F26" s="28"/>
      <c r="G26" s="28"/>
      <c r="H26" s="28"/>
      <c r="I26" s="29">
        <f>I27+I28</f>
        <v>2943980</v>
      </c>
      <c r="J26" s="29">
        <f>J27+J28</f>
        <v>0</v>
      </c>
      <c r="K26" s="30">
        <f>K27+K28</f>
        <v>2943980</v>
      </c>
    </row>
    <row r="27" spans="1:11" s="40" customFormat="1" ht="96" customHeight="1">
      <c r="A27" s="42" t="s">
        <v>96</v>
      </c>
      <c r="B27" s="42" t="s">
        <v>59</v>
      </c>
      <c r="C27" s="42" t="s">
        <v>50</v>
      </c>
      <c r="D27" s="33" t="s">
        <v>60</v>
      </c>
      <c r="E27" s="33"/>
      <c r="F27" s="33"/>
      <c r="G27" s="33"/>
      <c r="H27" s="33"/>
      <c r="I27" s="35">
        <f>20000+2900000</f>
        <v>2920000</v>
      </c>
      <c r="J27" s="35"/>
      <c r="K27" s="36">
        <f>J27+I27</f>
        <v>2920000</v>
      </c>
    </row>
    <row r="28" spans="1:11" s="40" customFormat="1" ht="76.5" customHeight="1">
      <c r="A28" s="42" t="s">
        <v>407</v>
      </c>
      <c r="B28" s="42" t="s">
        <v>408</v>
      </c>
      <c r="C28" s="42" t="s">
        <v>50</v>
      </c>
      <c r="D28" s="33" t="s">
        <v>409</v>
      </c>
      <c r="E28" s="33"/>
      <c r="F28" s="33"/>
      <c r="G28" s="33"/>
      <c r="H28" s="33"/>
      <c r="I28" s="35">
        <f>20000+3980</f>
        <v>23980</v>
      </c>
      <c r="J28" s="35"/>
      <c r="K28" s="36">
        <f>J28+I28</f>
        <v>23980</v>
      </c>
    </row>
    <row r="29" spans="1:11" s="31" customFormat="1" ht="36">
      <c r="A29" s="41" t="s">
        <v>225</v>
      </c>
      <c r="B29" s="41" t="s">
        <v>226</v>
      </c>
      <c r="C29" s="41" t="s">
        <v>228</v>
      </c>
      <c r="D29" s="28" t="s">
        <v>227</v>
      </c>
      <c r="E29" s="28"/>
      <c r="F29" s="28"/>
      <c r="G29" s="28"/>
      <c r="H29" s="28"/>
      <c r="I29" s="29">
        <f>4897000+3385000-900000+729000+390000</f>
        <v>8501000</v>
      </c>
      <c r="J29" s="29"/>
      <c r="K29" s="30">
        <f aca="true" t="shared" si="0" ref="K29:K35">J29+I29</f>
        <v>8501000</v>
      </c>
    </row>
    <row r="30" spans="1:11" s="31" customFormat="1" ht="46.5" customHeight="1">
      <c r="A30" s="41" t="s">
        <v>268</v>
      </c>
      <c r="B30" s="41" t="s">
        <v>269</v>
      </c>
      <c r="C30" s="41" t="s">
        <v>271</v>
      </c>
      <c r="D30" s="43" t="s">
        <v>270</v>
      </c>
      <c r="E30" s="28"/>
      <c r="F30" s="28"/>
      <c r="G30" s="28"/>
      <c r="H30" s="28"/>
      <c r="I30" s="29">
        <v>16800</v>
      </c>
      <c r="J30" s="29"/>
      <c r="K30" s="30">
        <f t="shared" si="0"/>
        <v>16800</v>
      </c>
    </row>
    <row r="31" spans="1:11" s="40" customFormat="1" ht="40.5" customHeight="1">
      <c r="A31" s="41" t="s">
        <v>97</v>
      </c>
      <c r="B31" s="41" t="s">
        <v>3</v>
      </c>
      <c r="C31" s="41" t="s">
        <v>52</v>
      </c>
      <c r="D31" s="28" t="s">
        <v>11</v>
      </c>
      <c r="E31" s="28" t="s">
        <v>209</v>
      </c>
      <c r="F31" s="28"/>
      <c r="G31" s="28"/>
      <c r="H31" s="28"/>
      <c r="I31" s="29">
        <f>4220000+24220000+800000-380000</f>
        <v>28860000</v>
      </c>
      <c r="J31" s="29"/>
      <c r="K31" s="30">
        <f t="shared" si="0"/>
        <v>28860000</v>
      </c>
    </row>
    <row r="32" spans="1:11" s="40" customFormat="1" ht="54.75" customHeight="1">
      <c r="A32" s="41" t="s">
        <v>272</v>
      </c>
      <c r="B32" s="41" t="s">
        <v>273</v>
      </c>
      <c r="C32" s="41" t="s">
        <v>274</v>
      </c>
      <c r="D32" s="44" t="s">
        <v>275</v>
      </c>
      <c r="E32" s="28"/>
      <c r="F32" s="28"/>
      <c r="G32" s="28"/>
      <c r="H32" s="28"/>
      <c r="I32" s="29">
        <f>55900+180000</f>
        <v>235900</v>
      </c>
      <c r="J32" s="29"/>
      <c r="K32" s="30">
        <f t="shared" si="0"/>
        <v>235900</v>
      </c>
    </row>
    <row r="33" spans="1:11" s="40" customFormat="1" ht="24.75" customHeight="1">
      <c r="A33" s="41" t="s">
        <v>325</v>
      </c>
      <c r="B33" s="41" t="s">
        <v>328</v>
      </c>
      <c r="C33" s="41" t="s">
        <v>274</v>
      </c>
      <c r="D33" s="28" t="s">
        <v>327</v>
      </c>
      <c r="E33" s="28"/>
      <c r="F33" s="28"/>
      <c r="G33" s="28"/>
      <c r="H33" s="28"/>
      <c r="I33" s="29">
        <v>57900</v>
      </c>
      <c r="J33" s="29"/>
      <c r="K33" s="30">
        <f t="shared" si="0"/>
        <v>57900</v>
      </c>
    </row>
    <row r="34" spans="1:11" s="40" customFormat="1" ht="27" customHeight="1">
      <c r="A34" s="41" t="s">
        <v>337</v>
      </c>
      <c r="B34" s="41" t="s">
        <v>233</v>
      </c>
      <c r="C34" s="41" t="s">
        <v>30</v>
      </c>
      <c r="D34" s="28" t="s">
        <v>230</v>
      </c>
      <c r="E34" s="28"/>
      <c r="F34" s="28"/>
      <c r="G34" s="28"/>
      <c r="H34" s="28"/>
      <c r="I34" s="29">
        <v>344000</v>
      </c>
      <c r="J34" s="29"/>
      <c r="K34" s="30">
        <f t="shared" si="0"/>
        <v>344000</v>
      </c>
    </row>
    <row r="35" spans="1:11" s="40" customFormat="1" ht="87" customHeight="1">
      <c r="A35" s="41" t="s">
        <v>295</v>
      </c>
      <c r="B35" s="41" t="s">
        <v>283</v>
      </c>
      <c r="C35" s="41" t="s">
        <v>30</v>
      </c>
      <c r="D35" s="44" t="s">
        <v>294</v>
      </c>
      <c r="E35" s="28"/>
      <c r="F35" s="28"/>
      <c r="G35" s="28"/>
      <c r="H35" s="28"/>
      <c r="I35" s="29">
        <f>2563780+1000000+51000+900000+190000+190000+200000</f>
        <v>5094780</v>
      </c>
      <c r="J35" s="29"/>
      <c r="K35" s="30">
        <f t="shared" si="0"/>
        <v>5094780</v>
      </c>
    </row>
    <row r="36" spans="1:11" s="21" customFormat="1" ht="42" customHeight="1">
      <c r="A36" s="45" t="s">
        <v>98</v>
      </c>
      <c r="B36" s="45"/>
      <c r="C36" s="45"/>
      <c r="D36" s="46" t="s">
        <v>12</v>
      </c>
      <c r="E36" s="46"/>
      <c r="F36" s="46"/>
      <c r="G36" s="46"/>
      <c r="H36" s="46"/>
      <c r="I36" s="19">
        <f>I37</f>
        <v>63837166.42</v>
      </c>
      <c r="J36" s="19">
        <f>J37</f>
        <v>426400</v>
      </c>
      <c r="K36" s="20">
        <f>K37</f>
        <v>64263566.42</v>
      </c>
    </row>
    <row r="37" spans="1:11" s="26" customFormat="1" ht="42" customHeight="1">
      <c r="A37" s="47" t="s">
        <v>99</v>
      </c>
      <c r="B37" s="47"/>
      <c r="C37" s="47"/>
      <c r="D37" s="48" t="s">
        <v>12</v>
      </c>
      <c r="E37" s="48"/>
      <c r="F37" s="48"/>
      <c r="G37" s="48"/>
      <c r="H37" s="48"/>
      <c r="I37" s="24">
        <f>I39+I40+I41+I43+I44+I48+I51+I56+I53+I57+I45+I47</f>
        <v>63837166.42</v>
      </c>
      <c r="J37" s="24">
        <f>J39+J40+J41+J43+J44+J48+J51+J56+J53+J57+J45+J47</f>
        <v>426400</v>
      </c>
      <c r="K37" s="25">
        <f>K39+K40+K41+K43+K44+K48+K51+K56+K53+K57+K45+K47</f>
        <v>64263566.42</v>
      </c>
    </row>
    <row r="38" spans="1:11" s="26" customFormat="1" ht="37.5" customHeight="1">
      <c r="A38" s="22"/>
      <c r="B38" s="22"/>
      <c r="C38" s="22"/>
      <c r="D38" s="48" t="s">
        <v>436</v>
      </c>
      <c r="E38" s="48"/>
      <c r="F38" s="48"/>
      <c r="G38" s="48"/>
      <c r="H38" s="48"/>
      <c r="I38" s="24">
        <f>I42+I46+I50+I55</f>
        <v>26476095.78</v>
      </c>
      <c r="J38" s="24">
        <f>J42+J46+J50+J55</f>
        <v>426400</v>
      </c>
      <c r="K38" s="25">
        <f>K42+K46+K50+K55</f>
        <v>26902495.78</v>
      </c>
    </row>
    <row r="39" spans="1:11" s="31" customFormat="1" ht="54">
      <c r="A39" s="27" t="s">
        <v>100</v>
      </c>
      <c r="B39" s="27" t="s">
        <v>66</v>
      </c>
      <c r="C39" s="27" t="s">
        <v>31</v>
      </c>
      <c r="D39" s="28" t="s">
        <v>67</v>
      </c>
      <c r="E39" s="28"/>
      <c r="F39" s="28"/>
      <c r="G39" s="28"/>
      <c r="H39" s="28"/>
      <c r="I39" s="29">
        <v>16000</v>
      </c>
      <c r="J39" s="29"/>
      <c r="K39" s="30">
        <f aca="true" t="shared" si="1" ref="K39:K47">J39+I39</f>
        <v>16000</v>
      </c>
    </row>
    <row r="40" spans="1:11" s="31" customFormat="1" ht="28.5" customHeight="1">
      <c r="A40" s="27" t="s">
        <v>101</v>
      </c>
      <c r="B40" s="27" t="s">
        <v>33</v>
      </c>
      <c r="C40" s="27" t="s">
        <v>34</v>
      </c>
      <c r="D40" s="28" t="s">
        <v>82</v>
      </c>
      <c r="E40" s="28"/>
      <c r="F40" s="28"/>
      <c r="G40" s="28"/>
      <c r="H40" s="28"/>
      <c r="I40" s="29">
        <f>3500000+40000+300269+455116.65+15000+8000+60000+670000-2286+75000</f>
        <v>5121099.65</v>
      </c>
      <c r="J40" s="29"/>
      <c r="K40" s="30">
        <f t="shared" si="1"/>
        <v>5121099.65</v>
      </c>
    </row>
    <row r="41" spans="1:11" s="31" customFormat="1" ht="133.5" customHeight="1">
      <c r="A41" s="27" t="s">
        <v>102</v>
      </c>
      <c r="B41" s="27" t="s">
        <v>35</v>
      </c>
      <c r="C41" s="27" t="s">
        <v>36</v>
      </c>
      <c r="D41" s="28" t="s">
        <v>83</v>
      </c>
      <c r="E41" s="28"/>
      <c r="F41" s="28"/>
      <c r="G41" s="28"/>
      <c r="H41" s="28"/>
      <c r="I41" s="29">
        <f>17926422+272847-31407+104680</f>
        <v>18272542</v>
      </c>
      <c r="J41" s="29"/>
      <c r="K41" s="30">
        <f t="shared" si="1"/>
        <v>18272542</v>
      </c>
    </row>
    <row r="42" spans="1:11" s="40" customFormat="1" ht="18">
      <c r="A42" s="32"/>
      <c r="B42" s="32"/>
      <c r="C42" s="32"/>
      <c r="D42" s="33" t="s">
        <v>436</v>
      </c>
      <c r="E42" s="33"/>
      <c r="F42" s="33"/>
      <c r="G42" s="33"/>
      <c r="H42" s="33"/>
      <c r="I42" s="35">
        <v>1416542</v>
      </c>
      <c r="J42" s="35"/>
      <c r="K42" s="36">
        <f t="shared" si="1"/>
        <v>1416542</v>
      </c>
    </row>
    <row r="43" spans="1:11" s="31" customFormat="1" ht="123" customHeight="1">
      <c r="A43" s="27" t="s">
        <v>139</v>
      </c>
      <c r="B43" s="27" t="s">
        <v>37</v>
      </c>
      <c r="C43" s="27" t="s">
        <v>38</v>
      </c>
      <c r="D43" s="28" t="s">
        <v>68</v>
      </c>
      <c r="E43" s="28"/>
      <c r="F43" s="28"/>
      <c r="G43" s="28"/>
      <c r="H43" s="28"/>
      <c r="I43" s="29">
        <v>103611</v>
      </c>
      <c r="J43" s="29"/>
      <c r="K43" s="30">
        <f t="shared" si="1"/>
        <v>103611</v>
      </c>
    </row>
    <row r="44" spans="1:11" s="31" customFormat="1" ht="68.25" customHeight="1">
      <c r="A44" s="27" t="s">
        <v>140</v>
      </c>
      <c r="B44" s="27" t="s">
        <v>39</v>
      </c>
      <c r="C44" s="27" t="s">
        <v>40</v>
      </c>
      <c r="D44" s="28" t="s">
        <v>84</v>
      </c>
      <c r="E44" s="28"/>
      <c r="F44" s="28"/>
      <c r="G44" s="28"/>
      <c r="H44" s="28"/>
      <c r="I44" s="29">
        <f>433709-50411-1623</f>
        <v>381675</v>
      </c>
      <c r="J44" s="29"/>
      <c r="K44" s="30">
        <f t="shared" si="1"/>
        <v>381675</v>
      </c>
    </row>
    <row r="45" spans="1:11" s="31" customFormat="1" ht="65.25" customHeight="1">
      <c r="A45" s="27" t="s">
        <v>354</v>
      </c>
      <c r="B45" s="27" t="s">
        <v>355</v>
      </c>
      <c r="C45" s="27" t="s">
        <v>357</v>
      </c>
      <c r="D45" s="28" t="s">
        <v>356</v>
      </c>
      <c r="E45" s="28"/>
      <c r="F45" s="28"/>
      <c r="G45" s="28"/>
      <c r="H45" s="28"/>
      <c r="I45" s="29">
        <f>2300000+2700000-370000+55000-100000</f>
        <v>4585000</v>
      </c>
      <c r="J45" s="29"/>
      <c r="K45" s="30">
        <f t="shared" si="1"/>
        <v>4585000</v>
      </c>
    </row>
    <row r="46" spans="1:11" s="40" customFormat="1" ht="18">
      <c r="A46" s="32"/>
      <c r="B46" s="32"/>
      <c r="C46" s="32"/>
      <c r="D46" s="33" t="s">
        <v>436</v>
      </c>
      <c r="E46" s="33"/>
      <c r="F46" s="33"/>
      <c r="G46" s="33"/>
      <c r="H46" s="33"/>
      <c r="I46" s="35">
        <f>4630000-100000</f>
        <v>4530000</v>
      </c>
      <c r="J46" s="35"/>
      <c r="K46" s="36">
        <f t="shared" si="1"/>
        <v>4530000</v>
      </c>
    </row>
    <row r="47" spans="1:11" s="31" customFormat="1" ht="36">
      <c r="A47" s="27" t="s">
        <v>381</v>
      </c>
      <c r="B47" s="27" t="s">
        <v>382</v>
      </c>
      <c r="C47" s="27" t="s">
        <v>42</v>
      </c>
      <c r="D47" s="43" t="s">
        <v>380</v>
      </c>
      <c r="E47" s="28"/>
      <c r="F47" s="28"/>
      <c r="G47" s="28"/>
      <c r="H47" s="28"/>
      <c r="I47" s="29">
        <v>13000</v>
      </c>
      <c r="J47" s="29"/>
      <c r="K47" s="30">
        <f t="shared" si="1"/>
        <v>13000</v>
      </c>
    </row>
    <row r="48" spans="1:11" s="31" customFormat="1" ht="44.25" customHeight="1">
      <c r="A48" s="27" t="s">
        <v>142</v>
      </c>
      <c r="B48" s="27" t="s">
        <v>143</v>
      </c>
      <c r="C48" s="27"/>
      <c r="D48" s="28" t="s">
        <v>141</v>
      </c>
      <c r="E48" s="28"/>
      <c r="F48" s="28"/>
      <c r="G48" s="28"/>
      <c r="H48" s="28"/>
      <c r="I48" s="29">
        <f>I49</f>
        <v>349361</v>
      </c>
      <c r="J48" s="29">
        <f>J49</f>
        <v>0</v>
      </c>
      <c r="K48" s="30">
        <f>K49</f>
        <v>349361</v>
      </c>
    </row>
    <row r="49" spans="1:11" s="40" customFormat="1" ht="48" customHeight="1">
      <c r="A49" s="32" t="s">
        <v>217</v>
      </c>
      <c r="B49" s="32" t="s">
        <v>218</v>
      </c>
      <c r="C49" s="32" t="s">
        <v>42</v>
      </c>
      <c r="D49" s="49" t="s">
        <v>219</v>
      </c>
      <c r="E49" s="33"/>
      <c r="F49" s="33"/>
      <c r="G49" s="33"/>
      <c r="H49" s="33"/>
      <c r="I49" s="35">
        <f>337950+11411</f>
        <v>349361</v>
      </c>
      <c r="J49" s="35"/>
      <c r="K49" s="36">
        <f>J49+I49</f>
        <v>349361</v>
      </c>
    </row>
    <row r="50" spans="1:11" s="40" customFormat="1" ht="18">
      <c r="A50" s="32"/>
      <c r="B50" s="32"/>
      <c r="C50" s="32"/>
      <c r="D50" s="33" t="s">
        <v>436</v>
      </c>
      <c r="E50" s="33"/>
      <c r="F50" s="33"/>
      <c r="G50" s="33"/>
      <c r="H50" s="33"/>
      <c r="I50" s="35">
        <v>107950</v>
      </c>
      <c r="J50" s="35"/>
      <c r="K50" s="36">
        <f>J50+I50</f>
        <v>107950</v>
      </c>
    </row>
    <row r="51" spans="1:11" s="31" customFormat="1" ht="42" customHeight="1">
      <c r="A51" s="27" t="s">
        <v>103</v>
      </c>
      <c r="B51" s="27" t="s">
        <v>61</v>
      </c>
      <c r="C51" s="27"/>
      <c r="D51" s="44" t="s">
        <v>63</v>
      </c>
      <c r="E51" s="44"/>
      <c r="F51" s="44"/>
      <c r="G51" s="44"/>
      <c r="H51" s="44"/>
      <c r="I51" s="29">
        <f>I52</f>
        <v>95129</v>
      </c>
      <c r="J51" s="29">
        <f>J52</f>
        <v>0</v>
      </c>
      <c r="K51" s="30">
        <f>K52</f>
        <v>95129</v>
      </c>
    </row>
    <row r="52" spans="1:11" s="40" customFormat="1" ht="71.25" customHeight="1">
      <c r="A52" s="32" t="s">
        <v>104</v>
      </c>
      <c r="B52" s="32" t="s">
        <v>62</v>
      </c>
      <c r="C52" s="32" t="s">
        <v>50</v>
      </c>
      <c r="D52" s="49" t="s">
        <v>10</v>
      </c>
      <c r="E52" s="49"/>
      <c r="F52" s="49"/>
      <c r="G52" s="49"/>
      <c r="H52" s="49"/>
      <c r="I52" s="35">
        <f>100000-4871</f>
        <v>95129</v>
      </c>
      <c r="J52" s="35"/>
      <c r="K52" s="36">
        <f>J52+I52</f>
        <v>95129</v>
      </c>
    </row>
    <row r="53" spans="1:11" s="40" customFormat="1" ht="20.25" customHeight="1">
      <c r="A53" s="27" t="s">
        <v>287</v>
      </c>
      <c r="B53" s="27" t="s">
        <v>288</v>
      </c>
      <c r="C53" s="27"/>
      <c r="D53" s="50" t="s">
        <v>289</v>
      </c>
      <c r="E53" s="28"/>
      <c r="F53" s="28"/>
      <c r="G53" s="28"/>
      <c r="H53" s="28"/>
      <c r="I53" s="51">
        <f>SUM(I54)</f>
        <v>21130064.77</v>
      </c>
      <c r="J53" s="51">
        <f>SUM(J54)</f>
        <v>426400</v>
      </c>
      <c r="K53" s="51">
        <f>SUM(K54)</f>
        <v>21556464.77</v>
      </c>
    </row>
    <row r="54" spans="1:11" s="40" customFormat="1" ht="75.75" customHeight="1">
      <c r="A54" s="32" t="s">
        <v>285</v>
      </c>
      <c r="B54" s="32" t="s">
        <v>296</v>
      </c>
      <c r="C54" s="32" t="s">
        <v>52</v>
      </c>
      <c r="D54" s="53" t="s">
        <v>286</v>
      </c>
      <c r="E54" s="33"/>
      <c r="F54" s="33"/>
      <c r="G54" s="33"/>
      <c r="H54" s="33"/>
      <c r="I54" s="54">
        <f>12466734.77+8663330</f>
        <v>21130064.77</v>
      </c>
      <c r="J54" s="143">
        <v>426400</v>
      </c>
      <c r="K54" s="55">
        <f>J54+I54</f>
        <v>21556464.77</v>
      </c>
    </row>
    <row r="55" spans="1:11" s="40" customFormat="1" ht="18">
      <c r="A55" s="32"/>
      <c r="B55" s="32"/>
      <c r="C55" s="32"/>
      <c r="D55" s="33" t="s">
        <v>436</v>
      </c>
      <c r="E55" s="33"/>
      <c r="F55" s="33"/>
      <c r="G55" s="33"/>
      <c r="H55" s="33"/>
      <c r="I55" s="35">
        <f>12010603.78+8411000</f>
        <v>20421603.78</v>
      </c>
      <c r="J55" s="144">
        <v>426400</v>
      </c>
      <c r="K55" s="36">
        <f>J55+I55</f>
        <v>20848003.78</v>
      </c>
    </row>
    <row r="56" spans="1:11" s="40" customFormat="1" ht="20.25" customHeight="1">
      <c r="A56" s="27" t="s">
        <v>105</v>
      </c>
      <c r="B56" s="27" t="s">
        <v>2</v>
      </c>
      <c r="C56" s="27" t="s">
        <v>53</v>
      </c>
      <c r="D56" s="28" t="s">
        <v>22</v>
      </c>
      <c r="E56" s="28"/>
      <c r="F56" s="28"/>
      <c r="G56" s="28"/>
      <c r="H56" s="28"/>
      <c r="I56" s="29">
        <f>11768000+900000+283419+389000-970735-600000</f>
        <v>11769684</v>
      </c>
      <c r="J56" s="29"/>
      <c r="K56" s="30">
        <f>J56+I56</f>
        <v>11769684</v>
      </c>
    </row>
    <row r="57" spans="1:11" s="40" customFormat="1" ht="74.25" customHeight="1">
      <c r="A57" s="27" t="s">
        <v>321</v>
      </c>
      <c r="B57" s="27" t="s">
        <v>283</v>
      </c>
      <c r="C57" s="27" t="s">
        <v>30</v>
      </c>
      <c r="D57" s="28" t="s">
        <v>294</v>
      </c>
      <c r="E57" s="28"/>
      <c r="F57" s="28"/>
      <c r="G57" s="28"/>
      <c r="H57" s="28"/>
      <c r="I57" s="29">
        <v>2000000</v>
      </c>
      <c r="J57" s="29"/>
      <c r="K57" s="30">
        <f>J57+I57</f>
        <v>2000000</v>
      </c>
    </row>
    <row r="58" spans="1:11" s="21" customFormat="1" ht="40.5" customHeight="1">
      <c r="A58" s="17" t="s">
        <v>106</v>
      </c>
      <c r="B58" s="17"/>
      <c r="C58" s="17"/>
      <c r="D58" s="46" t="s">
        <v>14</v>
      </c>
      <c r="E58" s="46"/>
      <c r="F58" s="46"/>
      <c r="G58" s="46"/>
      <c r="H58" s="46"/>
      <c r="I58" s="19">
        <f>I59</f>
        <v>49227826.49</v>
      </c>
      <c r="J58" s="19">
        <f>J59</f>
        <v>5361360</v>
      </c>
      <c r="K58" s="20">
        <f>K59</f>
        <v>54589186.49</v>
      </c>
    </row>
    <row r="59" spans="1:11" s="26" customFormat="1" ht="46.5" customHeight="1">
      <c r="A59" s="22" t="s">
        <v>107</v>
      </c>
      <c r="B59" s="22"/>
      <c r="C59" s="22"/>
      <c r="D59" s="48" t="s">
        <v>14</v>
      </c>
      <c r="E59" s="48"/>
      <c r="F59" s="48"/>
      <c r="G59" s="48"/>
      <c r="H59" s="48"/>
      <c r="I59" s="24">
        <f>I61+I70+I67+I62+I63+I66+I71</f>
        <v>49227826.49</v>
      </c>
      <c r="J59" s="24">
        <f>J61+J70+J67+J62+J63+J66+J71</f>
        <v>5361360</v>
      </c>
      <c r="K59" s="25">
        <f>K61+K70+K67+K62+K63+K66+K71</f>
        <v>54589186.49</v>
      </c>
    </row>
    <row r="60" spans="1:11" s="26" customFormat="1" ht="18">
      <c r="A60" s="22"/>
      <c r="B60" s="22"/>
      <c r="C60" s="22"/>
      <c r="D60" s="48" t="s">
        <v>436</v>
      </c>
      <c r="E60" s="48"/>
      <c r="F60" s="48"/>
      <c r="G60" s="48"/>
      <c r="H60" s="48"/>
      <c r="I60" s="24">
        <f>I69</f>
        <v>4559964.66</v>
      </c>
      <c r="J60" s="24">
        <f>J69</f>
        <v>5277000</v>
      </c>
      <c r="K60" s="25">
        <f>K69</f>
        <v>9836964.66</v>
      </c>
    </row>
    <row r="61" spans="1:11" s="31" customFormat="1" ht="60" customHeight="1">
      <c r="A61" s="27" t="s">
        <v>108</v>
      </c>
      <c r="B61" s="27" t="s">
        <v>43</v>
      </c>
      <c r="C61" s="27" t="s">
        <v>44</v>
      </c>
      <c r="D61" s="28" t="s">
        <v>16</v>
      </c>
      <c r="E61" s="28"/>
      <c r="F61" s="28"/>
      <c r="G61" s="28"/>
      <c r="H61" s="28"/>
      <c r="I61" s="29">
        <f>28491409+3464315+744355+130333-535675-265014</f>
        <v>32029723</v>
      </c>
      <c r="J61" s="29"/>
      <c r="K61" s="30">
        <f>J61+I61</f>
        <v>32029723</v>
      </c>
    </row>
    <row r="62" spans="1:11" s="31" customFormat="1" ht="36">
      <c r="A62" s="27" t="s">
        <v>343</v>
      </c>
      <c r="B62" s="27" t="s">
        <v>344</v>
      </c>
      <c r="C62" s="27" t="s">
        <v>346</v>
      </c>
      <c r="D62" s="28" t="s">
        <v>345</v>
      </c>
      <c r="E62" s="28"/>
      <c r="F62" s="28"/>
      <c r="G62" s="28"/>
      <c r="H62" s="28"/>
      <c r="I62" s="29">
        <f>15000+115000+1539</f>
        <v>131539</v>
      </c>
      <c r="J62" s="29"/>
      <c r="K62" s="30">
        <f>J62+I62</f>
        <v>131539</v>
      </c>
    </row>
    <row r="63" spans="1:11" s="31" customFormat="1" ht="18">
      <c r="A63" s="27" t="s">
        <v>347</v>
      </c>
      <c r="B63" s="27" t="s">
        <v>348</v>
      </c>
      <c r="C63" s="27"/>
      <c r="D63" s="28" t="s">
        <v>349</v>
      </c>
      <c r="E63" s="28"/>
      <c r="F63" s="28"/>
      <c r="G63" s="28"/>
      <c r="H63" s="28"/>
      <c r="I63" s="29">
        <f>I64</f>
        <v>59000</v>
      </c>
      <c r="J63" s="29">
        <f>J64</f>
        <v>0</v>
      </c>
      <c r="K63" s="30">
        <f>K64</f>
        <v>59000</v>
      </c>
    </row>
    <row r="64" spans="1:11" s="40" customFormat="1" ht="58.5" customHeight="1">
      <c r="A64" s="32" t="s">
        <v>350</v>
      </c>
      <c r="B64" s="32" t="s">
        <v>351</v>
      </c>
      <c r="C64" s="32" t="s">
        <v>353</v>
      </c>
      <c r="D64" s="33" t="s">
        <v>352</v>
      </c>
      <c r="E64" s="33"/>
      <c r="F64" s="33"/>
      <c r="G64" s="33"/>
      <c r="H64" s="33"/>
      <c r="I64" s="35">
        <f>35000+34600-10600</f>
        <v>59000</v>
      </c>
      <c r="J64" s="35"/>
      <c r="K64" s="30">
        <f>J64+I64</f>
        <v>59000</v>
      </c>
    </row>
    <row r="65" spans="1:11" s="31" customFormat="1" ht="36">
      <c r="A65" s="27" t="s">
        <v>367</v>
      </c>
      <c r="B65" s="27" t="s">
        <v>368</v>
      </c>
      <c r="C65" s="27"/>
      <c r="D65" s="28" t="s">
        <v>371</v>
      </c>
      <c r="E65" s="28"/>
      <c r="F65" s="28"/>
      <c r="G65" s="28"/>
      <c r="H65" s="28"/>
      <c r="I65" s="29">
        <f>I66</f>
        <v>3367346</v>
      </c>
      <c r="J65" s="29">
        <f>J66</f>
        <v>0</v>
      </c>
      <c r="K65" s="30">
        <f>K66</f>
        <v>3367346</v>
      </c>
    </row>
    <row r="66" spans="1:11" s="40" customFormat="1" ht="36">
      <c r="A66" s="32" t="s">
        <v>370</v>
      </c>
      <c r="B66" s="32" t="s">
        <v>369</v>
      </c>
      <c r="C66" s="32" t="s">
        <v>373</v>
      </c>
      <c r="D66" s="33" t="s">
        <v>372</v>
      </c>
      <c r="E66" s="33"/>
      <c r="F66" s="33"/>
      <c r="G66" s="33"/>
      <c r="H66" s="33"/>
      <c r="I66" s="35">
        <f>3406496-39150</f>
        <v>3367346</v>
      </c>
      <c r="J66" s="35"/>
      <c r="K66" s="36">
        <f>J66+I66</f>
        <v>3367346</v>
      </c>
    </row>
    <row r="67" spans="1:11" s="31" customFormat="1" ht="32.25" customHeight="1">
      <c r="A67" s="27" t="s">
        <v>312</v>
      </c>
      <c r="B67" s="27" t="s">
        <v>288</v>
      </c>
      <c r="C67" s="27"/>
      <c r="D67" s="28" t="s">
        <v>289</v>
      </c>
      <c r="E67" s="28"/>
      <c r="F67" s="28"/>
      <c r="G67" s="28"/>
      <c r="H67" s="28"/>
      <c r="I67" s="29">
        <f>SUM(I68)</f>
        <v>4696763.6</v>
      </c>
      <c r="J67" s="29">
        <f>SUM(J68)</f>
        <v>5361360</v>
      </c>
      <c r="K67" s="30">
        <f>SUM(K68)</f>
        <v>10058123.6</v>
      </c>
    </row>
    <row r="68" spans="1:11" s="40" customFormat="1" ht="84.75" customHeight="1">
      <c r="A68" s="32" t="s">
        <v>313</v>
      </c>
      <c r="B68" s="32" t="s">
        <v>296</v>
      </c>
      <c r="C68" s="32" t="s">
        <v>52</v>
      </c>
      <c r="D68" s="33" t="s">
        <v>286</v>
      </c>
      <c r="E68" s="33"/>
      <c r="F68" s="33"/>
      <c r="G68" s="33"/>
      <c r="H68" s="33"/>
      <c r="I68" s="35">
        <f>4665863.6+30900</f>
        <v>4696763.6</v>
      </c>
      <c r="J68" s="144">
        <f>5277000+84360</f>
        <v>5361360</v>
      </c>
      <c r="K68" s="36">
        <f>J68+I68</f>
        <v>10058123.6</v>
      </c>
    </row>
    <row r="69" spans="1:11" s="40" customFormat="1" ht="18">
      <c r="A69" s="32"/>
      <c r="B69" s="32"/>
      <c r="C69" s="32"/>
      <c r="D69" s="33" t="s">
        <v>436</v>
      </c>
      <c r="E69" s="33"/>
      <c r="F69" s="33"/>
      <c r="G69" s="33"/>
      <c r="H69" s="33"/>
      <c r="I69" s="35">
        <f>4529964.66+30000</f>
        <v>4559964.66</v>
      </c>
      <c r="J69" s="144">
        <v>5277000</v>
      </c>
      <c r="K69" s="36">
        <f>J69+I69</f>
        <v>9836964.66</v>
      </c>
    </row>
    <row r="70" spans="1:11" s="31" customFormat="1" ht="26.25" customHeight="1">
      <c r="A70" s="27" t="s">
        <v>109</v>
      </c>
      <c r="B70" s="27" t="s">
        <v>2</v>
      </c>
      <c r="C70" s="27" t="s">
        <v>53</v>
      </c>
      <c r="D70" s="28" t="s">
        <v>22</v>
      </c>
      <c r="E70" s="28"/>
      <c r="F70" s="28"/>
      <c r="G70" s="28"/>
      <c r="H70" s="28"/>
      <c r="I70" s="29">
        <f>6847000+3000000-134872-370170-898503.11</f>
        <v>8443454.89</v>
      </c>
      <c r="J70" s="29"/>
      <c r="K70" s="30">
        <f>J70+I70</f>
        <v>8443454.89</v>
      </c>
    </row>
    <row r="71" spans="1:11" s="31" customFormat="1" ht="26.25" customHeight="1">
      <c r="A71" s="27" t="s">
        <v>443</v>
      </c>
      <c r="B71" s="27" t="s">
        <v>233</v>
      </c>
      <c r="C71" s="27" t="s">
        <v>30</v>
      </c>
      <c r="D71" s="56" t="s">
        <v>234</v>
      </c>
      <c r="E71" s="28"/>
      <c r="F71" s="28"/>
      <c r="G71" s="28"/>
      <c r="H71" s="28"/>
      <c r="I71" s="29">
        <v>500000</v>
      </c>
      <c r="J71" s="29"/>
      <c r="K71" s="30">
        <f>J71+I71</f>
        <v>500000</v>
      </c>
    </row>
    <row r="72" spans="1:11" s="21" customFormat="1" ht="57" customHeight="1">
      <c r="A72" s="17" t="s">
        <v>110</v>
      </c>
      <c r="B72" s="17"/>
      <c r="C72" s="17"/>
      <c r="D72" s="46" t="s">
        <v>26</v>
      </c>
      <c r="E72" s="46"/>
      <c r="F72" s="46"/>
      <c r="G72" s="46"/>
      <c r="H72" s="46"/>
      <c r="I72" s="19">
        <f>I73</f>
        <v>19205267.35</v>
      </c>
      <c r="J72" s="19">
        <f>J73</f>
        <v>116300</v>
      </c>
      <c r="K72" s="20">
        <f>K73</f>
        <v>19321567.35</v>
      </c>
    </row>
    <row r="73" spans="1:11" s="26" customFormat="1" ht="60.75" customHeight="1">
      <c r="A73" s="22" t="s">
        <v>111</v>
      </c>
      <c r="B73" s="22"/>
      <c r="C73" s="22"/>
      <c r="D73" s="48" t="s">
        <v>26</v>
      </c>
      <c r="E73" s="48"/>
      <c r="F73" s="48"/>
      <c r="G73" s="48"/>
      <c r="H73" s="48"/>
      <c r="I73" s="24">
        <f>I75+I76+I87+I78+I80+I91</f>
        <v>19205267.35</v>
      </c>
      <c r="J73" s="24">
        <f>J75+J76+J87+J78+J80+J91</f>
        <v>116300</v>
      </c>
      <c r="K73" s="24">
        <f>K75+K76+K87+K78+K80+K91</f>
        <v>19321567.35</v>
      </c>
    </row>
    <row r="74" spans="1:11" s="26" customFormat="1" ht="18">
      <c r="A74" s="22"/>
      <c r="B74" s="22"/>
      <c r="C74" s="22"/>
      <c r="D74" s="48" t="s">
        <v>436</v>
      </c>
      <c r="E74" s="48"/>
      <c r="F74" s="48"/>
      <c r="G74" s="48"/>
      <c r="H74" s="48"/>
      <c r="I74" s="24">
        <f>I82+I86+I84+I92</f>
        <v>18010385.35</v>
      </c>
      <c r="J74" s="24">
        <f>J82+J86+J84+J92</f>
        <v>116300</v>
      </c>
      <c r="K74" s="24">
        <f>K82+K86+K84+K92</f>
        <v>18126685.35</v>
      </c>
    </row>
    <row r="75" spans="1:11" s="31" customFormat="1" ht="80.25" customHeight="1">
      <c r="A75" s="57" t="s">
        <v>112</v>
      </c>
      <c r="B75" s="57" t="s">
        <v>66</v>
      </c>
      <c r="C75" s="57" t="s">
        <v>31</v>
      </c>
      <c r="D75" s="58" t="s">
        <v>67</v>
      </c>
      <c r="E75" s="58"/>
      <c r="F75" s="58"/>
      <c r="G75" s="58"/>
      <c r="H75" s="58"/>
      <c r="I75" s="59">
        <f>700000-128000-21910</f>
        <v>550090</v>
      </c>
      <c r="J75" s="59"/>
      <c r="K75" s="60">
        <f>J75+I75</f>
        <v>550090</v>
      </c>
    </row>
    <row r="76" spans="1:11" s="62" customFormat="1" ht="92.25" customHeight="1">
      <c r="A76" s="27" t="s">
        <v>113</v>
      </c>
      <c r="B76" s="61">
        <v>3030</v>
      </c>
      <c r="C76" s="61"/>
      <c r="D76" s="28" t="s">
        <v>69</v>
      </c>
      <c r="E76" s="28"/>
      <c r="F76" s="28"/>
      <c r="G76" s="28"/>
      <c r="H76" s="28"/>
      <c r="I76" s="29">
        <f>I77</f>
        <v>245910</v>
      </c>
      <c r="J76" s="29">
        <f>J77</f>
        <v>0</v>
      </c>
      <c r="K76" s="30">
        <f>K77</f>
        <v>245910</v>
      </c>
    </row>
    <row r="77" spans="1:11" s="68" customFormat="1" ht="60" customHeight="1">
      <c r="A77" s="63" t="s">
        <v>114</v>
      </c>
      <c r="B77" s="64">
        <v>3031</v>
      </c>
      <c r="C77" s="64">
        <v>1030</v>
      </c>
      <c r="D77" s="65" t="s">
        <v>70</v>
      </c>
      <c r="E77" s="65"/>
      <c r="F77" s="65"/>
      <c r="G77" s="65"/>
      <c r="H77" s="65"/>
      <c r="I77" s="66">
        <f>214000+31910</f>
        <v>245910</v>
      </c>
      <c r="J77" s="66"/>
      <c r="K77" s="67">
        <f>J77+I77</f>
        <v>245910</v>
      </c>
    </row>
    <row r="78" spans="1:11" s="68" customFormat="1" ht="98.25" customHeight="1">
      <c r="A78" s="27" t="s">
        <v>115</v>
      </c>
      <c r="B78" s="61">
        <v>3100</v>
      </c>
      <c r="C78" s="61"/>
      <c r="D78" s="28" t="s">
        <v>231</v>
      </c>
      <c r="E78" s="33"/>
      <c r="F78" s="33"/>
      <c r="G78" s="33"/>
      <c r="H78" s="33"/>
      <c r="I78" s="29">
        <f>I79</f>
        <v>18500</v>
      </c>
      <c r="J78" s="29">
        <f>J79</f>
        <v>0</v>
      </c>
      <c r="K78" s="30">
        <f>K79</f>
        <v>18500</v>
      </c>
    </row>
    <row r="79" spans="1:11" s="68" customFormat="1" ht="96.75" customHeight="1">
      <c r="A79" s="32" t="s">
        <v>116</v>
      </c>
      <c r="B79" s="69">
        <v>3104</v>
      </c>
      <c r="C79" s="69">
        <v>1020</v>
      </c>
      <c r="D79" s="33" t="s">
        <v>19</v>
      </c>
      <c r="E79" s="33"/>
      <c r="F79" s="33"/>
      <c r="G79" s="33"/>
      <c r="H79" s="33"/>
      <c r="I79" s="35">
        <v>18500</v>
      </c>
      <c r="J79" s="35"/>
      <c r="K79" s="36">
        <f>J79+I79</f>
        <v>18500</v>
      </c>
    </row>
    <row r="80" spans="1:11" s="62" customFormat="1" ht="92.25" customHeight="1">
      <c r="A80" s="27" t="s">
        <v>394</v>
      </c>
      <c r="B80" s="61">
        <v>3220</v>
      </c>
      <c r="C80" s="61"/>
      <c r="D80" s="28" t="s">
        <v>396</v>
      </c>
      <c r="E80" s="28"/>
      <c r="F80" s="28"/>
      <c r="G80" s="28"/>
      <c r="H80" s="28"/>
      <c r="I80" s="29">
        <f>I81+I85+I83</f>
        <v>18010385.35</v>
      </c>
      <c r="J80" s="29">
        <f>J81+J85+J83</f>
        <v>0</v>
      </c>
      <c r="K80" s="30">
        <f>K81+K85+K83</f>
        <v>18010385.35</v>
      </c>
    </row>
    <row r="81" spans="1:11" s="68" customFormat="1" ht="332.25" customHeight="1">
      <c r="A81" s="32" t="s">
        <v>395</v>
      </c>
      <c r="B81" s="69">
        <v>3221</v>
      </c>
      <c r="C81" s="69">
        <v>1060</v>
      </c>
      <c r="D81" s="33" t="s">
        <v>397</v>
      </c>
      <c r="E81" s="33"/>
      <c r="F81" s="33"/>
      <c r="G81" s="33"/>
      <c r="H81" s="33"/>
      <c r="I81" s="35">
        <f>6547535.21+4381935.67</f>
        <v>10929470.879999999</v>
      </c>
      <c r="J81" s="35"/>
      <c r="K81" s="36">
        <f aca="true" t="shared" si="2" ref="K81:K86">J81+I81</f>
        <v>10929470.879999999</v>
      </c>
    </row>
    <row r="82" spans="1:11" s="40" customFormat="1" ht="18">
      <c r="A82" s="32"/>
      <c r="B82" s="32"/>
      <c r="C82" s="32"/>
      <c r="D82" s="33" t="s">
        <v>436</v>
      </c>
      <c r="E82" s="33"/>
      <c r="F82" s="33"/>
      <c r="G82" s="33"/>
      <c r="H82" s="33"/>
      <c r="I82" s="35">
        <f>6547535.21+4381935.67</f>
        <v>10929470.879999999</v>
      </c>
      <c r="J82" s="35"/>
      <c r="K82" s="36">
        <f t="shared" si="2"/>
        <v>10929470.879999999</v>
      </c>
    </row>
    <row r="83" spans="1:11" s="40" customFormat="1" ht="357.75" customHeight="1">
      <c r="A83" s="32" t="s">
        <v>423</v>
      </c>
      <c r="B83" s="32" t="s">
        <v>424</v>
      </c>
      <c r="C83" s="32" t="s">
        <v>425</v>
      </c>
      <c r="D83" s="70" t="s">
        <v>427</v>
      </c>
      <c r="E83" s="33"/>
      <c r="F83" s="33"/>
      <c r="G83" s="33"/>
      <c r="H83" s="33"/>
      <c r="I83" s="35">
        <f>2544480+154600</f>
        <v>2699080</v>
      </c>
      <c r="J83" s="35"/>
      <c r="K83" s="36">
        <f t="shared" si="2"/>
        <v>2699080</v>
      </c>
    </row>
    <row r="84" spans="1:11" s="40" customFormat="1" ht="18">
      <c r="A84" s="32"/>
      <c r="B84" s="32"/>
      <c r="C84" s="32"/>
      <c r="D84" s="33" t="s">
        <v>436</v>
      </c>
      <c r="E84" s="33"/>
      <c r="F84" s="33"/>
      <c r="G84" s="33"/>
      <c r="H84" s="33"/>
      <c r="I84" s="35">
        <f>2544480+154600</f>
        <v>2699080</v>
      </c>
      <c r="J84" s="35"/>
      <c r="K84" s="36">
        <f t="shared" si="2"/>
        <v>2699080</v>
      </c>
    </row>
    <row r="85" spans="1:11" s="68" customFormat="1" ht="327" customHeight="1">
      <c r="A85" s="32" t="s">
        <v>410</v>
      </c>
      <c r="B85" s="69">
        <v>3223</v>
      </c>
      <c r="C85" s="69">
        <v>1060</v>
      </c>
      <c r="D85" s="33" t="s">
        <v>417</v>
      </c>
      <c r="E85" s="33"/>
      <c r="F85" s="33"/>
      <c r="G85" s="33"/>
      <c r="H85" s="33"/>
      <c r="I85" s="35">
        <f>3521534.47+860300</f>
        <v>4381834.470000001</v>
      </c>
      <c r="J85" s="35"/>
      <c r="K85" s="36">
        <f t="shared" si="2"/>
        <v>4381834.470000001</v>
      </c>
    </row>
    <row r="86" spans="1:11" s="40" customFormat="1" ht="18">
      <c r="A86" s="32"/>
      <c r="B86" s="32"/>
      <c r="C86" s="32"/>
      <c r="D86" s="33" t="s">
        <v>436</v>
      </c>
      <c r="E86" s="33"/>
      <c r="F86" s="33"/>
      <c r="G86" s="33"/>
      <c r="H86" s="33"/>
      <c r="I86" s="35">
        <f>3521534.47+860300</f>
        <v>4381834.470000001</v>
      </c>
      <c r="J86" s="35"/>
      <c r="K86" s="36">
        <f t="shared" si="2"/>
        <v>4381834.470000001</v>
      </c>
    </row>
    <row r="87" spans="1:11" s="31" customFormat="1" ht="26.25" customHeight="1">
      <c r="A87" s="27" t="s">
        <v>229</v>
      </c>
      <c r="B87" s="61">
        <v>3240</v>
      </c>
      <c r="C87" s="61"/>
      <c r="D87" s="28" t="s">
        <v>74</v>
      </c>
      <c r="E87" s="28"/>
      <c r="F87" s="28"/>
      <c r="G87" s="28"/>
      <c r="H87" s="28"/>
      <c r="I87" s="29">
        <f>I88+I89</f>
        <v>380382</v>
      </c>
      <c r="J87" s="29">
        <f>J88+J89</f>
        <v>0</v>
      </c>
      <c r="K87" s="30">
        <f>K88+K89</f>
        <v>380382</v>
      </c>
    </row>
    <row r="88" spans="1:11" s="40" customFormat="1" ht="60" customHeight="1">
      <c r="A88" s="32" t="s">
        <v>220</v>
      </c>
      <c r="B88" s="69">
        <v>3241</v>
      </c>
      <c r="C88" s="69">
        <v>1090</v>
      </c>
      <c r="D88" s="33" t="s">
        <v>221</v>
      </c>
      <c r="E88" s="33"/>
      <c r="F88" s="33"/>
      <c r="G88" s="33"/>
      <c r="H88" s="33"/>
      <c r="I88" s="35">
        <f>300000+5382</f>
        <v>305382</v>
      </c>
      <c r="J88" s="35"/>
      <c r="K88" s="36">
        <f>J88+I88</f>
        <v>305382</v>
      </c>
    </row>
    <row r="89" spans="1:11" s="40" customFormat="1" ht="57" customHeight="1">
      <c r="A89" s="32" t="s">
        <v>222</v>
      </c>
      <c r="B89" s="69">
        <v>3242</v>
      </c>
      <c r="C89" s="69">
        <v>1090</v>
      </c>
      <c r="D89" s="33" t="s">
        <v>223</v>
      </c>
      <c r="E89" s="33"/>
      <c r="F89" s="33"/>
      <c r="G89" s="33"/>
      <c r="H89" s="33"/>
      <c r="I89" s="35">
        <v>75000</v>
      </c>
      <c r="J89" s="35"/>
      <c r="K89" s="36">
        <f>J89+I89</f>
        <v>75000</v>
      </c>
    </row>
    <row r="90" spans="1:11" s="148" customFormat="1" ht="57" customHeight="1">
      <c r="A90" s="149" t="s">
        <v>479</v>
      </c>
      <c r="B90" s="149" t="s">
        <v>288</v>
      </c>
      <c r="C90" s="149"/>
      <c r="D90" s="150" t="s">
        <v>289</v>
      </c>
      <c r="E90" s="146"/>
      <c r="F90" s="146"/>
      <c r="G90" s="146"/>
      <c r="H90" s="146"/>
      <c r="I90" s="151">
        <f>I91</f>
        <v>0</v>
      </c>
      <c r="J90" s="151">
        <f>J91</f>
        <v>116300</v>
      </c>
      <c r="K90" s="151">
        <f>K91</f>
        <v>116300</v>
      </c>
    </row>
    <row r="91" spans="1:11" s="148" customFormat="1" ht="54">
      <c r="A91" s="145" t="s">
        <v>478</v>
      </c>
      <c r="B91" s="145" t="s">
        <v>296</v>
      </c>
      <c r="C91" s="145" t="s">
        <v>52</v>
      </c>
      <c r="D91" s="146" t="s">
        <v>286</v>
      </c>
      <c r="E91" s="146"/>
      <c r="F91" s="146"/>
      <c r="G91" s="146"/>
      <c r="H91" s="146"/>
      <c r="I91" s="144"/>
      <c r="J91" s="144">
        <v>116300</v>
      </c>
      <c r="K91" s="147">
        <f>J91+I91</f>
        <v>116300</v>
      </c>
    </row>
    <row r="92" spans="1:11" s="148" customFormat="1" ht="18">
      <c r="A92" s="145"/>
      <c r="B92" s="145"/>
      <c r="C92" s="145"/>
      <c r="D92" s="146" t="s">
        <v>436</v>
      </c>
      <c r="E92" s="146"/>
      <c r="F92" s="146"/>
      <c r="G92" s="146"/>
      <c r="H92" s="146"/>
      <c r="I92" s="144"/>
      <c r="J92" s="144">
        <v>116300</v>
      </c>
      <c r="K92" s="147">
        <f>J92+I92</f>
        <v>116300</v>
      </c>
    </row>
    <row r="93" spans="1:11" s="26" customFormat="1" ht="49.5" customHeight="1">
      <c r="A93" s="17" t="s">
        <v>464</v>
      </c>
      <c r="B93" s="71"/>
      <c r="C93" s="71"/>
      <c r="D93" s="46" t="s">
        <v>465</v>
      </c>
      <c r="E93" s="46"/>
      <c r="F93" s="46"/>
      <c r="G93" s="46"/>
      <c r="H93" s="46"/>
      <c r="I93" s="19">
        <f>SUM(I94)</f>
        <v>3315040</v>
      </c>
      <c r="J93" s="19">
        <f>SUM(J94)</f>
        <v>0</v>
      </c>
      <c r="K93" s="19">
        <f>SUM(K94)</f>
        <v>3315040</v>
      </c>
    </row>
    <row r="94" spans="1:11" s="26" customFormat="1" ht="49.5" customHeight="1">
      <c r="A94" s="22" t="s">
        <v>466</v>
      </c>
      <c r="B94" s="71"/>
      <c r="C94" s="71"/>
      <c r="D94" s="48" t="s">
        <v>465</v>
      </c>
      <c r="E94" s="48"/>
      <c r="F94" s="48"/>
      <c r="G94" s="48"/>
      <c r="H94" s="48"/>
      <c r="I94" s="24">
        <f>SUM(I96)</f>
        <v>3315040</v>
      </c>
      <c r="J94" s="24">
        <f>SUM(J96)</f>
        <v>0</v>
      </c>
      <c r="K94" s="24">
        <f>SUM(K96)</f>
        <v>3315040</v>
      </c>
    </row>
    <row r="95" spans="1:11" s="26" customFormat="1" ht="45" customHeight="1" thickBot="1">
      <c r="A95" s="22"/>
      <c r="B95" s="71"/>
      <c r="C95" s="71"/>
      <c r="D95" s="48" t="s">
        <v>467</v>
      </c>
      <c r="E95" s="48"/>
      <c r="F95" s="48"/>
      <c r="G95" s="48"/>
      <c r="H95" s="48"/>
      <c r="I95" s="24">
        <f>SUM(I98)</f>
        <v>3315040</v>
      </c>
      <c r="J95" s="24">
        <f>SUM(J98)</f>
        <v>0</v>
      </c>
      <c r="K95" s="24">
        <f>SUM(K98)</f>
        <v>3315040</v>
      </c>
    </row>
    <row r="96" spans="1:11" s="40" customFormat="1" ht="51" customHeight="1" thickBot="1">
      <c r="A96" s="32" t="s">
        <v>468</v>
      </c>
      <c r="B96" s="69">
        <v>6080</v>
      </c>
      <c r="C96" s="32" t="s">
        <v>318</v>
      </c>
      <c r="D96" s="72" t="s">
        <v>316</v>
      </c>
      <c r="E96" s="28"/>
      <c r="F96" s="28"/>
      <c r="G96" s="28"/>
      <c r="H96" s="28"/>
      <c r="I96" s="29">
        <f>SUM(I97)</f>
        <v>3315040</v>
      </c>
      <c r="J96" s="29">
        <f>SUM(J97)</f>
        <v>0</v>
      </c>
      <c r="K96" s="29">
        <f>SUM(K97)</f>
        <v>3315040</v>
      </c>
    </row>
    <row r="97" spans="1:11" s="40" customFormat="1" ht="117.75" customHeight="1">
      <c r="A97" s="32" t="s">
        <v>469</v>
      </c>
      <c r="B97" s="69">
        <v>6083</v>
      </c>
      <c r="C97" s="32" t="s">
        <v>318</v>
      </c>
      <c r="D97" s="73" t="s">
        <v>426</v>
      </c>
      <c r="E97" s="33"/>
      <c r="F97" s="33"/>
      <c r="G97" s="33"/>
      <c r="H97" s="33"/>
      <c r="I97" s="35">
        <v>3315040</v>
      </c>
      <c r="J97" s="35"/>
      <c r="K97" s="35">
        <f>SUM(I97)+J97</f>
        <v>3315040</v>
      </c>
    </row>
    <row r="98" spans="1:11" s="40" customFormat="1" ht="30.75" customHeight="1">
      <c r="A98" s="32"/>
      <c r="B98" s="69"/>
      <c r="C98" s="69"/>
      <c r="D98" s="48" t="s">
        <v>467</v>
      </c>
      <c r="E98" s="33"/>
      <c r="F98" s="33"/>
      <c r="G98" s="33"/>
      <c r="H98" s="33"/>
      <c r="I98" s="35">
        <v>3315040</v>
      </c>
      <c r="J98" s="35"/>
      <c r="K98" s="35">
        <f>SUM(I98)+J98</f>
        <v>3315040</v>
      </c>
    </row>
    <row r="99" spans="1:11" s="21" customFormat="1" ht="45" customHeight="1">
      <c r="A99" s="17" t="s">
        <v>13</v>
      </c>
      <c r="B99" s="17"/>
      <c r="C99" s="17"/>
      <c r="D99" s="46" t="s">
        <v>20</v>
      </c>
      <c r="E99" s="46"/>
      <c r="F99" s="46"/>
      <c r="G99" s="46"/>
      <c r="H99" s="46"/>
      <c r="I99" s="19">
        <f>I100</f>
        <v>3850770</v>
      </c>
      <c r="J99" s="19">
        <f>J100</f>
        <v>0</v>
      </c>
      <c r="K99" s="20">
        <f>K100</f>
        <v>3850770</v>
      </c>
    </row>
    <row r="100" spans="1:11" s="26" customFormat="1" ht="42.75" customHeight="1">
      <c r="A100" s="22" t="s">
        <v>117</v>
      </c>
      <c r="B100" s="22"/>
      <c r="C100" s="22"/>
      <c r="D100" s="48" t="s">
        <v>20</v>
      </c>
      <c r="E100" s="48"/>
      <c r="F100" s="48"/>
      <c r="G100" s="48"/>
      <c r="H100" s="48"/>
      <c r="I100" s="24">
        <f>I102+I103+I104+I105+I110+I107</f>
        <v>3850770</v>
      </c>
      <c r="J100" s="24">
        <f>J102+J103+J104+J105+J110+J107</f>
        <v>0</v>
      </c>
      <c r="K100" s="25">
        <f>K102+K103+K104+K105+K110+K107</f>
        <v>3850770</v>
      </c>
    </row>
    <row r="101" spans="1:11" s="26" customFormat="1" ht="18">
      <c r="A101" s="22"/>
      <c r="B101" s="22"/>
      <c r="C101" s="22"/>
      <c r="D101" s="48" t="s">
        <v>436</v>
      </c>
      <c r="E101" s="48"/>
      <c r="F101" s="48"/>
      <c r="G101" s="48"/>
      <c r="H101" s="48"/>
      <c r="I101" s="24">
        <f>I109</f>
        <v>650000</v>
      </c>
      <c r="J101" s="24">
        <f>J109</f>
        <v>0</v>
      </c>
      <c r="K101" s="25">
        <f>K109</f>
        <v>650000</v>
      </c>
    </row>
    <row r="102" spans="1:11" s="31" customFormat="1" ht="90.75" customHeight="1">
      <c r="A102" s="27" t="s">
        <v>81</v>
      </c>
      <c r="B102" s="27" t="s">
        <v>66</v>
      </c>
      <c r="C102" s="27" t="s">
        <v>31</v>
      </c>
      <c r="D102" s="28" t="s">
        <v>67</v>
      </c>
      <c r="E102" s="28"/>
      <c r="F102" s="28"/>
      <c r="G102" s="28"/>
      <c r="H102" s="28"/>
      <c r="I102" s="29">
        <f>10000+850</f>
        <v>10850</v>
      </c>
      <c r="J102" s="29"/>
      <c r="K102" s="30">
        <f>J102+I102</f>
        <v>10850</v>
      </c>
    </row>
    <row r="103" spans="1:11" s="31" customFormat="1" ht="78" customHeight="1">
      <c r="A103" s="27" t="s">
        <v>138</v>
      </c>
      <c r="B103" s="27" t="s">
        <v>41</v>
      </c>
      <c r="C103" s="27" t="s">
        <v>40</v>
      </c>
      <c r="D103" s="28" t="s">
        <v>5</v>
      </c>
      <c r="E103" s="28"/>
      <c r="F103" s="28"/>
      <c r="G103" s="28"/>
      <c r="H103" s="28"/>
      <c r="I103" s="29">
        <f>197300-4500</f>
        <v>192800</v>
      </c>
      <c r="J103" s="29"/>
      <c r="K103" s="30">
        <f>J103+I103</f>
        <v>192800</v>
      </c>
    </row>
    <row r="104" spans="1:11" s="31" customFormat="1" ht="21" customHeight="1">
      <c r="A104" s="27" t="s">
        <v>118</v>
      </c>
      <c r="B104" s="27" t="s">
        <v>47</v>
      </c>
      <c r="C104" s="27" t="s">
        <v>48</v>
      </c>
      <c r="D104" s="28" t="s">
        <v>4</v>
      </c>
      <c r="E104" s="28"/>
      <c r="F104" s="28"/>
      <c r="G104" s="28"/>
      <c r="H104" s="28"/>
      <c r="I104" s="29">
        <f>300000+850050+70100+10000+20000+30320</f>
        <v>1280470</v>
      </c>
      <c r="J104" s="29"/>
      <c r="K104" s="30">
        <f>J104+I104</f>
        <v>1280470</v>
      </c>
    </row>
    <row r="105" spans="1:11" s="31" customFormat="1" ht="48" customHeight="1">
      <c r="A105" s="27" t="s">
        <v>119</v>
      </c>
      <c r="B105" s="27" t="s">
        <v>6</v>
      </c>
      <c r="C105" s="27"/>
      <c r="D105" s="28" t="s">
        <v>7</v>
      </c>
      <c r="E105" s="28"/>
      <c r="F105" s="28"/>
      <c r="G105" s="28"/>
      <c r="H105" s="28"/>
      <c r="I105" s="29">
        <f>I106</f>
        <v>49150</v>
      </c>
      <c r="J105" s="29">
        <f>J106</f>
        <v>0</v>
      </c>
      <c r="K105" s="30">
        <f>K106</f>
        <v>49150</v>
      </c>
    </row>
    <row r="106" spans="1:11" s="40" customFormat="1" ht="36">
      <c r="A106" s="32" t="s">
        <v>224</v>
      </c>
      <c r="B106" s="32" t="s">
        <v>215</v>
      </c>
      <c r="C106" s="32" t="s">
        <v>49</v>
      </c>
      <c r="D106" s="33" t="s">
        <v>216</v>
      </c>
      <c r="E106" s="33"/>
      <c r="F106" s="33"/>
      <c r="G106" s="33"/>
      <c r="H106" s="33"/>
      <c r="I106" s="35">
        <f>50000-850</f>
        <v>49150</v>
      </c>
      <c r="J106" s="35"/>
      <c r="K106" s="36">
        <f>J106+I106</f>
        <v>49150</v>
      </c>
    </row>
    <row r="107" spans="1:11" s="40" customFormat="1" ht="18">
      <c r="A107" s="27" t="s">
        <v>405</v>
      </c>
      <c r="B107" s="27" t="s">
        <v>288</v>
      </c>
      <c r="C107" s="27"/>
      <c r="D107" s="28" t="s">
        <v>289</v>
      </c>
      <c r="E107" s="33"/>
      <c r="F107" s="33"/>
      <c r="G107" s="33"/>
      <c r="H107" s="33"/>
      <c r="I107" s="29">
        <f>I108</f>
        <v>669500</v>
      </c>
      <c r="J107" s="29">
        <f>J108</f>
        <v>0</v>
      </c>
      <c r="K107" s="30">
        <f>K108</f>
        <v>669500</v>
      </c>
    </row>
    <row r="108" spans="1:11" s="40" customFormat="1" ht="61.5" customHeight="1">
      <c r="A108" s="32" t="s">
        <v>406</v>
      </c>
      <c r="B108" s="32" t="s">
        <v>296</v>
      </c>
      <c r="C108" s="32" t="s">
        <v>52</v>
      </c>
      <c r="D108" s="33" t="s">
        <v>286</v>
      </c>
      <c r="E108" s="33"/>
      <c r="F108" s="33"/>
      <c r="G108" s="33"/>
      <c r="H108" s="33"/>
      <c r="I108" s="35">
        <f>515000+154500</f>
        <v>669500</v>
      </c>
      <c r="J108" s="35"/>
      <c r="K108" s="36">
        <f>J108+I108</f>
        <v>669500</v>
      </c>
    </row>
    <row r="109" spans="1:11" s="40" customFormat="1" ht="18">
      <c r="A109" s="32"/>
      <c r="B109" s="32"/>
      <c r="C109" s="32"/>
      <c r="D109" s="33" t="s">
        <v>436</v>
      </c>
      <c r="E109" s="33"/>
      <c r="F109" s="33"/>
      <c r="G109" s="33"/>
      <c r="H109" s="33"/>
      <c r="I109" s="35">
        <f>500000+150000</f>
        <v>650000</v>
      </c>
      <c r="J109" s="35"/>
      <c r="K109" s="36">
        <f>J109+I109</f>
        <v>650000</v>
      </c>
    </row>
    <row r="110" spans="1:11" s="31" customFormat="1" ht="24.75" customHeight="1">
      <c r="A110" s="27" t="s">
        <v>85</v>
      </c>
      <c r="B110" s="27" t="s">
        <v>2</v>
      </c>
      <c r="C110" s="27" t="s">
        <v>53</v>
      </c>
      <c r="D110" s="28" t="s">
        <v>22</v>
      </c>
      <c r="E110" s="28"/>
      <c r="F110" s="28"/>
      <c r="G110" s="28"/>
      <c r="H110" s="28"/>
      <c r="I110" s="29">
        <v>1648000</v>
      </c>
      <c r="J110" s="29"/>
      <c r="K110" s="30">
        <f>J110+I110</f>
        <v>1648000</v>
      </c>
    </row>
    <row r="111" spans="1:11" s="21" customFormat="1" ht="42" customHeight="1">
      <c r="A111" s="17" t="s">
        <v>120</v>
      </c>
      <c r="B111" s="17"/>
      <c r="C111" s="17"/>
      <c r="D111" s="46" t="s">
        <v>21</v>
      </c>
      <c r="E111" s="46"/>
      <c r="F111" s="46"/>
      <c r="G111" s="46"/>
      <c r="H111" s="46"/>
      <c r="I111" s="19">
        <f>I112</f>
        <v>159490920.54</v>
      </c>
      <c r="J111" s="19">
        <f>J112</f>
        <v>6278000</v>
      </c>
      <c r="K111" s="20">
        <f>K112</f>
        <v>165768920.54</v>
      </c>
    </row>
    <row r="112" spans="1:11" s="26" customFormat="1" ht="48.75" customHeight="1">
      <c r="A112" s="22" t="s">
        <v>121</v>
      </c>
      <c r="B112" s="22"/>
      <c r="C112" s="22"/>
      <c r="D112" s="48" t="s">
        <v>21</v>
      </c>
      <c r="E112" s="48"/>
      <c r="F112" s="48"/>
      <c r="G112" s="48"/>
      <c r="H112" s="48"/>
      <c r="I112" s="24">
        <f>I114+I115+I120+I160+I179+I121+I150+I163+I178</f>
        <v>159490920.54</v>
      </c>
      <c r="J112" s="24">
        <f>J114+J115+J120+J160+J179+J121+J150+J163+J178</f>
        <v>6278000</v>
      </c>
      <c r="K112" s="24">
        <f>K114+K115+K120+K160+K179+K121+K150+K163+K178</f>
        <v>165768920.54</v>
      </c>
    </row>
    <row r="113" spans="1:11" s="26" customFormat="1" ht="18">
      <c r="A113" s="22"/>
      <c r="B113" s="22"/>
      <c r="C113" s="22"/>
      <c r="D113" s="48" t="s">
        <v>436</v>
      </c>
      <c r="E113" s="48"/>
      <c r="F113" s="48"/>
      <c r="G113" s="48"/>
      <c r="H113" s="48"/>
      <c r="I113" s="24">
        <f>I167</f>
        <v>17671868.85</v>
      </c>
      <c r="J113" s="24">
        <f>J167</f>
        <v>6278000</v>
      </c>
      <c r="K113" s="25">
        <f>J113+I113</f>
        <v>23949868.85</v>
      </c>
    </row>
    <row r="114" spans="1:11" s="31" customFormat="1" ht="70.5" customHeight="1">
      <c r="A114" s="27" t="s">
        <v>122</v>
      </c>
      <c r="B114" s="27" t="s">
        <v>66</v>
      </c>
      <c r="C114" s="27" t="s">
        <v>31</v>
      </c>
      <c r="D114" s="28" t="s">
        <v>67</v>
      </c>
      <c r="E114" s="28"/>
      <c r="F114" s="28"/>
      <c r="G114" s="28"/>
      <c r="H114" s="28"/>
      <c r="I114" s="29">
        <f>200000-137500</f>
        <v>62500</v>
      </c>
      <c r="J114" s="29"/>
      <c r="K114" s="30">
        <f>J114+I114</f>
        <v>62500</v>
      </c>
    </row>
    <row r="115" spans="1:11" s="31" customFormat="1" ht="60" customHeight="1">
      <c r="A115" s="27" t="s">
        <v>123</v>
      </c>
      <c r="B115" s="27" t="s">
        <v>45</v>
      </c>
      <c r="C115" s="27"/>
      <c r="D115" s="28" t="s">
        <v>75</v>
      </c>
      <c r="E115" s="28"/>
      <c r="F115" s="28"/>
      <c r="G115" s="28"/>
      <c r="H115" s="28"/>
      <c r="I115" s="29">
        <f>I116+I118+I117+I119</f>
        <v>66348630.6</v>
      </c>
      <c r="J115" s="29">
        <f>J116+J118+J117+J119</f>
        <v>0</v>
      </c>
      <c r="K115" s="30">
        <f>K116+K118+K117+K119</f>
        <v>66348630.6</v>
      </c>
    </row>
    <row r="116" spans="1:11" s="40" customFormat="1" ht="40.5" customHeight="1">
      <c r="A116" s="32" t="s">
        <v>124</v>
      </c>
      <c r="B116" s="32" t="s">
        <v>76</v>
      </c>
      <c r="C116" s="32" t="s">
        <v>46</v>
      </c>
      <c r="D116" s="33" t="s">
        <v>77</v>
      </c>
      <c r="E116" s="33"/>
      <c r="F116" s="33"/>
      <c r="G116" s="33"/>
      <c r="H116" s="33"/>
      <c r="I116" s="35">
        <f>33000738+145000+972000+408909-894660</f>
        <v>33631987</v>
      </c>
      <c r="J116" s="35"/>
      <c r="K116" s="36">
        <f>J116+I116</f>
        <v>33631987</v>
      </c>
    </row>
    <row r="117" spans="1:11" s="40" customFormat="1" ht="51" customHeight="1">
      <c r="A117" s="32" t="s">
        <v>276</v>
      </c>
      <c r="B117" s="32" t="s">
        <v>277</v>
      </c>
      <c r="C117" s="32" t="s">
        <v>46</v>
      </c>
      <c r="D117" s="70" t="s">
        <v>278</v>
      </c>
      <c r="E117" s="33"/>
      <c r="F117" s="33"/>
      <c r="G117" s="33"/>
      <c r="H117" s="33"/>
      <c r="I117" s="35">
        <f>222622+320000-163158.4</f>
        <v>379463.6</v>
      </c>
      <c r="J117" s="35"/>
      <c r="K117" s="36">
        <f>J117+I117</f>
        <v>379463.6</v>
      </c>
    </row>
    <row r="118" spans="1:11" s="40" customFormat="1" ht="45" customHeight="1">
      <c r="A118" s="32" t="s">
        <v>145</v>
      </c>
      <c r="B118" s="32" t="s">
        <v>146</v>
      </c>
      <c r="C118" s="32" t="s">
        <v>46</v>
      </c>
      <c r="D118" s="33" t="s">
        <v>147</v>
      </c>
      <c r="E118" s="33"/>
      <c r="F118" s="33"/>
      <c r="G118" s="33"/>
      <c r="H118" s="33"/>
      <c r="I118" s="35">
        <f>29957400+450000-276200</f>
        <v>30131200</v>
      </c>
      <c r="J118" s="35"/>
      <c r="K118" s="36">
        <f>J118+I118</f>
        <v>30131200</v>
      </c>
    </row>
    <row r="119" spans="1:11" s="40" customFormat="1" ht="67.5" customHeight="1">
      <c r="A119" s="32" t="s">
        <v>279</v>
      </c>
      <c r="B119" s="32" t="s">
        <v>280</v>
      </c>
      <c r="C119" s="32" t="s">
        <v>46</v>
      </c>
      <c r="D119" s="33" t="s">
        <v>281</v>
      </c>
      <c r="E119" s="33"/>
      <c r="F119" s="33"/>
      <c r="G119" s="33"/>
      <c r="H119" s="33"/>
      <c r="I119" s="35">
        <f>2178000+27980</f>
        <v>2205980</v>
      </c>
      <c r="J119" s="35"/>
      <c r="K119" s="36">
        <f>J119+I119</f>
        <v>2205980</v>
      </c>
    </row>
    <row r="120" spans="1:11" s="31" customFormat="1" ht="37.5" customHeight="1">
      <c r="A120" s="27" t="s">
        <v>125</v>
      </c>
      <c r="B120" s="27" t="s">
        <v>78</v>
      </c>
      <c r="C120" s="27" t="s">
        <v>46</v>
      </c>
      <c r="D120" s="28" t="s">
        <v>79</v>
      </c>
      <c r="E120" s="28"/>
      <c r="F120" s="28"/>
      <c r="G120" s="28"/>
      <c r="H120" s="28"/>
      <c r="I120" s="29">
        <f>42609180.35-1625256-198832-3273925-946784-225301</f>
        <v>36339082.35</v>
      </c>
      <c r="J120" s="29"/>
      <c r="K120" s="30">
        <f>J120+I120</f>
        <v>36339082.35</v>
      </c>
    </row>
    <row r="121" spans="1:11" s="31" customFormat="1" ht="42" customHeight="1">
      <c r="A121" s="27" t="s">
        <v>154</v>
      </c>
      <c r="B121" s="27" t="s">
        <v>155</v>
      </c>
      <c r="C121" s="27" t="s">
        <v>57</v>
      </c>
      <c r="D121" s="46" t="s">
        <v>162</v>
      </c>
      <c r="E121" s="28"/>
      <c r="F121" s="28"/>
      <c r="G121" s="28"/>
      <c r="H121" s="28"/>
      <c r="I121" s="19">
        <f>I122+I128+I139+I148</f>
        <v>23684252.13</v>
      </c>
      <c r="J121" s="19">
        <f>J122+J128+J139+J148</f>
        <v>0</v>
      </c>
      <c r="K121" s="20">
        <f>K122+K128+K139+K148</f>
        <v>23684252.13</v>
      </c>
    </row>
    <row r="122" spans="1:11" s="31" customFormat="1" ht="27.75" customHeight="1">
      <c r="A122" s="27"/>
      <c r="B122" s="27"/>
      <c r="C122" s="27"/>
      <c r="D122" s="28"/>
      <c r="E122" s="74" t="s">
        <v>168</v>
      </c>
      <c r="F122" s="28"/>
      <c r="G122" s="28"/>
      <c r="H122" s="28"/>
      <c r="I122" s="19">
        <f>SUM(I123:I127)</f>
        <v>1951077</v>
      </c>
      <c r="J122" s="19">
        <f>SUM(J123:J127)</f>
        <v>0</v>
      </c>
      <c r="K122" s="20">
        <f>SUM(K123:K127)</f>
        <v>1951077</v>
      </c>
    </row>
    <row r="123" spans="1:11" s="31" customFormat="1" ht="98.25" customHeight="1">
      <c r="A123" s="27"/>
      <c r="B123" s="27"/>
      <c r="C123" s="27"/>
      <c r="D123" s="28"/>
      <c r="E123" s="75" t="s">
        <v>324</v>
      </c>
      <c r="F123" s="28"/>
      <c r="G123" s="28"/>
      <c r="H123" s="28"/>
      <c r="I123" s="29">
        <f>650000-395107</f>
        <v>254893</v>
      </c>
      <c r="J123" s="29"/>
      <c r="K123" s="30">
        <f>J123+I123</f>
        <v>254893</v>
      </c>
    </row>
    <row r="124" spans="1:11" s="31" customFormat="1" ht="135" customHeight="1">
      <c r="A124" s="27"/>
      <c r="B124" s="27"/>
      <c r="C124" s="27"/>
      <c r="D124" s="28"/>
      <c r="E124" s="75" t="s">
        <v>392</v>
      </c>
      <c r="F124" s="28"/>
      <c r="G124" s="28"/>
      <c r="H124" s="28"/>
      <c r="I124" s="29">
        <f>350000-11980</f>
        <v>338020</v>
      </c>
      <c r="J124" s="29"/>
      <c r="K124" s="30">
        <f>J124+I124</f>
        <v>338020</v>
      </c>
    </row>
    <row r="125" spans="1:11" s="31" customFormat="1" ht="85.5" customHeight="1">
      <c r="A125" s="27"/>
      <c r="B125" s="27"/>
      <c r="C125" s="27"/>
      <c r="D125" s="28"/>
      <c r="E125" s="75" t="s">
        <v>375</v>
      </c>
      <c r="F125" s="28"/>
      <c r="G125" s="28"/>
      <c r="H125" s="28"/>
      <c r="I125" s="29">
        <f>350000-70000</f>
        <v>280000</v>
      </c>
      <c r="J125" s="29"/>
      <c r="K125" s="30">
        <f>J125+I125</f>
        <v>280000</v>
      </c>
    </row>
    <row r="126" spans="1:11" s="31" customFormat="1" ht="88.5" customHeight="1">
      <c r="A126" s="27"/>
      <c r="B126" s="27"/>
      <c r="C126" s="27"/>
      <c r="D126" s="28"/>
      <c r="E126" s="75" t="s">
        <v>376</v>
      </c>
      <c r="F126" s="28"/>
      <c r="G126" s="28"/>
      <c r="H126" s="28"/>
      <c r="I126" s="29">
        <f>250000-141836</f>
        <v>108164</v>
      </c>
      <c r="J126" s="29"/>
      <c r="K126" s="30">
        <f>J126+I126</f>
        <v>108164</v>
      </c>
    </row>
    <row r="127" spans="1:11" s="31" customFormat="1" ht="79.5" customHeight="1">
      <c r="A127" s="27"/>
      <c r="B127" s="27"/>
      <c r="C127" s="27"/>
      <c r="D127" s="28"/>
      <c r="E127" s="75" t="s">
        <v>322</v>
      </c>
      <c r="F127" s="28"/>
      <c r="G127" s="28"/>
      <c r="H127" s="28"/>
      <c r="I127" s="29">
        <f>1300000-330000</f>
        <v>970000</v>
      </c>
      <c r="J127" s="29"/>
      <c r="K127" s="30">
        <f>J127+I127</f>
        <v>970000</v>
      </c>
    </row>
    <row r="128" spans="1:11" s="31" customFormat="1" ht="51" customHeight="1">
      <c r="A128" s="27"/>
      <c r="B128" s="27"/>
      <c r="C128" s="27"/>
      <c r="D128" s="28"/>
      <c r="E128" s="74" t="s">
        <v>210</v>
      </c>
      <c r="F128" s="28"/>
      <c r="G128" s="28"/>
      <c r="H128" s="28"/>
      <c r="I128" s="19">
        <f>SUM(I129:I138)</f>
        <v>1692591</v>
      </c>
      <c r="J128" s="19">
        <f>SUM(J129:J138)</f>
        <v>0</v>
      </c>
      <c r="K128" s="20">
        <f>SUM(K129:K138)</f>
        <v>1692591</v>
      </c>
    </row>
    <row r="129" spans="1:11" s="31" customFormat="1" ht="48" customHeight="1">
      <c r="A129" s="27"/>
      <c r="B129" s="27"/>
      <c r="C129" s="27"/>
      <c r="D129" s="28"/>
      <c r="E129" s="28" t="s">
        <v>212</v>
      </c>
      <c r="F129" s="28"/>
      <c r="G129" s="28"/>
      <c r="H129" s="28"/>
      <c r="I129" s="29">
        <f>50000-15000+129000-2338</f>
        <v>161662</v>
      </c>
      <c r="J129" s="29"/>
      <c r="K129" s="30">
        <f aca="true" t="shared" si="3" ref="K129:K138">J129+I129</f>
        <v>161662</v>
      </c>
    </row>
    <row r="130" spans="1:11" s="31" customFormat="1" ht="96" customHeight="1">
      <c r="A130" s="27"/>
      <c r="B130" s="27"/>
      <c r="C130" s="27"/>
      <c r="D130" s="28"/>
      <c r="E130" s="28" t="s">
        <v>431</v>
      </c>
      <c r="F130" s="28"/>
      <c r="G130" s="28"/>
      <c r="H130" s="28"/>
      <c r="I130" s="29">
        <f>10000+134003-134003</f>
        <v>10000</v>
      </c>
      <c r="J130" s="29"/>
      <c r="K130" s="30">
        <f t="shared" si="3"/>
        <v>10000</v>
      </c>
    </row>
    <row r="131" spans="1:11" s="31" customFormat="1" ht="99" customHeight="1">
      <c r="A131" s="27"/>
      <c r="B131" s="27"/>
      <c r="C131" s="27"/>
      <c r="D131" s="28"/>
      <c r="E131" s="28" t="s">
        <v>430</v>
      </c>
      <c r="F131" s="28"/>
      <c r="G131" s="28"/>
      <c r="H131" s="28"/>
      <c r="I131" s="29">
        <f>50000-15000-25000</f>
        <v>10000</v>
      </c>
      <c r="J131" s="29"/>
      <c r="K131" s="30">
        <f t="shared" si="3"/>
        <v>10000</v>
      </c>
    </row>
    <row r="132" spans="1:11" s="31" customFormat="1" ht="99.75" customHeight="1">
      <c r="A132" s="27"/>
      <c r="B132" s="27"/>
      <c r="C132" s="27"/>
      <c r="D132" s="28"/>
      <c r="E132" s="28" t="s">
        <v>433</v>
      </c>
      <c r="F132" s="28"/>
      <c r="G132" s="28"/>
      <c r="H132" s="28"/>
      <c r="I132" s="29">
        <f>9550+208588</f>
        <v>218138</v>
      </c>
      <c r="J132" s="29"/>
      <c r="K132" s="30">
        <f t="shared" si="3"/>
        <v>218138</v>
      </c>
    </row>
    <row r="133" spans="1:11" s="31" customFormat="1" ht="66" customHeight="1">
      <c r="A133" s="27"/>
      <c r="B133" s="27"/>
      <c r="C133" s="27"/>
      <c r="D133" s="28"/>
      <c r="E133" s="28" t="s">
        <v>377</v>
      </c>
      <c r="F133" s="28"/>
      <c r="G133" s="28"/>
      <c r="H133" s="28"/>
      <c r="I133" s="29">
        <f>111000-3008+2500</f>
        <v>110492</v>
      </c>
      <c r="J133" s="29"/>
      <c r="K133" s="30">
        <f t="shared" si="3"/>
        <v>110492</v>
      </c>
    </row>
    <row r="134" spans="1:11" s="31" customFormat="1" ht="102" customHeight="1">
      <c r="A134" s="27"/>
      <c r="B134" s="27"/>
      <c r="C134" s="27"/>
      <c r="D134" s="28"/>
      <c r="E134" s="28" t="s">
        <v>434</v>
      </c>
      <c r="F134" s="28"/>
      <c r="G134" s="28"/>
      <c r="H134" s="28"/>
      <c r="I134" s="29">
        <f>50000-15000-25450+134003-13053</f>
        <v>130500</v>
      </c>
      <c r="J134" s="29"/>
      <c r="K134" s="30">
        <f t="shared" si="3"/>
        <v>130500</v>
      </c>
    </row>
    <row r="135" spans="1:11" s="31" customFormat="1" ht="63" customHeight="1">
      <c r="A135" s="27"/>
      <c r="B135" s="27"/>
      <c r="C135" s="27"/>
      <c r="D135" s="28"/>
      <c r="E135" s="28" t="s">
        <v>211</v>
      </c>
      <c r="F135" s="28"/>
      <c r="G135" s="28"/>
      <c r="H135" s="28"/>
      <c r="I135" s="29">
        <f>123900-114353</f>
        <v>9547</v>
      </c>
      <c r="J135" s="29"/>
      <c r="K135" s="30">
        <f t="shared" si="3"/>
        <v>9547</v>
      </c>
    </row>
    <row r="136" spans="1:11" s="31" customFormat="1" ht="111" customHeight="1">
      <c r="A136" s="27"/>
      <c r="B136" s="27"/>
      <c r="C136" s="27"/>
      <c r="D136" s="28"/>
      <c r="E136" s="28" t="s">
        <v>432</v>
      </c>
      <c r="F136" s="28"/>
      <c r="G136" s="28"/>
      <c r="H136" s="28"/>
      <c r="I136" s="29">
        <f>33000-3000-20000+115000+100000</f>
        <v>225000</v>
      </c>
      <c r="J136" s="29"/>
      <c r="K136" s="30">
        <f t="shared" si="3"/>
        <v>225000</v>
      </c>
    </row>
    <row r="137" spans="1:11" s="31" customFormat="1" ht="103.5" customHeight="1">
      <c r="A137" s="27"/>
      <c r="B137" s="27"/>
      <c r="C137" s="27"/>
      <c r="D137" s="28"/>
      <c r="E137" s="28" t="s">
        <v>435</v>
      </c>
      <c r="F137" s="28"/>
      <c r="G137" s="28"/>
      <c r="H137" s="28"/>
      <c r="I137" s="29">
        <f>48000+522252-48000</f>
        <v>522252</v>
      </c>
      <c r="J137" s="29"/>
      <c r="K137" s="30">
        <f t="shared" si="3"/>
        <v>522252</v>
      </c>
    </row>
    <row r="138" spans="1:11" s="31" customFormat="1" ht="94.5" customHeight="1">
      <c r="A138" s="27"/>
      <c r="B138" s="27"/>
      <c r="C138" s="27"/>
      <c r="D138" s="28"/>
      <c r="E138" s="28" t="s">
        <v>323</v>
      </c>
      <c r="F138" s="28"/>
      <c r="G138" s="28"/>
      <c r="H138" s="28"/>
      <c r="I138" s="29">
        <v>295000</v>
      </c>
      <c r="J138" s="29"/>
      <c r="K138" s="30">
        <f t="shared" si="3"/>
        <v>295000</v>
      </c>
    </row>
    <row r="139" spans="1:11" s="31" customFormat="1" ht="24.75" customHeight="1">
      <c r="A139" s="27"/>
      <c r="B139" s="27"/>
      <c r="C139" s="27"/>
      <c r="D139" s="28"/>
      <c r="E139" s="46" t="s">
        <v>239</v>
      </c>
      <c r="F139" s="28"/>
      <c r="G139" s="28"/>
      <c r="H139" s="28"/>
      <c r="I139" s="19">
        <f>SUM(I140:I147)</f>
        <v>17152734</v>
      </c>
      <c r="J139" s="19">
        <f>SUM(J140:J147)</f>
        <v>0</v>
      </c>
      <c r="K139" s="20">
        <f>SUM(K140:K147)</f>
        <v>17152734</v>
      </c>
    </row>
    <row r="140" spans="1:11" s="31" customFormat="1" ht="82.5" customHeight="1">
      <c r="A140" s="27"/>
      <c r="B140" s="27"/>
      <c r="C140" s="27"/>
      <c r="D140" s="28"/>
      <c r="E140" s="28" t="s">
        <v>208</v>
      </c>
      <c r="F140" s="28"/>
      <c r="G140" s="28"/>
      <c r="H140" s="28"/>
      <c r="I140" s="29">
        <f>250000-22297-16790.9</f>
        <v>210912.1</v>
      </c>
      <c r="J140" s="29"/>
      <c r="K140" s="30">
        <f aca="true" t="shared" si="4" ref="K140:K147">J140+I140</f>
        <v>210912.1</v>
      </c>
    </row>
    <row r="141" spans="1:11" s="31" customFormat="1" ht="117" customHeight="1">
      <c r="A141" s="27"/>
      <c r="B141" s="27"/>
      <c r="C141" s="27"/>
      <c r="D141" s="28"/>
      <c r="E141" s="28" t="s">
        <v>332</v>
      </c>
      <c r="F141" s="28"/>
      <c r="G141" s="28"/>
      <c r="H141" s="28"/>
      <c r="I141" s="29">
        <f>250000-71-16866.32</f>
        <v>233062.68</v>
      </c>
      <c r="J141" s="29"/>
      <c r="K141" s="30">
        <f t="shared" si="4"/>
        <v>233062.68</v>
      </c>
    </row>
    <row r="142" spans="1:11" s="31" customFormat="1" ht="81" customHeight="1">
      <c r="A142" s="27"/>
      <c r="B142" s="27"/>
      <c r="C142" s="27"/>
      <c r="D142" s="28"/>
      <c r="E142" s="28" t="s">
        <v>333</v>
      </c>
      <c r="F142" s="28"/>
      <c r="G142" s="28"/>
      <c r="H142" s="28"/>
      <c r="I142" s="29">
        <f>240000-2337-342.78</f>
        <v>237320.22</v>
      </c>
      <c r="J142" s="29"/>
      <c r="K142" s="30">
        <f t="shared" si="4"/>
        <v>237320.22</v>
      </c>
    </row>
    <row r="143" spans="1:11" s="31" customFormat="1" ht="99" customHeight="1">
      <c r="A143" s="27"/>
      <c r="B143" s="27"/>
      <c r="C143" s="27"/>
      <c r="D143" s="28"/>
      <c r="E143" s="28" t="s">
        <v>334</v>
      </c>
      <c r="F143" s="28"/>
      <c r="G143" s="28"/>
      <c r="H143" s="28"/>
      <c r="I143" s="29">
        <f>240000-23491-16000</f>
        <v>200509</v>
      </c>
      <c r="J143" s="29"/>
      <c r="K143" s="30">
        <f t="shared" si="4"/>
        <v>200509</v>
      </c>
    </row>
    <row r="144" spans="1:11" s="31" customFormat="1" ht="99" customHeight="1">
      <c r="A144" s="27"/>
      <c r="B144" s="27"/>
      <c r="C144" s="27"/>
      <c r="D144" s="28"/>
      <c r="E144" s="28" t="s">
        <v>393</v>
      </c>
      <c r="F144" s="28"/>
      <c r="G144" s="28"/>
      <c r="H144" s="28"/>
      <c r="I144" s="29">
        <f>14991530-100000-109600</f>
        <v>14781930</v>
      </c>
      <c r="J144" s="29"/>
      <c r="K144" s="30">
        <f t="shared" si="4"/>
        <v>14781930</v>
      </c>
    </row>
    <row r="145" spans="1:11" s="31" customFormat="1" ht="70.5" customHeight="1">
      <c r="A145" s="27"/>
      <c r="B145" s="27"/>
      <c r="C145" s="27"/>
      <c r="D145" s="28"/>
      <c r="E145" s="28" t="s">
        <v>460</v>
      </c>
      <c r="F145" s="28"/>
      <c r="G145" s="28"/>
      <c r="H145" s="28"/>
      <c r="I145" s="29">
        <v>20000</v>
      </c>
      <c r="J145" s="29"/>
      <c r="K145" s="30">
        <f t="shared" si="4"/>
        <v>20000</v>
      </c>
    </row>
    <row r="146" spans="1:11" s="31" customFormat="1" ht="66" customHeight="1">
      <c r="A146" s="27"/>
      <c r="B146" s="27"/>
      <c r="C146" s="27"/>
      <c r="D146" s="28"/>
      <c r="E146" s="28" t="s">
        <v>391</v>
      </c>
      <c r="F146" s="28"/>
      <c r="G146" s="28"/>
      <c r="H146" s="28"/>
      <c r="I146" s="29">
        <f>200000+1000000</f>
        <v>1200000</v>
      </c>
      <c r="J146" s="29"/>
      <c r="K146" s="30">
        <f t="shared" si="4"/>
        <v>1200000</v>
      </c>
    </row>
    <row r="147" spans="1:11" s="31" customFormat="1" ht="72" customHeight="1">
      <c r="A147" s="27"/>
      <c r="B147" s="27"/>
      <c r="C147" s="27"/>
      <c r="D147" s="28"/>
      <c r="E147" s="28" t="s">
        <v>336</v>
      </c>
      <c r="F147" s="28"/>
      <c r="G147" s="28"/>
      <c r="H147" s="28"/>
      <c r="I147" s="29">
        <v>269000</v>
      </c>
      <c r="J147" s="29"/>
      <c r="K147" s="30">
        <f t="shared" si="4"/>
        <v>269000</v>
      </c>
    </row>
    <row r="148" spans="1:11" s="31" customFormat="1" ht="85.5" customHeight="1">
      <c r="A148" s="27"/>
      <c r="B148" s="27"/>
      <c r="C148" s="27"/>
      <c r="D148" s="28"/>
      <c r="E148" s="46" t="s">
        <v>442</v>
      </c>
      <c r="F148" s="28"/>
      <c r="G148" s="28"/>
      <c r="H148" s="28"/>
      <c r="I148" s="19">
        <f>I149</f>
        <v>2887850.13</v>
      </c>
      <c r="J148" s="19">
        <f>J149</f>
        <v>0</v>
      </c>
      <c r="K148" s="20">
        <f>K149</f>
        <v>2887850.13</v>
      </c>
    </row>
    <row r="149" spans="1:11" s="31" customFormat="1" ht="107.25" customHeight="1">
      <c r="A149" s="27"/>
      <c r="B149" s="27"/>
      <c r="C149" s="27"/>
      <c r="D149" s="28"/>
      <c r="E149" s="28" t="s">
        <v>297</v>
      </c>
      <c r="F149" s="28"/>
      <c r="G149" s="28"/>
      <c r="H149" s="28"/>
      <c r="I149" s="29">
        <v>2887850.13</v>
      </c>
      <c r="J149" s="29"/>
      <c r="K149" s="30">
        <f>J149+I149</f>
        <v>2887850.13</v>
      </c>
    </row>
    <row r="150" spans="1:11" s="31" customFormat="1" ht="67.5" customHeight="1">
      <c r="A150" s="27" t="s">
        <v>156</v>
      </c>
      <c r="B150" s="27" t="s">
        <v>157</v>
      </c>
      <c r="C150" s="27" t="s">
        <v>57</v>
      </c>
      <c r="D150" s="46" t="s">
        <v>163</v>
      </c>
      <c r="E150" s="28"/>
      <c r="F150" s="28"/>
      <c r="G150" s="28"/>
      <c r="H150" s="28"/>
      <c r="I150" s="19">
        <f>I151+I156</f>
        <v>6238315</v>
      </c>
      <c r="J150" s="19">
        <f>J151+J156</f>
        <v>0</v>
      </c>
      <c r="K150" s="20">
        <f>K151+K156</f>
        <v>6238315</v>
      </c>
    </row>
    <row r="151" spans="1:11" s="31" customFormat="1" ht="22.5" customHeight="1">
      <c r="A151" s="27"/>
      <c r="B151" s="27"/>
      <c r="C151" s="27"/>
      <c r="D151" s="28"/>
      <c r="E151" s="74" t="s">
        <v>168</v>
      </c>
      <c r="F151" s="28"/>
      <c r="G151" s="28"/>
      <c r="H151" s="28"/>
      <c r="I151" s="19">
        <f>I152+I153+I154+I155</f>
        <v>3409785</v>
      </c>
      <c r="J151" s="19">
        <f>J152+J153+J154+J155</f>
        <v>0</v>
      </c>
      <c r="K151" s="19">
        <f>K152+K153+K154+K155</f>
        <v>3409785</v>
      </c>
    </row>
    <row r="152" spans="1:11" s="31" customFormat="1" ht="44.25" customHeight="1">
      <c r="A152" s="27"/>
      <c r="B152" s="27"/>
      <c r="C152" s="27"/>
      <c r="D152" s="28"/>
      <c r="E152" s="76" t="s">
        <v>235</v>
      </c>
      <c r="F152" s="28"/>
      <c r="G152" s="28"/>
      <c r="H152" s="28"/>
      <c r="I152" s="29">
        <f>335000-191961+200000</f>
        <v>343039</v>
      </c>
      <c r="J152" s="29"/>
      <c r="K152" s="30">
        <f>J152+I152</f>
        <v>343039</v>
      </c>
    </row>
    <row r="153" spans="1:11" s="31" customFormat="1" ht="67.5" customHeight="1">
      <c r="A153" s="27"/>
      <c r="B153" s="27"/>
      <c r="C153" s="27"/>
      <c r="D153" s="28"/>
      <c r="E153" s="76" t="s">
        <v>238</v>
      </c>
      <c r="F153" s="28"/>
      <c r="G153" s="28"/>
      <c r="H153" s="28"/>
      <c r="I153" s="29">
        <f>3000000-589933-420000</f>
        <v>1990067</v>
      </c>
      <c r="J153" s="29"/>
      <c r="K153" s="30">
        <f>J153+I153</f>
        <v>1990067</v>
      </c>
    </row>
    <row r="154" spans="1:11" s="31" customFormat="1" ht="27.75" customHeight="1">
      <c r="A154" s="27"/>
      <c r="B154" s="27"/>
      <c r="C154" s="27"/>
      <c r="D154" s="28"/>
      <c r="E154" s="76" t="s">
        <v>248</v>
      </c>
      <c r="F154" s="28"/>
      <c r="G154" s="28"/>
      <c r="H154" s="28"/>
      <c r="I154" s="29">
        <v>376800</v>
      </c>
      <c r="J154" s="29"/>
      <c r="K154" s="30">
        <f>J154+I154</f>
        <v>376800</v>
      </c>
    </row>
    <row r="155" spans="1:11" s="31" customFormat="1" ht="132.75" customHeight="1">
      <c r="A155" s="27"/>
      <c r="B155" s="27"/>
      <c r="C155" s="27"/>
      <c r="D155" s="28"/>
      <c r="E155" s="76" t="s">
        <v>339</v>
      </c>
      <c r="F155" s="28"/>
      <c r="G155" s="28"/>
      <c r="H155" s="28"/>
      <c r="I155" s="29">
        <f>700000-121</f>
        <v>699879</v>
      </c>
      <c r="J155" s="29"/>
      <c r="K155" s="30">
        <f>J155+I155</f>
        <v>699879</v>
      </c>
    </row>
    <row r="156" spans="1:11" s="31" customFormat="1" ht="28.5" customHeight="1">
      <c r="A156" s="27"/>
      <c r="B156" s="27"/>
      <c r="C156" s="27"/>
      <c r="D156" s="28"/>
      <c r="E156" s="46" t="s">
        <v>171</v>
      </c>
      <c r="F156" s="28"/>
      <c r="G156" s="28"/>
      <c r="H156" s="28"/>
      <c r="I156" s="19">
        <f>I157+I159+I158</f>
        <v>2828530</v>
      </c>
      <c r="J156" s="19">
        <f>J157+J159+J158</f>
        <v>0</v>
      </c>
      <c r="K156" s="20">
        <f>K157+K159+K158</f>
        <v>2828530</v>
      </c>
    </row>
    <row r="157" spans="1:11" s="31" customFormat="1" ht="117.75" customHeight="1">
      <c r="A157" s="27"/>
      <c r="B157" s="27"/>
      <c r="C157" s="27"/>
      <c r="D157" s="28"/>
      <c r="E157" s="76" t="s">
        <v>236</v>
      </c>
      <c r="F157" s="28"/>
      <c r="G157" s="28"/>
      <c r="H157" s="28"/>
      <c r="I157" s="29">
        <f>1185530-94000</f>
        <v>1091530</v>
      </c>
      <c r="J157" s="29"/>
      <c r="K157" s="30">
        <f>J157+I157</f>
        <v>1091530</v>
      </c>
    </row>
    <row r="158" spans="1:11" s="31" customFormat="1" ht="117.75" customHeight="1">
      <c r="A158" s="27"/>
      <c r="B158" s="27"/>
      <c r="C158" s="27"/>
      <c r="D158" s="28"/>
      <c r="E158" s="76" t="s">
        <v>429</v>
      </c>
      <c r="F158" s="28"/>
      <c r="G158" s="28"/>
      <c r="H158" s="28"/>
      <c r="I158" s="29">
        <v>1497000</v>
      </c>
      <c r="J158" s="29"/>
      <c r="K158" s="30">
        <f>J158+I158</f>
        <v>1497000</v>
      </c>
    </row>
    <row r="159" spans="1:11" s="31" customFormat="1" ht="24" customHeight="1">
      <c r="A159" s="27"/>
      <c r="B159" s="27"/>
      <c r="C159" s="27"/>
      <c r="D159" s="28"/>
      <c r="E159" s="76" t="s">
        <v>237</v>
      </c>
      <c r="F159" s="28"/>
      <c r="G159" s="28"/>
      <c r="H159" s="28"/>
      <c r="I159" s="29">
        <f>250000-10000</f>
        <v>240000</v>
      </c>
      <c r="J159" s="29"/>
      <c r="K159" s="30">
        <f>J159+I159</f>
        <v>240000</v>
      </c>
    </row>
    <row r="160" spans="1:11" s="31" customFormat="1" ht="52.5" customHeight="1">
      <c r="A160" s="27" t="s">
        <v>126</v>
      </c>
      <c r="B160" s="27" t="s">
        <v>80</v>
      </c>
      <c r="C160" s="27" t="s">
        <v>57</v>
      </c>
      <c r="D160" s="44" t="s">
        <v>1</v>
      </c>
      <c r="E160" s="44"/>
      <c r="F160" s="77"/>
      <c r="G160" s="77"/>
      <c r="H160" s="77"/>
      <c r="I160" s="19">
        <f>I161+I162</f>
        <v>833802</v>
      </c>
      <c r="J160" s="19">
        <f>J161+J162</f>
        <v>0</v>
      </c>
      <c r="K160" s="20">
        <f>K161+K162</f>
        <v>833802</v>
      </c>
    </row>
    <row r="161" spans="1:11" s="31" customFormat="1" ht="52.5" customHeight="1">
      <c r="A161" s="27"/>
      <c r="B161" s="27"/>
      <c r="C161" s="27"/>
      <c r="D161" s="77"/>
      <c r="E161" s="44" t="s">
        <v>202</v>
      </c>
      <c r="F161" s="77"/>
      <c r="G161" s="77"/>
      <c r="H161" s="77"/>
      <c r="I161" s="29">
        <v>253802</v>
      </c>
      <c r="J161" s="29"/>
      <c r="K161" s="30">
        <f>J161+I161</f>
        <v>253802</v>
      </c>
    </row>
    <row r="162" spans="1:11" s="31" customFormat="1" ht="61.5" customHeight="1">
      <c r="A162" s="27"/>
      <c r="B162" s="27"/>
      <c r="C162" s="27"/>
      <c r="D162" s="77"/>
      <c r="E162" s="44" t="s">
        <v>213</v>
      </c>
      <c r="F162" s="77"/>
      <c r="G162" s="77"/>
      <c r="H162" s="77"/>
      <c r="I162" s="29">
        <f>2000000-600000-820000</f>
        <v>580000</v>
      </c>
      <c r="J162" s="29"/>
      <c r="K162" s="30">
        <f>J162+I162</f>
        <v>580000</v>
      </c>
    </row>
    <row r="163" spans="1:11" s="31" customFormat="1" ht="52.5" customHeight="1">
      <c r="A163" s="27" t="s">
        <v>291</v>
      </c>
      <c r="B163" s="27" t="s">
        <v>288</v>
      </c>
      <c r="C163" s="27"/>
      <c r="D163" s="44" t="s">
        <v>289</v>
      </c>
      <c r="E163" s="44"/>
      <c r="F163" s="77"/>
      <c r="G163" s="77"/>
      <c r="H163" s="77"/>
      <c r="I163" s="51">
        <f>SUM(I166)+I164</f>
        <v>24635238.46</v>
      </c>
      <c r="J163" s="51">
        <f>SUM(J166)+J164</f>
        <v>6278000</v>
      </c>
      <c r="K163" s="52">
        <f>SUM(K166)+K164</f>
        <v>30913238.46</v>
      </c>
    </row>
    <row r="164" spans="1:11" s="31" customFormat="1" ht="76.5" customHeight="1">
      <c r="A164" s="42" t="s">
        <v>298</v>
      </c>
      <c r="B164" s="42" t="s">
        <v>299</v>
      </c>
      <c r="C164" s="32" t="s">
        <v>52</v>
      </c>
      <c r="D164" s="33" t="s">
        <v>300</v>
      </c>
      <c r="E164" s="49"/>
      <c r="F164" s="77"/>
      <c r="G164" s="77"/>
      <c r="H164" s="77"/>
      <c r="I164" s="54">
        <f>I165</f>
        <v>339145</v>
      </c>
      <c r="J164" s="54">
        <f>J165</f>
        <v>0</v>
      </c>
      <c r="K164" s="55">
        <f>J164+I164</f>
        <v>339145</v>
      </c>
    </row>
    <row r="165" spans="1:11" s="31" customFormat="1" ht="157.5" customHeight="1">
      <c r="A165" s="42"/>
      <c r="B165" s="42"/>
      <c r="C165" s="27"/>
      <c r="D165" s="33"/>
      <c r="E165" s="44" t="s">
        <v>383</v>
      </c>
      <c r="F165" s="77"/>
      <c r="G165" s="77"/>
      <c r="H165" s="77"/>
      <c r="I165" s="51">
        <f>426739-87594</f>
        <v>339145</v>
      </c>
      <c r="J165" s="51"/>
      <c r="K165" s="52">
        <f>J165+I165</f>
        <v>339145</v>
      </c>
    </row>
    <row r="166" spans="1:11" s="40" customFormat="1" ht="82.5" customHeight="1">
      <c r="A166" s="32" t="s">
        <v>290</v>
      </c>
      <c r="B166" s="32" t="s">
        <v>296</v>
      </c>
      <c r="C166" s="32" t="s">
        <v>52</v>
      </c>
      <c r="D166" s="49" t="s">
        <v>286</v>
      </c>
      <c r="E166" s="49"/>
      <c r="F166" s="78"/>
      <c r="G166" s="78"/>
      <c r="H166" s="78"/>
      <c r="I166" s="54">
        <f>I168+I172+I176+I174+I170</f>
        <v>24296093.46</v>
      </c>
      <c r="J166" s="54">
        <f>J168+J172+J176+J174+J170</f>
        <v>6278000</v>
      </c>
      <c r="K166" s="55">
        <f>K168+K172+K176+K174+K170</f>
        <v>30574093.46</v>
      </c>
    </row>
    <row r="167" spans="1:11" s="40" customFormat="1" ht="18">
      <c r="A167" s="32"/>
      <c r="B167" s="32"/>
      <c r="C167" s="32"/>
      <c r="D167" s="33" t="s">
        <v>436</v>
      </c>
      <c r="E167" s="33"/>
      <c r="F167" s="33"/>
      <c r="G167" s="33"/>
      <c r="H167" s="33"/>
      <c r="I167" s="35">
        <f>I169+I171+I173+I175+I177</f>
        <v>17671868.85</v>
      </c>
      <c r="J167" s="35">
        <f>J169+J171+J173+J175+J177</f>
        <v>6278000</v>
      </c>
      <c r="K167" s="36">
        <f>J167+I167</f>
        <v>23949868.85</v>
      </c>
    </row>
    <row r="168" spans="1:11" s="40" customFormat="1" ht="24.75" customHeight="1">
      <c r="A168" s="32"/>
      <c r="B168" s="32"/>
      <c r="C168" s="32"/>
      <c r="D168" s="49"/>
      <c r="E168" s="44" t="s">
        <v>411</v>
      </c>
      <c r="F168" s="77"/>
      <c r="G168" s="77"/>
      <c r="H168" s="77"/>
      <c r="I168" s="51">
        <f>1721222.85+200000+11256870</f>
        <v>13178092.85</v>
      </c>
      <c r="J168" s="152">
        <f>6278000-3200000</f>
        <v>3078000</v>
      </c>
      <c r="K168" s="52">
        <f>I168+J168</f>
        <v>16256092.85</v>
      </c>
    </row>
    <row r="169" spans="1:11" s="83" customFormat="1" ht="21" customHeight="1">
      <c r="A169" s="79"/>
      <c r="B169" s="79"/>
      <c r="C169" s="79"/>
      <c r="D169" s="80" t="s">
        <v>436</v>
      </c>
      <c r="E169" s="80"/>
      <c r="F169" s="80"/>
      <c r="G169" s="80"/>
      <c r="H169" s="80"/>
      <c r="I169" s="81">
        <f>1674292.46+10929000</f>
        <v>12603292.46</v>
      </c>
      <c r="J169" s="153">
        <f>6278000-3200000</f>
        <v>3078000</v>
      </c>
      <c r="K169" s="82">
        <f>J169+I169</f>
        <v>15681292.46</v>
      </c>
    </row>
    <row r="170" spans="1:11" s="40" customFormat="1" ht="72">
      <c r="A170" s="32"/>
      <c r="B170" s="32"/>
      <c r="C170" s="32"/>
      <c r="D170" s="49"/>
      <c r="E170" s="44" t="s">
        <v>414</v>
      </c>
      <c r="F170" s="77"/>
      <c r="G170" s="77"/>
      <c r="H170" s="77"/>
      <c r="I170" s="51">
        <v>978500</v>
      </c>
      <c r="J170" s="51"/>
      <c r="K170" s="52">
        <f>I170+J170</f>
        <v>978500</v>
      </c>
    </row>
    <row r="171" spans="1:11" s="83" customFormat="1" ht="21" customHeight="1">
      <c r="A171" s="79"/>
      <c r="B171" s="79"/>
      <c r="C171" s="79"/>
      <c r="D171" s="80" t="s">
        <v>436</v>
      </c>
      <c r="E171" s="80"/>
      <c r="F171" s="80"/>
      <c r="G171" s="80"/>
      <c r="H171" s="80"/>
      <c r="I171" s="81">
        <v>950000</v>
      </c>
      <c r="J171" s="81"/>
      <c r="K171" s="82">
        <f>J171+I171</f>
        <v>950000</v>
      </c>
    </row>
    <row r="172" spans="1:11" s="40" customFormat="1" ht="81.75" customHeight="1">
      <c r="A172" s="32"/>
      <c r="B172" s="32"/>
      <c r="C172" s="32"/>
      <c r="D172" s="49"/>
      <c r="E172" s="44" t="s">
        <v>412</v>
      </c>
      <c r="F172" s="77"/>
      <c r="G172" s="77"/>
      <c r="H172" s="77"/>
      <c r="I172" s="51">
        <f>19014.22+621576.39</f>
        <v>640590.61</v>
      </c>
      <c r="J172" s="51"/>
      <c r="K172" s="52">
        <f>I172+J172</f>
        <v>640590.61</v>
      </c>
    </row>
    <row r="173" spans="1:11" s="83" customFormat="1" ht="15" customHeight="1">
      <c r="A173" s="79"/>
      <c r="B173" s="79"/>
      <c r="C173" s="79"/>
      <c r="D173" s="80" t="s">
        <v>436</v>
      </c>
      <c r="E173" s="80"/>
      <c r="F173" s="80"/>
      <c r="G173" s="80"/>
      <c r="H173" s="80"/>
      <c r="I173" s="81">
        <v>621576.39</v>
      </c>
      <c r="J173" s="81"/>
      <c r="K173" s="82">
        <f>J173+I173</f>
        <v>621576.39</v>
      </c>
    </row>
    <row r="174" spans="1:11" s="40" customFormat="1" ht="36">
      <c r="A174" s="32"/>
      <c r="B174" s="32"/>
      <c r="C174" s="32"/>
      <c r="D174" s="49"/>
      <c r="E174" s="44" t="s">
        <v>413</v>
      </c>
      <c r="F174" s="77"/>
      <c r="G174" s="77"/>
      <c r="H174" s="77"/>
      <c r="I174" s="51">
        <v>305910</v>
      </c>
      <c r="J174" s="51"/>
      <c r="K174" s="52">
        <f>I174+J174</f>
        <v>305910</v>
      </c>
    </row>
    <row r="175" spans="1:11" s="83" customFormat="1" ht="26.25" customHeight="1">
      <c r="A175" s="79"/>
      <c r="B175" s="79"/>
      <c r="C175" s="79"/>
      <c r="D175" s="80" t="s">
        <v>436</v>
      </c>
      <c r="E175" s="80"/>
      <c r="F175" s="80"/>
      <c r="G175" s="80"/>
      <c r="H175" s="80"/>
      <c r="I175" s="81">
        <v>297000</v>
      </c>
      <c r="J175" s="81"/>
      <c r="K175" s="82">
        <f>J175+I175</f>
        <v>297000</v>
      </c>
    </row>
    <row r="176" spans="1:11" s="40" customFormat="1" ht="134.25" customHeight="1">
      <c r="A176" s="32"/>
      <c r="B176" s="32"/>
      <c r="C176" s="32"/>
      <c r="D176" s="49"/>
      <c r="E176" s="44" t="s">
        <v>340</v>
      </c>
      <c r="F176" s="77"/>
      <c r="G176" s="77"/>
      <c r="H176" s="77"/>
      <c r="I176" s="51">
        <f>2240000+5000000-1047000+3000000</f>
        <v>9193000</v>
      </c>
      <c r="J176" s="152">
        <v>3200000</v>
      </c>
      <c r="K176" s="52">
        <f>I176+J176</f>
        <v>12393000</v>
      </c>
    </row>
    <row r="177" spans="1:11" s="83" customFormat="1" ht="29.25" customHeight="1">
      <c r="A177" s="79"/>
      <c r="B177" s="79"/>
      <c r="C177" s="79"/>
      <c r="D177" s="80" t="s">
        <v>436</v>
      </c>
      <c r="E177" s="80"/>
      <c r="F177" s="80"/>
      <c r="G177" s="80"/>
      <c r="H177" s="80"/>
      <c r="I177" s="81">
        <f>700000+2500000</f>
        <v>3200000</v>
      </c>
      <c r="J177" s="153">
        <v>3200000</v>
      </c>
      <c r="K177" s="82">
        <f>J177+I177</f>
        <v>6400000</v>
      </c>
    </row>
    <row r="178" spans="1:11" s="83" customFormat="1" ht="36">
      <c r="A178" s="41" t="s">
        <v>461</v>
      </c>
      <c r="B178" s="41" t="s">
        <v>3</v>
      </c>
      <c r="C178" s="41" t="s">
        <v>52</v>
      </c>
      <c r="D178" s="28" t="s">
        <v>11</v>
      </c>
      <c r="E178" s="28" t="s">
        <v>462</v>
      </c>
      <c r="F178" s="80"/>
      <c r="G178" s="80"/>
      <c r="H178" s="80"/>
      <c r="I178" s="29">
        <v>129100</v>
      </c>
      <c r="J178" s="29"/>
      <c r="K178" s="29">
        <f>I178+J178</f>
        <v>129100</v>
      </c>
    </row>
    <row r="179" spans="1:11" s="31" customFormat="1" ht="27.75" customHeight="1">
      <c r="A179" s="27" t="s">
        <v>127</v>
      </c>
      <c r="B179" s="61">
        <v>9770</v>
      </c>
      <c r="C179" s="27" t="s">
        <v>30</v>
      </c>
      <c r="D179" s="44" t="s">
        <v>230</v>
      </c>
      <c r="E179" s="44"/>
      <c r="F179" s="44"/>
      <c r="G179" s="44"/>
      <c r="H179" s="44"/>
      <c r="I179" s="29">
        <v>1220000</v>
      </c>
      <c r="J179" s="29"/>
      <c r="K179" s="30">
        <f>J179+I179</f>
        <v>1220000</v>
      </c>
    </row>
    <row r="180" spans="1:11" s="21" customFormat="1" ht="57.75" customHeight="1">
      <c r="A180" s="17" t="s">
        <v>15</v>
      </c>
      <c r="B180" s="84"/>
      <c r="C180" s="84"/>
      <c r="D180" s="46" t="s">
        <v>24</v>
      </c>
      <c r="E180" s="46"/>
      <c r="F180" s="46"/>
      <c r="G180" s="46"/>
      <c r="H180" s="46"/>
      <c r="I180" s="19">
        <f aca="true" t="shared" si="5" ref="I180:K181">I181</f>
        <v>40000</v>
      </c>
      <c r="J180" s="19">
        <f t="shared" si="5"/>
        <v>0</v>
      </c>
      <c r="K180" s="20">
        <f t="shared" si="5"/>
        <v>40000</v>
      </c>
    </row>
    <row r="181" spans="1:11" s="26" customFormat="1" ht="57" customHeight="1">
      <c r="A181" s="22" t="s">
        <v>65</v>
      </c>
      <c r="B181" s="71"/>
      <c r="C181" s="71"/>
      <c r="D181" s="48" t="s">
        <v>24</v>
      </c>
      <c r="E181" s="48"/>
      <c r="F181" s="48"/>
      <c r="G181" s="48"/>
      <c r="H181" s="48"/>
      <c r="I181" s="24">
        <f t="shared" si="5"/>
        <v>40000</v>
      </c>
      <c r="J181" s="24">
        <f t="shared" si="5"/>
        <v>0</v>
      </c>
      <c r="K181" s="25">
        <f t="shared" si="5"/>
        <v>40000</v>
      </c>
    </row>
    <row r="182" spans="1:11" s="31" customFormat="1" ht="92.25" customHeight="1">
      <c r="A182" s="27" t="s">
        <v>0</v>
      </c>
      <c r="B182" s="27" t="s">
        <v>66</v>
      </c>
      <c r="C182" s="27" t="s">
        <v>31</v>
      </c>
      <c r="D182" s="28" t="s">
        <v>67</v>
      </c>
      <c r="E182" s="28"/>
      <c r="F182" s="28"/>
      <c r="G182" s="28"/>
      <c r="H182" s="28"/>
      <c r="I182" s="29">
        <v>40000</v>
      </c>
      <c r="J182" s="29"/>
      <c r="K182" s="30">
        <f>J182+I182</f>
        <v>40000</v>
      </c>
    </row>
    <row r="183" spans="1:11" s="21" customFormat="1" ht="63.75" customHeight="1">
      <c r="A183" s="17" t="s">
        <v>17</v>
      </c>
      <c r="B183" s="17"/>
      <c r="C183" s="17"/>
      <c r="D183" s="46" t="s">
        <v>23</v>
      </c>
      <c r="E183" s="46"/>
      <c r="F183" s="46"/>
      <c r="G183" s="46"/>
      <c r="H183" s="46"/>
      <c r="I183" s="19">
        <f>I184</f>
        <v>185731495</v>
      </c>
      <c r="J183" s="19">
        <f>J184</f>
        <v>13000</v>
      </c>
      <c r="K183" s="20">
        <f>K184</f>
        <v>185744495</v>
      </c>
    </row>
    <row r="184" spans="1:11" s="26" customFormat="1" ht="64.5" customHeight="1">
      <c r="A184" s="22" t="s">
        <v>18</v>
      </c>
      <c r="B184" s="22"/>
      <c r="C184" s="22"/>
      <c r="D184" s="48" t="s">
        <v>23</v>
      </c>
      <c r="E184" s="48"/>
      <c r="F184" s="48"/>
      <c r="G184" s="48"/>
      <c r="H184" s="48"/>
      <c r="I184" s="24">
        <f>I186+I320+I189+I204+I237+I302+I305+I187</f>
        <v>185731495</v>
      </c>
      <c r="J184" s="24">
        <f>J186+J320+J189+J204+J237+J302+J305+J187</f>
        <v>13000</v>
      </c>
      <c r="K184" s="25">
        <f>K186+K320+K189+K204+K237+K302+K305+K187</f>
        <v>185744495</v>
      </c>
    </row>
    <row r="185" spans="1:11" s="26" customFormat="1" ht="18">
      <c r="A185" s="22"/>
      <c r="B185" s="22"/>
      <c r="C185" s="22"/>
      <c r="D185" s="48" t="s">
        <v>436</v>
      </c>
      <c r="E185" s="48"/>
      <c r="F185" s="48"/>
      <c r="G185" s="48"/>
      <c r="H185" s="48"/>
      <c r="I185" s="24">
        <f>I311</f>
        <v>800091</v>
      </c>
      <c r="J185" s="24">
        <f>J311</f>
        <v>13000</v>
      </c>
      <c r="K185" s="25">
        <f>K311</f>
        <v>813091</v>
      </c>
    </row>
    <row r="186" spans="1:11" s="31" customFormat="1" ht="39.75" customHeight="1">
      <c r="A186" s="27" t="s">
        <v>128</v>
      </c>
      <c r="B186" s="27" t="s">
        <v>78</v>
      </c>
      <c r="C186" s="27" t="s">
        <v>46</v>
      </c>
      <c r="D186" s="28" t="s">
        <v>79</v>
      </c>
      <c r="E186" s="28"/>
      <c r="F186" s="28"/>
      <c r="G186" s="28"/>
      <c r="H186" s="28"/>
      <c r="I186" s="29">
        <f>88015500+6969382+2006750-500000+869456</f>
        <v>97361088</v>
      </c>
      <c r="J186" s="29"/>
      <c r="K186" s="30">
        <f>J186+I186</f>
        <v>97361088</v>
      </c>
    </row>
    <row r="187" spans="1:11" s="31" customFormat="1" ht="44.25" customHeight="1">
      <c r="A187" s="27" t="s">
        <v>314</v>
      </c>
      <c r="B187" s="27" t="s">
        <v>320</v>
      </c>
      <c r="C187" s="27"/>
      <c r="D187" s="28" t="s">
        <v>316</v>
      </c>
      <c r="E187" s="75"/>
      <c r="F187" s="28"/>
      <c r="G187" s="28"/>
      <c r="H187" s="28"/>
      <c r="I187" s="29">
        <f>I188</f>
        <v>500000</v>
      </c>
      <c r="J187" s="29">
        <f>J188</f>
        <v>0</v>
      </c>
      <c r="K187" s="29">
        <f>K188</f>
        <v>500000</v>
      </c>
    </row>
    <row r="188" spans="1:11" s="40" customFormat="1" ht="65.25" customHeight="1">
      <c r="A188" s="32" t="s">
        <v>315</v>
      </c>
      <c r="B188" s="32" t="s">
        <v>319</v>
      </c>
      <c r="C188" s="32" t="s">
        <v>318</v>
      </c>
      <c r="D188" s="33" t="s">
        <v>317</v>
      </c>
      <c r="E188" s="85"/>
      <c r="F188" s="33"/>
      <c r="G188" s="33"/>
      <c r="H188" s="33"/>
      <c r="I188" s="35">
        <v>500000</v>
      </c>
      <c r="J188" s="35"/>
      <c r="K188" s="36">
        <f>J188+I188</f>
        <v>500000</v>
      </c>
    </row>
    <row r="189" spans="1:147" s="21" customFormat="1" ht="46.5" customHeight="1">
      <c r="A189" s="86">
        <v>1517310</v>
      </c>
      <c r="B189" s="27" t="s">
        <v>155</v>
      </c>
      <c r="C189" s="27" t="s">
        <v>57</v>
      </c>
      <c r="D189" s="46" t="s">
        <v>162</v>
      </c>
      <c r="E189" s="87"/>
      <c r="F189" s="88"/>
      <c r="G189" s="88"/>
      <c r="H189" s="88"/>
      <c r="I189" s="19">
        <f>I190+I195</f>
        <v>9603664</v>
      </c>
      <c r="J189" s="19">
        <f>J190+J195</f>
        <v>0</v>
      </c>
      <c r="K189" s="20">
        <f>K190+K195</f>
        <v>9603664</v>
      </c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</row>
    <row r="190" spans="1:147" s="31" customFormat="1" ht="27.75" customHeight="1">
      <c r="A190" s="90"/>
      <c r="B190" s="91"/>
      <c r="C190" s="91"/>
      <c r="D190" s="91"/>
      <c r="E190" s="74" t="s">
        <v>168</v>
      </c>
      <c r="F190" s="88"/>
      <c r="G190" s="88"/>
      <c r="H190" s="88"/>
      <c r="I190" s="19">
        <f>SUM(I191:I194)</f>
        <v>5542800</v>
      </c>
      <c r="J190" s="19">
        <f>SUM(J191:J194)</f>
        <v>0</v>
      </c>
      <c r="K190" s="20">
        <f>SUM(K191:K194)</f>
        <v>5542800</v>
      </c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</row>
    <row r="191" spans="1:147" s="95" customFormat="1" ht="40.5" customHeight="1">
      <c r="A191" s="90"/>
      <c r="B191" s="90"/>
      <c r="C191" s="90"/>
      <c r="D191" s="90"/>
      <c r="E191" s="92" t="s">
        <v>169</v>
      </c>
      <c r="F191" s="93">
        <v>15922519</v>
      </c>
      <c r="G191" s="90">
        <v>100</v>
      </c>
      <c r="H191" s="93">
        <v>15922519</v>
      </c>
      <c r="I191" s="29">
        <f>3000000+2000000</f>
        <v>5000000</v>
      </c>
      <c r="J191" s="29"/>
      <c r="K191" s="30">
        <f>J191+I191</f>
        <v>5000000</v>
      </c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</row>
    <row r="192" spans="1:147" s="95" customFormat="1" ht="36" customHeight="1">
      <c r="A192" s="91"/>
      <c r="B192" s="91"/>
      <c r="C192" s="91"/>
      <c r="D192" s="91"/>
      <c r="E192" s="96" t="s">
        <v>170</v>
      </c>
      <c r="F192" s="93">
        <v>2186292</v>
      </c>
      <c r="G192" s="97">
        <v>25.6</v>
      </c>
      <c r="H192" s="93">
        <v>559802</v>
      </c>
      <c r="I192" s="29">
        <f>400000+122500</f>
        <v>522500</v>
      </c>
      <c r="J192" s="29"/>
      <c r="K192" s="30">
        <f>J192+I192</f>
        <v>522500</v>
      </c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4"/>
      <c r="DG192" s="94"/>
      <c r="DH192" s="94"/>
      <c r="DI192" s="94"/>
      <c r="DJ192" s="94"/>
      <c r="DK192" s="94"/>
      <c r="DL192" s="94"/>
      <c r="DM192" s="94"/>
      <c r="DN192" s="94"/>
      <c r="DO192" s="94"/>
      <c r="DP192" s="94"/>
      <c r="DQ192" s="94"/>
      <c r="DR192" s="94"/>
      <c r="DS192" s="94"/>
      <c r="DT192" s="94"/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4"/>
      <c r="EG192" s="94"/>
      <c r="EH192" s="94"/>
      <c r="EI192" s="94"/>
      <c r="EJ192" s="94"/>
      <c r="EK192" s="94"/>
      <c r="EL192" s="94"/>
      <c r="EM192" s="94"/>
      <c r="EN192" s="94"/>
      <c r="EO192" s="94"/>
      <c r="EP192" s="94"/>
      <c r="EQ192" s="94"/>
    </row>
    <row r="193" spans="1:147" s="95" customFormat="1" ht="68.25" customHeight="1">
      <c r="A193" s="91"/>
      <c r="B193" s="91"/>
      <c r="C193" s="91"/>
      <c r="D193" s="91"/>
      <c r="E193" s="96" t="s">
        <v>359</v>
      </c>
      <c r="F193" s="93"/>
      <c r="G193" s="97"/>
      <c r="H193" s="93"/>
      <c r="I193" s="29">
        <f>50000-38200</f>
        <v>11800</v>
      </c>
      <c r="J193" s="29"/>
      <c r="K193" s="30">
        <f>J193+I193</f>
        <v>11800</v>
      </c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</row>
    <row r="194" spans="1:11" s="94" customFormat="1" ht="30.75" customHeight="1">
      <c r="A194" s="91"/>
      <c r="B194" s="91"/>
      <c r="C194" s="91"/>
      <c r="D194" s="91"/>
      <c r="E194" s="96" t="s">
        <v>301</v>
      </c>
      <c r="F194" s="93">
        <v>1681565</v>
      </c>
      <c r="G194" s="97">
        <v>11.6</v>
      </c>
      <c r="H194" s="93">
        <v>194907</v>
      </c>
      <c r="I194" s="29">
        <v>8500</v>
      </c>
      <c r="J194" s="29"/>
      <c r="K194" s="30">
        <f>J194+I194</f>
        <v>8500</v>
      </c>
    </row>
    <row r="195" spans="1:147" s="31" customFormat="1" ht="21.75" customHeight="1">
      <c r="A195" s="90"/>
      <c r="B195" s="91"/>
      <c r="C195" s="91"/>
      <c r="D195" s="91"/>
      <c r="E195" s="46" t="s">
        <v>171</v>
      </c>
      <c r="F195" s="93"/>
      <c r="G195" s="88"/>
      <c r="H195" s="93"/>
      <c r="I195" s="19">
        <f>SUM(I196:I203)</f>
        <v>4060864</v>
      </c>
      <c r="J195" s="19">
        <f>SUM(J196:J203)</f>
        <v>0</v>
      </c>
      <c r="K195" s="20">
        <f>SUM(K196:K203)</f>
        <v>4060864</v>
      </c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</row>
    <row r="196" spans="1:11" s="94" customFormat="1" ht="24.75" customHeight="1">
      <c r="A196" s="91"/>
      <c r="B196" s="91"/>
      <c r="C196" s="91"/>
      <c r="D196" s="91"/>
      <c r="E196" s="96" t="s">
        <v>172</v>
      </c>
      <c r="F196" s="93">
        <v>16481572</v>
      </c>
      <c r="G196" s="97">
        <v>81.3</v>
      </c>
      <c r="H196" s="93">
        <v>13394899</v>
      </c>
      <c r="I196" s="29">
        <v>2000000</v>
      </c>
      <c r="J196" s="29"/>
      <c r="K196" s="30">
        <f aca="true" t="shared" si="6" ref="K196:K203">J196+I196</f>
        <v>2000000</v>
      </c>
    </row>
    <row r="197" spans="1:11" s="94" customFormat="1" ht="60" customHeight="1">
      <c r="A197" s="91"/>
      <c r="B197" s="91"/>
      <c r="C197" s="91"/>
      <c r="D197" s="91"/>
      <c r="E197" s="44" t="s">
        <v>173</v>
      </c>
      <c r="F197" s="93">
        <v>413827</v>
      </c>
      <c r="G197" s="97">
        <v>100</v>
      </c>
      <c r="H197" s="93">
        <v>413827</v>
      </c>
      <c r="I197" s="29">
        <f>492000-126900</f>
        <v>365100</v>
      </c>
      <c r="J197" s="29"/>
      <c r="K197" s="30">
        <f t="shared" si="6"/>
        <v>365100</v>
      </c>
    </row>
    <row r="198" spans="1:11" s="94" customFormat="1" ht="43.5" customHeight="1">
      <c r="A198" s="91"/>
      <c r="B198" s="91"/>
      <c r="C198" s="91"/>
      <c r="D198" s="91"/>
      <c r="E198" s="44" t="s">
        <v>174</v>
      </c>
      <c r="F198" s="93">
        <v>1172514</v>
      </c>
      <c r="G198" s="97">
        <v>100</v>
      </c>
      <c r="H198" s="93">
        <v>1172514</v>
      </c>
      <c r="I198" s="29">
        <f>995000-10700-28336</f>
        <v>955964</v>
      </c>
      <c r="J198" s="29"/>
      <c r="K198" s="30">
        <f t="shared" si="6"/>
        <v>955964</v>
      </c>
    </row>
    <row r="199" spans="1:11" s="94" customFormat="1" ht="55.5" customHeight="1">
      <c r="A199" s="91"/>
      <c r="B199" s="91"/>
      <c r="C199" s="91"/>
      <c r="D199" s="91"/>
      <c r="E199" s="44" t="s">
        <v>175</v>
      </c>
      <c r="F199" s="93">
        <v>200281</v>
      </c>
      <c r="G199" s="97">
        <v>100</v>
      </c>
      <c r="H199" s="93">
        <v>200281</v>
      </c>
      <c r="I199" s="29">
        <f>233000-63800-1365</f>
        <v>167835</v>
      </c>
      <c r="J199" s="29"/>
      <c r="K199" s="30">
        <f t="shared" si="6"/>
        <v>167835</v>
      </c>
    </row>
    <row r="200" spans="1:11" s="94" customFormat="1" ht="36.75" customHeight="1">
      <c r="A200" s="91"/>
      <c r="B200" s="91"/>
      <c r="C200" s="91"/>
      <c r="D200" s="91"/>
      <c r="E200" s="44" t="s">
        <v>176</v>
      </c>
      <c r="F200" s="93">
        <v>512905</v>
      </c>
      <c r="G200" s="97">
        <v>100</v>
      </c>
      <c r="H200" s="93">
        <v>512905</v>
      </c>
      <c r="I200" s="29">
        <f>280000+266465</f>
        <v>546465</v>
      </c>
      <c r="J200" s="29"/>
      <c r="K200" s="30">
        <f t="shared" si="6"/>
        <v>546465</v>
      </c>
    </row>
    <row r="201" spans="1:11" s="94" customFormat="1" ht="36.75" customHeight="1">
      <c r="A201" s="91"/>
      <c r="B201" s="91"/>
      <c r="C201" s="91"/>
      <c r="D201" s="91"/>
      <c r="E201" s="44" t="s">
        <v>302</v>
      </c>
      <c r="F201" s="93"/>
      <c r="G201" s="97"/>
      <c r="H201" s="93"/>
      <c r="I201" s="29">
        <v>8500</v>
      </c>
      <c r="J201" s="29"/>
      <c r="K201" s="30">
        <f t="shared" si="6"/>
        <v>8500</v>
      </c>
    </row>
    <row r="202" spans="1:11" s="94" customFormat="1" ht="69" customHeight="1">
      <c r="A202" s="91"/>
      <c r="B202" s="91"/>
      <c r="C202" s="91"/>
      <c r="D202" s="91"/>
      <c r="E202" s="44" t="s">
        <v>303</v>
      </c>
      <c r="F202" s="93"/>
      <c r="G202" s="97"/>
      <c r="H202" s="93"/>
      <c r="I202" s="29">
        <v>8500</v>
      </c>
      <c r="J202" s="29"/>
      <c r="K202" s="30">
        <f t="shared" si="6"/>
        <v>8500</v>
      </c>
    </row>
    <row r="203" spans="1:11" s="94" customFormat="1" ht="63" customHeight="1">
      <c r="A203" s="91"/>
      <c r="B203" s="91"/>
      <c r="C203" s="91"/>
      <c r="D203" s="91"/>
      <c r="E203" s="44" t="s">
        <v>304</v>
      </c>
      <c r="F203" s="93"/>
      <c r="G203" s="97"/>
      <c r="H203" s="93"/>
      <c r="I203" s="29">
        <v>8500</v>
      </c>
      <c r="J203" s="29"/>
      <c r="K203" s="30">
        <f t="shared" si="6"/>
        <v>8500</v>
      </c>
    </row>
    <row r="204" spans="1:147" s="21" customFormat="1" ht="54" customHeight="1">
      <c r="A204" s="86">
        <v>1517320</v>
      </c>
      <c r="B204" s="27" t="s">
        <v>158</v>
      </c>
      <c r="C204" s="27"/>
      <c r="D204" s="46" t="s">
        <v>164</v>
      </c>
      <c r="E204" s="46"/>
      <c r="F204" s="93"/>
      <c r="G204" s="88"/>
      <c r="H204" s="93"/>
      <c r="I204" s="19">
        <f>I205+I224+I232</f>
        <v>15149162</v>
      </c>
      <c r="J204" s="19">
        <f>J205+J224+J232</f>
        <v>0</v>
      </c>
      <c r="K204" s="20">
        <f>K205+K224+K232</f>
        <v>15149162</v>
      </c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</row>
    <row r="205" spans="1:147" s="102" customFormat="1" ht="34.5" customHeight="1">
      <c r="A205" s="98">
        <v>1517321</v>
      </c>
      <c r="B205" s="32" t="s">
        <v>159</v>
      </c>
      <c r="C205" s="32" t="s">
        <v>57</v>
      </c>
      <c r="D205" s="99" t="s">
        <v>165</v>
      </c>
      <c r="E205" s="100"/>
      <c r="F205" s="93"/>
      <c r="G205" s="24"/>
      <c r="H205" s="93"/>
      <c r="I205" s="24">
        <f>I206+I212</f>
        <v>6729112</v>
      </c>
      <c r="J205" s="24">
        <f>J206+J212</f>
        <v>0</v>
      </c>
      <c r="K205" s="25">
        <f>K206+K212</f>
        <v>6729112</v>
      </c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101"/>
      <c r="EF205" s="101"/>
      <c r="EG205" s="101"/>
      <c r="EH205" s="101"/>
      <c r="EI205" s="101"/>
      <c r="EJ205" s="101"/>
      <c r="EK205" s="101"/>
      <c r="EL205" s="101"/>
      <c r="EM205" s="101"/>
      <c r="EN205" s="101"/>
      <c r="EO205" s="101"/>
      <c r="EP205" s="101"/>
      <c r="EQ205" s="101"/>
    </row>
    <row r="206" spans="1:147" s="31" customFormat="1" ht="27" customHeight="1">
      <c r="A206" s="90"/>
      <c r="B206" s="91"/>
      <c r="C206" s="91"/>
      <c r="D206" s="91"/>
      <c r="E206" s="103" t="s">
        <v>168</v>
      </c>
      <c r="F206" s="93"/>
      <c r="G206" s="88"/>
      <c r="H206" s="93"/>
      <c r="I206" s="19">
        <f>SUM(I207:I211)</f>
        <v>1605400</v>
      </c>
      <c r="J206" s="19">
        <f>SUM(J207:J211)</f>
        <v>0</v>
      </c>
      <c r="K206" s="20">
        <f>SUM(K207:K211)</f>
        <v>1605400</v>
      </c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</row>
    <row r="207" spans="1:147" s="95" customFormat="1" ht="30" customHeight="1">
      <c r="A207" s="90"/>
      <c r="B207" s="90"/>
      <c r="C207" s="90"/>
      <c r="D207" s="90"/>
      <c r="E207" s="96" t="s">
        <v>177</v>
      </c>
      <c r="F207" s="93"/>
      <c r="G207" s="90"/>
      <c r="H207" s="93"/>
      <c r="I207" s="29">
        <f>863000-283000</f>
        <v>580000</v>
      </c>
      <c r="J207" s="29"/>
      <c r="K207" s="30">
        <f>J207+I207</f>
        <v>580000</v>
      </c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  <c r="DT207" s="94"/>
      <c r="DU207" s="94"/>
      <c r="DV207" s="94"/>
      <c r="DW207" s="94"/>
      <c r="DX207" s="94"/>
      <c r="DY207" s="94"/>
      <c r="DZ207" s="94"/>
      <c r="EA207" s="94"/>
      <c r="EB207" s="94"/>
      <c r="EC207" s="94"/>
      <c r="ED207" s="94"/>
      <c r="EE207" s="94"/>
      <c r="EF207" s="94"/>
      <c r="EG207" s="94"/>
      <c r="EH207" s="94"/>
      <c r="EI207" s="94"/>
      <c r="EJ207" s="94"/>
      <c r="EK207" s="94"/>
      <c r="EL207" s="94"/>
      <c r="EM207" s="94"/>
      <c r="EN207" s="94"/>
      <c r="EO207" s="94"/>
      <c r="EP207" s="94"/>
      <c r="EQ207" s="94"/>
    </row>
    <row r="208" spans="1:11" s="94" customFormat="1" ht="47.25" customHeight="1">
      <c r="A208" s="91"/>
      <c r="B208" s="91"/>
      <c r="C208" s="91"/>
      <c r="D208" s="91"/>
      <c r="E208" s="96" t="s">
        <v>178</v>
      </c>
      <c r="F208" s="93">
        <v>249610</v>
      </c>
      <c r="G208" s="97">
        <v>100</v>
      </c>
      <c r="H208" s="93">
        <v>249610</v>
      </c>
      <c r="I208" s="29">
        <f>250000-3600</f>
        <v>246400</v>
      </c>
      <c r="J208" s="29"/>
      <c r="K208" s="30">
        <f>J208+I208</f>
        <v>246400</v>
      </c>
    </row>
    <row r="209" spans="1:11" s="94" customFormat="1" ht="71.25" customHeight="1">
      <c r="A209" s="91"/>
      <c r="B209" s="91"/>
      <c r="C209" s="91"/>
      <c r="D209" s="91"/>
      <c r="E209" s="96" t="s">
        <v>338</v>
      </c>
      <c r="F209" s="93">
        <v>103322</v>
      </c>
      <c r="G209" s="97">
        <v>100</v>
      </c>
      <c r="H209" s="93">
        <v>103322</v>
      </c>
      <c r="I209" s="29">
        <v>100000</v>
      </c>
      <c r="J209" s="29"/>
      <c r="K209" s="30">
        <f>J209+I209</f>
        <v>100000</v>
      </c>
    </row>
    <row r="210" spans="1:11" s="94" customFormat="1" ht="71.25" customHeight="1">
      <c r="A210" s="91"/>
      <c r="B210" s="91"/>
      <c r="C210" s="91"/>
      <c r="D210" s="91"/>
      <c r="E210" s="96" t="s">
        <v>444</v>
      </c>
      <c r="F210" s="93"/>
      <c r="G210" s="97"/>
      <c r="H210" s="93"/>
      <c r="I210" s="29">
        <v>288000</v>
      </c>
      <c r="J210" s="29"/>
      <c r="K210" s="30">
        <f>J210+I210</f>
        <v>288000</v>
      </c>
    </row>
    <row r="211" spans="1:11" s="94" customFormat="1" ht="71.25" customHeight="1">
      <c r="A211" s="91"/>
      <c r="B211" s="91"/>
      <c r="C211" s="91"/>
      <c r="D211" s="91"/>
      <c r="E211" s="96" t="s">
        <v>446</v>
      </c>
      <c r="F211" s="93"/>
      <c r="G211" s="97"/>
      <c r="H211" s="93"/>
      <c r="I211" s="29">
        <v>391000</v>
      </c>
      <c r="J211" s="29"/>
      <c r="K211" s="30">
        <f>J211+I211</f>
        <v>391000</v>
      </c>
    </row>
    <row r="212" spans="1:147" s="31" customFormat="1" ht="25.5" customHeight="1">
      <c r="A212" s="90"/>
      <c r="B212" s="91"/>
      <c r="C212" s="91"/>
      <c r="D212" s="91"/>
      <c r="E212" s="46" t="s">
        <v>171</v>
      </c>
      <c r="F212" s="93"/>
      <c r="G212" s="88"/>
      <c r="H212" s="93"/>
      <c r="I212" s="19">
        <f>SUM(I213:I223)</f>
        <v>5123712</v>
      </c>
      <c r="J212" s="19">
        <f>SUM(J213:J223)</f>
        <v>0</v>
      </c>
      <c r="K212" s="20">
        <f>SUM(K213:K223)</f>
        <v>5123712</v>
      </c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</row>
    <row r="213" spans="1:147" s="31" customFormat="1" ht="88.5" customHeight="1">
      <c r="A213" s="90"/>
      <c r="B213" s="91"/>
      <c r="C213" s="91"/>
      <c r="D213" s="91"/>
      <c r="E213" s="44" t="s">
        <v>259</v>
      </c>
      <c r="F213" s="93">
        <v>237104</v>
      </c>
      <c r="G213" s="104">
        <v>100</v>
      </c>
      <c r="H213" s="93">
        <v>237104</v>
      </c>
      <c r="I213" s="29">
        <v>221500</v>
      </c>
      <c r="J213" s="29"/>
      <c r="K213" s="30">
        <f aca="true" t="shared" si="7" ref="K213:K223">J213+I213</f>
        <v>221500</v>
      </c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</row>
    <row r="214" spans="1:147" s="31" customFormat="1" ht="24" customHeight="1">
      <c r="A214" s="90"/>
      <c r="B214" s="91"/>
      <c r="C214" s="91"/>
      <c r="D214" s="91"/>
      <c r="E214" s="44" t="s">
        <v>305</v>
      </c>
      <c r="F214" s="93"/>
      <c r="G214" s="88"/>
      <c r="H214" s="93"/>
      <c r="I214" s="29">
        <v>8500</v>
      </c>
      <c r="J214" s="29"/>
      <c r="K214" s="30">
        <f t="shared" si="7"/>
        <v>8500</v>
      </c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</row>
    <row r="215" spans="1:147" s="31" customFormat="1" ht="42" customHeight="1">
      <c r="A215" s="90"/>
      <c r="B215" s="91"/>
      <c r="C215" s="91"/>
      <c r="D215" s="91"/>
      <c r="E215" s="96" t="s">
        <v>306</v>
      </c>
      <c r="F215" s="93"/>
      <c r="G215" s="88"/>
      <c r="H215" s="93"/>
      <c r="I215" s="29">
        <v>8500</v>
      </c>
      <c r="J215" s="29"/>
      <c r="K215" s="30">
        <f t="shared" si="7"/>
        <v>8500</v>
      </c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</row>
    <row r="216" spans="1:147" s="31" customFormat="1" ht="51" customHeight="1">
      <c r="A216" s="90"/>
      <c r="B216" s="91"/>
      <c r="C216" s="91"/>
      <c r="D216" s="91"/>
      <c r="E216" s="96" t="s">
        <v>399</v>
      </c>
      <c r="F216" s="93">
        <v>2143744</v>
      </c>
      <c r="G216" s="97">
        <v>97.27</v>
      </c>
      <c r="H216" s="93">
        <v>2085265</v>
      </c>
      <c r="I216" s="29">
        <f>490000+500000+50000</f>
        <v>1040000</v>
      </c>
      <c r="J216" s="29"/>
      <c r="K216" s="30">
        <f t="shared" si="7"/>
        <v>1040000</v>
      </c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</row>
    <row r="217" spans="1:11" s="94" customFormat="1" ht="43.5" customHeight="1">
      <c r="A217" s="91"/>
      <c r="B217" s="91"/>
      <c r="C217" s="91"/>
      <c r="D217" s="91"/>
      <c r="E217" s="44" t="s">
        <v>179</v>
      </c>
      <c r="F217" s="93">
        <v>5382485</v>
      </c>
      <c r="G217" s="97">
        <v>50.7</v>
      </c>
      <c r="H217" s="93">
        <v>2732167</v>
      </c>
      <c r="I217" s="29">
        <f>50000+603355</f>
        <v>653355</v>
      </c>
      <c r="J217" s="29"/>
      <c r="K217" s="30">
        <f t="shared" si="7"/>
        <v>653355</v>
      </c>
    </row>
    <row r="218" spans="1:11" s="94" customFormat="1" ht="43.5" customHeight="1">
      <c r="A218" s="91"/>
      <c r="B218" s="91"/>
      <c r="C218" s="91"/>
      <c r="D218" s="91"/>
      <c r="E218" s="44" t="s">
        <v>422</v>
      </c>
      <c r="F218" s="93"/>
      <c r="G218" s="97"/>
      <c r="H218" s="93"/>
      <c r="I218" s="29">
        <f>200000-72364+47544</f>
        <v>175180</v>
      </c>
      <c r="J218" s="29"/>
      <c r="K218" s="30">
        <f t="shared" si="7"/>
        <v>175180</v>
      </c>
    </row>
    <row r="219" spans="1:11" s="94" customFormat="1" ht="56.25" customHeight="1">
      <c r="A219" s="91"/>
      <c r="B219" s="91"/>
      <c r="C219" s="91"/>
      <c r="D219" s="91"/>
      <c r="E219" s="44" t="s">
        <v>456</v>
      </c>
      <c r="F219" s="93"/>
      <c r="G219" s="97"/>
      <c r="H219" s="93"/>
      <c r="I219" s="29">
        <v>30000</v>
      </c>
      <c r="J219" s="29"/>
      <c r="K219" s="30">
        <f t="shared" si="7"/>
        <v>30000</v>
      </c>
    </row>
    <row r="220" spans="1:11" s="94" customFormat="1" ht="45" customHeight="1">
      <c r="A220" s="91"/>
      <c r="B220" s="91"/>
      <c r="C220" s="91"/>
      <c r="D220" s="91"/>
      <c r="E220" s="96" t="s">
        <v>307</v>
      </c>
      <c r="F220" s="93"/>
      <c r="G220" s="97"/>
      <c r="H220" s="93"/>
      <c r="I220" s="29">
        <v>8500</v>
      </c>
      <c r="J220" s="29"/>
      <c r="K220" s="30">
        <f t="shared" si="7"/>
        <v>8500</v>
      </c>
    </row>
    <row r="221" spans="1:11" s="94" customFormat="1" ht="84" customHeight="1">
      <c r="A221" s="91"/>
      <c r="B221" s="91"/>
      <c r="C221" s="91"/>
      <c r="D221" s="91"/>
      <c r="E221" s="44" t="s">
        <v>180</v>
      </c>
      <c r="F221" s="93">
        <v>1388402</v>
      </c>
      <c r="G221" s="97">
        <v>97.1</v>
      </c>
      <c r="H221" s="93">
        <v>1348369</v>
      </c>
      <c r="I221" s="29">
        <f>986000+400000-57000-438000</f>
        <v>891000</v>
      </c>
      <c r="J221" s="29"/>
      <c r="K221" s="30">
        <f t="shared" si="7"/>
        <v>891000</v>
      </c>
    </row>
    <row r="222" spans="1:11" s="94" customFormat="1" ht="70.5" customHeight="1">
      <c r="A222" s="91"/>
      <c r="B222" s="91"/>
      <c r="C222" s="91"/>
      <c r="D222" s="91"/>
      <c r="E222" s="44" t="s">
        <v>455</v>
      </c>
      <c r="F222" s="93"/>
      <c r="G222" s="97"/>
      <c r="H222" s="93"/>
      <c r="I222" s="29">
        <f>700000-55000</f>
        <v>645000</v>
      </c>
      <c r="J222" s="29"/>
      <c r="K222" s="30">
        <f>J222+I222</f>
        <v>645000</v>
      </c>
    </row>
    <row r="223" spans="1:11" s="94" customFormat="1" ht="84.75" customHeight="1">
      <c r="A223" s="91"/>
      <c r="B223" s="91"/>
      <c r="C223" s="91"/>
      <c r="D223" s="91"/>
      <c r="E223" s="44" t="s">
        <v>181</v>
      </c>
      <c r="F223" s="93">
        <v>1479061</v>
      </c>
      <c r="G223" s="97">
        <v>97.5</v>
      </c>
      <c r="H223" s="93">
        <v>1442177</v>
      </c>
      <c r="I223" s="29">
        <f>1455000-12823</f>
        <v>1442177</v>
      </c>
      <c r="J223" s="29"/>
      <c r="K223" s="30">
        <f t="shared" si="7"/>
        <v>1442177</v>
      </c>
    </row>
    <row r="224" spans="1:11" s="107" customFormat="1" ht="54" customHeight="1">
      <c r="A224" s="98">
        <v>1517322</v>
      </c>
      <c r="B224" s="32" t="s">
        <v>160</v>
      </c>
      <c r="C224" s="32" t="s">
        <v>57</v>
      </c>
      <c r="D224" s="99" t="s">
        <v>167</v>
      </c>
      <c r="E224" s="105"/>
      <c r="F224" s="93"/>
      <c r="G224" s="106"/>
      <c r="H224" s="93"/>
      <c r="I224" s="24">
        <f>I225+I227</f>
        <v>4380000</v>
      </c>
      <c r="J224" s="24">
        <f>J225+J227</f>
        <v>0</v>
      </c>
      <c r="K224" s="25">
        <f>K225+K227</f>
        <v>4380000</v>
      </c>
    </row>
    <row r="225" spans="1:147" s="31" customFormat="1" ht="24" customHeight="1">
      <c r="A225" s="90"/>
      <c r="B225" s="91"/>
      <c r="C225" s="91"/>
      <c r="D225" s="91"/>
      <c r="E225" s="103" t="s">
        <v>168</v>
      </c>
      <c r="F225" s="93"/>
      <c r="G225" s="88"/>
      <c r="H225" s="93"/>
      <c r="I225" s="19">
        <f>I226</f>
        <v>20000</v>
      </c>
      <c r="J225" s="19">
        <f>J226</f>
        <v>0</v>
      </c>
      <c r="K225" s="20">
        <f>K226</f>
        <v>20000</v>
      </c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</row>
    <row r="226" spans="1:11" s="94" customFormat="1" ht="43.5" customHeight="1">
      <c r="A226" s="86"/>
      <c r="B226" s="91"/>
      <c r="C226" s="91"/>
      <c r="D226" s="91"/>
      <c r="E226" s="96" t="s">
        <v>266</v>
      </c>
      <c r="F226" s="93"/>
      <c r="G226" s="97"/>
      <c r="H226" s="93"/>
      <c r="I226" s="29">
        <v>20000</v>
      </c>
      <c r="J226" s="29"/>
      <c r="K226" s="30">
        <f>J226+I226</f>
        <v>20000</v>
      </c>
    </row>
    <row r="227" spans="1:147" s="31" customFormat="1" ht="28.5" customHeight="1">
      <c r="A227" s="90"/>
      <c r="B227" s="91"/>
      <c r="C227" s="91"/>
      <c r="D227" s="91"/>
      <c r="E227" s="46" t="s">
        <v>171</v>
      </c>
      <c r="F227" s="93"/>
      <c r="G227" s="88"/>
      <c r="H227" s="93"/>
      <c r="I227" s="19">
        <f>SUM(I228:I231)</f>
        <v>4360000</v>
      </c>
      <c r="J227" s="19">
        <f>SUM(J228:J231)</f>
        <v>0</v>
      </c>
      <c r="K227" s="20">
        <f>SUM(K228:K231)</f>
        <v>4360000</v>
      </c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</row>
    <row r="228" spans="1:11" s="94" customFormat="1" ht="48" customHeight="1">
      <c r="A228" s="86"/>
      <c r="B228" s="91"/>
      <c r="C228" s="91"/>
      <c r="D228" s="91"/>
      <c r="E228" s="96" t="s">
        <v>203</v>
      </c>
      <c r="F228" s="93">
        <v>16272770</v>
      </c>
      <c r="G228" s="108">
        <v>98.66</v>
      </c>
      <c r="H228" s="93">
        <v>16054529</v>
      </c>
      <c r="I228" s="29">
        <f>2000000+300000-700000</f>
        <v>1600000</v>
      </c>
      <c r="J228" s="29"/>
      <c r="K228" s="30">
        <f>J228+I228</f>
        <v>1600000</v>
      </c>
    </row>
    <row r="229" spans="1:11" s="94" customFormat="1" ht="65.25" customHeight="1">
      <c r="A229" s="86"/>
      <c r="B229" s="91"/>
      <c r="C229" s="91"/>
      <c r="D229" s="91"/>
      <c r="E229" s="28" t="s">
        <v>182</v>
      </c>
      <c r="F229" s="93"/>
      <c r="G229" s="109"/>
      <c r="H229" s="93"/>
      <c r="I229" s="29">
        <f>9000+100000</f>
        <v>109000</v>
      </c>
      <c r="J229" s="29"/>
      <c r="K229" s="30">
        <f>J229+I229</f>
        <v>109000</v>
      </c>
    </row>
    <row r="230" spans="1:11" s="94" customFormat="1" ht="51.75" customHeight="1">
      <c r="A230" s="86"/>
      <c r="B230" s="91"/>
      <c r="C230" s="91"/>
      <c r="D230" s="91"/>
      <c r="E230" s="28" t="s">
        <v>183</v>
      </c>
      <c r="F230" s="93">
        <v>1591924</v>
      </c>
      <c r="G230" s="108">
        <v>100</v>
      </c>
      <c r="H230" s="93">
        <v>1591924</v>
      </c>
      <c r="I230" s="29">
        <f>1000000+350000-12000</f>
        <v>1338000</v>
      </c>
      <c r="J230" s="29"/>
      <c r="K230" s="30">
        <f>J230+I230</f>
        <v>1338000</v>
      </c>
    </row>
    <row r="231" spans="1:147" s="95" customFormat="1" ht="72.75" customHeight="1">
      <c r="A231" s="86"/>
      <c r="B231" s="91"/>
      <c r="C231" s="91"/>
      <c r="D231" s="91"/>
      <c r="E231" s="44" t="s">
        <v>204</v>
      </c>
      <c r="F231" s="93">
        <v>1459371</v>
      </c>
      <c r="G231" s="97">
        <v>100</v>
      </c>
      <c r="H231" s="93">
        <v>1459371</v>
      </c>
      <c r="I231" s="29">
        <f>1000000+350000-37000</f>
        <v>1313000</v>
      </c>
      <c r="J231" s="29"/>
      <c r="K231" s="30">
        <f>J231+I231</f>
        <v>1313000</v>
      </c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  <c r="DK231" s="94"/>
      <c r="DL231" s="94"/>
      <c r="DM231" s="94"/>
      <c r="DN231" s="94"/>
      <c r="DO231" s="94"/>
      <c r="DP231" s="94"/>
      <c r="DQ231" s="94"/>
      <c r="DR231" s="94"/>
      <c r="DS231" s="94"/>
      <c r="DT231" s="94"/>
      <c r="DU231" s="94"/>
      <c r="DV231" s="94"/>
      <c r="DW231" s="94"/>
      <c r="DX231" s="94"/>
      <c r="DY231" s="94"/>
      <c r="DZ231" s="94"/>
      <c r="EA231" s="94"/>
      <c r="EB231" s="94"/>
      <c r="EC231" s="94"/>
      <c r="ED231" s="94"/>
      <c r="EE231" s="94"/>
      <c r="EF231" s="94"/>
      <c r="EG231" s="94"/>
      <c r="EH231" s="94"/>
      <c r="EI231" s="94"/>
      <c r="EJ231" s="94"/>
      <c r="EK231" s="94"/>
      <c r="EL231" s="94"/>
      <c r="EM231" s="94"/>
      <c r="EN231" s="94"/>
      <c r="EO231" s="94"/>
      <c r="EP231" s="94"/>
      <c r="EQ231" s="94"/>
    </row>
    <row r="232" spans="1:147" s="111" customFormat="1" ht="48.75" customHeight="1">
      <c r="A232" s="98">
        <v>1517325</v>
      </c>
      <c r="B232" s="32" t="s">
        <v>161</v>
      </c>
      <c r="C232" s="32" t="s">
        <v>57</v>
      </c>
      <c r="D232" s="99" t="s">
        <v>166</v>
      </c>
      <c r="E232" s="110"/>
      <c r="F232" s="93"/>
      <c r="G232" s="106"/>
      <c r="H232" s="93"/>
      <c r="I232" s="24">
        <f>I233</f>
        <v>4040050</v>
      </c>
      <c r="J232" s="24">
        <f>J233</f>
        <v>0</v>
      </c>
      <c r="K232" s="25">
        <f>K233</f>
        <v>4040050</v>
      </c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</row>
    <row r="233" spans="1:147" s="31" customFormat="1" ht="22.5" customHeight="1">
      <c r="A233" s="90"/>
      <c r="B233" s="91"/>
      <c r="C233" s="91"/>
      <c r="D233" s="91"/>
      <c r="E233" s="87" t="s">
        <v>171</v>
      </c>
      <c r="F233" s="93"/>
      <c r="G233" s="88"/>
      <c r="H233" s="93"/>
      <c r="I233" s="19">
        <f>SUM(I234:I236)</f>
        <v>4040050</v>
      </c>
      <c r="J233" s="19">
        <f>SUM(J234:J236)</f>
        <v>0</v>
      </c>
      <c r="K233" s="20">
        <f>SUM(K234:K236)</f>
        <v>4040050</v>
      </c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</row>
    <row r="234" spans="1:11" s="94" customFormat="1" ht="32.25" customHeight="1">
      <c r="A234" s="91"/>
      <c r="B234" s="91"/>
      <c r="C234" s="91"/>
      <c r="D234" s="91"/>
      <c r="E234" s="96" t="s">
        <v>184</v>
      </c>
      <c r="F234" s="93">
        <v>8134171</v>
      </c>
      <c r="G234" s="97">
        <v>35.9</v>
      </c>
      <c r="H234" s="93">
        <v>2927689</v>
      </c>
      <c r="I234" s="29">
        <f>2000000-125000-234000-928750</f>
        <v>712250</v>
      </c>
      <c r="J234" s="29"/>
      <c r="K234" s="30">
        <f>J234+I234</f>
        <v>712250</v>
      </c>
    </row>
    <row r="235" spans="1:11" s="94" customFormat="1" ht="54">
      <c r="A235" s="91"/>
      <c r="B235" s="91"/>
      <c r="C235" s="91"/>
      <c r="D235" s="91"/>
      <c r="E235" s="96" t="s">
        <v>400</v>
      </c>
      <c r="F235" s="93">
        <v>12421937</v>
      </c>
      <c r="G235" s="97">
        <v>100</v>
      </c>
      <c r="H235" s="93">
        <v>12421937</v>
      </c>
      <c r="I235" s="29">
        <f>50000+50000-57200</f>
        <v>42800</v>
      </c>
      <c r="J235" s="29"/>
      <c r="K235" s="30">
        <f>J235+I235</f>
        <v>42800</v>
      </c>
    </row>
    <row r="236" spans="1:11" s="94" customFormat="1" ht="62.25" customHeight="1">
      <c r="A236" s="91"/>
      <c r="B236" s="91"/>
      <c r="C236" s="91"/>
      <c r="D236" s="91"/>
      <c r="E236" s="96" t="s">
        <v>205</v>
      </c>
      <c r="F236" s="93">
        <v>3821803</v>
      </c>
      <c r="G236" s="97">
        <v>97.6</v>
      </c>
      <c r="H236" s="93">
        <v>3729106</v>
      </c>
      <c r="I236" s="29">
        <f>2500000+485000+300000</f>
        <v>3285000</v>
      </c>
      <c r="J236" s="29"/>
      <c r="K236" s="30">
        <f>J236+I236</f>
        <v>3285000</v>
      </c>
    </row>
    <row r="237" spans="1:147" s="95" customFormat="1" ht="75" customHeight="1">
      <c r="A237" s="86">
        <v>1517330</v>
      </c>
      <c r="B237" s="27" t="s">
        <v>157</v>
      </c>
      <c r="C237" s="27" t="s">
        <v>57</v>
      </c>
      <c r="D237" s="18" t="s">
        <v>163</v>
      </c>
      <c r="E237" s="112"/>
      <c r="F237" s="93"/>
      <c r="G237" s="97"/>
      <c r="H237" s="93"/>
      <c r="I237" s="19">
        <f>I238+I279</f>
        <v>41372827</v>
      </c>
      <c r="J237" s="19">
        <f>J238+J279</f>
        <v>0</v>
      </c>
      <c r="K237" s="20">
        <f>K238+K279</f>
        <v>41372827</v>
      </c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/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  <c r="DK237" s="94"/>
      <c r="DL237" s="94"/>
      <c r="DM237" s="94"/>
      <c r="DN237" s="94"/>
      <c r="DO237" s="94"/>
      <c r="DP237" s="94"/>
      <c r="DQ237" s="94"/>
      <c r="DR237" s="94"/>
      <c r="DS237" s="94"/>
      <c r="DT237" s="94"/>
      <c r="DU237" s="94"/>
      <c r="DV237" s="94"/>
      <c r="DW237" s="94"/>
      <c r="DX237" s="94"/>
      <c r="DY237" s="94"/>
      <c r="DZ237" s="94"/>
      <c r="EA237" s="94"/>
      <c r="EB237" s="94"/>
      <c r="EC237" s="94"/>
      <c r="ED237" s="94"/>
      <c r="EE237" s="94"/>
      <c r="EF237" s="94"/>
      <c r="EG237" s="94"/>
      <c r="EH237" s="94"/>
      <c r="EI237" s="94"/>
      <c r="EJ237" s="94"/>
      <c r="EK237" s="94"/>
      <c r="EL237" s="94"/>
      <c r="EM237" s="94"/>
      <c r="EN237" s="94"/>
      <c r="EO237" s="94"/>
      <c r="EP237" s="94"/>
      <c r="EQ237" s="94"/>
    </row>
    <row r="238" spans="1:147" s="95" customFormat="1" ht="24.75" customHeight="1">
      <c r="A238" s="113"/>
      <c r="B238" s="91"/>
      <c r="C238" s="91"/>
      <c r="D238" s="91"/>
      <c r="E238" s="103" t="s">
        <v>168</v>
      </c>
      <c r="F238" s="93"/>
      <c r="G238" s="114"/>
      <c r="H238" s="93"/>
      <c r="I238" s="19">
        <f>SUM(I239:I278)</f>
        <v>21509415</v>
      </c>
      <c r="J238" s="19">
        <f>SUM(J239:J278)</f>
        <v>0</v>
      </c>
      <c r="K238" s="20">
        <f>SUM(K239:K278)</f>
        <v>21509415</v>
      </c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9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  <c r="EH238" s="94"/>
      <c r="EI238" s="94"/>
      <c r="EJ238" s="94"/>
      <c r="EK238" s="94"/>
      <c r="EL238" s="94"/>
      <c r="EM238" s="94"/>
      <c r="EN238" s="94"/>
      <c r="EO238" s="94"/>
      <c r="EP238" s="94"/>
      <c r="EQ238" s="94"/>
    </row>
    <row r="239" spans="1:147" s="95" customFormat="1" ht="42" customHeight="1">
      <c r="A239" s="113"/>
      <c r="B239" s="91"/>
      <c r="C239" s="91"/>
      <c r="D239" s="91"/>
      <c r="E239" s="28" t="s">
        <v>358</v>
      </c>
      <c r="F239" s="93"/>
      <c r="G239" s="114"/>
      <c r="H239" s="93"/>
      <c r="I239" s="29">
        <f>250000-200000</f>
        <v>50000</v>
      </c>
      <c r="J239" s="29"/>
      <c r="K239" s="30">
        <f aca="true" t="shared" si="8" ref="K239:K278">J239+I239</f>
        <v>50000</v>
      </c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94"/>
      <c r="EN239" s="94"/>
      <c r="EO239" s="94"/>
      <c r="EP239" s="94"/>
      <c r="EQ239" s="94"/>
    </row>
    <row r="240" spans="1:147" s="95" customFormat="1" ht="51.75" customHeight="1">
      <c r="A240" s="90"/>
      <c r="B240" s="90"/>
      <c r="C240" s="90"/>
      <c r="D240" s="90"/>
      <c r="E240" s="96" t="s">
        <v>185</v>
      </c>
      <c r="F240" s="93">
        <v>28556946</v>
      </c>
      <c r="G240" s="115">
        <v>89.5</v>
      </c>
      <c r="H240" s="93">
        <v>25554164</v>
      </c>
      <c r="I240" s="29">
        <v>3000000</v>
      </c>
      <c r="J240" s="29"/>
      <c r="K240" s="30">
        <f t="shared" si="8"/>
        <v>3000000</v>
      </c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</row>
    <row r="241" spans="1:11" s="94" customFormat="1" ht="45.75" customHeight="1">
      <c r="A241" s="91"/>
      <c r="B241" s="91"/>
      <c r="C241" s="91"/>
      <c r="D241" s="91"/>
      <c r="E241" s="44" t="s">
        <v>186</v>
      </c>
      <c r="F241" s="93">
        <v>15275728</v>
      </c>
      <c r="G241" s="97">
        <v>79.1</v>
      </c>
      <c r="H241" s="93">
        <v>12085200</v>
      </c>
      <c r="I241" s="29">
        <v>11136000</v>
      </c>
      <c r="J241" s="29"/>
      <c r="K241" s="30">
        <f t="shared" si="8"/>
        <v>11136000</v>
      </c>
    </row>
    <row r="242" spans="1:11" s="94" customFormat="1" ht="45" customHeight="1">
      <c r="A242" s="91"/>
      <c r="B242" s="91"/>
      <c r="C242" s="91"/>
      <c r="D242" s="91"/>
      <c r="E242" s="96" t="s">
        <v>374</v>
      </c>
      <c r="F242" s="93">
        <v>151045</v>
      </c>
      <c r="G242" s="97">
        <v>100</v>
      </c>
      <c r="H242" s="93">
        <v>151045</v>
      </c>
      <c r="I242" s="29">
        <f>151400-1243</f>
        <v>150157</v>
      </c>
      <c r="J242" s="29"/>
      <c r="K242" s="30">
        <f t="shared" si="8"/>
        <v>150157</v>
      </c>
    </row>
    <row r="243" spans="1:11" s="94" customFormat="1" ht="61.5" customHeight="1">
      <c r="A243" s="91"/>
      <c r="B243" s="91"/>
      <c r="C243" s="91"/>
      <c r="D243" s="91"/>
      <c r="E243" s="96" t="s">
        <v>378</v>
      </c>
      <c r="F243" s="93">
        <v>160879</v>
      </c>
      <c r="G243" s="97">
        <v>100</v>
      </c>
      <c r="H243" s="93">
        <v>160879</v>
      </c>
      <c r="I243" s="29">
        <v>157000</v>
      </c>
      <c r="J243" s="29"/>
      <c r="K243" s="30">
        <f t="shared" si="8"/>
        <v>157000</v>
      </c>
    </row>
    <row r="244" spans="1:11" s="94" customFormat="1" ht="72" customHeight="1">
      <c r="A244" s="91"/>
      <c r="B244" s="91"/>
      <c r="C244" s="91"/>
      <c r="D244" s="91"/>
      <c r="E244" s="96" t="s">
        <v>384</v>
      </c>
      <c r="F244" s="93">
        <v>97138</v>
      </c>
      <c r="G244" s="97">
        <v>100</v>
      </c>
      <c r="H244" s="93">
        <v>97138</v>
      </c>
      <c r="I244" s="29">
        <f>100000-2862</f>
        <v>97138</v>
      </c>
      <c r="J244" s="29"/>
      <c r="K244" s="30">
        <f t="shared" si="8"/>
        <v>97138</v>
      </c>
    </row>
    <row r="245" spans="1:11" s="94" customFormat="1" ht="60.75" customHeight="1">
      <c r="A245" s="91"/>
      <c r="B245" s="91"/>
      <c r="C245" s="91"/>
      <c r="D245" s="91"/>
      <c r="E245" s="96" t="s">
        <v>401</v>
      </c>
      <c r="F245" s="93">
        <v>53632</v>
      </c>
      <c r="G245" s="97">
        <v>100</v>
      </c>
      <c r="H245" s="93">
        <v>53632</v>
      </c>
      <c r="I245" s="29">
        <v>50000</v>
      </c>
      <c r="J245" s="29"/>
      <c r="K245" s="30">
        <f t="shared" si="8"/>
        <v>50000</v>
      </c>
    </row>
    <row r="246" spans="1:11" s="94" customFormat="1" ht="61.5" customHeight="1">
      <c r="A246" s="91"/>
      <c r="B246" s="91"/>
      <c r="C246" s="91"/>
      <c r="D246" s="91"/>
      <c r="E246" s="96" t="s">
        <v>379</v>
      </c>
      <c r="F246" s="93">
        <v>99196</v>
      </c>
      <c r="G246" s="97">
        <v>100</v>
      </c>
      <c r="H246" s="93">
        <v>99196</v>
      </c>
      <c r="I246" s="29">
        <v>2400</v>
      </c>
      <c r="J246" s="29"/>
      <c r="K246" s="30">
        <f t="shared" si="8"/>
        <v>2400</v>
      </c>
    </row>
    <row r="247" spans="1:11" s="94" customFormat="1" ht="61.5" customHeight="1">
      <c r="A247" s="91"/>
      <c r="B247" s="91"/>
      <c r="C247" s="91"/>
      <c r="D247" s="91"/>
      <c r="E247" s="44" t="s">
        <v>428</v>
      </c>
      <c r="F247" s="93">
        <v>46163</v>
      </c>
      <c r="G247" s="97">
        <v>100</v>
      </c>
      <c r="H247" s="93">
        <v>46163</v>
      </c>
      <c r="I247" s="29">
        <f>48000-1837</f>
        <v>46163</v>
      </c>
      <c r="J247" s="29"/>
      <c r="K247" s="30">
        <f t="shared" si="8"/>
        <v>46163</v>
      </c>
    </row>
    <row r="248" spans="1:11" s="94" customFormat="1" ht="61.5" customHeight="1">
      <c r="A248" s="91"/>
      <c r="B248" s="91"/>
      <c r="C248" s="91"/>
      <c r="D248" s="91"/>
      <c r="E248" s="44" t="s">
        <v>419</v>
      </c>
      <c r="F248" s="93">
        <v>107178</v>
      </c>
      <c r="G248" s="97">
        <v>100</v>
      </c>
      <c r="H248" s="93">
        <v>107178</v>
      </c>
      <c r="I248" s="29">
        <v>107000</v>
      </c>
      <c r="J248" s="29"/>
      <c r="K248" s="30">
        <f t="shared" si="8"/>
        <v>107000</v>
      </c>
    </row>
    <row r="249" spans="1:11" s="94" customFormat="1" ht="64.5" customHeight="1">
      <c r="A249" s="91"/>
      <c r="B249" s="91"/>
      <c r="C249" s="91"/>
      <c r="D249" s="91"/>
      <c r="E249" s="44" t="s">
        <v>257</v>
      </c>
      <c r="F249" s="93">
        <v>96719</v>
      </c>
      <c r="G249" s="97">
        <v>100</v>
      </c>
      <c r="H249" s="93">
        <v>96719</v>
      </c>
      <c r="I249" s="29">
        <f>100000-5700-235</f>
        <v>94065</v>
      </c>
      <c r="J249" s="29"/>
      <c r="K249" s="30">
        <f t="shared" si="8"/>
        <v>94065</v>
      </c>
    </row>
    <row r="250" spans="1:11" s="94" customFormat="1" ht="63.75" customHeight="1">
      <c r="A250" s="91"/>
      <c r="B250" s="91"/>
      <c r="C250" s="91"/>
      <c r="D250" s="91"/>
      <c r="E250" s="44" t="s">
        <v>265</v>
      </c>
      <c r="F250" s="93">
        <v>297594</v>
      </c>
      <c r="G250" s="97">
        <v>100</v>
      </c>
      <c r="H250" s="93">
        <v>297594</v>
      </c>
      <c r="I250" s="29">
        <f>300000-5700-108</f>
        <v>294192</v>
      </c>
      <c r="J250" s="29"/>
      <c r="K250" s="30">
        <f t="shared" si="8"/>
        <v>294192</v>
      </c>
    </row>
    <row r="251" spans="1:11" s="94" customFormat="1" ht="62.25" customHeight="1">
      <c r="A251" s="91"/>
      <c r="B251" s="91"/>
      <c r="C251" s="91"/>
      <c r="D251" s="91"/>
      <c r="E251" s="44" t="s">
        <v>330</v>
      </c>
      <c r="F251" s="93">
        <v>71245</v>
      </c>
      <c r="G251" s="97">
        <v>100</v>
      </c>
      <c r="H251" s="93">
        <v>71245</v>
      </c>
      <c r="I251" s="29">
        <f>67450-125</f>
        <v>67325</v>
      </c>
      <c r="J251" s="29"/>
      <c r="K251" s="30">
        <f t="shared" si="8"/>
        <v>67325</v>
      </c>
    </row>
    <row r="252" spans="1:11" s="94" customFormat="1" ht="60" customHeight="1">
      <c r="A252" s="91"/>
      <c r="B252" s="91"/>
      <c r="C252" s="91"/>
      <c r="D252" s="91"/>
      <c r="E252" s="44" t="s">
        <v>329</v>
      </c>
      <c r="F252" s="93">
        <v>91410</v>
      </c>
      <c r="G252" s="97">
        <v>100</v>
      </c>
      <c r="H252" s="93">
        <v>91410</v>
      </c>
      <c r="I252" s="29">
        <v>87750</v>
      </c>
      <c r="J252" s="29"/>
      <c r="K252" s="30">
        <f t="shared" si="8"/>
        <v>87750</v>
      </c>
    </row>
    <row r="253" spans="1:11" s="94" customFormat="1" ht="60" customHeight="1">
      <c r="A253" s="91"/>
      <c r="B253" s="91"/>
      <c r="C253" s="91"/>
      <c r="D253" s="91"/>
      <c r="E253" s="44" t="s">
        <v>447</v>
      </c>
      <c r="F253" s="93"/>
      <c r="G253" s="97"/>
      <c r="H253" s="93"/>
      <c r="I253" s="29">
        <v>100000</v>
      </c>
      <c r="J253" s="29"/>
      <c r="K253" s="30">
        <f>J253+I253</f>
        <v>100000</v>
      </c>
    </row>
    <row r="254" spans="1:11" s="94" customFormat="1" ht="66" customHeight="1">
      <c r="A254" s="91"/>
      <c r="B254" s="91"/>
      <c r="C254" s="91"/>
      <c r="D254" s="91"/>
      <c r="E254" s="44" t="s">
        <v>308</v>
      </c>
      <c r="F254" s="93">
        <v>53633</v>
      </c>
      <c r="G254" s="97">
        <v>100</v>
      </c>
      <c r="H254" s="93">
        <v>53633</v>
      </c>
      <c r="I254" s="29">
        <v>50000</v>
      </c>
      <c r="J254" s="29"/>
      <c r="K254" s="30">
        <f t="shared" si="8"/>
        <v>50000</v>
      </c>
    </row>
    <row r="255" spans="1:11" s="94" customFormat="1" ht="60.75" customHeight="1">
      <c r="A255" s="91"/>
      <c r="B255" s="91"/>
      <c r="C255" s="91"/>
      <c r="D255" s="91"/>
      <c r="E255" s="44" t="s">
        <v>309</v>
      </c>
      <c r="F255" s="93">
        <v>53633</v>
      </c>
      <c r="G255" s="97">
        <v>100</v>
      </c>
      <c r="H255" s="93">
        <v>53633</v>
      </c>
      <c r="I255" s="29">
        <v>50000</v>
      </c>
      <c r="J255" s="29"/>
      <c r="K255" s="30">
        <f t="shared" si="8"/>
        <v>50000</v>
      </c>
    </row>
    <row r="256" spans="1:11" s="94" customFormat="1" ht="60.75" customHeight="1">
      <c r="A256" s="91"/>
      <c r="B256" s="91"/>
      <c r="C256" s="91"/>
      <c r="D256" s="91"/>
      <c r="E256" s="44" t="s">
        <v>437</v>
      </c>
      <c r="F256" s="93"/>
      <c r="G256" s="97"/>
      <c r="H256" s="93"/>
      <c r="I256" s="29">
        <v>50000</v>
      </c>
      <c r="J256" s="29"/>
      <c r="K256" s="30">
        <f>J256+I256</f>
        <v>50000</v>
      </c>
    </row>
    <row r="257" spans="1:11" s="94" customFormat="1" ht="40.5" customHeight="1">
      <c r="A257" s="91"/>
      <c r="B257" s="91"/>
      <c r="C257" s="91"/>
      <c r="D257" s="91"/>
      <c r="E257" s="44" t="s">
        <v>418</v>
      </c>
      <c r="F257" s="93">
        <v>53633</v>
      </c>
      <c r="G257" s="97">
        <v>100</v>
      </c>
      <c r="H257" s="93">
        <v>53633</v>
      </c>
      <c r="I257" s="29">
        <v>50000</v>
      </c>
      <c r="J257" s="29"/>
      <c r="K257" s="30">
        <f t="shared" si="8"/>
        <v>50000</v>
      </c>
    </row>
    <row r="258" spans="1:11" s="94" customFormat="1" ht="61.5" customHeight="1">
      <c r="A258" s="91"/>
      <c r="B258" s="91"/>
      <c r="C258" s="91"/>
      <c r="D258" s="91"/>
      <c r="E258" s="44" t="s">
        <v>402</v>
      </c>
      <c r="F258" s="93">
        <v>99196</v>
      </c>
      <c r="G258" s="97">
        <v>100</v>
      </c>
      <c r="H258" s="93">
        <v>99196</v>
      </c>
      <c r="I258" s="29">
        <f>100000-804</f>
        <v>99196</v>
      </c>
      <c r="J258" s="29"/>
      <c r="K258" s="30">
        <f t="shared" si="8"/>
        <v>99196</v>
      </c>
    </row>
    <row r="259" spans="1:11" s="94" customFormat="1" ht="40.5" customHeight="1">
      <c r="A259" s="91"/>
      <c r="B259" s="91"/>
      <c r="C259" s="91"/>
      <c r="D259" s="91"/>
      <c r="E259" s="44" t="s">
        <v>403</v>
      </c>
      <c r="F259" s="93">
        <v>53632</v>
      </c>
      <c r="G259" s="97">
        <v>100</v>
      </c>
      <c r="H259" s="93">
        <v>53632</v>
      </c>
      <c r="I259" s="29">
        <v>50000</v>
      </c>
      <c r="J259" s="29"/>
      <c r="K259" s="30">
        <f t="shared" si="8"/>
        <v>50000</v>
      </c>
    </row>
    <row r="260" spans="1:11" s="94" customFormat="1" ht="44.25" customHeight="1">
      <c r="A260" s="91"/>
      <c r="B260" s="91"/>
      <c r="C260" s="91"/>
      <c r="D260" s="91"/>
      <c r="E260" s="44" t="s">
        <v>365</v>
      </c>
      <c r="F260" s="93">
        <v>53633</v>
      </c>
      <c r="G260" s="97">
        <v>100</v>
      </c>
      <c r="H260" s="93">
        <v>53633</v>
      </c>
      <c r="I260" s="29">
        <v>50000</v>
      </c>
      <c r="J260" s="29"/>
      <c r="K260" s="30">
        <f t="shared" si="8"/>
        <v>50000</v>
      </c>
    </row>
    <row r="261" spans="1:11" s="94" customFormat="1" ht="44.25" customHeight="1">
      <c r="A261" s="91"/>
      <c r="B261" s="91"/>
      <c r="C261" s="91"/>
      <c r="D261" s="91"/>
      <c r="E261" s="44" t="s">
        <v>420</v>
      </c>
      <c r="F261" s="93"/>
      <c r="G261" s="97"/>
      <c r="H261" s="93"/>
      <c r="I261" s="29">
        <v>28500</v>
      </c>
      <c r="J261" s="29"/>
      <c r="K261" s="30">
        <f t="shared" si="8"/>
        <v>28500</v>
      </c>
    </row>
    <row r="262" spans="1:11" s="94" customFormat="1" ht="48.75" customHeight="1">
      <c r="A262" s="91"/>
      <c r="B262" s="91"/>
      <c r="C262" s="91"/>
      <c r="D262" s="91"/>
      <c r="E262" s="44" t="s">
        <v>364</v>
      </c>
      <c r="F262" s="93">
        <v>152410</v>
      </c>
      <c r="G262" s="97">
        <v>100</v>
      </c>
      <c r="H262" s="93">
        <v>152410</v>
      </c>
      <c r="I262" s="29">
        <v>150000</v>
      </c>
      <c r="J262" s="29"/>
      <c r="K262" s="30">
        <f t="shared" si="8"/>
        <v>150000</v>
      </c>
    </row>
    <row r="263" spans="1:11" s="94" customFormat="1" ht="62.25" customHeight="1">
      <c r="A263" s="91"/>
      <c r="B263" s="91"/>
      <c r="C263" s="91"/>
      <c r="D263" s="91"/>
      <c r="E263" s="96" t="s">
        <v>404</v>
      </c>
      <c r="F263" s="93">
        <v>53141</v>
      </c>
      <c r="G263" s="97">
        <v>100</v>
      </c>
      <c r="H263" s="93">
        <v>53141</v>
      </c>
      <c r="I263" s="29">
        <v>50000</v>
      </c>
      <c r="J263" s="29"/>
      <c r="K263" s="30">
        <f t="shared" si="8"/>
        <v>50000</v>
      </c>
    </row>
    <row r="264" spans="1:11" s="94" customFormat="1" ht="56.25" customHeight="1">
      <c r="A264" s="91"/>
      <c r="B264" s="91"/>
      <c r="C264" s="91"/>
      <c r="D264" s="91"/>
      <c r="E264" s="96" t="s">
        <v>385</v>
      </c>
      <c r="F264" s="93">
        <v>167618</v>
      </c>
      <c r="G264" s="97">
        <v>100</v>
      </c>
      <c r="H264" s="93">
        <v>167618</v>
      </c>
      <c r="I264" s="29">
        <f>175000-7382</f>
        <v>167618</v>
      </c>
      <c r="J264" s="29"/>
      <c r="K264" s="30">
        <f t="shared" si="8"/>
        <v>167618</v>
      </c>
    </row>
    <row r="265" spans="1:11" s="94" customFormat="1" ht="72.75" customHeight="1">
      <c r="A265" s="91"/>
      <c r="B265" s="91"/>
      <c r="C265" s="91"/>
      <c r="D265" s="91"/>
      <c r="E265" s="96" t="s">
        <v>363</v>
      </c>
      <c r="F265" s="93">
        <v>118534</v>
      </c>
      <c r="G265" s="97">
        <v>100</v>
      </c>
      <c r="H265" s="93">
        <v>118534</v>
      </c>
      <c r="I265" s="29">
        <f>102645-697</f>
        <v>101948</v>
      </c>
      <c r="J265" s="29"/>
      <c r="K265" s="30">
        <f t="shared" si="8"/>
        <v>101948</v>
      </c>
    </row>
    <row r="266" spans="1:11" s="94" customFormat="1" ht="40.5" customHeight="1">
      <c r="A266" s="91"/>
      <c r="B266" s="91"/>
      <c r="C266" s="91"/>
      <c r="D266" s="91"/>
      <c r="E266" s="96" t="s">
        <v>310</v>
      </c>
      <c r="F266" s="93">
        <v>72553</v>
      </c>
      <c r="G266" s="97">
        <v>100</v>
      </c>
      <c r="H266" s="93">
        <v>72553</v>
      </c>
      <c r="I266" s="29">
        <f>61400-227</f>
        <v>61173</v>
      </c>
      <c r="J266" s="29"/>
      <c r="K266" s="30">
        <f t="shared" si="8"/>
        <v>61173</v>
      </c>
    </row>
    <row r="267" spans="1:11" s="94" customFormat="1" ht="57" customHeight="1">
      <c r="A267" s="91"/>
      <c r="B267" s="91"/>
      <c r="C267" s="91"/>
      <c r="D267" s="91"/>
      <c r="E267" s="96" t="s">
        <v>311</v>
      </c>
      <c r="F267" s="93">
        <v>70604</v>
      </c>
      <c r="G267" s="97">
        <v>100</v>
      </c>
      <c r="H267" s="93">
        <v>70604</v>
      </c>
      <c r="I267" s="29">
        <f>71000-2800-85</f>
        <v>68115</v>
      </c>
      <c r="J267" s="29"/>
      <c r="K267" s="30">
        <f t="shared" si="8"/>
        <v>68115</v>
      </c>
    </row>
    <row r="268" spans="1:11" s="94" customFormat="1" ht="57" customHeight="1">
      <c r="A268" s="91"/>
      <c r="B268" s="91"/>
      <c r="C268" s="91"/>
      <c r="D268" s="91"/>
      <c r="E268" s="44" t="s">
        <v>421</v>
      </c>
      <c r="F268" s="93">
        <v>53633</v>
      </c>
      <c r="G268" s="97">
        <v>100</v>
      </c>
      <c r="H268" s="93">
        <v>53633</v>
      </c>
      <c r="I268" s="29">
        <v>50000</v>
      </c>
      <c r="J268" s="29"/>
      <c r="K268" s="30">
        <f t="shared" si="8"/>
        <v>50000</v>
      </c>
    </row>
    <row r="269" spans="1:11" s="94" customFormat="1" ht="54.75" customHeight="1">
      <c r="A269" s="91"/>
      <c r="B269" s="91"/>
      <c r="C269" s="91"/>
      <c r="D269" s="91"/>
      <c r="E269" s="96" t="s">
        <v>331</v>
      </c>
      <c r="F269" s="93">
        <v>155759</v>
      </c>
      <c r="G269" s="97">
        <v>100</v>
      </c>
      <c r="H269" s="93">
        <v>155759</v>
      </c>
      <c r="I269" s="29">
        <f>55000+100000-1600-470</f>
        <v>152930</v>
      </c>
      <c r="J269" s="29"/>
      <c r="K269" s="30">
        <f t="shared" si="8"/>
        <v>152930</v>
      </c>
    </row>
    <row r="270" spans="1:11" s="94" customFormat="1" ht="54.75" customHeight="1">
      <c r="A270" s="91"/>
      <c r="B270" s="91"/>
      <c r="C270" s="91"/>
      <c r="D270" s="91"/>
      <c r="E270" s="96" t="s">
        <v>390</v>
      </c>
      <c r="F270" s="93">
        <v>70604</v>
      </c>
      <c r="G270" s="97">
        <v>100</v>
      </c>
      <c r="H270" s="93">
        <v>70604</v>
      </c>
      <c r="I270" s="29">
        <f>75000-4396</f>
        <v>70604</v>
      </c>
      <c r="J270" s="29"/>
      <c r="K270" s="30">
        <f t="shared" si="8"/>
        <v>70604</v>
      </c>
    </row>
    <row r="271" spans="1:11" s="94" customFormat="1" ht="45.75" customHeight="1">
      <c r="A271" s="91"/>
      <c r="B271" s="91"/>
      <c r="C271" s="91"/>
      <c r="D271" s="91"/>
      <c r="E271" s="44" t="s">
        <v>249</v>
      </c>
      <c r="F271" s="93">
        <v>1651333</v>
      </c>
      <c r="G271" s="97">
        <v>100</v>
      </c>
      <c r="H271" s="93">
        <v>1651333</v>
      </c>
      <c r="I271" s="29">
        <v>998774</v>
      </c>
      <c r="J271" s="29"/>
      <c r="K271" s="30">
        <f t="shared" si="8"/>
        <v>998774</v>
      </c>
    </row>
    <row r="272" spans="1:11" s="94" customFormat="1" ht="27.75" customHeight="1">
      <c r="A272" s="91"/>
      <c r="B272" s="91"/>
      <c r="C272" s="91"/>
      <c r="D272" s="91"/>
      <c r="E272" s="44" t="s">
        <v>250</v>
      </c>
      <c r="F272" s="93">
        <v>471924</v>
      </c>
      <c r="G272" s="97">
        <v>100</v>
      </c>
      <c r="H272" s="93">
        <v>471924</v>
      </c>
      <c r="I272" s="29">
        <v>469180</v>
      </c>
      <c r="J272" s="29"/>
      <c r="K272" s="30">
        <f t="shared" si="8"/>
        <v>469180</v>
      </c>
    </row>
    <row r="273" spans="1:11" s="94" customFormat="1" ht="63.75" customHeight="1">
      <c r="A273" s="91"/>
      <c r="B273" s="91"/>
      <c r="C273" s="91"/>
      <c r="D273" s="91"/>
      <c r="E273" s="44" t="s">
        <v>251</v>
      </c>
      <c r="F273" s="93">
        <v>536948</v>
      </c>
      <c r="G273" s="97">
        <v>100</v>
      </c>
      <c r="H273" s="93">
        <v>536948</v>
      </c>
      <c r="I273" s="29">
        <v>536948</v>
      </c>
      <c r="J273" s="29"/>
      <c r="K273" s="30">
        <f t="shared" si="8"/>
        <v>536948</v>
      </c>
    </row>
    <row r="274" spans="1:11" s="94" customFormat="1" ht="41.25" customHeight="1">
      <c r="A274" s="91"/>
      <c r="B274" s="91"/>
      <c r="C274" s="91"/>
      <c r="D274" s="91"/>
      <c r="E274" s="44" t="s">
        <v>252</v>
      </c>
      <c r="F274" s="93">
        <v>282168</v>
      </c>
      <c r="G274" s="97">
        <v>100</v>
      </c>
      <c r="H274" s="93">
        <v>282168</v>
      </c>
      <c r="I274" s="29">
        <v>280160</v>
      </c>
      <c r="J274" s="29"/>
      <c r="K274" s="30">
        <f t="shared" si="8"/>
        <v>280160</v>
      </c>
    </row>
    <row r="275" spans="1:11" s="94" customFormat="1" ht="27.75" customHeight="1">
      <c r="A275" s="91"/>
      <c r="B275" s="91"/>
      <c r="C275" s="91"/>
      <c r="D275" s="91"/>
      <c r="E275" s="44" t="s">
        <v>253</v>
      </c>
      <c r="F275" s="93">
        <v>1135462</v>
      </c>
      <c r="G275" s="97">
        <v>98.2</v>
      </c>
      <c r="H275" s="93">
        <v>1115056</v>
      </c>
      <c r="I275" s="29">
        <v>1009908</v>
      </c>
      <c r="J275" s="29"/>
      <c r="K275" s="30">
        <f t="shared" si="8"/>
        <v>1009908</v>
      </c>
    </row>
    <row r="276" spans="1:11" s="94" customFormat="1" ht="36">
      <c r="A276" s="91"/>
      <c r="B276" s="91"/>
      <c r="C276" s="91"/>
      <c r="D276" s="91"/>
      <c r="E276" s="44" t="s">
        <v>254</v>
      </c>
      <c r="F276" s="93">
        <v>465082</v>
      </c>
      <c r="G276" s="97">
        <v>100</v>
      </c>
      <c r="H276" s="93">
        <v>465082</v>
      </c>
      <c r="I276" s="29">
        <v>482174</v>
      </c>
      <c r="J276" s="29"/>
      <c r="K276" s="30">
        <f t="shared" si="8"/>
        <v>482174</v>
      </c>
    </row>
    <row r="277" spans="1:11" s="94" customFormat="1" ht="39" customHeight="1">
      <c r="A277" s="91"/>
      <c r="B277" s="91"/>
      <c r="C277" s="91"/>
      <c r="D277" s="91"/>
      <c r="E277" s="44" t="s">
        <v>255</v>
      </c>
      <c r="F277" s="93">
        <v>634164</v>
      </c>
      <c r="G277" s="97">
        <v>100</v>
      </c>
      <c r="H277" s="93">
        <v>634164</v>
      </c>
      <c r="I277" s="29">
        <v>425207</v>
      </c>
      <c r="J277" s="29"/>
      <c r="K277" s="30">
        <f t="shared" si="8"/>
        <v>425207</v>
      </c>
    </row>
    <row r="278" spans="1:11" s="94" customFormat="1" ht="36">
      <c r="A278" s="91"/>
      <c r="B278" s="91"/>
      <c r="C278" s="91"/>
      <c r="D278" s="91"/>
      <c r="E278" s="44" t="s">
        <v>256</v>
      </c>
      <c r="F278" s="93">
        <v>567790</v>
      </c>
      <c r="G278" s="97">
        <v>100</v>
      </c>
      <c r="H278" s="93">
        <v>567790</v>
      </c>
      <c r="I278" s="29">
        <v>567790</v>
      </c>
      <c r="J278" s="29"/>
      <c r="K278" s="30">
        <f t="shared" si="8"/>
        <v>567790</v>
      </c>
    </row>
    <row r="279" spans="1:11" s="94" customFormat="1" ht="27" customHeight="1">
      <c r="A279" s="91"/>
      <c r="B279" s="91"/>
      <c r="C279" s="91"/>
      <c r="D279" s="91"/>
      <c r="E279" s="46" t="s">
        <v>171</v>
      </c>
      <c r="F279" s="93"/>
      <c r="G279" s="116"/>
      <c r="H279" s="93"/>
      <c r="I279" s="117">
        <f>SUM(I280:I301)</f>
        <v>19863412</v>
      </c>
      <c r="J279" s="117">
        <f>SUM(J280:J301)</f>
        <v>0</v>
      </c>
      <c r="K279" s="118">
        <f>SUM(K280:K301)</f>
        <v>19863412</v>
      </c>
    </row>
    <row r="280" spans="1:11" s="94" customFormat="1" ht="127.5" customHeight="1">
      <c r="A280" s="91"/>
      <c r="B280" s="91"/>
      <c r="C280" s="91"/>
      <c r="D280" s="91"/>
      <c r="E280" s="96" t="s">
        <v>326</v>
      </c>
      <c r="F280" s="93"/>
      <c r="G280" s="116"/>
      <c r="H280" s="93"/>
      <c r="I280" s="119">
        <v>8500</v>
      </c>
      <c r="J280" s="119"/>
      <c r="K280" s="30">
        <f aca="true" t="shared" si="9" ref="K280:K301">J280+I280</f>
        <v>8500</v>
      </c>
    </row>
    <row r="281" spans="1:11" s="94" customFormat="1" ht="77.25" customHeight="1">
      <c r="A281" s="91"/>
      <c r="B281" s="91"/>
      <c r="C281" s="91"/>
      <c r="D281" s="91"/>
      <c r="E281" s="96" t="s">
        <v>335</v>
      </c>
      <c r="F281" s="93">
        <v>295277</v>
      </c>
      <c r="G281" s="97">
        <v>96.3</v>
      </c>
      <c r="H281" s="93">
        <v>284370</v>
      </c>
      <c r="I281" s="119">
        <v>283000</v>
      </c>
      <c r="J281" s="119"/>
      <c r="K281" s="30">
        <f t="shared" si="9"/>
        <v>283000</v>
      </c>
    </row>
    <row r="282" spans="1:11" s="94" customFormat="1" ht="48" customHeight="1">
      <c r="A282" s="91"/>
      <c r="B282" s="91"/>
      <c r="C282" s="91"/>
      <c r="D282" s="91"/>
      <c r="E282" s="96" t="s">
        <v>187</v>
      </c>
      <c r="F282" s="93">
        <v>2393868</v>
      </c>
      <c r="G282" s="97">
        <v>96.7</v>
      </c>
      <c r="H282" s="93">
        <v>2315521</v>
      </c>
      <c r="I282" s="29">
        <f>100000+1000</f>
        <v>101000</v>
      </c>
      <c r="J282" s="29"/>
      <c r="K282" s="30">
        <f t="shared" si="9"/>
        <v>101000</v>
      </c>
    </row>
    <row r="283" spans="1:11" s="94" customFormat="1" ht="67.5" customHeight="1">
      <c r="A283" s="91"/>
      <c r="B283" s="91"/>
      <c r="C283" s="91"/>
      <c r="D283" s="91"/>
      <c r="E283" s="44" t="s">
        <v>260</v>
      </c>
      <c r="F283" s="93">
        <v>510218</v>
      </c>
      <c r="G283" s="97">
        <v>47.9</v>
      </c>
      <c r="H283" s="93">
        <v>244626</v>
      </c>
      <c r="I283" s="29">
        <f>240000-17400</f>
        <v>222600</v>
      </c>
      <c r="J283" s="29"/>
      <c r="K283" s="30">
        <f t="shared" si="9"/>
        <v>222600</v>
      </c>
    </row>
    <row r="284" spans="1:11" s="94" customFormat="1" ht="48" customHeight="1">
      <c r="A284" s="91"/>
      <c r="B284" s="91"/>
      <c r="C284" s="91"/>
      <c r="D284" s="91"/>
      <c r="E284" s="44" t="s">
        <v>362</v>
      </c>
      <c r="F284" s="93"/>
      <c r="G284" s="97"/>
      <c r="H284" s="93"/>
      <c r="I284" s="29">
        <f>500000+300000</f>
        <v>800000</v>
      </c>
      <c r="J284" s="29"/>
      <c r="K284" s="30">
        <f t="shared" si="9"/>
        <v>800000</v>
      </c>
    </row>
    <row r="285" spans="1:11" s="94" customFormat="1" ht="48" customHeight="1">
      <c r="A285" s="91"/>
      <c r="B285" s="91"/>
      <c r="C285" s="91"/>
      <c r="D285" s="91"/>
      <c r="E285" s="44" t="s">
        <v>360</v>
      </c>
      <c r="F285" s="93">
        <v>895663</v>
      </c>
      <c r="G285" s="97">
        <v>46</v>
      </c>
      <c r="H285" s="93">
        <v>411750</v>
      </c>
      <c r="I285" s="29">
        <f>291000-8936</f>
        <v>282064</v>
      </c>
      <c r="J285" s="29"/>
      <c r="K285" s="30">
        <f t="shared" si="9"/>
        <v>282064</v>
      </c>
    </row>
    <row r="286" spans="1:11" s="94" customFormat="1" ht="48" customHeight="1">
      <c r="A286" s="91"/>
      <c r="B286" s="91"/>
      <c r="C286" s="91"/>
      <c r="D286" s="91"/>
      <c r="E286" s="44" t="s">
        <v>361</v>
      </c>
      <c r="F286" s="93"/>
      <c r="G286" s="97"/>
      <c r="H286" s="93"/>
      <c r="I286" s="29">
        <f>400000-200000</f>
        <v>200000</v>
      </c>
      <c r="J286" s="29"/>
      <c r="K286" s="30">
        <f t="shared" si="9"/>
        <v>200000</v>
      </c>
    </row>
    <row r="287" spans="1:147" s="95" customFormat="1" ht="60" customHeight="1">
      <c r="A287" s="91"/>
      <c r="B287" s="91"/>
      <c r="C287" s="91"/>
      <c r="D287" s="91"/>
      <c r="E287" s="44" t="s">
        <v>284</v>
      </c>
      <c r="F287" s="93"/>
      <c r="G287" s="97"/>
      <c r="H287" s="93"/>
      <c r="I287" s="29">
        <f>100000-30000</f>
        <v>70000</v>
      </c>
      <c r="J287" s="29"/>
      <c r="K287" s="30">
        <f t="shared" si="9"/>
        <v>70000</v>
      </c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  <c r="CW287" s="94"/>
      <c r="CX287" s="94"/>
      <c r="CY287" s="94"/>
      <c r="CZ287" s="94"/>
      <c r="DA287" s="94"/>
      <c r="DB287" s="94"/>
      <c r="DC287" s="94"/>
      <c r="DD287" s="94"/>
      <c r="DE287" s="94"/>
      <c r="DF287" s="94"/>
      <c r="DG287" s="94"/>
      <c r="DH287" s="94"/>
      <c r="DI287" s="94"/>
      <c r="DJ287" s="94"/>
      <c r="DK287" s="94"/>
      <c r="DL287" s="94"/>
      <c r="DM287" s="94"/>
      <c r="DN287" s="94"/>
      <c r="DO287" s="94"/>
      <c r="DP287" s="94"/>
      <c r="DQ287" s="94"/>
      <c r="DR287" s="94"/>
      <c r="DS287" s="94"/>
      <c r="DT287" s="94"/>
      <c r="DU287" s="94"/>
      <c r="DV287" s="94"/>
      <c r="DW287" s="94"/>
      <c r="DX287" s="94"/>
      <c r="DY287" s="94"/>
      <c r="DZ287" s="94"/>
      <c r="EA287" s="94"/>
      <c r="EB287" s="94"/>
      <c r="EC287" s="94"/>
      <c r="ED287" s="94"/>
      <c r="EE287" s="94"/>
      <c r="EF287" s="94"/>
      <c r="EG287" s="94"/>
      <c r="EH287" s="94"/>
      <c r="EI287" s="94"/>
      <c r="EJ287" s="94"/>
      <c r="EK287" s="94"/>
      <c r="EL287" s="94"/>
      <c r="EM287" s="94"/>
      <c r="EN287" s="94"/>
      <c r="EO287" s="94"/>
      <c r="EP287" s="94"/>
      <c r="EQ287" s="94"/>
    </row>
    <row r="288" spans="1:147" s="95" customFormat="1" ht="60" customHeight="1">
      <c r="A288" s="91"/>
      <c r="B288" s="91"/>
      <c r="C288" s="91"/>
      <c r="D288" s="91"/>
      <c r="E288" s="44" t="s">
        <v>389</v>
      </c>
      <c r="F288" s="93">
        <v>297296</v>
      </c>
      <c r="G288" s="97">
        <v>100</v>
      </c>
      <c r="H288" s="93">
        <v>297296</v>
      </c>
      <c r="I288" s="29">
        <v>291000</v>
      </c>
      <c r="J288" s="29"/>
      <c r="K288" s="30">
        <f t="shared" si="9"/>
        <v>291000</v>
      </c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4"/>
      <c r="CL288" s="94"/>
      <c r="CM288" s="94"/>
      <c r="CN288" s="94"/>
      <c r="CO288" s="94"/>
      <c r="CP288" s="94"/>
      <c r="CQ288" s="94"/>
      <c r="CR288" s="94"/>
      <c r="CS288" s="94"/>
      <c r="CT288" s="94"/>
      <c r="CU288" s="94"/>
      <c r="CV288" s="94"/>
      <c r="CW288" s="94"/>
      <c r="CX288" s="94"/>
      <c r="CY288" s="94"/>
      <c r="CZ288" s="94"/>
      <c r="DA288" s="94"/>
      <c r="DB288" s="94"/>
      <c r="DC288" s="94"/>
      <c r="DD288" s="94"/>
      <c r="DE288" s="94"/>
      <c r="DF288" s="94"/>
      <c r="DG288" s="94"/>
      <c r="DH288" s="94"/>
      <c r="DI288" s="94"/>
      <c r="DJ288" s="94"/>
      <c r="DK288" s="94"/>
      <c r="DL288" s="94"/>
      <c r="DM288" s="94"/>
      <c r="DN288" s="94"/>
      <c r="DO288" s="94"/>
      <c r="DP288" s="94"/>
      <c r="DQ288" s="94"/>
      <c r="DR288" s="94"/>
      <c r="DS288" s="94"/>
      <c r="DT288" s="94"/>
      <c r="DU288" s="94"/>
      <c r="DV288" s="94"/>
      <c r="DW288" s="94"/>
      <c r="DX288" s="94"/>
      <c r="DY288" s="94"/>
      <c r="DZ288" s="94"/>
      <c r="EA288" s="94"/>
      <c r="EB288" s="94"/>
      <c r="EC288" s="94"/>
      <c r="ED288" s="94"/>
      <c r="EE288" s="94"/>
      <c r="EF288" s="94"/>
      <c r="EG288" s="94"/>
      <c r="EH288" s="94"/>
      <c r="EI288" s="94"/>
      <c r="EJ288" s="94"/>
      <c r="EK288" s="94"/>
      <c r="EL288" s="94"/>
      <c r="EM288" s="94"/>
      <c r="EN288" s="94"/>
      <c r="EO288" s="94"/>
      <c r="EP288" s="94"/>
      <c r="EQ288" s="94"/>
    </row>
    <row r="289" spans="1:11" s="94" customFormat="1" ht="72" customHeight="1">
      <c r="A289" s="91"/>
      <c r="B289" s="91"/>
      <c r="C289" s="91"/>
      <c r="D289" s="91"/>
      <c r="E289" s="96" t="s">
        <v>206</v>
      </c>
      <c r="F289" s="93">
        <v>7995986</v>
      </c>
      <c r="G289" s="97">
        <v>72.8</v>
      </c>
      <c r="H289" s="93">
        <v>5825073</v>
      </c>
      <c r="I289" s="29">
        <f>500000+2000000+227000</f>
        <v>2727000</v>
      </c>
      <c r="J289" s="29"/>
      <c r="K289" s="30">
        <f t="shared" si="9"/>
        <v>2727000</v>
      </c>
    </row>
    <row r="290" spans="1:11" s="94" customFormat="1" ht="39.75" customHeight="1">
      <c r="A290" s="91"/>
      <c r="B290" s="91"/>
      <c r="C290" s="91"/>
      <c r="D290" s="91"/>
      <c r="E290" s="44" t="s">
        <v>207</v>
      </c>
      <c r="F290" s="93">
        <v>5617491</v>
      </c>
      <c r="G290" s="97">
        <v>70.6</v>
      </c>
      <c r="H290" s="93">
        <v>3967874</v>
      </c>
      <c r="I290" s="29">
        <v>3000000</v>
      </c>
      <c r="J290" s="29"/>
      <c r="K290" s="30">
        <f t="shared" si="9"/>
        <v>3000000</v>
      </c>
    </row>
    <row r="291" spans="1:11" s="94" customFormat="1" ht="43.5" customHeight="1">
      <c r="A291" s="91"/>
      <c r="B291" s="91"/>
      <c r="C291" s="91"/>
      <c r="D291" s="91"/>
      <c r="E291" s="44" t="s">
        <v>188</v>
      </c>
      <c r="F291" s="93">
        <v>9995386</v>
      </c>
      <c r="G291" s="97">
        <v>20.8</v>
      </c>
      <c r="H291" s="93">
        <v>2081885</v>
      </c>
      <c r="I291" s="29">
        <f>500000-450000-3981</f>
        <v>46019</v>
      </c>
      <c r="J291" s="29"/>
      <c r="K291" s="30">
        <f t="shared" si="9"/>
        <v>46019</v>
      </c>
    </row>
    <row r="292" spans="1:11" s="94" customFormat="1" ht="43.5" customHeight="1">
      <c r="A292" s="91"/>
      <c r="B292" s="91"/>
      <c r="C292" s="91"/>
      <c r="D292" s="91"/>
      <c r="E292" s="44" t="s">
        <v>366</v>
      </c>
      <c r="F292" s="93"/>
      <c r="G292" s="97"/>
      <c r="H292" s="93"/>
      <c r="I292" s="29">
        <f>100000-84064</f>
        <v>15936</v>
      </c>
      <c r="J292" s="29"/>
      <c r="K292" s="30">
        <f t="shared" si="9"/>
        <v>15936</v>
      </c>
    </row>
    <row r="293" spans="1:11" s="94" customFormat="1" ht="43.5" customHeight="1">
      <c r="A293" s="91"/>
      <c r="B293" s="91"/>
      <c r="C293" s="91"/>
      <c r="D293" s="91"/>
      <c r="E293" s="44" t="s">
        <v>189</v>
      </c>
      <c r="F293" s="93">
        <v>31834622</v>
      </c>
      <c r="G293" s="97">
        <v>49.9</v>
      </c>
      <c r="H293" s="93">
        <v>15899749</v>
      </c>
      <c r="I293" s="29">
        <f>7000000-227000</f>
        <v>6773000</v>
      </c>
      <c r="J293" s="29"/>
      <c r="K293" s="30">
        <f t="shared" si="9"/>
        <v>6773000</v>
      </c>
    </row>
    <row r="294" spans="1:11" s="94" customFormat="1" ht="43.5" customHeight="1">
      <c r="A294" s="91"/>
      <c r="B294" s="91"/>
      <c r="C294" s="91"/>
      <c r="D294" s="91"/>
      <c r="E294" s="96" t="s">
        <v>190</v>
      </c>
      <c r="F294" s="93">
        <v>14670250</v>
      </c>
      <c r="G294" s="97">
        <v>48.7</v>
      </c>
      <c r="H294" s="93">
        <v>7146429</v>
      </c>
      <c r="I294" s="29">
        <f>250000-103154</f>
        <v>146846</v>
      </c>
      <c r="J294" s="29"/>
      <c r="K294" s="30">
        <f t="shared" si="9"/>
        <v>146846</v>
      </c>
    </row>
    <row r="295" spans="1:11" s="94" customFormat="1" ht="66" customHeight="1">
      <c r="A295" s="91"/>
      <c r="B295" s="91"/>
      <c r="C295" s="91"/>
      <c r="D295" s="91"/>
      <c r="E295" s="44" t="s">
        <v>341</v>
      </c>
      <c r="F295" s="93">
        <v>1581853</v>
      </c>
      <c r="G295" s="97">
        <v>46.8</v>
      </c>
      <c r="H295" s="93">
        <v>739746</v>
      </c>
      <c r="I295" s="29">
        <f>500000-80000</f>
        <v>420000</v>
      </c>
      <c r="J295" s="29"/>
      <c r="K295" s="30">
        <f t="shared" si="9"/>
        <v>420000</v>
      </c>
    </row>
    <row r="296" spans="1:11" s="94" customFormat="1" ht="78" customHeight="1">
      <c r="A296" s="91"/>
      <c r="B296" s="91"/>
      <c r="C296" s="91"/>
      <c r="D296" s="91"/>
      <c r="E296" s="44" t="s">
        <v>342</v>
      </c>
      <c r="F296" s="93">
        <v>859327</v>
      </c>
      <c r="G296" s="97">
        <v>99.2</v>
      </c>
      <c r="H296" s="93">
        <v>852592</v>
      </c>
      <c r="I296" s="29">
        <v>500000</v>
      </c>
      <c r="J296" s="29"/>
      <c r="K296" s="30">
        <f t="shared" si="9"/>
        <v>500000</v>
      </c>
    </row>
    <row r="297" spans="1:11" s="94" customFormat="1" ht="66" customHeight="1">
      <c r="A297" s="91"/>
      <c r="B297" s="91"/>
      <c r="C297" s="91"/>
      <c r="D297" s="91"/>
      <c r="E297" s="44" t="s">
        <v>191</v>
      </c>
      <c r="F297" s="93">
        <v>1527220</v>
      </c>
      <c r="G297" s="97">
        <v>100</v>
      </c>
      <c r="H297" s="93">
        <v>1527220</v>
      </c>
      <c r="I297" s="29">
        <f>1500000-200000-91204</f>
        <v>1208796</v>
      </c>
      <c r="J297" s="29"/>
      <c r="K297" s="30">
        <f t="shared" si="9"/>
        <v>1208796</v>
      </c>
    </row>
    <row r="298" spans="1:11" s="94" customFormat="1" ht="66" customHeight="1">
      <c r="A298" s="91"/>
      <c r="B298" s="91"/>
      <c r="C298" s="91"/>
      <c r="D298" s="91"/>
      <c r="E298" s="44" t="s">
        <v>445</v>
      </c>
      <c r="F298" s="93"/>
      <c r="G298" s="97"/>
      <c r="H298" s="93"/>
      <c r="I298" s="29">
        <f>100000-90000</f>
        <v>10000</v>
      </c>
      <c r="J298" s="29"/>
      <c r="K298" s="30">
        <f>J298+I298</f>
        <v>10000</v>
      </c>
    </row>
    <row r="299" spans="1:11" s="94" customFormat="1" ht="66.75" customHeight="1">
      <c r="A299" s="91"/>
      <c r="B299" s="91"/>
      <c r="C299" s="91"/>
      <c r="D299" s="91"/>
      <c r="E299" s="44" t="s">
        <v>192</v>
      </c>
      <c r="F299" s="93">
        <v>2552113</v>
      </c>
      <c r="G299" s="97">
        <v>98.8</v>
      </c>
      <c r="H299" s="93">
        <v>2521600</v>
      </c>
      <c r="I299" s="29">
        <f>200000-150000-19487</f>
        <v>30513</v>
      </c>
      <c r="J299" s="29"/>
      <c r="K299" s="30">
        <f t="shared" si="9"/>
        <v>30513</v>
      </c>
    </row>
    <row r="300" spans="1:11" s="94" customFormat="1" ht="61.5" customHeight="1">
      <c r="A300" s="91"/>
      <c r="B300" s="91"/>
      <c r="C300" s="91"/>
      <c r="D300" s="91"/>
      <c r="E300" s="44" t="s">
        <v>193</v>
      </c>
      <c r="F300" s="93">
        <v>1435545</v>
      </c>
      <c r="G300" s="97">
        <v>100</v>
      </c>
      <c r="H300" s="93">
        <v>1435545</v>
      </c>
      <c r="I300" s="29">
        <f>1500000-200000-105862</f>
        <v>1194138</v>
      </c>
      <c r="J300" s="29"/>
      <c r="K300" s="30">
        <f t="shared" si="9"/>
        <v>1194138</v>
      </c>
    </row>
    <row r="301" spans="1:147" s="95" customFormat="1" ht="69" customHeight="1">
      <c r="A301" s="91"/>
      <c r="B301" s="91"/>
      <c r="C301" s="91"/>
      <c r="D301" s="91"/>
      <c r="E301" s="44" t="s">
        <v>194</v>
      </c>
      <c r="F301" s="93">
        <v>1543577</v>
      </c>
      <c r="G301" s="97">
        <v>98.2</v>
      </c>
      <c r="H301" s="93">
        <v>1516441</v>
      </c>
      <c r="I301" s="29">
        <f>1500000+33000</f>
        <v>1533000</v>
      </c>
      <c r="J301" s="29"/>
      <c r="K301" s="30">
        <f t="shared" si="9"/>
        <v>1533000</v>
      </c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  <c r="BV301" s="94"/>
      <c r="BW301" s="94"/>
      <c r="BX301" s="94"/>
      <c r="BY301" s="94"/>
      <c r="BZ301" s="94"/>
      <c r="CA301" s="94"/>
      <c r="CB301" s="94"/>
      <c r="CC301" s="94"/>
      <c r="CD301" s="94"/>
      <c r="CE301" s="94"/>
      <c r="CF301" s="94"/>
      <c r="CG301" s="94"/>
      <c r="CH301" s="94"/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  <c r="CW301" s="94"/>
      <c r="CX301" s="94"/>
      <c r="CY301" s="94"/>
      <c r="CZ301" s="94"/>
      <c r="DA301" s="94"/>
      <c r="DB301" s="94"/>
      <c r="DC301" s="94"/>
      <c r="DD301" s="94"/>
      <c r="DE301" s="94"/>
      <c r="DF301" s="94"/>
      <c r="DG301" s="94"/>
      <c r="DH301" s="94"/>
      <c r="DI301" s="94"/>
      <c r="DJ301" s="94"/>
      <c r="DK301" s="94"/>
      <c r="DL301" s="94"/>
      <c r="DM301" s="94"/>
      <c r="DN301" s="94"/>
      <c r="DO301" s="94"/>
      <c r="DP301" s="94"/>
      <c r="DQ301" s="94"/>
      <c r="DR301" s="94"/>
      <c r="DS301" s="94"/>
      <c r="DT301" s="94"/>
      <c r="DU301" s="94"/>
      <c r="DV301" s="94"/>
      <c r="DW301" s="94"/>
      <c r="DX301" s="94"/>
      <c r="DY301" s="94"/>
      <c r="DZ301" s="94"/>
      <c r="EA301" s="94"/>
      <c r="EB301" s="94"/>
      <c r="EC301" s="94"/>
      <c r="ED301" s="94"/>
      <c r="EE301" s="94"/>
      <c r="EF301" s="94"/>
      <c r="EG301" s="94"/>
      <c r="EH301" s="94"/>
      <c r="EI301" s="94"/>
      <c r="EJ301" s="94"/>
      <c r="EK301" s="94"/>
      <c r="EL301" s="94"/>
      <c r="EM301" s="94"/>
      <c r="EN301" s="94"/>
      <c r="EO301" s="94"/>
      <c r="EP301" s="94"/>
      <c r="EQ301" s="94"/>
    </row>
    <row r="302" spans="1:147" s="95" customFormat="1" ht="64.5" customHeight="1">
      <c r="A302" s="27" t="s">
        <v>258</v>
      </c>
      <c r="B302" s="27" t="s">
        <v>80</v>
      </c>
      <c r="C302" s="27" t="s">
        <v>57</v>
      </c>
      <c r="D302" s="44" t="s">
        <v>1</v>
      </c>
      <c r="E302" s="44"/>
      <c r="F302" s="93"/>
      <c r="G302" s="97"/>
      <c r="H302" s="93"/>
      <c r="I302" s="20">
        <f>I303+I304</f>
        <v>2246315</v>
      </c>
      <c r="J302" s="19">
        <f>J303+J304</f>
        <v>0</v>
      </c>
      <c r="K302" s="20">
        <f>K303+K304</f>
        <v>2246315</v>
      </c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  <c r="CW302" s="94"/>
      <c r="CX302" s="94"/>
      <c r="CY302" s="94"/>
      <c r="CZ302" s="94"/>
      <c r="DA302" s="94"/>
      <c r="DB302" s="94"/>
      <c r="DC302" s="94"/>
      <c r="DD302" s="94"/>
      <c r="DE302" s="94"/>
      <c r="DF302" s="94"/>
      <c r="DG302" s="94"/>
      <c r="DH302" s="94"/>
      <c r="DI302" s="94"/>
      <c r="DJ302" s="94"/>
      <c r="DK302" s="94"/>
      <c r="DL302" s="94"/>
      <c r="DM302" s="94"/>
      <c r="DN302" s="94"/>
      <c r="DO302" s="94"/>
      <c r="DP302" s="94"/>
      <c r="DQ302" s="94"/>
      <c r="DR302" s="94"/>
      <c r="DS302" s="94"/>
      <c r="DT302" s="94"/>
      <c r="DU302" s="94"/>
      <c r="DV302" s="94"/>
      <c r="DW302" s="94"/>
      <c r="DX302" s="94"/>
      <c r="DY302" s="94"/>
      <c r="DZ302" s="94"/>
      <c r="EA302" s="94"/>
      <c r="EB302" s="94"/>
      <c r="EC302" s="94"/>
      <c r="ED302" s="94"/>
      <c r="EE302" s="94"/>
      <c r="EF302" s="94"/>
      <c r="EG302" s="94"/>
      <c r="EH302" s="94"/>
      <c r="EI302" s="94"/>
      <c r="EJ302" s="94"/>
      <c r="EK302" s="94"/>
      <c r="EL302" s="94"/>
      <c r="EM302" s="94"/>
      <c r="EN302" s="94"/>
      <c r="EO302" s="94"/>
      <c r="EP302" s="94"/>
      <c r="EQ302" s="94"/>
    </row>
    <row r="303" spans="1:147" s="95" customFormat="1" ht="51.75" customHeight="1">
      <c r="A303" s="27"/>
      <c r="B303" s="27"/>
      <c r="C303" s="27"/>
      <c r="D303" s="44"/>
      <c r="E303" s="44" t="s">
        <v>398</v>
      </c>
      <c r="F303" s="93">
        <v>1801547</v>
      </c>
      <c r="G303" s="97">
        <v>99.6</v>
      </c>
      <c r="H303" s="93">
        <v>1795015</v>
      </c>
      <c r="I303" s="29">
        <f>500000+1200000+57200</f>
        <v>1757200</v>
      </c>
      <c r="J303" s="29"/>
      <c r="K303" s="30">
        <f>J303+I303</f>
        <v>1757200</v>
      </c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94"/>
      <c r="CF303" s="94"/>
      <c r="CG303" s="94"/>
      <c r="CH303" s="94"/>
      <c r="CI303" s="94"/>
      <c r="CJ303" s="94"/>
      <c r="CK303" s="94"/>
      <c r="CL303" s="94"/>
      <c r="CM303" s="94"/>
      <c r="CN303" s="94"/>
      <c r="CO303" s="94"/>
      <c r="CP303" s="94"/>
      <c r="CQ303" s="94"/>
      <c r="CR303" s="94"/>
      <c r="CS303" s="94"/>
      <c r="CT303" s="94"/>
      <c r="CU303" s="94"/>
      <c r="CV303" s="94"/>
      <c r="CW303" s="94"/>
      <c r="CX303" s="94"/>
      <c r="CY303" s="94"/>
      <c r="CZ303" s="94"/>
      <c r="DA303" s="94"/>
      <c r="DB303" s="94"/>
      <c r="DC303" s="94"/>
      <c r="DD303" s="94"/>
      <c r="DE303" s="94"/>
      <c r="DF303" s="94"/>
      <c r="DG303" s="94"/>
      <c r="DH303" s="94"/>
      <c r="DI303" s="94"/>
      <c r="DJ303" s="94"/>
      <c r="DK303" s="94"/>
      <c r="DL303" s="94"/>
      <c r="DM303" s="94"/>
      <c r="DN303" s="94"/>
      <c r="DO303" s="94"/>
      <c r="DP303" s="94"/>
      <c r="DQ303" s="94"/>
      <c r="DR303" s="94"/>
      <c r="DS303" s="94"/>
      <c r="DT303" s="94"/>
      <c r="DU303" s="94"/>
      <c r="DV303" s="94"/>
      <c r="DW303" s="94"/>
      <c r="DX303" s="94"/>
      <c r="DY303" s="94"/>
      <c r="DZ303" s="94"/>
      <c r="EA303" s="94"/>
      <c r="EB303" s="94"/>
      <c r="EC303" s="94"/>
      <c r="ED303" s="94"/>
      <c r="EE303" s="94"/>
      <c r="EF303" s="94"/>
      <c r="EG303" s="94"/>
      <c r="EH303" s="94"/>
      <c r="EI303" s="94"/>
      <c r="EJ303" s="94"/>
      <c r="EK303" s="94"/>
      <c r="EL303" s="94"/>
      <c r="EM303" s="94"/>
      <c r="EN303" s="94"/>
      <c r="EO303" s="94"/>
      <c r="EP303" s="94"/>
      <c r="EQ303" s="94"/>
    </row>
    <row r="304" spans="1:147" s="95" customFormat="1" ht="54.75" customHeight="1">
      <c r="A304" s="27"/>
      <c r="B304" s="27"/>
      <c r="C304" s="27"/>
      <c r="D304" s="44"/>
      <c r="E304" s="44" t="s">
        <v>267</v>
      </c>
      <c r="F304" s="93">
        <v>1579560</v>
      </c>
      <c r="G304" s="97">
        <v>38.3</v>
      </c>
      <c r="H304" s="93">
        <v>605818</v>
      </c>
      <c r="I304" s="29">
        <f>500000-10885</f>
        <v>489115</v>
      </c>
      <c r="J304" s="29"/>
      <c r="K304" s="30">
        <f>J304+I304</f>
        <v>489115</v>
      </c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4"/>
      <c r="CY304" s="94"/>
      <c r="CZ304" s="94"/>
      <c r="DA304" s="94"/>
      <c r="DB304" s="94"/>
      <c r="DC304" s="94"/>
      <c r="DD304" s="94"/>
      <c r="DE304" s="94"/>
      <c r="DF304" s="94"/>
      <c r="DG304" s="94"/>
      <c r="DH304" s="94"/>
      <c r="DI304" s="94"/>
      <c r="DJ304" s="94"/>
      <c r="DK304" s="94"/>
      <c r="DL304" s="94"/>
      <c r="DM304" s="94"/>
      <c r="DN304" s="94"/>
      <c r="DO304" s="94"/>
      <c r="DP304" s="94"/>
      <c r="DQ304" s="94"/>
      <c r="DR304" s="94"/>
      <c r="DS304" s="94"/>
      <c r="DT304" s="94"/>
      <c r="DU304" s="94"/>
      <c r="DV304" s="94"/>
      <c r="DW304" s="94"/>
      <c r="DX304" s="94"/>
      <c r="DY304" s="94"/>
      <c r="DZ304" s="94"/>
      <c r="EA304" s="94"/>
      <c r="EB304" s="94"/>
      <c r="EC304" s="94"/>
      <c r="ED304" s="94"/>
      <c r="EE304" s="94"/>
      <c r="EF304" s="94"/>
      <c r="EG304" s="94"/>
      <c r="EH304" s="94"/>
      <c r="EI304" s="94"/>
      <c r="EJ304" s="94"/>
      <c r="EK304" s="94"/>
      <c r="EL304" s="94"/>
      <c r="EM304" s="94"/>
      <c r="EN304" s="94"/>
      <c r="EO304" s="94"/>
      <c r="EP304" s="94"/>
      <c r="EQ304" s="94"/>
    </row>
    <row r="305" spans="1:11" s="31" customFormat="1" ht="30.75" customHeight="1">
      <c r="A305" s="27" t="s">
        <v>292</v>
      </c>
      <c r="B305" s="27" t="s">
        <v>288</v>
      </c>
      <c r="C305" s="27"/>
      <c r="D305" s="28" t="s">
        <v>289</v>
      </c>
      <c r="E305" s="28"/>
      <c r="F305" s="93"/>
      <c r="G305" s="28"/>
      <c r="H305" s="93"/>
      <c r="I305" s="51">
        <f>SUM(I310)+I306</f>
        <v>1620138</v>
      </c>
      <c r="J305" s="51">
        <f>SUM(J310)+J306</f>
        <v>13000</v>
      </c>
      <c r="K305" s="52">
        <f>SUM(K310)+K306</f>
        <v>1633138</v>
      </c>
    </row>
    <row r="306" spans="1:11" s="40" customFormat="1" ht="93" customHeight="1">
      <c r="A306" s="32" t="s">
        <v>438</v>
      </c>
      <c r="B306" s="32" t="s">
        <v>299</v>
      </c>
      <c r="C306" s="32" t="s">
        <v>52</v>
      </c>
      <c r="D306" s="33" t="s">
        <v>300</v>
      </c>
      <c r="E306" s="33"/>
      <c r="F306" s="93"/>
      <c r="G306" s="33"/>
      <c r="H306" s="93"/>
      <c r="I306" s="54">
        <f>I307+I308+I309</f>
        <v>504600</v>
      </c>
      <c r="J306" s="54">
        <f>J307+J308+J309</f>
        <v>0</v>
      </c>
      <c r="K306" s="55">
        <f>K307+K308+K309</f>
        <v>504600</v>
      </c>
    </row>
    <row r="307" spans="1:11" s="31" customFormat="1" ht="72" customHeight="1">
      <c r="A307" s="27"/>
      <c r="B307" s="27"/>
      <c r="C307" s="27"/>
      <c r="D307" s="28"/>
      <c r="E307" s="28" t="s">
        <v>439</v>
      </c>
      <c r="F307" s="93">
        <v>1405464</v>
      </c>
      <c r="G307" s="97">
        <v>100</v>
      </c>
      <c r="H307" s="93">
        <v>1405464</v>
      </c>
      <c r="I307" s="51">
        <v>169890</v>
      </c>
      <c r="J307" s="120"/>
      <c r="K307" s="121">
        <f>J307+I307</f>
        <v>169890</v>
      </c>
    </row>
    <row r="308" spans="1:11" s="31" customFormat="1" ht="62.25" customHeight="1">
      <c r="A308" s="27"/>
      <c r="B308" s="27"/>
      <c r="C308" s="27"/>
      <c r="D308" s="28"/>
      <c r="E308" s="28" t="s">
        <v>440</v>
      </c>
      <c r="F308" s="93">
        <v>1567405</v>
      </c>
      <c r="G308" s="97">
        <v>100</v>
      </c>
      <c r="H308" s="93">
        <v>1567405</v>
      </c>
      <c r="I308" s="51">
        <v>162526</v>
      </c>
      <c r="J308" s="120"/>
      <c r="K308" s="121">
        <f>J308+I308</f>
        <v>162526</v>
      </c>
    </row>
    <row r="309" spans="1:11" s="31" customFormat="1" ht="60.75" customHeight="1">
      <c r="A309" s="27"/>
      <c r="B309" s="27"/>
      <c r="C309" s="27"/>
      <c r="D309" s="28"/>
      <c r="E309" s="28" t="s">
        <v>441</v>
      </c>
      <c r="F309" s="93">
        <v>1572186</v>
      </c>
      <c r="G309" s="97">
        <v>100</v>
      </c>
      <c r="H309" s="93">
        <v>1572186</v>
      </c>
      <c r="I309" s="51">
        <v>172184</v>
      </c>
      <c r="J309" s="120"/>
      <c r="K309" s="121">
        <f>J309+I309</f>
        <v>172184</v>
      </c>
    </row>
    <row r="310" spans="1:11" s="40" customFormat="1" ht="78.75" customHeight="1">
      <c r="A310" s="32" t="s">
        <v>293</v>
      </c>
      <c r="B310" s="32" t="s">
        <v>296</v>
      </c>
      <c r="C310" s="32" t="s">
        <v>52</v>
      </c>
      <c r="D310" s="33" t="s">
        <v>286</v>
      </c>
      <c r="E310" s="33"/>
      <c r="F310" s="93"/>
      <c r="G310" s="33"/>
      <c r="H310" s="93"/>
      <c r="I310" s="54">
        <f aca="true" t="shared" si="10" ref="I310:K311">I316+I318+I314+I312</f>
        <v>1115538</v>
      </c>
      <c r="J310" s="54">
        <f t="shared" si="10"/>
        <v>13000</v>
      </c>
      <c r="K310" s="54">
        <f t="shared" si="10"/>
        <v>1128538</v>
      </c>
    </row>
    <row r="311" spans="1:11" s="40" customFormat="1" ht="18">
      <c r="A311" s="32"/>
      <c r="B311" s="32"/>
      <c r="C311" s="32"/>
      <c r="D311" s="33" t="s">
        <v>436</v>
      </c>
      <c r="E311" s="33"/>
      <c r="F311" s="93"/>
      <c r="G311" s="33"/>
      <c r="H311" s="93"/>
      <c r="I311" s="35">
        <f t="shared" si="10"/>
        <v>800091</v>
      </c>
      <c r="J311" s="35">
        <f t="shared" si="10"/>
        <v>13000</v>
      </c>
      <c r="K311" s="35">
        <f t="shared" si="10"/>
        <v>813091</v>
      </c>
    </row>
    <row r="312" spans="1:11" s="148" customFormat="1" ht="18">
      <c r="A312" s="145"/>
      <c r="B312" s="145"/>
      <c r="C312" s="145"/>
      <c r="D312" s="146"/>
      <c r="E312" s="155" t="s">
        <v>411</v>
      </c>
      <c r="F312" s="154"/>
      <c r="G312" s="146"/>
      <c r="H312" s="154"/>
      <c r="I312" s="144"/>
      <c r="J312" s="144">
        <v>13000</v>
      </c>
      <c r="K312" s="144">
        <f>J312+I312</f>
        <v>13000</v>
      </c>
    </row>
    <row r="313" spans="1:11" s="148" customFormat="1" ht="18">
      <c r="A313" s="145"/>
      <c r="B313" s="145"/>
      <c r="C313" s="145"/>
      <c r="D313" s="156" t="s">
        <v>436</v>
      </c>
      <c r="E313" s="146"/>
      <c r="F313" s="154"/>
      <c r="G313" s="146"/>
      <c r="H313" s="154"/>
      <c r="I313" s="144"/>
      <c r="J313" s="153">
        <v>13000</v>
      </c>
      <c r="K313" s="153">
        <f>J313+I313</f>
        <v>13000</v>
      </c>
    </row>
    <row r="314" spans="1:11" s="40" customFormat="1" ht="58.5" customHeight="1">
      <c r="A314" s="32"/>
      <c r="B314" s="32"/>
      <c r="C314" s="32"/>
      <c r="D314" s="33"/>
      <c r="E314" s="28" t="s">
        <v>463</v>
      </c>
      <c r="F314" s="93"/>
      <c r="G314" s="33"/>
      <c r="H314" s="93"/>
      <c r="I314" s="29">
        <v>517000</v>
      </c>
      <c r="J314" s="29"/>
      <c r="K314" s="30">
        <f aca="true" t="shared" si="11" ref="K314:K319">J314+I314</f>
        <v>517000</v>
      </c>
    </row>
    <row r="315" spans="1:11" s="40" customFormat="1" ht="18">
      <c r="A315" s="32"/>
      <c r="B315" s="32"/>
      <c r="C315" s="32"/>
      <c r="D315" s="80" t="s">
        <v>436</v>
      </c>
      <c r="E315" s="33"/>
      <c r="F315" s="93"/>
      <c r="G315" s="33"/>
      <c r="H315" s="93"/>
      <c r="I315" s="81">
        <v>500000</v>
      </c>
      <c r="J315" s="81"/>
      <c r="K315" s="82">
        <f t="shared" si="11"/>
        <v>500000</v>
      </c>
    </row>
    <row r="316" spans="1:11" s="31" customFormat="1" ht="78.75" customHeight="1">
      <c r="A316" s="27"/>
      <c r="B316" s="27"/>
      <c r="C316" s="27"/>
      <c r="D316" s="28"/>
      <c r="E316" s="28" t="s">
        <v>415</v>
      </c>
      <c r="F316" s="93"/>
      <c r="G316" s="28"/>
      <c r="H316" s="93"/>
      <c r="I316" s="51">
        <f>289447+91</f>
        <v>289538</v>
      </c>
      <c r="J316" s="120"/>
      <c r="K316" s="121">
        <f t="shared" si="11"/>
        <v>289538</v>
      </c>
    </row>
    <row r="317" spans="1:11" s="83" customFormat="1" ht="15" customHeight="1">
      <c r="A317" s="79"/>
      <c r="B317" s="79"/>
      <c r="C317" s="79"/>
      <c r="D317" s="80" t="s">
        <v>436</v>
      </c>
      <c r="E317" s="80"/>
      <c r="F317" s="93"/>
      <c r="G317" s="80"/>
      <c r="H317" s="93"/>
      <c r="I317" s="81">
        <v>91</v>
      </c>
      <c r="J317" s="81"/>
      <c r="K317" s="82">
        <f t="shared" si="11"/>
        <v>91</v>
      </c>
    </row>
    <row r="318" spans="1:11" s="31" customFormat="1" ht="78.75" customHeight="1">
      <c r="A318" s="27"/>
      <c r="B318" s="27"/>
      <c r="C318" s="27"/>
      <c r="D318" s="28"/>
      <c r="E318" s="28" t="s">
        <v>416</v>
      </c>
      <c r="F318" s="93"/>
      <c r="G318" s="28"/>
      <c r="H318" s="93"/>
      <c r="I318" s="51">
        <v>309000</v>
      </c>
      <c r="J318" s="120"/>
      <c r="K318" s="121">
        <f t="shared" si="11"/>
        <v>309000</v>
      </c>
    </row>
    <row r="319" spans="1:11" s="83" customFormat="1" ht="17.25" customHeight="1">
      <c r="A319" s="79"/>
      <c r="B319" s="79"/>
      <c r="C319" s="79"/>
      <c r="D319" s="80" t="s">
        <v>436</v>
      </c>
      <c r="E319" s="80"/>
      <c r="F319" s="93"/>
      <c r="G319" s="80"/>
      <c r="H319" s="93"/>
      <c r="I319" s="81">
        <v>300000</v>
      </c>
      <c r="J319" s="81"/>
      <c r="K319" s="82">
        <f t="shared" si="11"/>
        <v>300000</v>
      </c>
    </row>
    <row r="320" spans="1:11" s="31" customFormat="1" ht="42" customHeight="1">
      <c r="A320" s="27" t="s">
        <v>86</v>
      </c>
      <c r="B320" s="27" t="s">
        <v>2</v>
      </c>
      <c r="C320" s="27" t="s">
        <v>53</v>
      </c>
      <c r="D320" s="28" t="s">
        <v>22</v>
      </c>
      <c r="E320" s="28"/>
      <c r="F320" s="93"/>
      <c r="G320" s="28"/>
      <c r="H320" s="93"/>
      <c r="I320" s="19">
        <f>I321+I322+I323+I324+I325+I326+I327</f>
        <v>17878301</v>
      </c>
      <c r="J320" s="19">
        <f>J321+J322+J323+J324+J325+J326+J327</f>
        <v>0</v>
      </c>
      <c r="K320" s="20">
        <f>K321+K322+K323+K324+K325+K326+K327</f>
        <v>17878301</v>
      </c>
    </row>
    <row r="321" spans="1:11" s="31" customFormat="1" ht="48" customHeight="1">
      <c r="A321" s="27"/>
      <c r="B321" s="27"/>
      <c r="C321" s="27"/>
      <c r="D321" s="28"/>
      <c r="E321" s="28" t="s">
        <v>453</v>
      </c>
      <c r="F321" s="93">
        <v>9999558</v>
      </c>
      <c r="G321" s="104">
        <v>85</v>
      </c>
      <c r="H321" s="93">
        <v>8499624</v>
      </c>
      <c r="I321" s="51">
        <v>1702000</v>
      </c>
      <c r="J321" s="51"/>
      <c r="K321" s="52">
        <f>I321+J321</f>
        <v>1702000</v>
      </c>
    </row>
    <row r="322" spans="1:11" s="31" customFormat="1" ht="48.75" customHeight="1">
      <c r="A322" s="27"/>
      <c r="B322" s="27"/>
      <c r="C322" s="27"/>
      <c r="D322" s="28"/>
      <c r="E322" s="28" t="s">
        <v>448</v>
      </c>
      <c r="F322" s="93">
        <v>16378459</v>
      </c>
      <c r="G322" s="104">
        <v>100</v>
      </c>
      <c r="H322" s="93">
        <v>16378459</v>
      </c>
      <c r="I322" s="51">
        <f>6500000-16991</f>
        <v>6483009</v>
      </c>
      <c r="J322" s="51"/>
      <c r="K322" s="52">
        <f aca="true" t="shared" si="12" ref="K322:K327">I322+J322</f>
        <v>6483009</v>
      </c>
    </row>
    <row r="323" spans="1:11" s="31" customFormat="1" ht="42.75" customHeight="1">
      <c r="A323" s="27"/>
      <c r="B323" s="27"/>
      <c r="C323" s="27"/>
      <c r="D323" s="28"/>
      <c r="E323" s="28" t="s">
        <v>449</v>
      </c>
      <c r="F323" s="93">
        <v>6817326</v>
      </c>
      <c r="G323" s="104">
        <v>100</v>
      </c>
      <c r="H323" s="93">
        <v>6817326</v>
      </c>
      <c r="I323" s="51">
        <f>2045000-10863</f>
        <v>2034137</v>
      </c>
      <c r="J323" s="51"/>
      <c r="K323" s="52">
        <f t="shared" si="12"/>
        <v>2034137</v>
      </c>
    </row>
    <row r="324" spans="1:11" s="31" customFormat="1" ht="39" customHeight="1">
      <c r="A324" s="27"/>
      <c r="B324" s="27"/>
      <c r="C324" s="27"/>
      <c r="D324" s="28"/>
      <c r="E324" s="28" t="s">
        <v>450</v>
      </c>
      <c r="F324" s="93"/>
      <c r="G324" s="51"/>
      <c r="H324" s="93"/>
      <c r="I324" s="51">
        <v>65000</v>
      </c>
      <c r="J324" s="51"/>
      <c r="K324" s="52">
        <f t="shared" si="12"/>
        <v>65000</v>
      </c>
    </row>
    <row r="325" spans="1:11" s="31" customFormat="1" ht="38.25" customHeight="1">
      <c r="A325" s="27"/>
      <c r="B325" s="27"/>
      <c r="C325" s="27"/>
      <c r="D325" s="28"/>
      <c r="E325" s="28" t="s">
        <v>451</v>
      </c>
      <c r="F325" s="93"/>
      <c r="G325" s="51"/>
      <c r="H325" s="93"/>
      <c r="I325" s="51">
        <f>318400-278400</f>
        <v>40000</v>
      </c>
      <c r="J325" s="51"/>
      <c r="K325" s="52">
        <f t="shared" si="12"/>
        <v>40000</v>
      </c>
    </row>
    <row r="326" spans="1:11" s="31" customFormat="1" ht="38.25" customHeight="1">
      <c r="A326" s="27"/>
      <c r="B326" s="27"/>
      <c r="C326" s="27"/>
      <c r="D326" s="28"/>
      <c r="E326" s="28" t="s">
        <v>452</v>
      </c>
      <c r="F326" s="93"/>
      <c r="G326" s="51"/>
      <c r="H326" s="93"/>
      <c r="I326" s="51">
        <f>145755-90755</f>
        <v>55000</v>
      </c>
      <c r="J326" s="51"/>
      <c r="K326" s="52">
        <f t="shared" si="12"/>
        <v>55000</v>
      </c>
    </row>
    <row r="327" spans="1:11" s="31" customFormat="1" ht="48.75" customHeight="1">
      <c r="A327" s="27"/>
      <c r="B327" s="27"/>
      <c r="C327" s="27"/>
      <c r="D327" s="28"/>
      <c r="E327" s="28" t="s">
        <v>454</v>
      </c>
      <c r="F327" s="51"/>
      <c r="G327" s="51"/>
      <c r="H327" s="93"/>
      <c r="I327" s="51">
        <f>7130000+369155</f>
        <v>7499155</v>
      </c>
      <c r="J327" s="51"/>
      <c r="K327" s="52">
        <f t="shared" si="12"/>
        <v>7499155</v>
      </c>
    </row>
    <row r="328" spans="1:11" s="26" customFormat="1" ht="72" customHeight="1">
      <c r="A328" s="17" t="s">
        <v>131</v>
      </c>
      <c r="B328" s="84"/>
      <c r="C328" s="84"/>
      <c r="D328" s="46" t="s">
        <v>29</v>
      </c>
      <c r="E328" s="46"/>
      <c r="F328" s="46"/>
      <c r="G328" s="46"/>
      <c r="H328" s="93"/>
      <c r="I328" s="19">
        <f aca="true" t="shared" si="13" ref="I328:K329">I329</f>
        <v>35340</v>
      </c>
      <c r="J328" s="19">
        <f t="shared" si="13"/>
        <v>0</v>
      </c>
      <c r="K328" s="20">
        <f t="shared" si="13"/>
        <v>35340</v>
      </c>
    </row>
    <row r="329" spans="1:11" s="26" customFormat="1" ht="75.75" customHeight="1">
      <c r="A329" s="22" t="s">
        <v>129</v>
      </c>
      <c r="B329" s="71"/>
      <c r="C329" s="71"/>
      <c r="D329" s="48" t="s">
        <v>29</v>
      </c>
      <c r="E329" s="48"/>
      <c r="F329" s="48"/>
      <c r="G329" s="48"/>
      <c r="H329" s="93"/>
      <c r="I329" s="24">
        <f t="shared" si="13"/>
        <v>35340</v>
      </c>
      <c r="J329" s="24">
        <f t="shared" si="13"/>
        <v>0</v>
      </c>
      <c r="K329" s="25">
        <f t="shared" si="13"/>
        <v>35340</v>
      </c>
    </row>
    <row r="330" spans="1:11" s="40" customFormat="1" ht="76.5" customHeight="1">
      <c r="A330" s="27" t="s">
        <v>130</v>
      </c>
      <c r="B330" s="27" t="s">
        <v>66</v>
      </c>
      <c r="C330" s="27" t="s">
        <v>31</v>
      </c>
      <c r="D330" s="28" t="s">
        <v>67</v>
      </c>
      <c r="E330" s="28"/>
      <c r="F330" s="28"/>
      <c r="G330" s="28"/>
      <c r="H330" s="93"/>
      <c r="I330" s="29">
        <f>40000-4660</f>
        <v>35340</v>
      </c>
      <c r="J330" s="29"/>
      <c r="K330" s="30">
        <f>J330+I330</f>
        <v>35340</v>
      </c>
    </row>
    <row r="331" spans="1:11" s="21" customFormat="1" ht="48" customHeight="1">
      <c r="A331" s="17" t="s">
        <v>132</v>
      </c>
      <c r="B331" s="17"/>
      <c r="C331" s="17"/>
      <c r="D331" s="46" t="s">
        <v>27</v>
      </c>
      <c r="E331" s="46"/>
      <c r="F331" s="46"/>
      <c r="G331" s="46"/>
      <c r="H331" s="93"/>
      <c r="I331" s="19">
        <f>I332</f>
        <v>5273500</v>
      </c>
      <c r="J331" s="19">
        <f>J332</f>
        <v>0</v>
      </c>
      <c r="K331" s="20">
        <f>K332</f>
        <v>5273500</v>
      </c>
    </row>
    <row r="332" spans="1:11" s="26" customFormat="1" ht="48.75" customHeight="1">
      <c r="A332" s="22" t="s">
        <v>133</v>
      </c>
      <c r="B332" s="22"/>
      <c r="C332" s="22"/>
      <c r="D332" s="48" t="s">
        <v>27</v>
      </c>
      <c r="E332" s="48"/>
      <c r="F332" s="48"/>
      <c r="G332" s="48"/>
      <c r="H332" s="93"/>
      <c r="I332" s="24">
        <f>I333+I335+I336+I337+I334</f>
        <v>5273500</v>
      </c>
      <c r="J332" s="24">
        <f>J333+J335+J336+J337+J334</f>
        <v>0</v>
      </c>
      <c r="K332" s="24">
        <f>K333+K335+K336+K337+K334</f>
        <v>5273500</v>
      </c>
    </row>
    <row r="333" spans="1:11" s="21" customFormat="1" ht="81" customHeight="1">
      <c r="A333" s="27" t="s">
        <v>134</v>
      </c>
      <c r="B333" s="27" t="s">
        <v>66</v>
      </c>
      <c r="C333" s="27" t="s">
        <v>31</v>
      </c>
      <c r="D333" s="28" t="s">
        <v>67</v>
      </c>
      <c r="E333" s="28"/>
      <c r="F333" s="28"/>
      <c r="G333" s="28"/>
      <c r="H333" s="93"/>
      <c r="I333" s="29">
        <f>150000-130500</f>
        <v>19500</v>
      </c>
      <c r="J333" s="29"/>
      <c r="K333" s="30">
        <f>J333+I333</f>
        <v>19500</v>
      </c>
    </row>
    <row r="334" spans="1:11" s="21" customFormat="1" ht="54" customHeight="1">
      <c r="A334" s="27" t="s">
        <v>457</v>
      </c>
      <c r="B334" s="27" t="s">
        <v>458</v>
      </c>
      <c r="C334" s="27" t="s">
        <v>52</v>
      </c>
      <c r="D334" s="28" t="s">
        <v>459</v>
      </c>
      <c r="E334" s="28"/>
      <c r="F334" s="28"/>
      <c r="G334" s="28"/>
      <c r="H334" s="93"/>
      <c r="I334" s="29">
        <v>5000000</v>
      </c>
      <c r="J334" s="29"/>
      <c r="K334" s="30">
        <f>J334+I334</f>
        <v>5000000</v>
      </c>
    </row>
    <row r="335" spans="1:11" s="31" customFormat="1" ht="54" customHeight="1">
      <c r="A335" s="41" t="s">
        <v>148</v>
      </c>
      <c r="B335" s="41" t="s">
        <v>149</v>
      </c>
      <c r="C335" s="41" t="s">
        <v>52</v>
      </c>
      <c r="D335" s="28" t="s">
        <v>152</v>
      </c>
      <c r="E335" s="28"/>
      <c r="F335" s="28"/>
      <c r="G335" s="28"/>
      <c r="H335" s="93"/>
      <c r="I335" s="29">
        <f>25000+25000</f>
        <v>50000</v>
      </c>
      <c r="J335" s="29"/>
      <c r="K335" s="30">
        <f>J335+I335</f>
        <v>50000</v>
      </c>
    </row>
    <row r="336" spans="1:11" s="31" customFormat="1" ht="98.25" customHeight="1">
      <c r="A336" s="41" t="s">
        <v>150</v>
      </c>
      <c r="B336" s="41" t="s">
        <v>151</v>
      </c>
      <c r="C336" s="41" t="s">
        <v>52</v>
      </c>
      <c r="D336" s="28" t="s">
        <v>153</v>
      </c>
      <c r="E336" s="28"/>
      <c r="F336" s="28"/>
      <c r="G336" s="28"/>
      <c r="H336" s="93"/>
      <c r="I336" s="29">
        <v>25000</v>
      </c>
      <c r="J336" s="29"/>
      <c r="K336" s="30">
        <f>J336+I336</f>
        <v>25000</v>
      </c>
    </row>
    <row r="337" spans="1:11" s="31" customFormat="1" ht="87.75" customHeight="1">
      <c r="A337" s="41" t="s">
        <v>282</v>
      </c>
      <c r="B337" s="41" t="s">
        <v>283</v>
      </c>
      <c r="C337" s="41" t="s">
        <v>30</v>
      </c>
      <c r="D337" s="43" t="s">
        <v>294</v>
      </c>
      <c r="E337" s="28"/>
      <c r="F337" s="28"/>
      <c r="G337" s="28"/>
      <c r="H337" s="93"/>
      <c r="I337" s="29">
        <v>179000</v>
      </c>
      <c r="J337" s="29"/>
      <c r="K337" s="30">
        <f>J337+I337</f>
        <v>179000</v>
      </c>
    </row>
    <row r="338" spans="1:11" s="21" customFormat="1" ht="51" customHeight="1">
      <c r="A338" s="17" t="s">
        <v>135</v>
      </c>
      <c r="B338" s="17"/>
      <c r="C338" s="17"/>
      <c r="D338" s="46" t="s">
        <v>28</v>
      </c>
      <c r="E338" s="46"/>
      <c r="F338" s="46"/>
      <c r="G338" s="46"/>
      <c r="H338" s="46"/>
      <c r="I338" s="19">
        <f>I339</f>
        <v>607748</v>
      </c>
      <c r="J338" s="19">
        <f>J339</f>
        <v>61000</v>
      </c>
      <c r="K338" s="20">
        <f>K339</f>
        <v>668748</v>
      </c>
    </row>
    <row r="339" spans="1:11" s="26" customFormat="1" ht="42" customHeight="1">
      <c r="A339" s="22" t="s">
        <v>136</v>
      </c>
      <c r="B339" s="22"/>
      <c r="C339" s="22"/>
      <c r="D339" s="48" t="s">
        <v>28</v>
      </c>
      <c r="E339" s="48"/>
      <c r="F339" s="48"/>
      <c r="G339" s="48"/>
      <c r="H339" s="48"/>
      <c r="I339" s="24">
        <f>I341+I344+I342</f>
        <v>607748</v>
      </c>
      <c r="J339" s="24">
        <f>J341+J344+J342</f>
        <v>61000</v>
      </c>
      <c r="K339" s="24">
        <f>K341+K344+K342</f>
        <v>668748</v>
      </c>
    </row>
    <row r="340" spans="1:11" s="163" customFormat="1" ht="18">
      <c r="A340" s="160"/>
      <c r="B340" s="160"/>
      <c r="C340" s="160"/>
      <c r="D340" s="146" t="s">
        <v>436</v>
      </c>
      <c r="E340" s="161"/>
      <c r="F340" s="161"/>
      <c r="G340" s="161"/>
      <c r="H340" s="161"/>
      <c r="I340" s="162">
        <f>I343</f>
        <v>0</v>
      </c>
      <c r="J340" s="162">
        <f>J343</f>
        <v>61000</v>
      </c>
      <c r="K340" s="162">
        <f>K343</f>
        <v>61000</v>
      </c>
    </row>
    <row r="341" spans="1:11" s="31" customFormat="1" ht="77.25" customHeight="1">
      <c r="A341" s="27" t="s">
        <v>137</v>
      </c>
      <c r="B341" s="27" t="s">
        <v>66</v>
      </c>
      <c r="C341" s="27" t="s">
        <v>31</v>
      </c>
      <c r="D341" s="28" t="s">
        <v>67</v>
      </c>
      <c r="E341" s="28"/>
      <c r="F341" s="28"/>
      <c r="G341" s="28"/>
      <c r="H341" s="28"/>
      <c r="I341" s="29">
        <f>184000-123000-6052</f>
        <v>54948</v>
      </c>
      <c r="J341" s="29"/>
      <c r="K341" s="30">
        <f>J341+I341</f>
        <v>54948</v>
      </c>
    </row>
    <row r="342" spans="1:11" s="159" customFormat="1" ht="36">
      <c r="A342" s="149" t="s">
        <v>481</v>
      </c>
      <c r="B342" s="149" t="s">
        <v>483</v>
      </c>
      <c r="C342" s="149" t="s">
        <v>482</v>
      </c>
      <c r="D342" s="150" t="s">
        <v>480</v>
      </c>
      <c r="E342" s="157"/>
      <c r="F342" s="157"/>
      <c r="G342" s="157"/>
      <c r="H342" s="157"/>
      <c r="I342" s="151"/>
      <c r="J342" s="151">
        <v>61000</v>
      </c>
      <c r="K342" s="158">
        <f>J342+I342</f>
        <v>61000</v>
      </c>
    </row>
    <row r="343" spans="1:11" s="159" customFormat="1" ht="18">
      <c r="A343" s="149"/>
      <c r="B343" s="149"/>
      <c r="C343" s="149"/>
      <c r="D343" s="156" t="s">
        <v>436</v>
      </c>
      <c r="E343" s="157"/>
      <c r="F343" s="157"/>
      <c r="G343" s="157"/>
      <c r="H343" s="157"/>
      <c r="I343" s="151"/>
      <c r="J343" s="153">
        <v>61000</v>
      </c>
      <c r="K343" s="153">
        <f>J343+I343</f>
        <v>61000</v>
      </c>
    </row>
    <row r="344" spans="1:11" s="31" customFormat="1" ht="27" customHeight="1">
      <c r="A344" s="27" t="s">
        <v>232</v>
      </c>
      <c r="B344" s="27" t="s">
        <v>233</v>
      </c>
      <c r="C344" s="27" t="s">
        <v>30</v>
      </c>
      <c r="D344" s="56" t="s">
        <v>234</v>
      </c>
      <c r="E344" s="56"/>
      <c r="F344" s="56"/>
      <c r="G344" s="56"/>
      <c r="H344" s="56"/>
      <c r="I344" s="29">
        <f>514800+38000</f>
        <v>552800</v>
      </c>
      <c r="J344" s="29"/>
      <c r="K344" s="30">
        <f>I344+J344</f>
        <v>552800</v>
      </c>
    </row>
    <row r="345" spans="1:11" s="21" customFormat="1" ht="33" customHeight="1">
      <c r="A345" s="17"/>
      <c r="B345" s="84"/>
      <c r="C345" s="84"/>
      <c r="D345" s="122" t="s">
        <v>8</v>
      </c>
      <c r="E345" s="122"/>
      <c r="F345" s="122"/>
      <c r="G345" s="122"/>
      <c r="H345" s="122"/>
      <c r="I345" s="19">
        <f>I13+I36+I58+I72+I99+I111+I180+I183+I328+I331+I338+I93</f>
        <v>541274797.8</v>
      </c>
      <c r="J345" s="19">
        <f>J13+J36+J58+J72+J99+J111+J180+J183+J328+J331+J338+J93</f>
        <v>12256060</v>
      </c>
      <c r="K345" s="19">
        <f>K13+K36+K58+K72+K99+K111+K180+K183+K328+K331+K338+K93</f>
        <v>553530857.8</v>
      </c>
    </row>
    <row r="346" spans="1:11" s="21" customFormat="1" ht="21" customHeight="1">
      <c r="A346" s="17"/>
      <c r="B346" s="17"/>
      <c r="C346" s="17"/>
      <c r="D346" s="46" t="s">
        <v>436</v>
      </c>
      <c r="E346" s="46"/>
      <c r="F346" s="46"/>
      <c r="G346" s="46"/>
      <c r="H346" s="46"/>
      <c r="I346" s="19">
        <f>I38+I60+I74+I101++I113+I185+I95+I340</f>
        <v>71483445.64000002</v>
      </c>
      <c r="J346" s="19">
        <f>J38+J60+J74+J101++J113+J185+J95+J340</f>
        <v>12171700</v>
      </c>
      <c r="K346" s="19">
        <f>K38+K60+K74+K101++K113+K185+K95+K340</f>
        <v>83655145.64</v>
      </c>
    </row>
    <row r="347" spans="1:11" s="95" customFormat="1" ht="27.75" customHeight="1">
      <c r="A347" s="123"/>
      <c r="B347" s="124"/>
      <c r="C347" s="124"/>
      <c r="D347" s="125"/>
      <c r="E347" s="125"/>
      <c r="F347" s="125"/>
      <c r="G347" s="125"/>
      <c r="H347" s="125"/>
      <c r="I347" s="126"/>
      <c r="K347" s="127"/>
    </row>
    <row r="348" spans="1:11" s="95" customFormat="1" ht="27.75" customHeight="1">
      <c r="A348" s="123"/>
      <c r="B348" s="124"/>
      <c r="C348" s="124"/>
      <c r="D348" s="125"/>
      <c r="E348" s="125"/>
      <c r="F348" s="125"/>
      <c r="G348" s="125"/>
      <c r="H348" s="125"/>
      <c r="I348" s="126"/>
      <c r="K348" s="127"/>
    </row>
    <row r="349" spans="1:11" s="95" customFormat="1" ht="27.75" customHeight="1">
      <c r="A349" s="123"/>
      <c r="B349" s="124"/>
      <c r="C349" s="124"/>
      <c r="D349" s="125"/>
      <c r="E349" s="125"/>
      <c r="F349" s="125"/>
      <c r="G349" s="125"/>
      <c r="H349" s="125"/>
      <c r="I349" s="126"/>
      <c r="K349" s="127"/>
    </row>
    <row r="350" spans="1:11" s="95" customFormat="1" ht="27.75" customHeight="1">
      <c r="A350" s="123"/>
      <c r="B350" s="124"/>
      <c r="C350" s="124"/>
      <c r="D350" s="125"/>
      <c r="E350" s="125"/>
      <c r="F350" s="125"/>
      <c r="G350" s="125"/>
      <c r="H350" s="125"/>
      <c r="I350" s="126"/>
      <c r="K350" s="127"/>
    </row>
    <row r="351" spans="1:12" s="95" customFormat="1" ht="27.75" customHeight="1">
      <c r="A351" s="172" t="s">
        <v>473</v>
      </c>
      <c r="B351" s="172"/>
      <c r="C351" s="172"/>
      <c r="D351" s="172"/>
      <c r="E351" s="172"/>
      <c r="F351" s="125"/>
      <c r="G351" s="125"/>
      <c r="H351" s="125"/>
      <c r="I351" s="126"/>
      <c r="J351" s="166" t="s">
        <v>474</v>
      </c>
      <c r="K351" s="166"/>
      <c r="L351" s="1"/>
    </row>
    <row r="352" spans="1:9" s="95" customFormat="1" ht="27.75" customHeight="1">
      <c r="A352" s="123"/>
      <c r="B352" s="124"/>
      <c r="C352" s="124"/>
      <c r="D352" s="125"/>
      <c r="E352" s="125"/>
      <c r="F352" s="125"/>
      <c r="G352" s="125"/>
      <c r="H352" s="125"/>
      <c r="I352" s="126"/>
    </row>
    <row r="353" spans="1:11" s="1" customFormat="1" ht="27.75">
      <c r="A353" s="164" t="s">
        <v>475</v>
      </c>
      <c r="B353" s="164"/>
      <c r="C353" s="164"/>
      <c r="D353" s="164"/>
      <c r="E353" s="164"/>
      <c r="H353" s="165"/>
      <c r="I353" s="165"/>
      <c r="J353" s="166"/>
      <c r="K353" s="166"/>
    </row>
    <row r="354" spans="1:10" s="10" customFormat="1" ht="6" customHeight="1">
      <c r="A354" s="132"/>
      <c r="B354" s="132"/>
      <c r="C354" s="132"/>
      <c r="D354" s="133"/>
      <c r="E354" s="133"/>
      <c r="F354" s="133"/>
      <c r="G354" s="133"/>
      <c r="H354" s="133"/>
      <c r="I354" s="134"/>
      <c r="J354" s="95"/>
    </row>
    <row r="355" spans="1:10" s="142" customFormat="1" ht="27.75">
      <c r="A355" s="135" t="s">
        <v>476</v>
      </c>
      <c r="B355" s="136"/>
      <c r="C355" s="137"/>
      <c r="D355" s="138"/>
      <c r="E355" s="139"/>
      <c r="F355" s="139"/>
      <c r="G355" s="139"/>
      <c r="H355" s="140"/>
      <c r="I355" s="141"/>
      <c r="J355" s="95"/>
    </row>
    <row r="356" spans="1:11" s="95" customFormat="1" ht="18">
      <c r="A356" s="123"/>
      <c r="B356" s="124"/>
      <c r="C356" s="124"/>
      <c r="D356" s="125"/>
      <c r="E356" s="125"/>
      <c r="F356" s="125"/>
      <c r="G356" s="125"/>
      <c r="H356" s="125"/>
      <c r="I356" s="126"/>
      <c r="K356" s="127"/>
    </row>
    <row r="357" spans="1:11" s="95" customFormat="1" ht="18">
      <c r="A357" s="123"/>
      <c r="B357" s="124"/>
      <c r="C357" s="124"/>
      <c r="D357" s="125"/>
      <c r="E357" s="125"/>
      <c r="F357" s="125"/>
      <c r="G357" s="125"/>
      <c r="H357" s="125"/>
      <c r="I357" s="126"/>
      <c r="K357" s="127"/>
    </row>
    <row r="358" spans="1:11" s="95" customFormat="1" ht="18">
      <c r="A358" s="123"/>
      <c r="B358" s="124"/>
      <c r="C358" s="124"/>
      <c r="D358" s="125"/>
      <c r="E358" s="125"/>
      <c r="F358" s="125"/>
      <c r="G358" s="125"/>
      <c r="H358" s="125"/>
      <c r="I358" s="126"/>
      <c r="K358" s="127"/>
    </row>
    <row r="359" spans="1:11" s="95" customFormat="1" ht="18">
      <c r="A359" s="123"/>
      <c r="B359" s="124"/>
      <c r="C359" s="124"/>
      <c r="D359" s="125"/>
      <c r="E359" s="125"/>
      <c r="F359" s="125"/>
      <c r="G359" s="125"/>
      <c r="H359" s="125"/>
      <c r="I359" s="126"/>
      <c r="K359" s="127"/>
    </row>
    <row r="360" spans="1:11" s="95" customFormat="1" ht="18">
      <c r="A360" s="123"/>
      <c r="B360" s="124"/>
      <c r="C360" s="124"/>
      <c r="D360" s="125"/>
      <c r="E360" s="125"/>
      <c r="F360" s="125"/>
      <c r="G360" s="125"/>
      <c r="H360" s="125"/>
      <c r="I360" s="126"/>
      <c r="K360" s="127"/>
    </row>
    <row r="361" spans="1:11" s="95" customFormat="1" ht="18">
      <c r="A361" s="123"/>
      <c r="B361" s="124"/>
      <c r="C361" s="124"/>
      <c r="D361" s="125"/>
      <c r="E361" s="125"/>
      <c r="F361" s="125"/>
      <c r="G361" s="125"/>
      <c r="H361" s="125"/>
      <c r="I361" s="126"/>
      <c r="K361" s="127"/>
    </row>
    <row r="362" spans="1:11" s="95" customFormat="1" ht="18">
      <c r="A362" s="123"/>
      <c r="B362" s="124"/>
      <c r="C362" s="124"/>
      <c r="D362" s="125"/>
      <c r="E362" s="125"/>
      <c r="F362" s="125"/>
      <c r="G362" s="125"/>
      <c r="H362" s="125"/>
      <c r="I362" s="126"/>
      <c r="K362" s="127"/>
    </row>
    <row r="363" spans="1:11" s="95" customFormat="1" ht="18">
      <c r="A363" s="123"/>
      <c r="B363" s="124"/>
      <c r="C363" s="124"/>
      <c r="D363" s="125"/>
      <c r="E363" s="125"/>
      <c r="F363" s="125"/>
      <c r="G363" s="125"/>
      <c r="H363" s="125"/>
      <c r="I363" s="126"/>
      <c r="K363" s="127"/>
    </row>
    <row r="364" spans="1:11" s="95" customFormat="1" ht="18">
      <c r="A364" s="123"/>
      <c r="B364" s="124"/>
      <c r="C364" s="124"/>
      <c r="D364" s="125"/>
      <c r="E364" s="125"/>
      <c r="F364" s="125"/>
      <c r="G364" s="125"/>
      <c r="H364" s="125"/>
      <c r="I364" s="126"/>
      <c r="K364" s="127"/>
    </row>
    <row r="365" spans="1:11" s="95" customFormat="1" ht="18">
      <c r="A365" s="123"/>
      <c r="B365" s="124"/>
      <c r="C365" s="124"/>
      <c r="D365" s="125"/>
      <c r="E365" s="125"/>
      <c r="F365" s="125"/>
      <c r="G365" s="125"/>
      <c r="H365" s="125"/>
      <c r="I365" s="126"/>
      <c r="K365" s="127"/>
    </row>
    <row r="366" spans="1:11" s="95" customFormat="1" ht="18">
      <c r="A366" s="123"/>
      <c r="B366" s="124"/>
      <c r="C366" s="124"/>
      <c r="D366" s="125"/>
      <c r="E366" s="125"/>
      <c r="F366" s="125"/>
      <c r="G366" s="125"/>
      <c r="H366" s="125"/>
      <c r="I366" s="126"/>
      <c r="K366" s="127"/>
    </row>
    <row r="367" spans="1:11" s="95" customFormat="1" ht="18">
      <c r="A367" s="123"/>
      <c r="B367" s="124"/>
      <c r="C367" s="124"/>
      <c r="D367" s="125"/>
      <c r="E367" s="125"/>
      <c r="F367" s="125"/>
      <c r="G367" s="125"/>
      <c r="H367" s="125"/>
      <c r="I367" s="126"/>
      <c r="K367" s="127"/>
    </row>
    <row r="368" spans="1:11" s="95" customFormat="1" ht="18">
      <c r="A368" s="123"/>
      <c r="B368" s="124"/>
      <c r="C368" s="124"/>
      <c r="D368" s="125"/>
      <c r="E368" s="125"/>
      <c r="F368" s="125"/>
      <c r="G368" s="125"/>
      <c r="H368" s="125"/>
      <c r="I368" s="126"/>
      <c r="K368" s="127"/>
    </row>
    <row r="369" spans="1:11" s="95" customFormat="1" ht="18">
      <c r="A369" s="123"/>
      <c r="B369" s="124"/>
      <c r="C369" s="124"/>
      <c r="D369" s="125"/>
      <c r="E369" s="125"/>
      <c r="F369" s="125"/>
      <c r="G369" s="125"/>
      <c r="H369" s="125"/>
      <c r="I369" s="126"/>
      <c r="K369" s="127"/>
    </row>
    <row r="370" spans="1:11" s="95" customFormat="1" ht="18">
      <c r="A370" s="123"/>
      <c r="B370" s="124"/>
      <c r="C370" s="124"/>
      <c r="D370" s="125"/>
      <c r="E370" s="125"/>
      <c r="F370" s="125"/>
      <c r="G370" s="125"/>
      <c r="H370" s="125"/>
      <c r="I370" s="126"/>
      <c r="K370" s="127"/>
    </row>
    <row r="371" spans="1:11" s="95" customFormat="1" ht="18">
      <c r="A371" s="123"/>
      <c r="B371" s="124"/>
      <c r="C371" s="124"/>
      <c r="D371" s="125"/>
      <c r="E371" s="125"/>
      <c r="F371" s="125"/>
      <c r="G371" s="125"/>
      <c r="H371" s="125"/>
      <c r="I371" s="126"/>
      <c r="K371" s="127"/>
    </row>
    <row r="372" spans="1:11" s="95" customFormat="1" ht="18">
      <c r="A372" s="123"/>
      <c r="B372" s="124"/>
      <c r="C372" s="124"/>
      <c r="D372" s="125"/>
      <c r="E372" s="125"/>
      <c r="F372" s="125"/>
      <c r="G372" s="125"/>
      <c r="H372" s="125"/>
      <c r="I372" s="126"/>
      <c r="K372" s="127"/>
    </row>
    <row r="373" spans="1:11" s="95" customFormat="1" ht="18">
      <c r="A373" s="123"/>
      <c r="B373" s="124"/>
      <c r="C373" s="124"/>
      <c r="D373" s="125"/>
      <c r="E373" s="125"/>
      <c r="F373" s="125"/>
      <c r="G373" s="125"/>
      <c r="H373" s="125"/>
      <c r="I373" s="126"/>
      <c r="K373" s="127"/>
    </row>
    <row r="374" spans="1:11" s="95" customFormat="1" ht="18">
      <c r="A374" s="123"/>
      <c r="B374" s="124"/>
      <c r="C374" s="124"/>
      <c r="D374" s="125"/>
      <c r="E374" s="125"/>
      <c r="F374" s="125"/>
      <c r="G374" s="125"/>
      <c r="H374" s="125"/>
      <c r="I374" s="126"/>
      <c r="K374" s="127"/>
    </row>
    <row r="375" spans="1:11" s="95" customFormat="1" ht="18">
      <c r="A375" s="123"/>
      <c r="B375" s="124"/>
      <c r="C375" s="124"/>
      <c r="D375" s="125"/>
      <c r="E375" s="125"/>
      <c r="F375" s="125"/>
      <c r="G375" s="125"/>
      <c r="H375" s="125"/>
      <c r="I375" s="126"/>
      <c r="K375" s="127"/>
    </row>
    <row r="376" spans="1:11" s="95" customFormat="1" ht="18">
      <c r="A376" s="123"/>
      <c r="B376" s="124"/>
      <c r="C376" s="124"/>
      <c r="D376" s="125"/>
      <c r="E376" s="125"/>
      <c r="F376" s="125"/>
      <c r="G376" s="125"/>
      <c r="H376" s="125"/>
      <c r="I376" s="126"/>
      <c r="K376" s="127"/>
    </row>
    <row r="377" spans="1:11" s="95" customFormat="1" ht="18">
      <c r="A377" s="123"/>
      <c r="B377" s="124"/>
      <c r="C377" s="124"/>
      <c r="D377" s="125"/>
      <c r="E377" s="125"/>
      <c r="F377" s="125"/>
      <c r="G377" s="125"/>
      <c r="H377" s="125"/>
      <c r="I377" s="126"/>
      <c r="K377" s="127"/>
    </row>
    <row r="378" spans="1:11" s="95" customFormat="1" ht="18">
      <c r="A378" s="123"/>
      <c r="B378" s="124"/>
      <c r="C378" s="124"/>
      <c r="D378" s="125"/>
      <c r="E378" s="125"/>
      <c r="F378" s="125"/>
      <c r="G378" s="125"/>
      <c r="H378" s="125"/>
      <c r="I378" s="126"/>
      <c r="K378" s="127"/>
    </row>
    <row r="379" spans="1:11" s="95" customFormat="1" ht="18">
      <c r="A379" s="123"/>
      <c r="B379" s="124"/>
      <c r="C379" s="124"/>
      <c r="D379" s="125"/>
      <c r="E379" s="125"/>
      <c r="F379" s="125"/>
      <c r="G379" s="125"/>
      <c r="H379" s="125"/>
      <c r="I379" s="126"/>
      <c r="K379" s="127"/>
    </row>
    <row r="380" spans="1:11" s="95" customFormat="1" ht="18">
      <c r="A380" s="123"/>
      <c r="B380" s="124"/>
      <c r="C380" s="124"/>
      <c r="D380" s="125"/>
      <c r="E380" s="125"/>
      <c r="F380" s="125"/>
      <c r="G380" s="125"/>
      <c r="H380" s="125"/>
      <c r="I380" s="126"/>
      <c r="K380" s="127"/>
    </row>
    <row r="381" spans="1:11" s="95" customFormat="1" ht="18">
      <c r="A381" s="123"/>
      <c r="B381" s="124"/>
      <c r="C381" s="124"/>
      <c r="D381" s="125"/>
      <c r="E381" s="125"/>
      <c r="F381" s="125"/>
      <c r="G381" s="125"/>
      <c r="H381" s="125"/>
      <c r="I381" s="126"/>
      <c r="K381" s="127"/>
    </row>
    <row r="382" spans="1:11" s="95" customFormat="1" ht="18">
      <c r="A382" s="123"/>
      <c r="B382" s="124"/>
      <c r="C382" s="124"/>
      <c r="D382" s="125"/>
      <c r="E382" s="125"/>
      <c r="F382" s="125"/>
      <c r="G382" s="125"/>
      <c r="H382" s="125"/>
      <c r="I382" s="126"/>
      <c r="K382" s="127"/>
    </row>
    <row r="383" spans="1:11" s="95" customFormat="1" ht="18">
      <c r="A383" s="123"/>
      <c r="B383" s="124"/>
      <c r="C383" s="124"/>
      <c r="D383" s="125"/>
      <c r="E383" s="125"/>
      <c r="F383" s="125"/>
      <c r="G383" s="125"/>
      <c r="H383" s="125"/>
      <c r="I383" s="126"/>
      <c r="K383" s="127"/>
    </row>
    <row r="384" spans="1:11" s="95" customFormat="1" ht="18">
      <c r="A384" s="123"/>
      <c r="B384" s="124"/>
      <c r="C384" s="124"/>
      <c r="D384" s="125"/>
      <c r="E384" s="125"/>
      <c r="F384" s="125"/>
      <c r="G384" s="125"/>
      <c r="H384" s="125"/>
      <c r="I384" s="126"/>
      <c r="K384" s="127"/>
    </row>
    <row r="385" spans="1:11" s="95" customFormat="1" ht="18">
      <c r="A385" s="123"/>
      <c r="B385" s="124"/>
      <c r="C385" s="124"/>
      <c r="D385" s="125"/>
      <c r="E385" s="125"/>
      <c r="F385" s="125"/>
      <c r="G385" s="125"/>
      <c r="H385" s="125"/>
      <c r="I385" s="126"/>
      <c r="K385" s="127"/>
    </row>
    <row r="386" spans="1:11" s="95" customFormat="1" ht="18">
      <c r="A386" s="123"/>
      <c r="B386" s="124"/>
      <c r="C386" s="124"/>
      <c r="D386" s="125"/>
      <c r="E386" s="125"/>
      <c r="F386" s="125"/>
      <c r="G386" s="125"/>
      <c r="H386" s="125"/>
      <c r="I386" s="126"/>
      <c r="K386" s="127"/>
    </row>
    <row r="387" spans="1:11" s="95" customFormat="1" ht="18">
      <c r="A387" s="123"/>
      <c r="B387" s="124"/>
      <c r="C387" s="124"/>
      <c r="D387" s="125"/>
      <c r="E387" s="125"/>
      <c r="F387" s="125"/>
      <c r="G387" s="125"/>
      <c r="H387" s="125"/>
      <c r="I387" s="126"/>
      <c r="K387" s="127"/>
    </row>
    <row r="388" spans="1:11" s="95" customFormat="1" ht="18">
      <c r="A388" s="123"/>
      <c r="B388" s="124"/>
      <c r="C388" s="124"/>
      <c r="D388" s="125"/>
      <c r="E388" s="125"/>
      <c r="F388" s="125"/>
      <c r="G388" s="125"/>
      <c r="H388" s="125"/>
      <c r="I388" s="126"/>
      <c r="K388" s="127"/>
    </row>
    <row r="389" spans="1:11" s="95" customFormat="1" ht="18">
      <c r="A389" s="123"/>
      <c r="B389" s="124"/>
      <c r="C389" s="124"/>
      <c r="D389" s="125"/>
      <c r="E389" s="125"/>
      <c r="F389" s="125"/>
      <c r="G389" s="125"/>
      <c r="H389" s="125"/>
      <c r="I389" s="126"/>
      <c r="K389" s="127"/>
    </row>
    <row r="390" spans="1:11" s="95" customFormat="1" ht="18">
      <c r="A390" s="123"/>
      <c r="B390" s="124"/>
      <c r="C390" s="124"/>
      <c r="D390" s="125"/>
      <c r="E390" s="125"/>
      <c r="F390" s="125"/>
      <c r="G390" s="125"/>
      <c r="H390" s="125"/>
      <c r="I390" s="126"/>
      <c r="K390" s="127"/>
    </row>
    <row r="391" spans="1:11" s="95" customFormat="1" ht="18">
      <c r="A391" s="123"/>
      <c r="B391" s="124"/>
      <c r="C391" s="124"/>
      <c r="D391" s="125"/>
      <c r="E391" s="125"/>
      <c r="F391" s="125"/>
      <c r="G391" s="125"/>
      <c r="H391" s="125"/>
      <c r="I391" s="126"/>
      <c r="K391" s="127"/>
    </row>
    <row r="392" spans="1:11" s="95" customFormat="1" ht="18">
      <c r="A392" s="123"/>
      <c r="B392" s="124"/>
      <c r="C392" s="124"/>
      <c r="D392" s="125"/>
      <c r="E392" s="125"/>
      <c r="F392" s="125"/>
      <c r="G392" s="125"/>
      <c r="H392" s="125"/>
      <c r="I392" s="126"/>
      <c r="K392" s="127"/>
    </row>
    <row r="393" spans="1:11" s="95" customFormat="1" ht="18">
      <c r="A393" s="123"/>
      <c r="B393" s="124"/>
      <c r="C393" s="124"/>
      <c r="D393" s="125"/>
      <c r="E393" s="125"/>
      <c r="F393" s="125"/>
      <c r="G393" s="125"/>
      <c r="H393" s="125"/>
      <c r="I393" s="126"/>
      <c r="K393" s="127"/>
    </row>
    <row r="394" spans="1:11" s="95" customFormat="1" ht="18">
      <c r="A394" s="123"/>
      <c r="B394" s="124"/>
      <c r="C394" s="124"/>
      <c r="D394" s="125"/>
      <c r="E394" s="125"/>
      <c r="F394" s="125"/>
      <c r="G394" s="125"/>
      <c r="H394" s="125"/>
      <c r="I394" s="126"/>
      <c r="K394" s="127"/>
    </row>
    <row r="395" spans="1:11" s="95" customFormat="1" ht="18">
      <c r="A395" s="123"/>
      <c r="B395" s="124"/>
      <c r="C395" s="124"/>
      <c r="D395" s="125"/>
      <c r="E395" s="125"/>
      <c r="F395" s="125"/>
      <c r="G395" s="125"/>
      <c r="H395" s="125"/>
      <c r="I395" s="126"/>
      <c r="K395" s="127"/>
    </row>
    <row r="396" spans="1:11" s="95" customFormat="1" ht="18">
      <c r="A396" s="123"/>
      <c r="B396" s="124"/>
      <c r="C396" s="124"/>
      <c r="D396" s="125"/>
      <c r="E396" s="125"/>
      <c r="F396" s="125"/>
      <c r="G396" s="125"/>
      <c r="H396" s="125"/>
      <c r="I396" s="126"/>
      <c r="K396" s="127"/>
    </row>
    <row r="397" spans="1:11" s="95" customFormat="1" ht="18">
      <c r="A397" s="123"/>
      <c r="B397" s="124"/>
      <c r="C397" s="124"/>
      <c r="D397" s="125"/>
      <c r="E397" s="125"/>
      <c r="F397" s="125"/>
      <c r="G397" s="125"/>
      <c r="H397" s="125"/>
      <c r="I397" s="126"/>
      <c r="K397" s="127"/>
    </row>
    <row r="398" spans="1:11" s="95" customFormat="1" ht="18">
      <c r="A398" s="123"/>
      <c r="B398" s="124"/>
      <c r="C398" s="124"/>
      <c r="D398" s="125"/>
      <c r="E398" s="125"/>
      <c r="F398" s="125"/>
      <c r="G398" s="125"/>
      <c r="H398" s="125"/>
      <c r="I398" s="126"/>
      <c r="K398" s="127"/>
    </row>
    <row r="399" spans="1:11" s="95" customFormat="1" ht="18">
      <c r="A399" s="123"/>
      <c r="B399" s="124"/>
      <c r="C399" s="124"/>
      <c r="D399" s="125"/>
      <c r="E399" s="125"/>
      <c r="F399" s="125"/>
      <c r="G399" s="125"/>
      <c r="H399" s="125"/>
      <c r="I399" s="126"/>
      <c r="K399" s="127"/>
    </row>
    <row r="400" spans="1:11" s="95" customFormat="1" ht="18">
      <c r="A400" s="123"/>
      <c r="B400" s="124"/>
      <c r="C400" s="124"/>
      <c r="D400" s="125"/>
      <c r="E400" s="125"/>
      <c r="F400" s="125"/>
      <c r="G400" s="125"/>
      <c r="H400" s="125"/>
      <c r="I400" s="126"/>
      <c r="K400" s="127"/>
    </row>
    <row r="401" spans="1:11" s="95" customFormat="1" ht="18">
      <c r="A401" s="123"/>
      <c r="B401" s="124"/>
      <c r="C401" s="124"/>
      <c r="D401" s="125"/>
      <c r="E401" s="125"/>
      <c r="F401" s="125"/>
      <c r="G401" s="125"/>
      <c r="H401" s="125"/>
      <c r="I401" s="126"/>
      <c r="K401" s="127"/>
    </row>
    <row r="402" spans="1:11" s="95" customFormat="1" ht="18">
      <c r="A402" s="123"/>
      <c r="B402" s="124"/>
      <c r="C402" s="124"/>
      <c r="D402" s="125"/>
      <c r="E402" s="125"/>
      <c r="F402" s="125"/>
      <c r="G402" s="125"/>
      <c r="H402" s="125"/>
      <c r="I402" s="126"/>
      <c r="K402" s="127"/>
    </row>
    <row r="403" spans="1:11" s="95" customFormat="1" ht="18">
      <c r="A403" s="123"/>
      <c r="B403" s="124"/>
      <c r="C403" s="124"/>
      <c r="D403" s="125"/>
      <c r="E403" s="125"/>
      <c r="F403" s="125"/>
      <c r="G403" s="125"/>
      <c r="H403" s="125"/>
      <c r="I403" s="126"/>
      <c r="K403" s="127"/>
    </row>
    <row r="404" spans="1:11" s="95" customFormat="1" ht="18">
      <c r="A404" s="123"/>
      <c r="B404" s="124"/>
      <c r="C404" s="124"/>
      <c r="D404" s="125"/>
      <c r="E404" s="125"/>
      <c r="F404" s="125"/>
      <c r="G404" s="125"/>
      <c r="H404" s="125"/>
      <c r="I404" s="126"/>
      <c r="K404" s="127"/>
    </row>
    <row r="405" spans="1:11" s="95" customFormat="1" ht="18">
      <c r="A405" s="123"/>
      <c r="B405" s="124"/>
      <c r="C405" s="124"/>
      <c r="D405" s="125"/>
      <c r="E405" s="125"/>
      <c r="F405" s="125"/>
      <c r="G405" s="125"/>
      <c r="H405" s="125"/>
      <c r="I405" s="126"/>
      <c r="K405" s="127"/>
    </row>
    <row r="406" spans="1:11" s="95" customFormat="1" ht="18">
      <c r="A406" s="123"/>
      <c r="B406" s="124"/>
      <c r="C406" s="124"/>
      <c r="D406" s="125"/>
      <c r="E406" s="125"/>
      <c r="F406" s="125"/>
      <c r="G406" s="125"/>
      <c r="H406" s="125"/>
      <c r="I406" s="126"/>
      <c r="K406" s="127"/>
    </row>
    <row r="407" spans="1:11" s="95" customFormat="1" ht="18">
      <c r="A407" s="123"/>
      <c r="B407" s="124"/>
      <c r="C407" s="124"/>
      <c r="D407" s="125"/>
      <c r="E407" s="125"/>
      <c r="F407" s="125"/>
      <c r="G407" s="125"/>
      <c r="H407" s="125"/>
      <c r="I407" s="126"/>
      <c r="K407" s="127"/>
    </row>
    <row r="408" spans="1:11" s="95" customFormat="1" ht="18">
      <c r="A408" s="123"/>
      <c r="B408" s="124"/>
      <c r="C408" s="124"/>
      <c r="D408" s="125"/>
      <c r="E408" s="125"/>
      <c r="F408" s="125"/>
      <c r="G408" s="125"/>
      <c r="H408" s="125"/>
      <c r="I408" s="126"/>
      <c r="K408" s="127"/>
    </row>
    <row r="409" spans="1:11" s="95" customFormat="1" ht="18">
      <c r="A409" s="123"/>
      <c r="B409" s="124"/>
      <c r="C409" s="124"/>
      <c r="D409" s="125"/>
      <c r="E409" s="125"/>
      <c r="F409" s="125"/>
      <c r="G409" s="125"/>
      <c r="H409" s="125"/>
      <c r="I409" s="126"/>
      <c r="K409" s="127"/>
    </row>
    <row r="410" spans="1:11" s="95" customFormat="1" ht="18">
      <c r="A410" s="123"/>
      <c r="B410" s="124"/>
      <c r="C410" s="124"/>
      <c r="D410" s="125"/>
      <c r="E410" s="125"/>
      <c r="F410" s="125"/>
      <c r="G410" s="125"/>
      <c r="H410" s="125"/>
      <c r="I410" s="126"/>
      <c r="K410" s="127"/>
    </row>
    <row r="411" spans="1:11" s="95" customFormat="1" ht="18">
      <c r="A411" s="123"/>
      <c r="B411" s="124"/>
      <c r="C411" s="124"/>
      <c r="D411" s="125"/>
      <c r="E411" s="125"/>
      <c r="F411" s="125"/>
      <c r="G411" s="125"/>
      <c r="H411" s="125"/>
      <c r="I411" s="126"/>
      <c r="K411" s="127"/>
    </row>
    <row r="412" spans="1:11" s="95" customFormat="1" ht="18">
      <c r="A412" s="123"/>
      <c r="B412" s="124"/>
      <c r="C412" s="124"/>
      <c r="D412" s="125"/>
      <c r="E412" s="125"/>
      <c r="F412" s="125"/>
      <c r="G412" s="125"/>
      <c r="H412" s="125"/>
      <c r="I412" s="126"/>
      <c r="K412" s="127"/>
    </row>
    <row r="413" spans="1:11" s="95" customFormat="1" ht="18">
      <c r="A413" s="123"/>
      <c r="B413" s="124"/>
      <c r="C413" s="124"/>
      <c r="D413" s="125"/>
      <c r="E413" s="125"/>
      <c r="F413" s="125"/>
      <c r="G413" s="125"/>
      <c r="H413" s="125"/>
      <c r="I413" s="126"/>
      <c r="K413" s="127"/>
    </row>
    <row r="414" spans="1:11" s="95" customFormat="1" ht="18">
      <c r="A414" s="123"/>
      <c r="B414" s="124"/>
      <c r="C414" s="124"/>
      <c r="D414" s="125"/>
      <c r="E414" s="125"/>
      <c r="F414" s="125"/>
      <c r="G414" s="125"/>
      <c r="H414" s="125"/>
      <c r="I414" s="126"/>
      <c r="K414" s="127"/>
    </row>
    <row r="415" spans="1:11" s="95" customFormat="1" ht="18">
      <c r="A415" s="123"/>
      <c r="B415" s="124"/>
      <c r="C415" s="124"/>
      <c r="D415" s="125"/>
      <c r="E415" s="125"/>
      <c r="F415" s="125"/>
      <c r="G415" s="125"/>
      <c r="H415" s="125"/>
      <c r="I415" s="126"/>
      <c r="K415" s="127"/>
    </row>
    <row r="416" spans="1:11" s="95" customFormat="1" ht="18">
      <c r="A416" s="123"/>
      <c r="B416" s="124"/>
      <c r="C416" s="124"/>
      <c r="D416" s="125"/>
      <c r="E416" s="125"/>
      <c r="F416" s="125"/>
      <c r="G416" s="125"/>
      <c r="H416" s="125"/>
      <c r="I416" s="126"/>
      <c r="K416" s="127"/>
    </row>
    <row r="417" spans="1:11" s="95" customFormat="1" ht="18">
      <c r="A417" s="123"/>
      <c r="B417" s="124"/>
      <c r="C417" s="124"/>
      <c r="D417" s="125"/>
      <c r="E417" s="125"/>
      <c r="F417" s="125"/>
      <c r="G417" s="125"/>
      <c r="H417" s="125"/>
      <c r="I417" s="126"/>
      <c r="K417" s="127"/>
    </row>
    <row r="418" spans="1:11" s="95" customFormat="1" ht="18">
      <c r="A418" s="123"/>
      <c r="B418" s="124"/>
      <c r="C418" s="124"/>
      <c r="D418" s="125"/>
      <c r="E418" s="125"/>
      <c r="F418" s="125"/>
      <c r="G418" s="125"/>
      <c r="H418" s="125"/>
      <c r="I418" s="126"/>
      <c r="K418" s="127"/>
    </row>
    <row r="419" spans="1:11" s="95" customFormat="1" ht="18">
      <c r="A419" s="123"/>
      <c r="B419" s="124"/>
      <c r="C419" s="124"/>
      <c r="D419" s="125"/>
      <c r="E419" s="125"/>
      <c r="F419" s="125"/>
      <c r="G419" s="125"/>
      <c r="H419" s="125"/>
      <c r="I419" s="126"/>
      <c r="K419" s="127"/>
    </row>
    <row r="420" spans="1:11" s="95" customFormat="1" ht="18">
      <c r="A420" s="123"/>
      <c r="B420" s="124"/>
      <c r="C420" s="124"/>
      <c r="D420" s="125"/>
      <c r="E420" s="125"/>
      <c r="F420" s="125"/>
      <c r="G420" s="125"/>
      <c r="H420" s="125"/>
      <c r="I420" s="126"/>
      <c r="K420" s="127"/>
    </row>
    <row r="421" spans="1:11" s="95" customFormat="1" ht="18">
      <c r="A421" s="123"/>
      <c r="B421" s="124"/>
      <c r="C421" s="124"/>
      <c r="D421" s="125"/>
      <c r="E421" s="125"/>
      <c r="F421" s="125"/>
      <c r="G421" s="125"/>
      <c r="H421" s="125"/>
      <c r="I421" s="126"/>
      <c r="K421" s="127"/>
    </row>
    <row r="422" spans="1:11" s="95" customFormat="1" ht="18">
      <c r="A422" s="123"/>
      <c r="B422" s="124"/>
      <c r="C422" s="124"/>
      <c r="D422" s="125"/>
      <c r="E422" s="125"/>
      <c r="F422" s="125"/>
      <c r="G422" s="125"/>
      <c r="H422" s="125"/>
      <c r="I422" s="126"/>
      <c r="K422" s="127"/>
    </row>
    <row r="423" spans="1:11" s="95" customFormat="1" ht="18">
      <c r="A423" s="123"/>
      <c r="B423" s="124"/>
      <c r="C423" s="124"/>
      <c r="D423" s="125"/>
      <c r="E423" s="125"/>
      <c r="F423" s="125"/>
      <c r="G423" s="125"/>
      <c r="H423" s="125"/>
      <c r="I423" s="126"/>
      <c r="K423" s="127"/>
    </row>
    <row r="424" spans="1:11" s="95" customFormat="1" ht="18">
      <c r="A424" s="123"/>
      <c r="B424" s="124"/>
      <c r="C424" s="124"/>
      <c r="D424" s="125"/>
      <c r="E424" s="125"/>
      <c r="F424" s="125"/>
      <c r="G424" s="125"/>
      <c r="H424" s="125"/>
      <c r="I424" s="126"/>
      <c r="K424" s="127"/>
    </row>
    <row r="425" spans="1:11" s="95" customFormat="1" ht="18">
      <c r="A425" s="123"/>
      <c r="B425" s="124"/>
      <c r="C425" s="124"/>
      <c r="D425" s="125"/>
      <c r="E425" s="125"/>
      <c r="F425" s="125"/>
      <c r="G425" s="125"/>
      <c r="H425" s="125"/>
      <c r="I425" s="126"/>
      <c r="K425" s="127"/>
    </row>
    <row r="426" spans="1:11" s="95" customFormat="1" ht="18">
      <c r="A426" s="123"/>
      <c r="B426" s="124"/>
      <c r="C426" s="124"/>
      <c r="D426" s="125"/>
      <c r="E426" s="125"/>
      <c r="F426" s="125"/>
      <c r="G426" s="125"/>
      <c r="H426" s="125"/>
      <c r="I426" s="126"/>
      <c r="K426" s="127"/>
    </row>
    <row r="427" spans="1:11" s="95" customFormat="1" ht="18">
      <c r="A427" s="123"/>
      <c r="B427" s="124"/>
      <c r="C427" s="124"/>
      <c r="D427" s="125"/>
      <c r="E427" s="125"/>
      <c r="F427" s="125"/>
      <c r="G427" s="125"/>
      <c r="H427" s="125"/>
      <c r="I427" s="126"/>
      <c r="K427" s="127"/>
    </row>
    <row r="428" spans="1:11" s="95" customFormat="1" ht="18">
      <c r="A428" s="123"/>
      <c r="B428" s="124"/>
      <c r="C428" s="124"/>
      <c r="D428" s="125"/>
      <c r="E428" s="125"/>
      <c r="F428" s="125"/>
      <c r="G428" s="125"/>
      <c r="H428" s="125"/>
      <c r="I428" s="126"/>
      <c r="K428" s="127"/>
    </row>
    <row r="429" spans="1:11" s="95" customFormat="1" ht="18">
      <c r="A429" s="123"/>
      <c r="B429" s="124"/>
      <c r="C429" s="124"/>
      <c r="D429" s="125"/>
      <c r="E429" s="125"/>
      <c r="F429" s="125"/>
      <c r="G429" s="125"/>
      <c r="H429" s="125"/>
      <c r="I429" s="126"/>
      <c r="K429" s="127"/>
    </row>
    <row r="430" spans="1:11" s="95" customFormat="1" ht="18">
      <c r="A430" s="123"/>
      <c r="B430" s="124"/>
      <c r="C430" s="124"/>
      <c r="D430" s="125"/>
      <c r="E430" s="125"/>
      <c r="F430" s="125"/>
      <c r="G430" s="125"/>
      <c r="H430" s="125"/>
      <c r="I430" s="126"/>
      <c r="K430" s="127"/>
    </row>
    <row r="431" spans="1:11" s="95" customFormat="1" ht="18">
      <c r="A431" s="123"/>
      <c r="B431" s="124"/>
      <c r="C431" s="124"/>
      <c r="D431" s="125"/>
      <c r="E431" s="125"/>
      <c r="F431" s="125"/>
      <c r="G431" s="125"/>
      <c r="H431" s="125"/>
      <c r="I431" s="126"/>
      <c r="K431" s="127"/>
    </row>
    <row r="432" spans="1:11" s="95" customFormat="1" ht="18">
      <c r="A432" s="123"/>
      <c r="B432" s="124"/>
      <c r="C432" s="124"/>
      <c r="D432" s="125"/>
      <c r="E432" s="125"/>
      <c r="F432" s="125"/>
      <c r="G432" s="125"/>
      <c r="H432" s="125"/>
      <c r="I432" s="126"/>
      <c r="K432" s="127"/>
    </row>
    <row r="433" spans="1:11" s="95" customFormat="1" ht="18">
      <c r="A433" s="123"/>
      <c r="B433" s="124"/>
      <c r="C433" s="124"/>
      <c r="D433" s="125"/>
      <c r="E433" s="125"/>
      <c r="F433" s="125"/>
      <c r="G433" s="125"/>
      <c r="H433" s="125"/>
      <c r="I433" s="126"/>
      <c r="K433" s="127"/>
    </row>
    <row r="434" spans="1:11" s="95" customFormat="1" ht="18">
      <c r="A434" s="123"/>
      <c r="B434" s="124"/>
      <c r="C434" s="124"/>
      <c r="D434" s="125"/>
      <c r="E434" s="125"/>
      <c r="F434" s="125"/>
      <c r="G434" s="125"/>
      <c r="H434" s="125"/>
      <c r="I434" s="126"/>
      <c r="K434" s="127"/>
    </row>
    <row r="435" spans="1:11" s="95" customFormat="1" ht="18">
      <c r="A435" s="123"/>
      <c r="B435" s="124"/>
      <c r="C435" s="124"/>
      <c r="D435" s="125"/>
      <c r="E435" s="125"/>
      <c r="F435" s="125"/>
      <c r="G435" s="125"/>
      <c r="H435" s="125"/>
      <c r="I435" s="126"/>
      <c r="K435" s="127"/>
    </row>
    <row r="436" spans="1:11" s="95" customFormat="1" ht="18">
      <c r="A436" s="123"/>
      <c r="B436" s="124"/>
      <c r="C436" s="124"/>
      <c r="D436" s="125"/>
      <c r="E436" s="125"/>
      <c r="F436" s="125"/>
      <c r="G436" s="125"/>
      <c r="H436" s="125"/>
      <c r="I436" s="126"/>
      <c r="K436" s="127"/>
    </row>
    <row r="437" spans="1:11" s="95" customFormat="1" ht="18">
      <c r="A437" s="123"/>
      <c r="B437" s="124"/>
      <c r="C437" s="124"/>
      <c r="D437" s="125"/>
      <c r="E437" s="125"/>
      <c r="F437" s="125"/>
      <c r="G437" s="125"/>
      <c r="H437" s="125"/>
      <c r="I437" s="126"/>
      <c r="K437" s="127"/>
    </row>
    <row r="438" spans="1:11" s="95" customFormat="1" ht="18">
      <c r="A438" s="123"/>
      <c r="B438" s="124"/>
      <c r="C438" s="124"/>
      <c r="D438" s="125"/>
      <c r="E438" s="125"/>
      <c r="F438" s="125"/>
      <c r="G438" s="125"/>
      <c r="H438" s="125"/>
      <c r="I438" s="126"/>
      <c r="K438" s="127"/>
    </row>
    <row r="439" spans="1:11" s="95" customFormat="1" ht="18">
      <c r="A439" s="123"/>
      <c r="B439" s="124"/>
      <c r="C439" s="124"/>
      <c r="D439" s="125"/>
      <c r="E439" s="125"/>
      <c r="F439" s="125"/>
      <c r="G439" s="125"/>
      <c r="H439" s="125"/>
      <c r="I439" s="126"/>
      <c r="K439" s="127"/>
    </row>
    <row r="440" spans="1:11" s="95" customFormat="1" ht="18">
      <c r="A440" s="123"/>
      <c r="B440" s="124"/>
      <c r="C440" s="124"/>
      <c r="D440" s="125"/>
      <c r="E440" s="125"/>
      <c r="F440" s="125"/>
      <c r="G440" s="125"/>
      <c r="H440" s="125"/>
      <c r="I440" s="126"/>
      <c r="K440" s="127"/>
    </row>
    <row r="441" spans="1:11" s="95" customFormat="1" ht="18">
      <c r="A441" s="123"/>
      <c r="B441" s="124"/>
      <c r="C441" s="124"/>
      <c r="D441" s="125"/>
      <c r="E441" s="125"/>
      <c r="F441" s="125"/>
      <c r="G441" s="125"/>
      <c r="H441" s="125"/>
      <c r="I441" s="126"/>
      <c r="K441" s="127"/>
    </row>
    <row r="442" spans="1:11" s="95" customFormat="1" ht="18">
      <c r="A442" s="123"/>
      <c r="B442" s="124"/>
      <c r="C442" s="124"/>
      <c r="D442" s="125"/>
      <c r="E442" s="125"/>
      <c r="F442" s="125"/>
      <c r="G442" s="125"/>
      <c r="H442" s="125"/>
      <c r="I442" s="126"/>
      <c r="K442" s="127"/>
    </row>
    <row r="443" spans="1:11" s="95" customFormat="1" ht="18">
      <c r="A443" s="123"/>
      <c r="B443" s="124"/>
      <c r="C443" s="124"/>
      <c r="D443" s="125"/>
      <c r="E443" s="125"/>
      <c r="F443" s="125"/>
      <c r="G443" s="125"/>
      <c r="H443" s="125"/>
      <c r="I443" s="126"/>
      <c r="K443" s="127"/>
    </row>
    <row r="444" spans="1:11" s="95" customFormat="1" ht="18">
      <c r="A444" s="123"/>
      <c r="B444" s="124"/>
      <c r="C444" s="124"/>
      <c r="D444" s="125"/>
      <c r="E444" s="125"/>
      <c r="F444" s="125"/>
      <c r="G444" s="125"/>
      <c r="H444" s="125"/>
      <c r="I444" s="126"/>
      <c r="K444" s="127"/>
    </row>
    <row r="445" spans="1:11" s="95" customFormat="1" ht="18">
      <c r="A445" s="123"/>
      <c r="B445" s="124"/>
      <c r="C445" s="124"/>
      <c r="D445" s="125"/>
      <c r="E445" s="125"/>
      <c r="F445" s="125"/>
      <c r="G445" s="125"/>
      <c r="H445" s="125"/>
      <c r="I445" s="126"/>
      <c r="K445" s="127"/>
    </row>
    <row r="446" spans="1:11" s="95" customFormat="1" ht="18">
      <c r="A446" s="123"/>
      <c r="B446" s="124"/>
      <c r="C446" s="124"/>
      <c r="D446" s="125"/>
      <c r="E446" s="125"/>
      <c r="F446" s="125"/>
      <c r="G446" s="125"/>
      <c r="H446" s="125"/>
      <c r="I446" s="126"/>
      <c r="K446" s="127"/>
    </row>
    <row r="447" spans="1:11" s="95" customFormat="1" ht="18">
      <c r="A447" s="123"/>
      <c r="B447" s="124"/>
      <c r="C447" s="124"/>
      <c r="D447" s="125"/>
      <c r="E447" s="125"/>
      <c r="F447" s="125"/>
      <c r="G447" s="125"/>
      <c r="H447" s="125"/>
      <c r="I447" s="126"/>
      <c r="K447" s="127"/>
    </row>
    <row r="448" spans="1:11" s="95" customFormat="1" ht="18">
      <c r="A448" s="123"/>
      <c r="B448" s="124"/>
      <c r="C448" s="124"/>
      <c r="D448" s="125"/>
      <c r="E448" s="125"/>
      <c r="F448" s="125"/>
      <c r="G448" s="125"/>
      <c r="H448" s="125"/>
      <c r="I448" s="126"/>
      <c r="K448" s="127"/>
    </row>
    <row r="449" spans="1:11" s="95" customFormat="1" ht="18">
      <c r="A449" s="123"/>
      <c r="B449" s="124"/>
      <c r="C449" s="124"/>
      <c r="D449" s="125"/>
      <c r="E449" s="125"/>
      <c r="F449" s="125"/>
      <c r="G449" s="125"/>
      <c r="H449" s="125"/>
      <c r="I449" s="126"/>
      <c r="K449" s="127"/>
    </row>
  </sheetData>
  <sheetProtection/>
  <mergeCells count="22">
    <mergeCell ref="H1:K1"/>
    <mergeCell ref="H2:K2"/>
    <mergeCell ref="C9:C11"/>
    <mergeCell ref="F9:F11"/>
    <mergeCell ref="D9:D11"/>
    <mergeCell ref="H3:K3"/>
    <mergeCell ref="H4:K4"/>
    <mergeCell ref="H5:K5"/>
    <mergeCell ref="A351:E351"/>
    <mergeCell ref="J351:K351"/>
    <mergeCell ref="K9:K11"/>
    <mergeCell ref="E9:E11"/>
    <mergeCell ref="A7:K7"/>
    <mergeCell ref="G9:G11"/>
    <mergeCell ref="A9:A11"/>
    <mergeCell ref="B9:B11"/>
    <mergeCell ref="A353:E353"/>
    <mergeCell ref="H353:I353"/>
    <mergeCell ref="J353:K353"/>
    <mergeCell ref="I9:I11"/>
    <mergeCell ref="H9:H11"/>
    <mergeCell ref="J9:J11"/>
  </mergeCells>
  <printOptions horizontalCentered="1"/>
  <pageMargins left="0.1968503937007874" right="0.1968503937007874" top="1.1811023622047245" bottom="0.5905511811023623" header="0.1968503937007874" footer="0.2362204724409449"/>
  <pageSetup fitToHeight="25" fitToWidth="1" horizontalDpi="600" verticalDpi="600" orientation="landscape" paperSize="9" scale="53" r:id="rId1"/>
  <headerFooter alignWithMargins="0">
    <oddFooter>&amp;R&amp;18Сторінка &amp;P</oddFooter>
  </headerFooter>
  <rowBreaks count="4" manualBreakCount="4">
    <brk id="38" max="10" man="1"/>
    <brk id="55" max="10" man="1"/>
    <brk id="72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2018-12-26T07:07:58Z</cp:lastPrinted>
  <dcterms:created xsi:type="dcterms:W3CDTF">2014-01-17T10:52:16Z</dcterms:created>
  <dcterms:modified xsi:type="dcterms:W3CDTF">2018-12-26T07:08:10Z</dcterms:modified>
  <cp:category/>
  <cp:version/>
  <cp:contentType/>
  <cp:contentStatus/>
</cp:coreProperties>
</file>