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1"/>
  </bookViews>
  <sheets>
    <sheet name="дод. 2" sheetId="1" r:id="rId1"/>
    <sheet name="дод. 3" sheetId="2" r:id="rId2"/>
  </sheets>
  <definedNames>
    <definedName name="_xlfn.AGGREGATE" hidden="1">#NAME?</definedName>
    <definedName name="_xlnm.Print_Titles" localSheetId="0">'дод. 2'!$9:$12</definedName>
    <definedName name="_xlnm.Print_Titles" localSheetId="1">'дод. 3'!$10:$13</definedName>
    <definedName name="_xlnm.Print_Area" localSheetId="0">'дод. 2'!$B$1:$Q$322</definedName>
    <definedName name="_xlnm.Print_Area" localSheetId="1">'дод. 3'!$B$1:$P$262</definedName>
  </definedNames>
  <calcPr fullCalcOnLoad="1"/>
</workbook>
</file>

<file path=xl/sharedStrings.xml><?xml version="1.0" encoding="utf-8"?>
<sst xmlns="http://schemas.openxmlformats.org/spreadsheetml/2006/main" count="1444" uniqueCount="579">
  <si>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</si>
  <si>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</si>
  <si>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</si>
  <si>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</si>
  <si>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</si>
  <si>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</si>
  <si>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</si>
  <si>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</si>
  <si>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</si>
  <si>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</si>
  <si>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</si>
  <si>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</si>
  <si>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</si>
  <si>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</si>
  <si>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</si>
  <si>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</si>
  <si>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</si>
  <si>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</si>
  <si>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</si>
  <si>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</si>
  <si>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</si>
  <si>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</si>
  <si>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</si>
  <si>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</si>
  <si>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</si>
  <si>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</si>
  <si>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</si>
  <si>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</si>
  <si>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</si>
  <si>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</si>
  <si>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</si>
  <si>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</si>
  <si>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</si>
  <si>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</si>
  <si>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</si>
  <si>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</si>
  <si>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</si>
  <si>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</si>
  <si>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</si>
  <si>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</si>
  <si>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</si>
  <si>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</si>
  <si>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</si>
  <si>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</si>
  <si>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</si>
  <si>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</si>
  <si>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</si>
  <si>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</si>
  <si>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</si>
  <si>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</si>
  <si>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</si>
  <si>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</si>
  <si>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</si>
  <si>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</si>
  <si>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</si>
  <si>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</si>
  <si>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</si>
  <si>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</si>
  <si>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</si>
  <si>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</si>
  <si>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</si>
  <si>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</si>
  <si>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</si>
  <si>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</si>
  <si>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</si>
  <si>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</si>
  <si>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</si>
  <si>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</si>
  <si>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</si>
  <si>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</si>
  <si>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</si>
  <si>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</si>
  <si>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</si>
  <si>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</si>
  <si>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</si>
  <si>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</si>
  <si>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</si>
  <si>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</si>
  <si>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</si>
  <si>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</si>
  <si>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</si>
  <si>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</si>
  <si>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</si>
  <si>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</si>
  <si>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</si>
  <si>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</si>
  <si>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</si>
  <si>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</si>
  <si>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</si>
  <si>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</si>
  <si>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</si>
  <si>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</si>
  <si>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</si>
  <si>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</si>
  <si>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</si>
  <si>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</si>
  <si>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</si>
  <si>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</si>
  <si>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</si>
  <si>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</si>
  <si>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</si>
  <si>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</si>
  <si>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</si>
  <si>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</si>
  <si>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</si>
  <si>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</si>
  <si>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</si>
  <si>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</si>
  <si>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</si>
  <si>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</si>
  <si>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</si>
  <si>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</si>
  <si>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</si>
  <si>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</si>
  <si>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</si>
  <si>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</si>
  <si>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</si>
  <si>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</si>
  <si>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</si>
  <si>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</si>
  <si>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</si>
  <si>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</si>
  <si>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</si>
  <si>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</si>
  <si>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</si>
  <si>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</si>
  <si>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</si>
  <si>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</si>
  <si>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</si>
  <si>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</si>
  <si>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</si>
  <si>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</si>
  <si>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</si>
  <si>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</si>
  <si>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</si>
  <si>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</si>
  <si>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</si>
  <si>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</si>
  <si>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</si>
  <si>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</si>
  <si>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</si>
  <si>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</si>
  <si>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</si>
  <si>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</si>
  <si>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</si>
  <si>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</si>
  <si>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</si>
  <si>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</si>
  <si>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</si>
  <si>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</si>
  <si>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</si>
  <si>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</si>
  <si>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</si>
  <si>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</si>
  <si>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</si>
  <si>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</si>
  <si>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</si>
  <si>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</si>
  <si>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</si>
  <si>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</si>
  <si>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</si>
  <si>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</si>
  <si>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</si>
  <si>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</si>
  <si>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</si>
  <si>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</si>
  <si>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</si>
  <si>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</si>
  <si>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</si>
  <si>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</si>
  <si>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</si>
  <si>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</si>
  <si>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</si>
  <si>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</si>
  <si>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</si>
  <si>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</si>
  <si>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</si>
  <si>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</si>
  <si>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</si>
  <si>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</si>
  <si>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</si>
  <si>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</si>
  <si>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</si>
  <si>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</si>
  <si>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</si>
  <si>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</si>
  <si>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</si>
  <si>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</si>
  <si>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</si>
  <si>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</si>
  <si>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</si>
  <si>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</si>
  <si>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</si>
  <si>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</si>
  <si>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</si>
  <si>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</si>
  <si>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</si>
  <si>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</si>
  <si>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</si>
  <si>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</si>
  <si>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</si>
  <si>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</si>
  <si>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</si>
  <si>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</si>
  <si>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</si>
  <si>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</si>
  <si>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</si>
  <si>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</si>
  <si>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</si>
  <si>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</si>
  <si>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</si>
  <si>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</si>
  <si>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</si>
  <si>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</si>
  <si>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</si>
  <si>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</si>
  <si>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</si>
  <si>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</si>
  <si>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</si>
  <si>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</si>
  <si>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</si>
  <si>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</si>
  <si>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</si>
  <si>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</si>
  <si>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</si>
  <si>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</si>
  <si>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</si>
  <si>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</si>
  <si>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</si>
  <si>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</si>
  <si>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</si>
  <si>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</si>
  <si>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</si>
  <si>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</si>
  <si>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</si>
  <si>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</si>
  <si>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</si>
  <si>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</si>
  <si>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</si>
  <si>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</si>
  <si>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</si>
  <si>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</si>
  <si>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</si>
  <si>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</si>
  <si>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</si>
  <si>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</si>
  <si>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</si>
  <si>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</si>
  <si>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</si>
  <si>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</si>
  <si>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</si>
  <si>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</si>
  <si>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</si>
  <si>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</si>
  <si>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</si>
  <si>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</si>
  <si>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</si>
  <si>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</si>
  <si>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</si>
  <si>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</si>
  <si>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</si>
  <si>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</si>
  <si>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</si>
  <si>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</si>
  <si>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</si>
  <si>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</si>
  <si>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</si>
  <si>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</si>
  <si>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</si>
  <si>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</si>
  <si>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</si>
  <si>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</si>
  <si>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</si>
  <si>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</si>
  <si>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</si>
  <si>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</si>
  <si>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</si>
  <si>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</si>
  <si>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</si>
  <si>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</si>
  <si>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</si>
  <si>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</si>
  <si>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</si>
  <si>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</si>
  <si>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</si>
  <si>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</si>
  <si>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</si>
  <si>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</si>
  <si>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</si>
  <si>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</si>
  <si>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</si>
  <si>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</si>
  <si>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</si>
  <si>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</si>
  <si>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</si>
  <si>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</si>
  <si>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</si>
  <si>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</si>
  <si>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</si>
  <si>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</si>
  <si>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</si>
  <si>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</si>
  <si>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</si>
  <si>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</si>
  <si>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</si>
  <si>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</si>
  <si>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</si>
  <si>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</si>
  <si>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</si>
  <si>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</si>
  <si>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</si>
  <si>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</si>
  <si>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</si>
  <si>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</si>
  <si>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</si>
  <si>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</si>
  <si>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</si>
  <si>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</si>
  <si>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</si>
  <si>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</si>
  <si>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</si>
  <si>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</si>
  <si>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</si>
  <si>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</si>
  <si>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</si>
  <si>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</si>
  <si>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</si>
  <si>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</si>
  <si>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</si>
  <si>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</si>
  <si>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</si>
  <si>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</si>
  <si>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</si>
  <si>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</si>
  <si>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</si>
  <si>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</si>
  <si>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</si>
  <si>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</si>
  <si>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</si>
  <si>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</si>
  <si>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</si>
  <si>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</si>
  <si>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</si>
  <si>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</si>
  <si>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</si>
  <si>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</si>
  <si>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</si>
  <si>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</si>
  <si>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</si>
  <si>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</si>
  <si>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</si>
  <si>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</si>
  <si>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</si>
  <si>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</si>
  <si>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</si>
  <si>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</si>
  <si>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</si>
  <si>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</si>
  <si>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</si>
  <si>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</si>
  <si>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</si>
  <si>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</si>
  <si>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</si>
  <si>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</si>
  <si>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</si>
  <si>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</si>
  <si>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</si>
  <si>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</si>
  <si>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</si>
  <si>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</si>
  <si>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</si>
  <si>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</si>
  <si>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</si>
  <si>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</si>
  <si>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</si>
  <si>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</si>
  <si>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</si>
  <si>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</si>
  <si>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</si>
  <si>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</si>
  <si>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</si>
  <si>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</si>
  <si>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</si>
  <si>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</si>
  <si>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</si>
  <si>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</si>
  <si>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</si>
  <si>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</si>
  <si>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</si>
  <si>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</si>
  <si>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</si>
  <si>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</si>
  <si>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</si>
  <si>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</si>
  <si>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</si>
  <si>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</si>
  <si>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</si>
  <si>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</si>
  <si>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</si>
  <si>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</si>
  <si>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</si>
  <si>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</si>
  <si>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</si>
  <si>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</si>
  <si>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</si>
  <si>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</si>
  <si>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</si>
  <si>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</si>
  <si>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</si>
  <si>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</si>
  <si>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</si>
  <si>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</si>
  <si>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</si>
  <si>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</si>
  <si>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</si>
  <si>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</si>
  <si>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</si>
  <si>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</si>
  <si>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</si>
  <si>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</si>
  <si>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</si>
  <si>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</si>
  <si>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</si>
  <si>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</si>
  <si>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</si>
  <si>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</si>
  <si>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</si>
  <si>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</si>
  <si>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</si>
  <si>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</si>
  <si>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</si>
  <si>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</si>
  <si>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</si>
  <si>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</si>
  <si>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</si>
  <si>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</si>
  <si>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</si>
  <si>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</si>
  <si>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</si>
  <si>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</si>
  <si>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</si>
  <si>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</si>
  <si>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</si>
  <si>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</si>
  <si>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</si>
  <si>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</si>
  <si>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</si>
  <si>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</si>
  <si>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</si>
  <si>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</si>
  <si>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</si>
  <si>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</si>
  <si>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</si>
  <si>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</si>
  <si>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</si>
  <si>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</si>
  <si>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</si>
  <si>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</si>
  <si>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</si>
  <si>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</si>
  <si>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</si>
  <si>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</si>
  <si>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</si>
  <si>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</si>
  <si>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</si>
  <si>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</si>
  <si>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</si>
  <si>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</si>
  <si>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</si>
  <si>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</si>
  <si>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</si>
  <si>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</si>
  <si>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</si>
  <si>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</si>
  <si>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</si>
  <si>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</si>
  <si>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</si>
  <si>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</si>
  <si>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</si>
  <si>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</si>
  <si>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</si>
  <si>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</si>
  <si>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</si>
  <si>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</si>
  <si>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</si>
  <si>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</si>
  <si>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</si>
  <si>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</si>
  <si>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</si>
  <si>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</si>
  <si>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</si>
  <si>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</si>
  <si>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</si>
  <si>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</si>
  <si>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</si>
  <si>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</si>
  <si>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</si>
  <si>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</si>
  <si>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</si>
  <si>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</si>
  <si>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</si>
  <si>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</si>
  <si>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</si>
  <si>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</si>
  <si>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</si>
  <si>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</si>
  <si>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</si>
  <si>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</si>
  <si>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</si>
  <si>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</si>
  <si>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</si>
  <si>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</si>
  <si>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</si>
  <si>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</si>
  <si>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</si>
  <si>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</si>
  <si>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</si>
  <si>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</si>
  <si>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</si>
  <si>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</si>
  <si>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</si>
  <si>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</si>
  <si>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</si>
  <si>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</si>
  <si>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</si>
  <si>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</si>
  <si>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</si>
  <si>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</si>
  <si>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</si>
  <si>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</si>
  <si>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</si>
  <si>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</si>
  <si>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</si>
  <si>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</si>
  <si>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</si>
  <si>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</si>
  <si>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</si>
  <si>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</si>
  <si>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</si>
  <si>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</si>
  <si>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</si>
  <si>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</si>
  <si>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</si>
  <si>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</si>
  <si>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</si>
  <si>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</si>
  <si>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</si>
  <si>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</si>
  <si>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</si>
  <si>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</si>
  <si>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</si>
  <si>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</si>
  <si>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</si>
  <si>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</si>
  <si>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</si>
  <si>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</si>
  <si>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до  рішення Сумської  міської  ради</t>
  </si>
  <si>
    <t>«Про   внесення   змін   та  доповнень</t>
  </si>
  <si>
    <t>до   міського  бюджету  на  2017 рік»</t>
  </si>
  <si>
    <t>Виконавець: Липова С.А.</t>
  </si>
  <si>
    <t xml:space="preserve">                Додаток № 3</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</si>
  <si>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</si>
  <si>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</si>
  <si>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</si>
  <si>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</si>
  <si>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</si>
  <si>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</si>
  <si>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Інша субвенція Краснопільському районному бюджету</t>
  </si>
  <si>
    <t xml:space="preserve">Інша субвенція сільському бюджету с. Піщане </t>
  </si>
  <si>
    <t xml:space="preserve">Інша субвенція до обласного бюджету Сумської області </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</si>
  <si>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</si>
  <si>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</si>
  <si>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</si>
  <si>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</si>
  <si>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Виконання програми «Програма економічного і соціального розвитку м. Суми на  2017 рік»</t>
  </si>
  <si>
    <r>
      <t xml:space="preserve">від </t>
    </r>
    <r>
      <rPr>
        <sz val="20"/>
        <color indexed="9"/>
        <rFont val="Times New Roman"/>
        <family val="1"/>
      </rPr>
      <t>26 липня</t>
    </r>
    <r>
      <rPr>
        <sz val="20"/>
        <rFont val="Times New Roman"/>
        <family val="1"/>
      </rPr>
      <t xml:space="preserve"> 2017 року № </t>
    </r>
    <r>
      <rPr>
        <sz val="20"/>
        <color indexed="9"/>
        <rFont val="Times New Roman"/>
        <family val="1"/>
      </rPr>
      <t>2245</t>
    </r>
    <r>
      <rPr>
        <sz val="20"/>
        <rFont val="Times New Roman"/>
        <family val="1"/>
      </rPr>
      <t>-МР</t>
    </r>
  </si>
  <si>
    <t xml:space="preserve">                Додаток № 2</t>
  </si>
  <si>
    <t>Сумський міський голова</t>
  </si>
  <si>
    <t>О.М. Лисенко</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</si>
</sst>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8">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
      <sz val="20"/>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4"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5"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43">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Alignment="1" applyProtection="1">
      <alignment/>
      <protection/>
    </xf>
    <xf numFmtId="0" fontId="25" fillId="0" borderId="12" xfId="0" applyNumberFormat="1" applyFont="1" applyFill="1" applyBorder="1" applyAlignment="1" applyProtection="1">
      <alignment horizontal="right" vertical="center"/>
      <protection/>
    </xf>
    <xf numFmtId="0" fontId="28" fillId="0" borderId="13" xfId="0" applyNumberFormat="1" applyFont="1" applyFill="1" applyBorder="1" applyAlignment="1" applyProtection="1">
      <alignment/>
      <protection/>
    </xf>
    <xf numFmtId="0" fontId="28" fillId="0" borderId="0" xfId="0" applyFont="1" applyFill="1" applyAlignment="1">
      <alignment/>
    </xf>
    <xf numFmtId="0" fontId="28" fillId="0" borderId="14" xfId="0" applyNumberFormat="1" applyFont="1" applyFill="1" applyBorder="1" applyAlignment="1" applyProtection="1">
      <alignment/>
      <protection/>
    </xf>
    <xf numFmtId="0" fontId="28"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49" fontId="29" fillId="0" borderId="16" xfId="0" applyNumberFormat="1" applyFont="1" applyFill="1" applyBorder="1" applyAlignment="1">
      <alignment horizontal="center" vertical="center"/>
    </xf>
    <xf numFmtId="0" fontId="29" fillId="0" borderId="16"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5" fillId="0" borderId="0" xfId="0" applyNumberFormat="1" applyFont="1" applyFill="1" applyAlignment="1" applyProtection="1">
      <alignment horizontal="center"/>
      <protection/>
    </xf>
    <xf numFmtId="0" fontId="30" fillId="0" borderId="16" xfId="0" applyFont="1" applyFill="1" applyBorder="1" applyAlignment="1">
      <alignment horizontal="left" vertical="center" wrapText="1"/>
    </xf>
    <xf numFmtId="49" fontId="28" fillId="0" borderId="16"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0" fontId="28" fillId="0" borderId="0" xfId="0" applyNumberFormat="1" applyFont="1" applyFill="1" applyAlignment="1" applyProtection="1">
      <alignment vertical="center"/>
      <protection/>
    </xf>
    <xf numFmtId="0" fontId="28" fillId="0" borderId="16" xfId="0" applyFont="1" applyFill="1" applyBorder="1" applyAlignment="1">
      <alignment horizontal="left" vertical="center" wrapText="1"/>
    </xf>
    <xf numFmtId="0" fontId="30"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0" fontId="30" fillId="0" borderId="16" xfId="0" applyNumberFormat="1" applyFont="1" applyFill="1" applyBorder="1" applyAlignment="1" applyProtection="1">
      <alignment horizontal="center" vertical="center"/>
      <protection/>
    </xf>
    <xf numFmtId="49" fontId="30" fillId="0" borderId="16" xfId="0" applyNumberFormat="1" applyFont="1" applyFill="1" applyBorder="1" applyAlignment="1">
      <alignment horizontal="center" vertical="center"/>
    </xf>
    <xf numFmtId="0" fontId="30" fillId="0" borderId="16" xfId="0" applyFont="1" applyFill="1" applyBorder="1" applyAlignment="1">
      <alignment horizontal="left" vertical="center" wrapText="1"/>
    </xf>
    <xf numFmtId="0" fontId="30" fillId="0" borderId="0" xfId="0" applyNumberFormat="1" applyFont="1" applyFill="1" applyBorder="1" applyAlignment="1" applyProtection="1">
      <alignment vertical="center"/>
      <protection/>
    </xf>
    <xf numFmtId="0" fontId="30" fillId="0" borderId="0" xfId="0" applyFont="1" applyFill="1" applyBorder="1" applyAlignment="1">
      <alignment vertical="center"/>
    </xf>
    <xf numFmtId="0" fontId="30" fillId="0" borderId="0" xfId="0" applyNumberFormat="1" applyFont="1" applyFill="1" applyAlignment="1" applyProtection="1">
      <alignment vertical="center"/>
      <protection/>
    </xf>
    <xf numFmtId="0" fontId="30" fillId="0" borderId="0" xfId="0" applyFont="1" applyFill="1" applyAlignment="1">
      <alignment vertical="center"/>
    </xf>
    <xf numFmtId="0" fontId="30" fillId="0" borderId="16" xfId="0" applyFont="1" applyFill="1" applyBorder="1" applyAlignment="1">
      <alignment vertical="center" wrapText="1"/>
    </xf>
    <xf numFmtId="49" fontId="30" fillId="0" borderId="16" xfId="0" applyNumberFormat="1" applyFont="1" applyFill="1" applyBorder="1" applyAlignment="1">
      <alignment horizontal="left" vertical="center" wrapText="1"/>
    </xf>
    <xf numFmtId="49" fontId="30" fillId="0" borderId="16" xfId="0" applyNumberFormat="1" applyFont="1" applyFill="1" applyBorder="1" applyAlignment="1" applyProtection="1">
      <alignment horizontal="center" vertical="center"/>
      <protection/>
    </xf>
    <xf numFmtId="4" fontId="30" fillId="0" borderId="16" xfId="0" applyNumberFormat="1" applyFont="1" applyFill="1" applyBorder="1" applyAlignment="1">
      <alignment vertical="center" wrapText="1"/>
    </xf>
    <xf numFmtId="3" fontId="32"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0" fontId="28" fillId="0" borderId="0" xfId="0" applyNumberFormat="1" applyFont="1" applyFill="1" applyBorder="1" applyAlignment="1" applyProtection="1">
      <alignment vertical="center"/>
      <protection/>
    </xf>
    <xf numFmtId="0" fontId="28" fillId="0" borderId="0" xfId="0" applyFont="1" applyFill="1" applyBorder="1" applyAlignment="1">
      <alignment vertical="center"/>
    </xf>
    <xf numFmtId="3" fontId="33" fillId="0" borderId="0" xfId="0" applyNumberFormat="1" applyFont="1" applyFill="1" applyBorder="1" applyAlignment="1">
      <alignment horizontal="center" vertical="center" wrapText="1"/>
    </xf>
    <xf numFmtId="0" fontId="25" fillId="0" borderId="0" xfId="0" applyNumberFormat="1" applyFont="1" applyFill="1" applyAlignment="1" applyProtection="1">
      <alignment vertical="top"/>
      <protection/>
    </xf>
    <xf numFmtId="0" fontId="28" fillId="0" borderId="16" xfId="0" applyNumberFormat="1" applyFont="1" applyFill="1" applyBorder="1" applyAlignment="1" applyProtection="1">
      <alignment horizontal="center" vertical="center" wrapText="1"/>
      <protection/>
    </xf>
    <xf numFmtId="49" fontId="30" fillId="0" borderId="1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25" fillId="0" borderId="14" xfId="0" applyNumberFormat="1" applyFont="1" applyFill="1" applyBorder="1" applyAlignment="1" applyProtection="1">
      <alignment/>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49" fontId="36" fillId="0" borderId="16"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36" fillId="0" borderId="15" xfId="0" applyFont="1" applyFill="1" applyBorder="1" applyAlignment="1">
      <alignment horizontal="left" vertical="center" wrapText="1"/>
    </xf>
    <xf numFmtId="0" fontId="36" fillId="0" borderId="0" xfId="0" applyFont="1" applyFill="1" applyAlignment="1">
      <alignment/>
    </xf>
    <xf numFmtId="49" fontId="36" fillId="0" borderId="16" xfId="0" applyNumberFormat="1" applyFont="1" applyFill="1" applyBorder="1" applyAlignment="1">
      <alignment horizontal="center" vertical="center" wrapText="1"/>
    </xf>
    <xf numFmtId="0" fontId="36" fillId="0" borderId="16" xfId="0"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0" fontId="35"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49" fontId="25" fillId="0" borderId="16"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5" fillId="0" borderId="16" xfId="0" applyNumberFormat="1" applyFont="1" applyFill="1" applyBorder="1" applyAlignment="1">
      <alignment horizontal="center" vertical="center"/>
    </xf>
    <xf numFmtId="4" fontId="25" fillId="0" borderId="16" xfId="0" applyNumberFormat="1" applyFont="1" applyFill="1" applyBorder="1" applyAlignment="1">
      <alignment horizontal="center" vertical="center"/>
    </xf>
    <xf numFmtId="4" fontId="36" fillId="0" borderId="16"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25" fillId="0" borderId="16" xfId="0" applyFont="1" applyFill="1" applyBorder="1" applyAlignment="1">
      <alignment vertical="center"/>
    </xf>
    <xf numFmtId="0" fontId="28" fillId="0" borderId="16"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6" xfId="0" applyFont="1" applyFill="1" applyBorder="1" applyAlignment="1">
      <alignment vertical="center" wrapText="1"/>
    </xf>
    <xf numFmtId="49" fontId="30" fillId="0" borderId="19"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3" fontId="27" fillId="0" borderId="0" xfId="0" applyNumberFormat="1" applyFont="1" applyFill="1" applyBorder="1" applyAlignment="1">
      <alignment horizontal="center" vertical="center" wrapText="1"/>
    </xf>
    <xf numFmtId="0" fontId="0" fillId="0" borderId="0" xfId="0" applyFont="1" applyFill="1" applyAlignment="1">
      <alignment wrapText="1"/>
    </xf>
    <xf numFmtId="4" fontId="25" fillId="0" borderId="0" xfId="0" applyNumberFormat="1" applyFont="1" applyFill="1" applyAlignment="1">
      <alignment/>
    </xf>
    <xf numFmtId="0" fontId="35" fillId="0" borderId="0" xfId="0" applyNumberFormat="1" applyFont="1" applyFill="1" applyBorder="1" applyAlignment="1" applyProtection="1">
      <alignment/>
      <protection/>
    </xf>
    <xf numFmtId="0" fontId="35" fillId="0" borderId="0" xfId="0" applyFont="1" applyFill="1" applyBorder="1" applyAlignment="1">
      <alignment/>
    </xf>
    <xf numFmtId="4" fontId="35" fillId="0" borderId="0" xfId="0" applyNumberFormat="1" applyFont="1" applyFill="1" applyAlignment="1">
      <alignment/>
    </xf>
    <xf numFmtId="0" fontId="35" fillId="0" borderId="0" xfId="0" applyNumberFormat="1" applyFont="1" applyFill="1" applyAlignment="1" applyProtection="1">
      <alignment/>
      <protection/>
    </xf>
    <xf numFmtId="0" fontId="35" fillId="0" borderId="0" xfId="0" applyFont="1" applyFill="1" applyAlignment="1">
      <alignment/>
    </xf>
    <xf numFmtId="49" fontId="35" fillId="0" borderId="16" xfId="0" applyNumberFormat="1" applyFont="1" applyFill="1" applyBorder="1" applyAlignment="1">
      <alignment horizontal="center" vertical="center"/>
    </xf>
    <xf numFmtId="0" fontId="25" fillId="0" borderId="18" xfId="0" applyFont="1" applyFill="1" applyBorder="1" applyAlignment="1">
      <alignment vertical="center" wrapText="1"/>
    </xf>
    <xf numFmtId="0" fontId="36" fillId="0" borderId="18" xfId="0" applyFont="1" applyFill="1" applyBorder="1" applyAlignment="1">
      <alignment vertical="center" wrapText="1"/>
    </xf>
    <xf numFmtId="0" fontId="35" fillId="0" borderId="18" xfId="0" applyFont="1" applyFill="1" applyBorder="1" applyAlignment="1">
      <alignment horizontal="left" vertical="center" wrapText="1"/>
    </xf>
    <xf numFmtId="0" fontId="28" fillId="0" borderId="20"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horizontal="left" vertical="center"/>
    </xf>
    <xf numFmtId="0" fontId="28"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vertical="center" wrapText="1"/>
    </xf>
    <xf numFmtId="0" fontId="28" fillId="0" borderId="16" xfId="0" applyNumberFormat="1" applyFont="1" applyFill="1" applyBorder="1" applyAlignment="1" applyProtection="1">
      <alignment horizontal="center" vertical="center"/>
      <protection/>
    </xf>
    <xf numFmtId="0" fontId="29" fillId="0" borderId="0" xfId="0" applyNumberFormat="1" applyFont="1" applyFill="1" applyAlignment="1" applyProtection="1">
      <alignment vertical="center"/>
      <protection/>
    </xf>
    <xf numFmtId="0" fontId="29" fillId="0" borderId="16" xfId="0" applyNumberFormat="1" applyFont="1" applyFill="1" applyBorder="1" applyAlignment="1" applyProtection="1">
      <alignment horizontal="center" vertical="center"/>
      <protection/>
    </xf>
    <xf numFmtId="0" fontId="29" fillId="0" borderId="0" xfId="0" applyFont="1" applyFill="1" applyBorder="1" applyAlignment="1">
      <alignment vertical="center"/>
    </xf>
    <xf numFmtId="0" fontId="29" fillId="0" borderId="0" xfId="0" applyFont="1" applyFill="1" applyAlignment="1">
      <alignment vertical="center"/>
    </xf>
    <xf numFmtId="4" fontId="25" fillId="0" borderId="16" xfId="0" applyNumberFormat="1" applyFont="1" applyFill="1" applyBorder="1" applyAlignment="1" applyProtection="1">
      <alignment horizontal="center" vertical="center" wrapText="1"/>
      <protection/>
    </xf>
    <xf numFmtId="4" fontId="25" fillId="0" borderId="16" xfId="95" applyNumberFormat="1" applyFont="1" applyFill="1" applyBorder="1" applyAlignment="1">
      <alignment vertical="center"/>
      <protection/>
    </xf>
    <xf numFmtId="4" fontId="36" fillId="0" borderId="16" xfId="95" applyNumberFormat="1" applyFont="1" applyFill="1" applyBorder="1" applyAlignment="1">
      <alignment vertical="center"/>
      <protection/>
    </xf>
    <xf numFmtId="200" fontId="25" fillId="0" borderId="16" xfId="95" applyNumberFormat="1" applyFont="1" applyFill="1" applyBorder="1" applyAlignment="1">
      <alignment vertical="center"/>
      <protection/>
    </xf>
    <xf numFmtId="4" fontId="25" fillId="0" borderId="16" xfId="0" applyNumberFormat="1" applyFont="1" applyFill="1" applyBorder="1" applyAlignment="1">
      <alignment vertical="center"/>
    </xf>
    <xf numFmtId="4" fontId="36" fillId="0" borderId="21" xfId="95" applyNumberFormat="1" applyFont="1" applyFill="1" applyBorder="1" applyAlignment="1">
      <alignment vertical="center"/>
      <protection/>
    </xf>
    <xf numFmtId="200" fontId="36" fillId="0" borderId="21" xfId="95" applyNumberFormat="1" applyFont="1" applyFill="1" applyBorder="1" applyAlignment="1">
      <alignment vertical="center"/>
      <protection/>
    </xf>
    <xf numFmtId="200" fontId="36" fillId="0" borderId="16" xfId="95" applyNumberFormat="1" applyFont="1" applyFill="1" applyBorder="1" applyAlignment="1">
      <alignment vertical="center"/>
      <protection/>
    </xf>
    <xf numFmtId="4" fontId="36" fillId="0" borderId="16" xfId="0" applyNumberFormat="1" applyFont="1" applyFill="1" applyBorder="1" applyAlignment="1">
      <alignment vertical="center"/>
    </xf>
    <xf numFmtId="4" fontId="35" fillId="0" borderId="16" xfId="95" applyNumberFormat="1" applyFont="1" applyFill="1" applyBorder="1" applyAlignment="1">
      <alignment vertical="center"/>
      <protection/>
    </xf>
    <xf numFmtId="49" fontId="29" fillId="0" borderId="16" xfId="0" applyNumberFormat="1" applyFont="1" applyFill="1" applyBorder="1" applyAlignment="1" applyProtection="1">
      <alignment horizontal="center" vertical="center"/>
      <protection/>
    </xf>
    <xf numFmtId="0" fontId="29" fillId="0" borderId="21" xfId="0" applyFont="1" applyFill="1" applyBorder="1" applyAlignment="1">
      <alignment vertical="center" wrapText="1"/>
    </xf>
    <xf numFmtId="49" fontId="31" fillId="0" borderId="16" xfId="0" applyNumberFormat="1" applyFont="1" applyFill="1" applyBorder="1" applyAlignment="1" applyProtection="1">
      <alignment horizontal="center" vertical="center"/>
      <protection/>
    </xf>
    <xf numFmtId="0" fontId="31" fillId="0" borderId="21" xfId="0" applyFont="1" applyFill="1" applyBorder="1" applyAlignment="1">
      <alignment vertical="center" wrapText="1"/>
    </xf>
    <xf numFmtId="4" fontId="37" fillId="0" borderId="16" xfId="95" applyNumberFormat="1" applyFont="1" applyFill="1" applyBorder="1" applyAlignment="1">
      <alignment vertical="center"/>
      <protection/>
    </xf>
    <xf numFmtId="49" fontId="31" fillId="0" borderId="16" xfId="0" applyNumberFormat="1" applyFont="1" applyFill="1" applyBorder="1" applyAlignment="1">
      <alignment horizontal="center" vertical="center"/>
    </xf>
    <xf numFmtId="0" fontId="31" fillId="0" borderId="16" xfId="0" applyFont="1" applyFill="1" applyBorder="1" applyAlignment="1">
      <alignment horizontal="left" vertical="center" wrapText="1"/>
    </xf>
    <xf numFmtId="0" fontId="31" fillId="0" borderId="16"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0" fontId="30" fillId="0" borderId="17" xfId="0" applyFont="1" applyFill="1" applyBorder="1" applyAlignment="1">
      <alignment horizontal="left" vertical="center" wrapText="1"/>
    </xf>
    <xf numFmtId="49" fontId="28"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protection/>
    </xf>
    <xf numFmtId="0" fontId="36" fillId="0" borderId="16" xfId="0" applyNumberFormat="1" applyFont="1" applyFill="1" applyBorder="1" applyAlignment="1" applyProtection="1">
      <alignment horizontal="center" vertical="center"/>
      <protection/>
    </xf>
    <xf numFmtId="4" fontId="36" fillId="0" borderId="0" xfId="0" applyNumberFormat="1" applyFont="1" applyFill="1" applyAlignment="1">
      <alignment/>
    </xf>
    <xf numFmtId="49" fontId="25" fillId="0" borderId="16"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vertical="top" wrapText="1"/>
      <protection/>
    </xf>
    <xf numFmtId="49" fontId="36" fillId="0" borderId="16" xfId="0" applyNumberFormat="1" applyFont="1" applyFill="1" applyBorder="1" applyAlignment="1" applyProtection="1">
      <alignment horizontal="center" vertical="center"/>
      <protection/>
    </xf>
    <xf numFmtId="0" fontId="36" fillId="0" borderId="17"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37" fillId="0" borderId="0" xfId="0" applyNumberFormat="1" applyFont="1" applyFill="1" applyAlignment="1" applyProtection="1">
      <alignment/>
      <protection/>
    </xf>
    <xf numFmtId="4" fontId="37" fillId="0" borderId="0" xfId="0" applyNumberFormat="1" applyFont="1" applyFill="1" applyAlignment="1">
      <alignment/>
    </xf>
    <xf numFmtId="0" fontId="37" fillId="0" borderId="0" xfId="0" applyFont="1" applyFill="1" applyAlignment="1">
      <alignment/>
    </xf>
    <xf numFmtId="49" fontId="25" fillId="0" borderId="17" xfId="0" applyNumberFormat="1" applyFont="1" applyFill="1" applyBorder="1" applyAlignment="1">
      <alignment horizontal="center" vertical="center"/>
    </xf>
    <xf numFmtId="49" fontId="35" fillId="0" borderId="22" xfId="0" applyNumberFormat="1" applyFont="1" applyFill="1" applyBorder="1" applyAlignment="1">
      <alignment vertical="center"/>
    </xf>
    <xf numFmtId="4" fontId="36" fillId="0" borderId="16" xfId="0" applyNumberFormat="1" applyFont="1" applyFill="1" applyBorder="1" applyAlignment="1">
      <alignment horizontal="right" vertical="center"/>
    </xf>
    <xf numFmtId="0" fontId="30" fillId="0" borderId="13" xfId="0" applyFont="1" applyFill="1" applyBorder="1" applyAlignment="1">
      <alignment horizontal="left" vertical="center" wrapText="1"/>
    </xf>
    <xf numFmtId="0" fontId="30" fillId="0" borderId="15" xfId="0" applyFont="1" applyFill="1" applyBorder="1" applyAlignment="1">
      <alignment horizontal="left" vertical="center" wrapText="1"/>
    </xf>
    <xf numFmtId="4" fontId="36" fillId="0" borderId="17" xfId="95" applyNumberFormat="1" applyFont="1" applyFill="1" applyBorder="1" applyAlignment="1">
      <alignment vertical="center"/>
      <protection/>
    </xf>
    <xf numFmtId="0" fontId="36" fillId="0" borderId="13" xfId="0" applyFont="1" applyFill="1" applyBorder="1" applyAlignment="1">
      <alignment horizontal="left" vertical="center" wrapText="1"/>
    </xf>
    <xf numFmtId="49" fontId="36" fillId="0" borderId="17" xfId="0" applyNumberFormat="1" applyFont="1" applyFill="1" applyBorder="1" applyAlignment="1">
      <alignment horizontal="center" vertical="center"/>
    </xf>
    <xf numFmtId="0" fontId="36" fillId="0" borderId="16" xfId="0" applyFont="1" applyFill="1" applyBorder="1" applyAlignment="1">
      <alignment vertical="center"/>
    </xf>
    <xf numFmtId="0" fontId="33" fillId="0" borderId="0" xfId="0" applyFont="1" applyFill="1" applyAlignment="1">
      <alignment vertical="center"/>
    </xf>
    <xf numFmtId="49" fontId="28" fillId="0" borderId="16" xfId="0" applyNumberFormat="1" applyFont="1" applyFill="1" applyBorder="1" applyAlignment="1">
      <alignment horizontal="left" vertical="center"/>
    </xf>
    <xf numFmtId="0" fontId="28" fillId="0" borderId="0" xfId="0" applyNumberFormat="1" applyFont="1" applyFill="1" applyAlignment="1" applyProtection="1">
      <alignment vertical="center"/>
      <protection/>
    </xf>
    <xf numFmtId="0" fontId="28" fillId="0" borderId="16"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49" fontId="28" fillId="0" borderId="17"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28" fillId="0" borderId="0" xfId="95" applyNumberFormat="1" applyFont="1" applyFill="1" applyBorder="1" applyAlignment="1">
      <alignment vertical="center"/>
      <protection/>
    </xf>
    <xf numFmtId="0" fontId="27" fillId="0" borderId="0" xfId="0" applyNumberFormat="1" applyFont="1" applyFill="1" applyAlignment="1" applyProtection="1">
      <alignment horizontal="center"/>
      <protection/>
    </xf>
    <xf numFmtId="4" fontId="36" fillId="0" borderId="17" xfId="95" applyNumberFormat="1" applyFont="1" applyFill="1" applyBorder="1" applyAlignment="1">
      <alignment/>
      <protection/>
    </xf>
    <xf numFmtId="0" fontId="28" fillId="0" borderId="0" xfId="0" applyNumberFormat="1" applyFont="1" applyFill="1" applyAlignment="1" applyProtection="1">
      <alignment/>
      <protection/>
    </xf>
    <xf numFmtId="0" fontId="28" fillId="0" borderId="0" xfId="0" applyNumberFormat="1" applyFont="1" applyFill="1" applyAlignment="1" applyProtection="1">
      <alignment vertical="top"/>
      <protection/>
    </xf>
    <xf numFmtId="0" fontId="28" fillId="0" borderId="12" xfId="0" applyFont="1" applyFill="1" applyBorder="1" applyAlignment="1">
      <alignment horizontal="center"/>
    </xf>
    <xf numFmtId="0" fontId="28" fillId="0" borderId="16" xfId="0" applyFont="1" applyFill="1" applyBorder="1" applyAlignment="1">
      <alignment vertical="center" wrapText="1"/>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8" fillId="0" borderId="16" xfId="0" applyFont="1" applyFill="1" applyBorder="1" applyAlignment="1">
      <alignment horizontal="left" vertical="center" wrapText="1"/>
    </xf>
    <xf numFmtId="0" fontId="31" fillId="0" borderId="0" xfId="0" applyNumberFormat="1" applyFont="1" applyFill="1" applyAlignment="1" applyProtection="1">
      <alignment vertical="center"/>
      <protection/>
    </xf>
    <xf numFmtId="0" fontId="31" fillId="0" borderId="0" xfId="0" applyFont="1" applyFill="1" applyBorder="1" applyAlignment="1">
      <alignment vertical="center"/>
    </xf>
    <xf numFmtId="0" fontId="31" fillId="0" borderId="0" xfId="0" applyFont="1" applyFill="1" applyAlignment="1">
      <alignment vertical="center"/>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27" fillId="0" borderId="0" xfId="0" applyFont="1" applyFill="1" applyAlignment="1">
      <alignment vertical="center" textRotation="180"/>
    </xf>
    <xf numFmtId="0" fontId="38"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4" fillId="0" borderId="0" xfId="0" applyNumberFormat="1" applyFont="1" applyFill="1" applyBorder="1" applyAlignment="1" applyProtection="1">
      <alignment vertical="top" wrapText="1"/>
      <protection/>
    </xf>
    <xf numFmtId="0" fontId="30" fillId="0" borderId="17" xfId="0" applyNumberFormat="1" applyFont="1" applyFill="1" applyBorder="1" applyAlignment="1" applyProtection="1">
      <alignment horizontal="center" vertical="center"/>
      <protection/>
    </xf>
    <xf numFmtId="0" fontId="36" fillId="0" borderId="17" xfId="0" applyFont="1" applyFill="1" applyBorder="1" applyAlignment="1">
      <alignment horizontal="center" vertical="center" wrapText="1"/>
    </xf>
    <xf numFmtId="0" fontId="39" fillId="0" borderId="0" xfId="0" applyNumberFormat="1" applyFont="1" applyFill="1" applyAlignment="1" applyProtection="1">
      <alignment/>
      <protection/>
    </xf>
    <xf numFmtId="0" fontId="28" fillId="0" borderId="0" xfId="0" applyFont="1" applyFill="1" applyBorder="1" applyAlignment="1">
      <alignment wrapText="1"/>
    </xf>
    <xf numFmtId="49" fontId="36" fillId="0" borderId="16" xfId="0" applyNumberFormat="1" applyFont="1" applyFill="1" applyBorder="1" applyAlignment="1">
      <alignment horizontal="left" vertical="center" wrapText="1"/>
    </xf>
    <xf numFmtId="0" fontId="28" fillId="0" borderId="0" xfId="0" applyFont="1" applyFill="1" applyAlignment="1">
      <alignment vertical="center" wrapText="1"/>
    </xf>
    <xf numFmtId="0" fontId="30" fillId="0" borderId="21" xfId="0" applyFont="1" applyFill="1" applyBorder="1" applyAlignment="1">
      <alignment horizontal="left" vertical="center" wrapText="1"/>
    </xf>
    <xf numFmtId="0" fontId="28" fillId="0" borderId="16" xfId="0" applyFont="1" applyFill="1" applyBorder="1" applyAlignment="1">
      <alignment vertical="center" wrapText="1"/>
    </xf>
    <xf numFmtId="0" fontId="30" fillId="0" borderId="0" xfId="0" applyFont="1" applyFill="1" applyAlignment="1">
      <alignment vertical="center" wrapText="1"/>
    </xf>
    <xf numFmtId="0" fontId="28" fillId="0" borderId="17" xfId="0" applyFont="1" applyFill="1" applyBorder="1" applyAlignment="1">
      <alignment horizontal="left" vertical="center" wrapText="1"/>
    </xf>
    <xf numFmtId="0" fontId="25" fillId="0" borderId="0" xfId="0" applyFont="1" applyFill="1" applyAlignment="1">
      <alignment wrapText="1"/>
    </xf>
    <xf numFmtId="0" fontId="0" fillId="0" borderId="0" xfId="0" applyFont="1" applyFill="1" applyBorder="1" applyAlignment="1">
      <alignment/>
    </xf>
    <xf numFmtId="0" fontId="0" fillId="0" borderId="0" xfId="0" applyFont="1" applyFill="1" applyAlignment="1">
      <alignment/>
    </xf>
    <xf numFmtId="4" fontId="35" fillId="0" borderId="16" xfId="0" applyNumberFormat="1" applyFont="1" applyFill="1" applyBorder="1" applyAlignment="1">
      <alignment horizontal="right" vertical="center"/>
    </xf>
    <xf numFmtId="4" fontId="25" fillId="0" borderId="16" xfId="0" applyNumberFormat="1" applyFont="1" applyFill="1" applyBorder="1" applyAlignment="1">
      <alignment horizontal="right" vertical="center"/>
    </xf>
    <xf numFmtId="4" fontId="36" fillId="0" borderId="17" xfId="0" applyNumberFormat="1" applyFont="1" applyFill="1" applyBorder="1" applyAlignment="1">
      <alignment horizontal="right" vertical="center"/>
    </xf>
    <xf numFmtId="4" fontId="36" fillId="0" borderId="17" xfId="0" applyNumberFormat="1" applyFont="1" applyFill="1" applyBorder="1" applyAlignment="1">
      <alignment horizontal="right"/>
    </xf>
    <xf numFmtId="4" fontId="36" fillId="0" borderId="21" xfId="0" applyNumberFormat="1" applyFont="1" applyFill="1" applyBorder="1" applyAlignment="1">
      <alignment horizontal="right" vertical="center"/>
    </xf>
    <xf numFmtId="4" fontId="25" fillId="0" borderId="16" xfId="0" applyNumberFormat="1" applyFont="1" applyFill="1" applyBorder="1" applyAlignment="1" quotePrefix="1">
      <alignment horizontal="right" vertical="center"/>
    </xf>
    <xf numFmtId="4" fontId="36" fillId="0" borderId="18" xfId="0" applyNumberFormat="1" applyFont="1" applyFill="1" applyBorder="1" applyAlignment="1">
      <alignment horizontal="right" vertical="center"/>
    </xf>
    <xf numFmtId="4" fontId="25" fillId="0" borderId="18" xfId="0" applyNumberFormat="1" applyFont="1" applyFill="1" applyBorder="1" applyAlignment="1">
      <alignment horizontal="right" vertical="center"/>
    </xf>
    <xf numFmtId="4" fontId="35" fillId="0" borderId="18" xfId="0" applyNumberFormat="1" applyFont="1" applyFill="1" applyBorder="1" applyAlignment="1">
      <alignment horizontal="right" vertical="center"/>
    </xf>
    <xf numFmtId="4" fontId="0" fillId="0" borderId="0" xfId="0" applyNumberFormat="1" applyFont="1" applyFill="1" applyAlignment="1" applyProtection="1">
      <alignment/>
      <protection/>
    </xf>
    <xf numFmtId="2" fontId="46" fillId="0" borderId="0" xfId="0" applyNumberFormat="1" applyFont="1" applyFill="1" applyAlignment="1" applyProtection="1">
      <alignment horizontal="center"/>
      <protection/>
    </xf>
    <xf numFmtId="0" fontId="46" fillId="0" borderId="0" xfId="0" applyFont="1" applyFill="1" applyBorder="1" applyAlignment="1">
      <alignment wrapText="1"/>
    </xf>
    <xf numFmtId="0" fontId="46" fillId="0" borderId="0" xfId="0" applyFont="1" applyFill="1" applyAlignment="1">
      <alignment wrapText="1"/>
    </xf>
    <xf numFmtId="3" fontId="46" fillId="0" borderId="0" xfId="0" applyNumberFormat="1" applyFont="1" applyFill="1" applyBorder="1" applyAlignment="1">
      <alignment horizontal="center" vertical="center" wrapText="1"/>
    </xf>
    <xf numFmtId="3" fontId="46" fillId="0" borderId="0" xfId="0" applyNumberFormat="1" applyFont="1" applyFill="1" applyBorder="1" applyAlignment="1">
      <alignment wrapText="1"/>
    </xf>
    <xf numFmtId="0" fontId="27" fillId="0" borderId="0" xfId="0" applyNumberFormat="1" applyFont="1" applyFill="1" applyAlignment="1" applyProtection="1">
      <alignment/>
      <protection/>
    </xf>
    <xf numFmtId="0" fontId="27" fillId="0" borderId="0" xfId="0" applyFont="1" applyFill="1" applyAlignment="1">
      <alignment/>
    </xf>
    <xf numFmtId="3" fontId="28" fillId="0" borderId="0" xfId="0" applyNumberFormat="1" applyFont="1" applyFill="1" applyBorder="1" applyAlignment="1">
      <alignment horizontal="center" vertical="center" wrapText="1"/>
    </xf>
    <xf numFmtId="0" fontId="27" fillId="0" borderId="12" xfId="0" applyFont="1" applyFill="1" applyBorder="1" applyAlignment="1">
      <alignment/>
    </xf>
    <xf numFmtId="0" fontId="27" fillId="0" borderId="0" xfId="0" applyNumberFormat="1" applyFont="1" applyFill="1" applyAlignment="1" applyProtection="1">
      <alignment horizontal="center"/>
      <protection/>
    </xf>
    <xf numFmtId="49" fontId="35" fillId="0" borderId="16" xfId="0" applyNumberFormat="1" applyFont="1" applyFill="1" applyBorder="1" applyAlignment="1" applyProtection="1">
      <alignment horizontal="center" vertical="center"/>
      <protection/>
    </xf>
    <xf numFmtId="0" fontId="36" fillId="0" borderId="16" xfId="0" applyFont="1" applyFill="1" applyBorder="1" applyAlignment="1">
      <alignment vertical="center" wrapText="1"/>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center" vertical="top" wrapText="1"/>
      <protection/>
    </xf>
    <xf numFmtId="0" fontId="28" fillId="0" borderId="16"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28" fillId="0" borderId="23"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wrapText="1"/>
      <protection/>
    </xf>
    <xf numFmtId="49" fontId="33" fillId="0" borderId="0" xfId="0" applyNumberFormat="1" applyFont="1" applyFill="1" applyBorder="1" applyAlignment="1">
      <alignment horizontal="left" vertical="center" wrapText="1"/>
    </xf>
    <xf numFmtId="3" fontId="33" fillId="0" borderId="0" xfId="0" applyNumberFormat="1" applyFont="1" applyFill="1" applyBorder="1" applyAlignment="1">
      <alignment horizontal="center" vertical="center" wrapText="1"/>
    </xf>
    <xf numFmtId="49" fontId="30" fillId="0" borderId="17" xfId="0" applyNumberFormat="1" applyFont="1" applyFill="1" applyBorder="1" applyAlignment="1" applyProtection="1">
      <alignment horizontal="center" vertical="center"/>
      <protection/>
    </xf>
    <xf numFmtId="49" fontId="30" fillId="0" borderId="21" xfId="0" applyNumberFormat="1" applyFont="1" applyFill="1" applyBorder="1" applyAlignment="1" applyProtection="1">
      <alignment horizontal="center" vertical="center"/>
      <protection/>
    </xf>
    <xf numFmtId="49" fontId="30" fillId="0" borderId="13" xfId="0" applyNumberFormat="1" applyFont="1" applyFill="1" applyBorder="1" applyAlignment="1" applyProtection="1">
      <alignment horizontal="center" vertical="center"/>
      <protection/>
    </xf>
    <xf numFmtId="49" fontId="30" fillId="0" borderId="15" xfId="0" applyNumberFormat="1" applyFont="1" applyFill="1" applyBorder="1" applyAlignment="1" applyProtection="1">
      <alignment horizontal="center" vertical="center"/>
      <protection/>
    </xf>
    <xf numFmtId="0" fontId="33" fillId="0" borderId="0" xfId="0" applyFont="1" applyFill="1" applyAlignment="1">
      <alignment vertical="center"/>
    </xf>
    <xf numFmtId="0" fontId="33" fillId="0" borderId="0" xfId="0" applyFont="1" applyFill="1" applyAlignment="1">
      <alignment horizontal="left" vertical="center" wrapText="1"/>
    </xf>
    <xf numFmtId="0" fontId="28" fillId="0" borderId="17"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8" fillId="0" borderId="21"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4" fontId="25" fillId="0" borderId="16" xfId="0" applyNumberFormat="1" applyFont="1" applyFill="1" applyBorder="1" applyAlignment="1" applyProtection="1">
      <alignment horizontal="center" vertical="center" wrapText="1"/>
      <protection/>
    </xf>
    <xf numFmtId="4" fontId="36" fillId="0" borderId="16" xfId="0" applyNumberFormat="1" applyFont="1" applyFill="1" applyBorder="1" applyAlignment="1" applyProtection="1">
      <alignment horizontal="center" vertical="center" wrapText="1"/>
      <protection/>
    </xf>
    <xf numFmtId="49" fontId="36" fillId="0" borderId="17" xfId="0" applyNumberFormat="1" applyFont="1" applyFill="1" applyBorder="1" applyAlignment="1" applyProtection="1">
      <alignment horizontal="center" vertical="center"/>
      <protection/>
    </xf>
    <xf numFmtId="49" fontId="36" fillId="0" borderId="21" xfId="0" applyNumberFormat="1" applyFont="1" applyFill="1" applyBorder="1" applyAlignment="1" applyProtection="1">
      <alignment horizontal="center" vertical="center"/>
      <protection/>
    </xf>
    <xf numFmtId="49" fontId="36" fillId="0" borderId="13" xfId="0" applyNumberFormat="1" applyFont="1" applyFill="1" applyBorder="1" applyAlignment="1" applyProtection="1">
      <alignment horizontal="center" vertical="center"/>
      <protection/>
    </xf>
    <xf numFmtId="49" fontId="36" fillId="0" borderId="15" xfId="0" applyNumberFormat="1" applyFont="1" applyFill="1" applyBorder="1" applyAlignment="1" applyProtection="1">
      <alignment horizontal="center" vertical="center"/>
      <protection/>
    </xf>
    <xf numFmtId="4" fontId="35" fillId="0" borderId="16"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467"/>
  <sheetViews>
    <sheetView showGridLines="0" showZeros="0" view="pageBreakPreview" zoomScale="70" zoomScaleNormal="70" zoomScaleSheetLayoutView="70" zoomScalePageLayoutView="0" workbookViewId="0" topLeftCell="B7">
      <pane xSplit="4" ySplit="6" topLeftCell="J311" activePane="bottomRight" state="frozen"/>
      <selection pane="topLeft" activeCell="B7" sqref="B7"/>
      <selection pane="topRight" activeCell="F7" sqref="F7"/>
      <selection pane="bottomLeft" activeCell="B13" sqref="B13"/>
      <selection pane="bottomRight" activeCell="F313" sqref="F313:Q314"/>
    </sheetView>
  </sheetViews>
  <sheetFormatPr defaultColWidth="9.16015625" defaultRowHeight="12.75"/>
  <cols>
    <col min="1" max="1" width="3.83203125" style="1" hidden="1" customWidth="1"/>
    <col min="2" max="2" width="16.5" style="40" customWidth="1"/>
    <col min="3" max="3" width="14.33203125" style="164" customWidth="1"/>
    <col min="4" max="4" width="13" style="40" customWidth="1"/>
    <col min="5" max="5" width="57.16015625" style="163" customWidth="1"/>
    <col min="6" max="6" width="22.66015625" style="1" customWidth="1"/>
    <col min="7" max="7" width="22.33203125" style="1" customWidth="1"/>
    <col min="8" max="8" width="21.83203125" style="1" customWidth="1"/>
    <col min="9" max="9" width="21.16015625" style="1" customWidth="1"/>
    <col min="10" max="10" width="20.16015625" style="1" customWidth="1"/>
    <col min="11" max="11" width="22.66015625" style="165" customWidth="1"/>
    <col min="12" max="12" width="19" style="1" customWidth="1"/>
    <col min="13" max="13" width="23.16015625" style="1" customWidth="1"/>
    <col min="14" max="14" width="17.83203125" style="1" customWidth="1"/>
    <col min="15" max="15" width="21.33203125" style="1" customWidth="1"/>
    <col min="16" max="16" width="24.66015625" style="1" customWidth="1"/>
    <col min="17" max="17" width="23.5" style="1" customWidth="1"/>
    <col min="18" max="31" width="9.16015625" style="94" customWidth="1"/>
    <col min="32" max="16384" width="9.16015625" style="79" customWidth="1"/>
  </cols>
  <sheetData>
    <row r="1" spans="3:17" ht="26.25" customHeight="1">
      <c r="C1" s="40"/>
      <c r="E1" s="159"/>
      <c r="K1" s="1"/>
      <c r="M1" s="228" t="s">
        <v>576</v>
      </c>
      <c r="N1" s="228"/>
      <c r="O1" s="228"/>
      <c r="P1" s="228"/>
      <c r="Q1" s="148"/>
    </row>
    <row r="2" spans="3:17" ht="26.25" customHeight="1">
      <c r="C2" s="40"/>
      <c r="E2" s="159"/>
      <c r="K2" s="1"/>
      <c r="M2" s="148" t="s">
        <v>556</v>
      </c>
      <c r="N2" s="148"/>
      <c r="O2" s="148"/>
      <c r="P2" s="148"/>
      <c r="Q2" s="148"/>
    </row>
    <row r="3" spans="3:17" ht="26.25" customHeight="1">
      <c r="C3" s="40"/>
      <c r="E3" s="159"/>
      <c r="K3" s="1"/>
      <c r="M3" s="148" t="s">
        <v>557</v>
      </c>
      <c r="N3" s="148"/>
      <c r="O3" s="148"/>
      <c r="P3" s="148"/>
      <c r="Q3" s="148"/>
    </row>
    <row r="4" spans="3:17" ht="26.25" customHeight="1">
      <c r="C4" s="40"/>
      <c r="E4" s="159"/>
      <c r="K4" s="1"/>
      <c r="M4" s="229" t="s">
        <v>558</v>
      </c>
      <c r="N4" s="229"/>
      <c r="O4" s="229"/>
      <c r="P4" s="229"/>
      <c r="Q4" s="229"/>
    </row>
    <row r="5" spans="3:17" ht="26.25" customHeight="1">
      <c r="C5" s="40"/>
      <c r="E5" s="159"/>
      <c r="K5" s="1"/>
      <c r="M5" s="229" t="s">
        <v>575</v>
      </c>
      <c r="N5" s="229"/>
      <c r="O5" s="229"/>
      <c r="P5" s="229"/>
      <c r="Q5" s="229"/>
    </row>
    <row r="6" spans="1:31" s="6" customFormat="1" ht="26.25" customHeight="1">
      <c r="A6" s="5"/>
      <c r="B6" s="19"/>
      <c r="C6" s="19"/>
      <c r="D6" s="19"/>
      <c r="E6" s="160"/>
      <c r="F6" s="44"/>
      <c r="G6" s="44"/>
      <c r="H6" s="44"/>
      <c r="I6" s="44"/>
      <c r="J6" s="44"/>
      <c r="K6" s="44"/>
      <c r="L6" s="1"/>
      <c r="M6" s="1"/>
      <c r="N6" s="179"/>
      <c r="O6" s="179"/>
      <c r="P6" s="179"/>
      <c r="Q6" s="1"/>
      <c r="R6" s="95"/>
      <c r="S6" s="95"/>
      <c r="T6" s="95"/>
      <c r="U6" s="95"/>
      <c r="V6" s="71"/>
      <c r="W6" s="71"/>
      <c r="X6" s="71"/>
      <c r="Y6" s="71"/>
      <c r="Z6" s="71"/>
      <c r="AA6" s="71"/>
      <c r="AB6" s="71"/>
      <c r="AC6" s="71"/>
      <c r="AD6" s="71"/>
      <c r="AE6" s="71"/>
    </row>
    <row r="7" spans="1:17" ht="69" customHeight="1">
      <c r="A7" s="7"/>
      <c r="B7" s="18"/>
      <c r="C7" s="18"/>
      <c r="D7" s="18"/>
      <c r="E7" s="214" t="s">
        <v>423</v>
      </c>
      <c r="F7" s="214"/>
      <c r="G7" s="214"/>
      <c r="H7" s="214"/>
      <c r="I7" s="214"/>
      <c r="J7" s="214"/>
      <c r="K7" s="214"/>
      <c r="L7" s="214"/>
      <c r="M7" s="214"/>
      <c r="N7" s="214"/>
      <c r="O7" s="214"/>
      <c r="P7" s="176"/>
      <c r="Q7" s="124"/>
    </row>
    <row r="8" spans="3:17" ht="11.25" customHeight="1">
      <c r="C8" s="40"/>
      <c r="E8" s="161"/>
      <c r="F8" s="80"/>
      <c r="G8" s="80"/>
      <c r="H8" s="4"/>
      <c r="I8" s="2"/>
      <c r="J8" s="2"/>
      <c r="K8" s="175"/>
      <c r="L8" s="3"/>
      <c r="M8" s="3"/>
      <c r="N8" s="3"/>
      <c r="O8" s="3"/>
      <c r="P8" s="3"/>
      <c r="Q8" s="8" t="s">
        <v>10</v>
      </c>
    </row>
    <row r="9" spans="1:31" s="10" customFormat="1" ht="21.75" customHeight="1">
      <c r="A9" s="9"/>
      <c r="B9" s="230" t="s">
        <v>417</v>
      </c>
      <c r="C9" s="230" t="s">
        <v>425</v>
      </c>
      <c r="D9" s="230" t="s">
        <v>248</v>
      </c>
      <c r="E9" s="219" t="s">
        <v>521</v>
      </c>
      <c r="F9" s="216" t="s">
        <v>0</v>
      </c>
      <c r="G9" s="217"/>
      <c r="H9" s="217"/>
      <c r="I9" s="217"/>
      <c r="J9" s="218"/>
      <c r="K9" s="219" t="s">
        <v>1</v>
      </c>
      <c r="L9" s="219"/>
      <c r="M9" s="219"/>
      <c r="N9" s="219"/>
      <c r="O9" s="219"/>
      <c r="P9" s="219"/>
      <c r="Q9" s="219" t="s">
        <v>2</v>
      </c>
      <c r="R9" s="96"/>
      <c r="S9" s="96"/>
      <c r="T9" s="96"/>
      <c r="U9" s="96"/>
      <c r="V9" s="96"/>
      <c r="W9" s="96"/>
      <c r="X9" s="96"/>
      <c r="Y9" s="96"/>
      <c r="Z9" s="96"/>
      <c r="AA9" s="96"/>
      <c r="AB9" s="96"/>
      <c r="AC9" s="96"/>
      <c r="AD9" s="96"/>
      <c r="AE9" s="96"/>
    </row>
    <row r="10" spans="1:31" s="10" customFormat="1" ht="16.5" customHeight="1">
      <c r="A10" s="11"/>
      <c r="B10" s="231"/>
      <c r="C10" s="231"/>
      <c r="D10" s="231"/>
      <c r="E10" s="219"/>
      <c r="F10" s="219" t="s">
        <v>3</v>
      </c>
      <c r="G10" s="233" t="s">
        <v>4</v>
      </c>
      <c r="H10" s="221" t="s">
        <v>5</v>
      </c>
      <c r="I10" s="221"/>
      <c r="J10" s="220" t="s">
        <v>6</v>
      </c>
      <c r="K10" s="215" t="s">
        <v>3</v>
      </c>
      <c r="L10" s="233" t="s">
        <v>4</v>
      </c>
      <c r="M10" s="221" t="s">
        <v>5</v>
      </c>
      <c r="N10" s="221"/>
      <c r="O10" s="220" t="s">
        <v>6</v>
      </c>
      <c r="P10" s="45" t="s">
        <v>5</v>
      </c>
      <c r="Q10" s="215"/>
      <c r="R10" s="96"/>
      <c r="S10" s="96"/>
      <c r="T10" s="96"/>
      <c r="U10" s="96"/>
      <c r="V10" s="96"/>
      <c r="W10" s="96"/>
      <c r="X10" s="96"/>
      <c r="Y10" s="96"/>
      <c r="Z10" s="96"/>
      <c r="AA10" s="96"/>
      <c r="AB10" s="96"/>
      <c r="AC10" s="96"/>
      <c r="AD10" s="96"/>
      <c r="AE10" s="96"/>
    </row>
    <row r="11" spans="1:31" s="10" customFormat="1" ht="20.25" customHeight="1">
      <c r="A11" s="12"/>
      <c r="B11" s="231"/>
      <c r="C11" s="231"/>
      <c r="D11" s="231"/>
      <c r="E11" s="219"/>
      <c r="F11" s="219"/>
      <c r="G11" s="233"/>
      <c r="H11" s="221" t="s">
        <v>7</v>
      </c>
      <c r="I11" s="221" t="s">
        <v>8</v>
      </c>
      <c r="J11" s="220"/>
      <c r="K11" s="215"/>
      <c r="L11" s="233"/>
      <c r="M11" s="221" t="s">
        <v>7</v>
      </c>
      <c r="N11" s="221" t="s">
        <v>8</v>
      </c>
      <c r="O11" s="220"/>
      <c r="P11" s="215" t="s">
        <v>9</v>
      </c>
      <c r="Q11" s="215"/>
      <c r="R11" s="96"/>
      <c r="S11" s="96"/>
      <c r="T11" s="96"/>
      <c r="U11" s="96"/>
      <c r="V11" s="96"/>
      <c r="W11" s="96"/>
      <c r="X11" s="96"/>
      <c r="Y11" s="96"/>
      <c r="Z11" s="96"/>
      <c r="AA11" s="96"/>
      <c r="AB11" s="96"/>
      <c r="AC11" s="96"/>
      <c r="AD11" s="96"/>
      <c r="AE11" s="96"/>
    </row>
    <row r="12" spans="1:31" s="10" customFormat="1" ht="81.75" customHeight="1">
      <c r="A12" s="13"/>
      <c r="B12" s="232"/>
      <c r="C12" s="232"/>
      <c r="D12" s="232"/>
      <c r="E12" s="219"/>
      <c r="F12" s="219"/>
      <c r="G12" s="233"/>
      <c r="H12" s="221"/>
      <c r="I12" s="221"/>
      <c r="J12" s="220"/>
      <c r="K12" s="215"/>
      <c r="L12" s="233"/>
      <c r="M12" s="221"/>
      <c r="N12" s="221"/>
      <c r="O12" s="220"/>
      <c r="P12" s="215"/>
      <c r="Q12" s="215"/>
      <c r="R12" s="96"/>
      <c r="S12" s="96"/>
      <c r="T12" s="96"/>
      <c r="U12" s="96"/>
      <c r="V12" s="96"/>
      <c r="W12" s="96"/>
      <c r="X12" s="96"/>
      <c r="Y12" s="96"/>
      <c r="Z12" s="96"/>
      <c r="AA12" s="96"/>
      <c r="AB12" s="96"/>
      <c r="AC12" s="96"/>
      <c r="AD12" s="96"/>
      <c r="AE12" s="96"/>
    </row>
    <row r="13" spans="1:31" s="105" customFormat="1" ht="21" customHeight="1">
      <c r="A13" s="102"/>
      <c r="B13" s="116" t="s">
        <v>28</v>
      </c>
      <c r="C13" s="116"/>
      <c r="D13" s="116"/>
      <c r="E13" s="117" t="s">
        <v>184</v>
      </c>
      <c r="F13" s="115">
        <f>F14</f>
        <v>94382674</v>
      </c>
      <c r="G13" s="115">
        <f aca="true" t="shared" si="0" ref="G13:P13">G14</f>
        <v>85190838</v>
      </c>
      <c r="H13" s="115">
        <f t="shared" si="0"/>
        <v>40692303</v>
      </c>
      <c r="I13" s="115">
        <f t="shared" si="0"/>
        <v>3926428</v>
      </c>
      <c r="J13" s="115">
        <f t="shared" si="0"/>
        <v>9191836</v>
      </c>
      <c r="K13" s="115">
        <f t="shared" si="0"/>
        <v>60746452</v>
      </c>
      <c r="L13" s="115">
        <f t="shared" si="0"/>
        <v>547577</v>
      </c>
      <c r="M13" s="115">
        <f t="shared" si="0"/>
        <v>242690</v>
      </c>
      <c r="N13" s="115">
        <f t="shared" si="0"/>
        <v>100128</v>
      </c>
      <c r="O13" s="115">
        <f t="shared" si="0"/>
        <v>60198875</v>
      </c>
      <c r="P13" s="115">
        <f t="shared" si="0"/>
        <v>60198875</v>
      </c>
      <c r="Q13" s="115">
        <f>F13+K13</f>
        <v>155129126</v>
      </c>
      <c r="R13" s="104"/>
      <c r="S13" s="104"/>
      <c r="T13" s="104"/>
      <c r="U13" s="104"/>
      <c r="V13" s="104"/>
      <c r="W13" s="104"/>
      <c r="X13" s="104"/>
      <c r="Y13" s="104"/>
      <c r="Z13" s="104"/>
      <c r="AA13" s="104"/>
      <c r="AB13" s="104"/>
      <c r="AC13" s="104"/>
      <c r="AD13" s="104"/>
      <c r="AE13" s="104"/>
    </row>
    <row r="14" spans="1:31" s="169" customFormat="1" ht="21.75" customHeight="1">
      <c r="A14" s="167"/>
      <c r="B14" s="118" t="s">
        <v>29</v>
      </c>
      <c r="C14" s="118"/>
      <c r="D14" s="118"/>
      <c r="E14" s="119" t="s">
        <v>184</v>
      </c>
      <c r="F14" s="115">
        <f>F15+F16+F18+F21+F23+F24+F27+F29+F32+F35+F38+F41+F42+F44+F47+F49+F50+F51+F54+F55+F57+F69+F70+F56+F66+F53+F45</f>
        <v>94382674</v>
      </c>
      <c r="G14" s="115">
        <f aca="true" t="shared" si="1" ref="G14:Q14">G15+G16+G18+G21+G23+G24+G27+G29+G32+G35+G38+G41+G42+G44+G47+G49+G50+G51+G54+G55+G57+G69+G70+G56+G66+G53+G45</f>
        <v>85190838</v>
      </c>
      <c r="H14" s="115">
        <f t="shared" si="1"/>
        <v>40692303</v>
      </c>
      <c r="I14" s="115">
        <f t="shared" si="1"/>
        <v>3926428</v>
      </c>
      <c r="J14" s="115">
        <f t="shared" si="1"/>
        <v>9191836</v>
      </c>
      <c r="K14" s="115">
        <f t="shared" si="1"/>
        <v>60746452</v>
      </c>
      <c r="L14" s="115">
        <f t="shared" si="1"/>
        <v>547577</v>
      </c>
      <c r="M14" s="115">
        <f t="shared" si="1"/>
        <v>242690</v>
      </c>
      <c r="N14" s="115">
        <f t="shared" si="1"/>
        <v>100128</v>
      </c>
      <c r="O14" s="115">
        <f t="shared" si="1"/>
        <v>60198875</v>
      </c>
      <c r="P14" s="115">
        <f t="shared" si="1"/>
        <v>60198875</v>
      </c>
      <c r="Q14" s="115">
        <f t="shared" si="1"/>
        <v>155129126</v>
      </c>
      <c r="R14" s="168"/>
      <c r="S14" s="168"/>
      <c r="T14" s="168"/>
      <c r="U14" s="168"/>
      <c r="V14" s="168"/>
      <c r="W14" s="168"/>
      <c r="X14" s="168"/>
      <c r="Y14" s="168"/>
      <c r="Z14" s="168"/>
      <c r="AA14" s="168"/>
      <c r="AB14" s="168"/>
      <c r="AC14" s="168"/>
      <c r="AD14" s="168"/>
      <c r="AE14" s="168"/>
    </row>
    <row r="15" spans="1:31" s="15" customFormat="1" ht="30.75" customHeight="1">
      <c r="A15" s="14"/>
      <c r="B15" s="126" t="s">
        <v>30</v>
      </c>
      <c r="C15" s="126" t="s">
        <v>246</v>
      </c>
      <c r="D15" s="126" t="s">
        <v>247</v>
      </c>
      <c r="E15" s="166" t="s">
        <v>522</v>
      </c>
      <c r="F15" s="107">
        <f>G15+J15</f>
        <v>45866226</v>
      </c>
      <c r="G15" s="107">
        <f>43871100+271100-342800+1289500+495100-120000+395285+55390+150000-9887+223000-811562+400000</f>
        <v>45866226</v>
      </c>
      <c r="H15" s="107">
        <f>29623100+968500-665215+327870</f>
        <v>30254255</v>
      </c>
      <c r="I15" s="107">
        <f>1899200+271100</f>
        <v>2170300</v>
      </c>
      <c r="J15" s="107"/>
      <c r="K15" s="107">
        <f>L15+O15</f>
        <v>4770530</v>
      </c>
      <c r="L15" s="107"/>
      <c r="M15" s="107"/>
      <c r="N15" s="107"/>
      <c r="O15" s="107">
        <f>4500000-135300+280000+120000+61220-55390</f>
        <v>4770530</v>
      </c>
      <c r="P15" s="107">
        <f>4500000-135300+280000+120000+61220-55390</f>
        <v>4770530</v>
      </c>
      <c r="Q15" s="107">
        <f aca="true" t="shared" si="2" ref="Q15:Q81">F15+K15</f>
        <v>50636756</v>
      </c>
      <c r="R15" s="42"/>
      <c r="S15" s="42"/>
      <c r="T15" s="42"/>
      <c r="U15" s="42"/>
      <c r="V15" s="42"/>
      <c r="W15" s="42"/>
      <c r="X15" s="42"/>
      <c r="Y15" s="42"/>
      <c r="Z15" s="42"/>
      <c r="AA15" s="42"/>
      <c r="AB15" s="42"/>
      <c r="AC15" s="42"/>
      <c r="AD15" s="42"/>
      <c r="AE15" s="42"/>
    </row>
    <row r="16" spans="1:31" s="15" customFormat="1" ht="162.75" customHeight="1">
      <c r="A16" s="14"/>
      <c r="B16" s="126" t="s">
        <v>199</v>
      </c>
      <c r="C16" s="126" t="s">
        <v>383</v>
      </c>
      <c r="D16" s="126"/>
      <c r="E16" s="166" t="s">
        <v>108</v>
      </c>
      <c r="F16" s="107">
        <f>F17</f>
        <v>33000</v>
      </c>
      <c r="G16" s="107">
        <f aca="true" t="shared" si="3" ref="G16:P16">G17</f>
        <v>33000</v>
      </c>
      <c r="H16" s="107">
        <f t="shared" si="3"/>
        <v>0</v>
      </c>
      <c r="I16" s="107">
        <f t="shared" si="3"/>
        <v>0</v>
      </c>
      <c r="J16" s="107">
        <f t="shared" si="3"/>
        <v>0</v>
      </c>
      <c r="K16" s="107">
        <f t="shared" si="3"/>
        <v>0</v>
      </c>
      <c r="L16" s="107">
        <f t="shared" si="3"/>
        <v>0</v>
      </c>
      <c r="M16" s="107">
        <f t="shared" si="3"/>
        <v>0</v>
      </c>
      <c r="N16" s="107">
        <f t="shared" si="3"/>
        <v>0</v>
      </c>
      <c r="O16" s="107">
        <f t="shared" si="3"/>
        <v>0</v>
      </c>
      <c r="P16" s="107">
        <f t="shared" si="3"/>
        <v>0</v>
      </c>
      <c r="Q16" s="107">
        <f t="shared" si="2"/>
        <v>33000</v>
      </c>
      <c r="R16" s="42"/>
      <c r="S16" s="42"/>
      <c r="T16" s="42"/>
      <c r="U16" s="42"/>
      <c r="V16" s="42"/>
      <c r="W16" s="42"/>
      <c r="X16" s="42"/>
      <c r="Y16" s="42"/>
      <c r="Z16" s="42"/>
      <c r="AA16" s="42"/>
      <c r="AB16" s="42"/>
      <c r="AC16" s="42"/>
      <c r="AD16" s="42"/>
      <c r="AE16" s="42"/>
    </row>
    <row r="17" spans="1:31" s="34" customFormat="1" ht="42.75" customHeight="1">
      <c r="A17" s="33"/>
      <c r="B17" s="37" t="s">
        <v>200</v>
      </c>
      <c r="C17" s="37" t="s">
        <v>336</v>
      </c>
      <c r="D17" s="37" t="s">
        <v>257</v>
      </c>
      <c r="E17" s="30" t="s">
        <v>23</v>
      </c>
      <c r="F17" s="108">
        <f>G17+J17</f>
        <v>33000</v>
      </c>
      <c r="G17" s="108">
        <f>15000+18000</f>
        <v>33000</v>
      </c>
      <c r="H17" s="108"/>
      <c r="I17" s="108"/>
      <c r="J17" s="108"/>
      <c r="K17" s="108"/>
      <c r="L17" s="108"/>
      <c r="M17" s="108"/>
      <c r="N17" s="108"/>
      <c r="O17" s="108"/>
      <c r="P17" s="108"/>
      <c r="Q17" s="108">
        <f t="shared" si="2"/>
        <v>33000</v>
      </c>
      <c r="R17" s="32"/>
      <c r="S17" s="32"/>
      <c r="T17" s="32"/>
      <c r="U17" s="32"/>
      <c r="V17" s="32"/>
      <c r="W17" s="32"/>
      <c r="X17" s="32"/>
      <c r="Y17" s="32"/>
      <c r="Z17" s="32"/>
      <c r="AA17" s="32"/>
      <c r="AB17" s="32"/>
      <c r="AC17" s="32"/>
      <c r="AD17" s="32"/>
      <c r="AE17" s="32"/>
    </row>
    <row r="18" spans="1:31" s="15" customFormat="1" ht="36" customHeight="1">
      <c r="A18" s="23"/>
      <c r="B18" s="27" t="s">
        <v>31</v>
      </c>
      <c r="C18" s="27" t="s">
        <v>403</v>
      </c>
      <c r="D18" s="27"/>
      <c r="E18" s="24" t="s">
        <v>32</v>
      </c>
      <c r="F18" s="107">
        <f>F19+F20</f>
        <v>1507800</v>
      </c>
      <c r="G18" s="107">
        <f aca="true" t="shared" si="4" ref="G18:P18">G19+G20</f>
        <v>1507800</v>
      </c>
      <c r="H18" s="107">
        <f t="shared" si="4"/>
        <v>1114600</v>
      </c>
      <c r="I18" s="107">
        <f>I19+I20</f>
        <v>62600</v>
      </c>
      <c r="J18" s="107">
        <f t="shared" si="4"/>
        <v>0</v>
      </c>
      <c r="K18" s="107">
        <f t="shared" si="4"/>
        <v>0</v>
      </c>
      <c r="L18" s="107">
        <f t="shared" si="4"/>
        <v>0</v>
      </c>
      <c r="M18" s="107">
        <f t="shared" si="4"/>
        <v>0</v>
      </c>
      <c r="N18" s="107">
        <f t="shared" si="4"/>
        <v>0</v>
      </c>
      <c r="O18" s="107">
        <f t="shared" si="4"/>
        <v>0</v>
      </c>
      <c r="P18" s="107">
        <f t="shared" si="4"/>
        <v>0</v>
      </c>
      <c r="Q18" s="107">
        <f t="shared" si="2"/>
        <v>1507800</v>
      </c>
      <c r="R18" s="42"/>
      <c r="S18" s="42"/>
      <c r="T18" s="42"/>
      <c r="U18" s="42"/>
      <c r="V18" s="42"/>
      <c r="W18" s="42"/>
      <c r="X18" s="42"/>
      <c r="Y18" s="42"/>
      <c r="Z18" s="42"/>
      <c r="AA18" s="42"/>
      <c r="AB18" s="42"/>
      <c r="AC18" s="42"/>
      <c r="AD18" s="42"/>
      <c r="AE18" s="42"/>
    </row>
    <row r="19" spans="1:31" s="34" customFormat="1" ht="29.25" customHeight="1">
      <c r="A19" s="33"/>
      <c r="B19" s="37" t="s">
        <v>33</v>
      </c>
      <c r="C19" s="37" t="s">
        <v>404</v>
      </c>
      <c r="D19" s="37" t="s">
        <v>387</v>
      </c>
      <c r="E19" s="30" t="s">
        <v>36</v>
      </c>
      <c r="F19" s="108">
        <f>G19+J19</f>
        <v>1459800</v>
      </c>
      <c r="G19" s="108">
        <f>1464500-8900+4200</f>
        <v>1459800</v>
      </c>
      <c r="H19" s="108">
        <f>1128900-14300</f>
        <v>1114600</v>
      </c>
      <c r="I19" s="108">
        <f>53800+8800</f>
        <v>62600</v>
      </c>
      <c r="J19" s="108"/>
      <c r="K19" s="108">
        <f>L19+O19</f>
        <v>0</v>
      </c>
      <c r="L19" s="108"/>
      <c r="M19" s="108"/>
      <c r="N19" s="108"/>
      <c r="O19" s="108"/>
      <c r="P19" s="108"/>
      <c r="Q19" s="108">
        <f t="shared" si="2"/>
        <v>1459800</v>
      </c>
      <c r="R19" s="32"/>
      <c r="S19" s="32"/>
      <c r="T19" s="32"/>
      <c r="U19" s="32"/>
      <c r="V19" s="32"/>
      <c r="W19" s="32"/>
      <c r="X19" s="32"/>
      <c r="Y19" s="32"/>
      <c r="Z19" s="32"/>
      <c r="AA19" s="32"/>
      <c r="AB19" s="32"/>
      <c r="AC19" s="32"/>
      <c r="AD19" s="32"/>
      <c r="AE19" s="32"/>
    </row>
    <row r="20" spans="1:31" s="34" customFormat="1" ht="30">
      <c r="A20" s="33"/>
      <c r="B20" s="37" t="s">
        <v>34</v>
      </c>
      <c r="C20" s="37" t="s">
        <v>405</v>
      </c>
      <c r="D20" s="37" t="s">
        <v>387</v>
      </c>
      <c r="E20" s="30" t="s">
        <v>37</v>
      </c>
      <c r="F20" s="108">
        <f>G20+J20</f>
        <v>48000</v>
      </c>
      <c r="G20" s="108">
        <v>48000</v>
      </c>
      <c r="H20" s="108"/>
      <c r="I20" s="108"/>
      <c r="J20" s="108"/>
      <c r="K20" s="108">
        <f>L20+O20</f>
        <v>0</v>
      </c>
      <c r="L20" s="108"/>
      <c r="M20" s="108"/>
      <c r="N20" s="108"/>
      <c r="O20" s="108"/>
      <c r="P20" s="108"/>
      <c r="Q20" s="108">
        <f t="shared" si="2"/>
        <v>48000</v>
      </c>
      <c r="R20" s="32"/>
      <c r="S20" s="32"/>
      <c r="T20" s="32"/>
      <c r="U20" s="32"/>
      <c r="V20" s="32"/>
      <c r="W20" s="32"/>
      <c r="X20" s="32"/>
      <c r="Y20" s="32"/>
      <c r="Z20" s="32"/>
      <c r="AA20" s="32"/>
      <c r="AB20" s="32"/>
      <c r="AC20" s="32"/>
      <c r="AD20" s="32"/>
      <c r="AE20" s="32"/>
    </row>
    <row r="21" spans="1:31" s="34" customFormat="1" ht="30" customHeight="1">
      <c r="A21" s="33"/>
      <c r="B21" s="27" t="s">
        <v>35</v>
      </c>
      <c r="C21" s="27" t="s">
        <v>406</v>
      </c>
      <c r="D21" s="27" t="s">
        <v>387</v>
      </c>
      <c r="E21" s="24" t="s">
        <v>485</v>
      </c>
      <c r="F21" s="107">
        <f>F22</f>
        <v>744135</v>
      </c>
      <c r="G21" s="107">
        <f aca="true" t="shared" si="5" ref="G21:P21">G22</f>
        <v>744135</v>
      </c>
      <c r="H21" s="107">
        <f t="shared" si="5"/>
        <v>0</v>
      </c>
      <c r="I21" s="107">
        <f t="shared" si="5"/>
        <v>0</v>
      </c>
      <c r="J21" s="107">
        <f t="shared" si="5"/>
        <v>0</v>
      </c>
      <c r="K21" s="107">
        <f t="shared" si="5"/>
        <v>0</v>
      </c>
      <c r="L21" s="107">
        <f t="shared" si="5"/>
        <v>0</v>
      </c>
      <c r="M21" s="107">
        <f t="shared" si="5"/>
        <v>0</v>
      </c>
      <c r="N21" s="107">
        <f t="shared" si="5"/>
        <v>0</v>
      </c>
      <c r="O21" s="107">
        <f t="shared" si="5"/>
        <v>0</v>
      </c>
      <c r="P21" s="107">
        <f t="shared" si="5"/>
        <v>0</v>
      </c>
      <c r="Q21" s="107">
        <f>F21+K21</f>
        <v>744135</v>
      </c>
      <c r="R21" s="32"/>
      <c r="S21" s="32"/>
      <c r="T21" s="32"/>
      <c r="U21" s="32"/>
      <c r="V21" s="32"/>
      <c r="W21" s="32"/>
      <c r="X21" s="32"/>
      <c r="Y21" s="32"/>
      <c r="Z21" s="32"/>
      <c r="AA21" s="32"/>
      <c r="AB21" s="32"/>
      <c r="AC21" s="32"/>
      <c r="AD21" s="32"/>
      <c r="AE21" s="32"/>
    </row>
    <row r="22" spans="1:31" s="34" customFormat="1" ht="57" customHeight="1">
      <c r="A22" s="33"/>
      <c r="B22" s="37" t="s">
        <v>514</v>
      </c>
      <c r="C22" s="37" t="s">
        <v>515</v>
      </c>
      <c r="D22" s="37" t="s">
        <v>387</v>
      </c>
      <c r="E22" s="30" t="s">
        <v>520</v>
      </c>
      <c r="F22" s="108">
        <f>G22+J22</f>
        <v>744135</v>
      </c>
      <c r="G22" s="108">
        <f>700000+150000-105865</f>
        <v>744135</v>
      </c>
      <c r="H22" s="108"/>
      <c r="I22" s="108"/>
      <c r="J22" s="108"/>
      <c r="K22" s="108">
        <f>L22+O22</f>
        <v>0</v>
      </c>
      <c r="L22" s="108"/>
      <c r="M22" s="108"/>
      <c r="N22" s="108"/>
      <c r="O22" s="108"/>
      <c r="P22" s="108"/>
      <c r="Q22" s="108">
        <f>F22+K22</f>
        <v>744135</v>
      </c>
      <c r="R22" s="32"/>
      <c r="S22" s="32"/>
      <c r="T22" s="32"/>
      <c r="U22" s="32"/>
      <c r="V22" s="32"/>
      <c r="W22" s="32"/>
      <c r="X22" s="32"/>
      <c r="Y22" s="32"/>
      <c r="Z22" s="32"/>
      <c r="AA22" s="32"/>
      <c r="AB22" s="32"/>
      <c r="AC22" s="32"/>
      <c r="AD22" s="32"/>
      <c r="AE22" s="32"/>
    </row>
    <row r="23" spans="1:31" s="34" customFormat="1" ht="60" customHeight="1">
      <c r="A23" s="33"/>
      <c r="B23" s="27" t="s">
        <v>38</v>
      </c>
      <c r="C23" s="27" t="s">
        <v>408</v>
      </c>
      <c r="D23" s="27" t="s">
        <v>387</v>
      </c>
      <c r="E23" s="182" t="s">
        <v>39</v>
      </c>
      <c r="F23" s="107">
        <f>G23+J23</f>
        <v>1571400</v>
      </c>
      <c r="G23" s="107">
        <f>401800+1169600</f>
        <v>1571400</v>
      </c>
      <c r="H23" s="107"/>
      <c r="I23" s="107"/>
      <c r="J23" s="107"/>
      <c r="K23" s="107">
        <f>L23+O23</f>
        <v>0</v>
      </c>
      <c r="L23" s="107"/>
      <c r="M23" s="107"/>
      <c r="N23" s="107"/>
      <c r="O23" s="107"/>
      <c r="P23" s="107"/>
      <c r="Q23" s="107">
        <f t="shared" si="2"/>
        <v>1571400</v>
      </c>
      <c r="R23" s="32"/>
      <c r="S23" s="32"/>
      <c r="T23" s="32"/>
      <c r="U23" s="32"/>
      <c r="V23" s="32"/>
      <c r="W23" s="32"/>
      <c r="X23" s="32"/>
      <c r="Y23" s="32"/>
      <c r="Z23" s="32"/>
      <c r="AA23" s="32"/>
      <c r="AB23" s="32"/>
      <c r="AC23" s="32"/>
      <c r="AD23" s="32"/>
      <c r="AE23" s="32"/>
    </row>
    <row r="24" spans="1:31" s="34" customFormat="1" ht="27" customHeight="1">
      <c r="A24" s="33"/>
      <c r="B24" s="27" t="s">
        <v>40</v>
      </c>
      <c r="C24" s="27" t="s">
        <v>402</v>
      </c>
      <c r="D24" s="27" t="s">
        <v>259</v>
      </c>
      <c r="E24" s="24" t="s">
        <v>11</v>
      </c>
      <c r="F24" s="107">
        <f>F25+F26</f>
        <v>191854</v>
      </c>
      <c r="G24" s="107">
        <f>G25+G26</f>
        <v>191854</v>
      </c>
      <c r="H24" s="107">
        <f>H25+H26</f>
        <v>0</v>
      </c>
      <c r="I24" s="107">
        <f>I25+I26</f>
        <v>0</v>
      </c>
      <c r="J24" s="107">
        <f>J25+J26</f>
        <v>0</v>
      </c>
      <c r="K24" s="107">
        <f>K25</f>
        <v>0</v>
      </c>
      <c r="L24" s="107">
        <f>L25+L26</f>
        <v>0</v>
      </c>
      <c r="M24" s="107">
        <f>M25+M26</f>
        <v>0</v>
      </c>
      <c r="N24" s="107">
        <f>N25+N26</f>
        <v>0</v>
      </c>
      <c r="O24" s="107">
        <f>O25+O26</f>
        <v>0</v>
      </c>
      <c r="P24" s="107">
        <f>P25+P26</f>
        <v>0</v>
      </c>
      <c r="Q24" s="107">
        <f t="shared" si="2"/>
        <v>191854</v>
      </c>
      <c r="R24" s="32"/>
      <c r="S24" s="32"/>
      <c r="T24" s="32"/>
      <c r="U24" s="32"/>
      <c r="V24" s="32"/>
      <c r="W24" s="32"/>
      <c r="X24" s="32"/>
      <c r="Y24" s="32"/>
      <c r="Z24" s="32"/>
      <c r="AA24" s="32"/>
      <c r="AB24" s="32"/>
      <c r="AC24" s="32"/>
      <c r="AD24" s="32"/>
      <c r="AE24" s="32"/>
    </row>
    <row r="25" spans="1:31" s="34" customFormat="1" ht="45">
      <c r="A25" s="33"/>
      <c r="B25" s="37" t="s">
        <v>40</v>
      </c>
      <c r="C25" s="37" t="s">
        <v>402</v>
      </c>
      <c r="D25" s="37" t="s">
        <v>259</v>
      </c>
      <c r="E25" s="30" t="s">
        <v>414</v>
      </c>
      <c r="F25" s="108">
        <f>G25+J25</f>
        <v>143854</v>
      </c>
      <c r="G25" s="108">
        <v>143854</v>
      </c>
      <c r="H25" s="108"/>
      <c r="I25" s="108"/>
      <c r="J25" s="108"/>
      <c r="K25" s="108">
        <f>L25+O25</f>
        <v>0</v>
      </c>
      <c r="L25" s="108"/>
      <c r="M25" s="108"/>
      <c r="N25" s="108"/>
      <c r="O25" s="108"/>
      <c r="P25" s="108"/>
      <c r="Q25" s="108">
        <f t="shared" si="2"/>
        <v>143854</v>
      </c>
      <c r="R25" s="32"/>
      <c r="S25" s="32"/>
      <c r="T25" s="32"/>
      <c r="U25" s="32"/>
      <c r="V25" s="32"/>
      <c r="W25" s="32"/>
      <c r="X25" s="32"/>
      <c r="Y25" s="32"/>
      <c r="Z25" s="32"/>
      <c r="AA25" s="32"/>
      <c r="AB25" s="32"/>
      <c r="AC25" s="32"/>
      <c r="AD25" s="32"/>
      <c r="AE25" s="32"/>
    </row>
    <row r="26" spans="1:31" s="34" customFormat="1" ht="43.5" customHeight="1">
      <c r="A26" s="33"/>
      <c r="B26" s="37" t="s">
        <v>40</v>
      </c>
      <c r="C26" s="37" t="s">
        <v>402</v>
      </c>
      <c r="D26" s="37" t="s">
        <v>259</v>
      </c>
      <c r="E26" s="30" t="s">
        <v>415</v>
      </c>
      <c r="F26" s="108">
        <f>G26+J26</f>
        <v>48000</v>
      </c>
      <c r="G26" s="108">
        <v>48000</v>
      </c>
      <c r="H26" s="108"/>
      <c r="I26" s="108"/>
      <c r="J26" s="108"/>
      <c r="K26" s="108">
        <f>L26+O26</f>
        <v>0</v>
      </c>
      <c r="L26" s="108"/>
      <c r="M26" s="108"/>
      <c r="N26" s="108"/>
      <c r="O26" s="108"/>
      <c r="P26" s="108"/>
      <c r="Q26" s="108">
        <f t="shared" si="2"/>
        <v>48000</v>
      </c>
      <c r="R26" s="32"/>
      <c r="S26" s="32"/>
      <c r="T26" s="32"/>
      <c r="U26" s="32"/>
      <c r="V26" s="32"/>
      <c r="W26" s="32"/>
      <c r="X26" s="32"/>
      <c r="Y26" s="32"/>
      <c r="Z26" s="32"/>
      <c r="AA26" s="32"/>
      <c r="AB26" s="32"/>
      <c r="AC26" s="32"/>
      <c r="AD26" s="32"/>
      <c r="AE26" s="32"/>
    </row>
    <row r="27" spans="1:31" s="15" customFormat="1" ht="24.75" customHeight="1">
      <c r="A27" s="23"/>
      <c r="B27" s="27" t="s">
        <v>41</v>
      </c>
      <c r="C27" s="27" t="s">
        <v>407</v>
      </c>
      <c r="D27" s="27" t="s">
        <v>387</v>
      </c>
      <c r="E27" s="24" t="s">
        <v>12</v>
      </c>
      <c r="F27" s="107">
        <f>F28</f>
        <v>728605</v>
      </c>
      <c r="G27" s="107">
        <f>G28</f>
        <v>728605</v>
      </c>
      <c r="H27" s="107">
        <f>H28</f>
        <v>484206</v>
      </c>
      <c r="I27" s="107">
        <f>I28</f>
        <v>109900</v>
      </c>
      <c r="J27" s="107">
        <f>J28</f>
        <v>0</v>
      </c>
      <c r="K27" s="107">
        <f aca="true" t="shared" si="6" ref="K27:P27">K28</f>
        <v>10000</v>
      </c>
      <c r="L27" s="107">
        <f t="shared" si="6"/>
        <v>0</v>
      </c>
      <c r="M27" s="107">
        <f t="shared" si="6"/>
        <v>0</v>
      </c>
      <c r="N27" s="107">
        <f t="shared" si="6"/>
        <v>0</v>
      </c>
      <c r="O27" s="107">
        <f t="shared" si="6"/>
        <v>10000</v>
      </c>
      <c r="P27" s="107">
        <f t="shared" si="6"/>
        <v>10000</v>
      </c>
      <c r="Q27" s="107">
        <f t="shared" si="2"/>
        <v>738605</v>
      </c>
      <c r="R27" s="42"/>
      <c r="S27" s="42"/>
      <c r="T27" s="42"/>
      <c r="U27" s="42"/>
      <c r="V27" s="42"/>
      <c r="W27" s="42"/>
      <c r="X27" s="42"/>
      <c r="Y27" s="42"/>
      <c r="Z27" s="42"/>
      <c r="AA27" s="42"/>
      <c r="AB27" s="42"/>
      <c r="AC27" s="42"/>
      <c r="AD27" s="42"/>
      <c r="AE27" s="42"/>
    </row>
    <row r="28" spans="1:31" s="34" customFormat="1" ht="35.25" customHeight="1">
      <c r="A28" s="33"/>
      <c r="B28" s="37" t="s">
        <v>41</v>
      </c>
      <c r="C28" s="37" t="s">
        <v>407</v>
      </c>
      <c r="D28" s="37" t="s">
        <v>387</v>
      </c>
      <c r="E28" s="30" t="s">
        <v>555</v>
      </c>
      <c r="F28" s="108">
        <f>G28+J28</f>
        <v>728605</v>
      </c>
      <c r="G28" s="107">
        <f>712000-500+17105</f>
        <v>728605</v>
      </c>
      <c r="H28" s="107">
        <f>481800-12400+14806</f>
        <v>484206</v>
      </c>
      <c r="I28" s="107">
        <f>95400+14500</f>
        <v>109900</v>
      </c>
      <c r="J28" s="108"/>
      <c r="K28" s="108">
        <f>L28+O28</f>
        <v>10000</v>
      </c>
      <c r="L28" s="108"/>
      <c r="M28" s="108"/>
      <c r="N28" s="108"/>
      <c r="O28" s="108">
        <v>10000</v>
      </c>
      <c r="P28" s="108">
        <v>10000</v>
      </c>
      <c r="Q28" s="108">
        <f t="shared" si="2"/>
        <v>738605</v>
      </c>
      <c r="R28" s="32"/>
      <c r="S28" s="32"/>
      <c r="T28" s="32"/>
      <c r="U28" s="32"/>
      <c r="V28" s="32"/>
      <c r="W28" s="32"/>
      <c r="X28" s="32"/>
      <c r="Y28" s="32"/>
      <c r="Z28" s="32"/>
      <c r="AA28" s="32"/>
      <c r="AB28" s="32"/>
      <c r="AC28" s="32"/>
      <c r="AD28" s="32"/>
      <c r="AE28" s="32"/>
    </row>
    <row r="29" spans="1:31" s="15" customFormat="1" ht="23.25" customHeight="1">
      <c r="A29" s="23"/>
      <c r="B29" s="27" t="s">
        <v>43</v>
      </c>
      <c r="C29" s="27" t="s">
        <v>307</v>
      </c>
      <c r="D29" s="27" t="s">
        <v>308</v>
      </c>
      <c r="E29" s="24" t="s">
        <v>42</v>
      </c>
      <c r="F29" s="107">
        <f>F30+F31</f>
        <v>2869931</v>
      </c>
      <c r="G29" s="107">
        <f aca="true" t="shared" si="7" ref="G29:P29">G30+G31</f>
        <v>2869931</v>
      </c>
      <c r="H29" s="107">
        <f t="shared" si="7"/>
        <v>1456900</v>
      </c>
      <c r="I29" s="107">
        <f t="shared" si="7"/>
        <v>137310</v>
      </c>
      <c r="J29" s="107">
        <f t="shared" si="7"/>
        <v>0</v>
      </c>
      <c r="K29" s="107">
        <f t="shared" si="7"/>
        <v>122000</v>
      </c>
      <c r="L29" s="107">
        <f t="shared" si="7"/>
        <v>0</v>
      </c>
      <c r="M29" s="107">
        <f t="shared" si="7"/>
        <v>0</v>
      </c>
      <c r="N29" s="107">
        <f t="shared" si="7"/>
        <v>0</v>
      </c>
      <c r="O29" s="107">
        <f t="shared" si="7"/>
        <v>122000</v>
      </c>
      <c r="P29" s="107">
        <f t="shared" si="7"/>
        <v>122000</v>
      </c>
      <c r="Q29" s="107">
        <f t="shared" si="2"/>
        <v>2991931</v>
      </c>
      <c r="R29" s="42"/>
      <c r="S29" s="42"/>
      <c r="T29" s="42"/>
      <c r="U29" s="42"/>
      <c r="V29" s="42"/>
      <c r="W29" s="42"/>
      <c r="X29" s="42"/>
      <c r="Y29" s="42"/>
      <c r="Z29" s="42"/>
      <c r="AA29" s="42"/>
      <c r="AB29" s="42"/>
      <c r="AC29" s="42"/>
      <c r="AD29" s="42"/>
      <c r="AE29" s="42"/>
    </row>
    <row r="30" spans="1:31" s="34" customFormat="1" ht="32.25" customHeight="1">
      <c r="A30" s="33"/>
      <c r="B30" s="37" t="s">
        <v>43</v>
      </c>
      <c r="C30" s="37" t="s">
        <v>307</v>
      </c>
      <c r="D30" s="29" t="s">
        <v>308</v>
      </c>
      <c r="E30" s="35" t="s">
        <v>243</v>
      </c>
      <c r="F30" s="108">
        <f>G30</f>
        <v>1288295</v>
      </c>
      <c r="G30" s="141">
        <f>944700+150000-16270+39600+74265+6000+45000+45000</f>
        <v>1288295</v>
      </c>
      <c r="H30" s="66">
        <f>599500-19100</f>
        <v>580400</v>
      </c>
      <c r="I30" s="66">
        <f>37920+7020</f>
        <v>44940</v>
      </c>
      <c r="J30" s="113"/>
      <c r="K30" s="108">
        <f>L30+O30</f>
        <v>102000</v>
      </c>
      <c r="L30" s="108"/>
      <c r="M30" s="108"/>
      <c r="N30" s="108"/>
      <c r="O30" s="113">
        <f>80000+22000</f>
        <v>102000</v>
      </c>
      <c r="P30" s="113">
        <f>80000+22000</f>
        <v>102000</v>
      </c>
      <c r="Q30" s="113">
        <f t="shared" si="2"/>
        <v>1390295</v>
      </c>
      <c r="R30" s="32"/>
      <c r="S30" s="32"/>
      <c r="T30" s="32"/>
      <c r="U30" s="32"/>
      <c r="V30" s="32"/>
      <c r="W30" s="32"/>
      <c r="X30" s="32"/>
      <c r="Y30" s="32"/>
      <c r="Z30" s="32"/>
      <c r="AA30" s="32"/>
      <c r="AB30" s="32"/>
      <c r="AC30" s="32"/>
      <c r="AD30" s="32"/>
      <c r="AE30" s="32"/>
    </row>
    <row r="31" spans="1:31" s="34" customFormat="1" ht="30" customHeight="1">
      <c r="A31" s="33"/>
      <c r="B31" s="37" t="s">
        <v>43</v>
      </c>
      <c r="C31" s="37" t="s">
        <v>307</v>
      </c>
      <c r="D31" s="29" t="s">
        <v>308</v>
      </c>
      <c r="E31" s="35" t="s">
        <v>428</v>
      </c>
      <c r="F31" s="108">
        <f>G31</f>
        <v>1581636</v>
      </c>
      <c r="G31" s="141">
        <f>1349800+50000-25580+85000+31600+8000+82816</f>
        <v>1581636</v>
      </c>
      <c r="H31" s="66">
        <f>909610-33110</f>
        <v>876500</v>
      </c>
      <c r="I31" s="66">
        <f>77610+14760</f>
        <v>92370</v>
      </c>
      <c r="J31" s="147"/>
      <c r="K31" s="108">
        <f>L31+O31</f>
        <v>20000</v>
      </c>
      <c r="L31" s="147"/>
      <c r="M31" s="147"/>
      <c r="N31" s="147"/>
      <c r="O31" s="113">
        <v>20000</v>
      </c>
      <c r="P31" s="113">
        <v>20000</v>
      </c>
      <c r="Q31" s="113">
        <f t="shared" si="2"/>
        <v>1601636</v>
      </c>
      <c r="R31" s="32"/>
      <c r="S31" s="32"/>
      <c r="T31" s="32"/>
      <c r="U31" s="32"/>
      <c r="V31" s="32"/>
      <c r="W31" s="32"/>
      <c r="X31" s="32"/>
      <c r="Y31" s="32"/>
      <c r="Z31" s="32"/>
      <c r="AA31" s="32"/>
      <c r="AB31" s="32"/>
      <c r="AC31" s="32"/>
      <c r="AD31" s="32"/>
      <c r="AE31" s="32"/>
    </row>
    <row r="32" spans="1:31" s="15" customFormat="1" ht="23.25" customHeight="1">
      <c r="A32" s="23"/>
      <c r="B32" s="22" t="s">
        <v>44</v>
      </c>
      <c r="C32" s="21" t="s">
        <v>316</v>
      </c>
      <c r="D32" s="21"/>
      <c r="E32" s="149" t="s">
        <v>45</v>
      </c>
      <c r="F32" s="110">
        <f>F33+F34</f>
        <v>1856600</v>
      </c>
      <c r="G32" s="110">
        <f aca="true" t="shared" si="8" ref="G32:P32">G33+G34</f>
        <v>1856600</v>
      </c>
      <c r="H32" s="110">
        <f t="shared" si="8"/>
        <v>0</v>
      </c>
      <c r="I32" s="110">
        <f t="shared" si="8"/>
        <v>0</v>
      </c>
      <c r="J32" s="110">
        <f t="shared" si="8"/>
        <v>0</v>
      </c>
      <c r="K32" s="110">
        <f t="shared" si="8"/>
        <v>0</v>
      </c>
      <c r="L32" s="110">
        <f t="shared" si="8"/>
        <v>0</v>
      </c>
      <c r="M32" s="110">
        <f t="shared" si="8"/>
        <v>0</v>
      </c>
      <c r="N32" s="110">
        <f t="shared" si="8"/>
        <v>0</v>
      </c>
      <c r="O32" s="110">
        <f t="shared" si="8"/>
        <v>0</v>
      </c>
      <c r="P32" s="110">
        <f t="shared" si="8"/>
        <v>0</v>
      </c>
      <c r="Q32" s="110">
        <f t="shared" si="2"/>
        <v>1856600</v>
      </c>
      <c r="R32" s="42"/>
      <c r="S32" s="42"/>
      <c r="T32" s="42"/>
      <c r="U32" s="42"/>
      <c r="V32" s="42"/>
      <c r="W32" s="42"/>
      <c r="X32" s="42"/>
      <c r="Y32" s="42"/>
      <c r="Z32" s="42"/>
      <c r="AA32" s="42"/>
      <c r="AB32" s="42"/>
      <c r="AC32" s="42"/>
      <c r="AD32" s="42"/>
      <c r="AE32" s="42"/>
    </row>
    <row r="33" spans="1:31" s="34" customFormat="1" ht="30">
      <c r="A33" s="33"/>
      <c r="B33" s="46" t="s">
        <v>46</v>
      </c>
      <c r="C33" s="76" t="s">
        <v>317</v>
      </c>
      <c r="D33" s="76" t="s">
        <v>318</v>
      </c>
      <c r="E33" s="183" t="s">
        <v>48</v>
      </c>
      <c r="F33" s="111">
        <f>G33+J33</f>
        <v>973600</v>
      </c>
      <c r="G33" s="108">
        <f>600000+300000+73600</f>
        <v>973600</v>
      </c>
      <c r="H33" s="112"/>
      <c r="I33" s="112"/>
      <c r="J33" s="112"/>
      <c r="K33" s="111">
        <f>L33+O33</f>
        <v>0</v>
      </c>
      <c r="L33" s="111"/>
      <c r="M33" s="111"/>
      <c r="N33" s="111"/>
      <c r="O33" s="112"/>
      <c r="P33" s="112"/>
      <c r="Q33" s="113">
        <f t="shared" si="2"/>
        <v>973600</v>
      </c>
      <c r="R33" s="32"/>
      <c r="S33" s="32"/>
      <c r="T33" s="32"/>
      <c r="U33" s="32"/>
      <c r="V33" s="32"/>
      <c r="W33" s="32"/>
      <c r="X33" s="32"/>
      <c r="Y33" s="32"/>
      <c r="Z33" s="32"/>
      <c r="AA33" s="32"/>
      <c r="AB33" s="32"/>
      <c r="AC33" s="32"/>
      <c r="AD33" s="32"/>
      <c r="AE33" s="32"/>
    </row>
    <row r="34" spans="1:31" s="34" customFormat="1" ht="30">
      <c r="A34" s="33"/>
      <c r="B34" s="46" t="s">
        <v>47</v>
      </c>
      <c r="C34" s="46" t="s">
        <v>319</v>
      </c>
      <c r="D34" s="46" t="s">
        <v>318</v>
      </c>
      <c r="E34" s="30" t="s">
        <v>14</v>
      </c>
      <c r="F34" s="108">
        <f>G34+J34</f>
        <v>883000</v>
      </c>
      <c r="G34" s="108">
        <f>600000+200000+5000+6000+50000-3000+25000</f>
        <v>883000</v>
      </c>
      <c r="H34" s="113"/>
      <c r="I34" s="113"/>
      <c r="J34" s="113"/>
      <c r="K34" s="108">
        <f>L34+O34</f>
        <v>0</v>
      </c>
      <c r="L34" s="108"/>
      <c r="M34" s="108"/>
      <c r="N34" s="108"/>
      <c r="O34" s="113"/>
      <c r="P34" s="113"/>
      <c r="Q34" s="113">
        <f t="shared" si="2"/>
        <v>883000</v>
      </c>
      <c r="R34" s="32"/>
      <c r="S34" s="32"/>
      <c r="T34" s="32"/>
      <c r="U34" s="32"/>
      <c r="V34" s="32"/>
      <c r="W34" s="32"/>
      <c r="X34" s="32"/>
      <c r="Y34" s="32"/>
      <c r="Z34" s="32"/>
      <c r="AA34" s="32"/>
      <c r="AB34" s="32"/>
      <c r="AC34" s="32"/>
      <c r="AD34" s="32"/>
      <c r="AE34" s="32"/>
    </row>
    <row r="35" spans="1:31" s="15" customFormat="1" ht="20.25" customHeight="1">
      <c r="A35" s="23"/>
      <c r="B35" s="22" t="s">
        <v>493</v>
      </c>
      <c r="C35" s="22" t="s">
        <v>492</v>
      </c>
      <c r="D35" s="22"/>
      <c r="E35" s="24" t="s">
        <v>500</v>
      </c>
      <c r="F35" s="107">
        <f>F36+F37</f>
        <v>13115776</v>
      </c>
      <c r="G35" s="107">
        <f aca="true" t="shared" si="9" ref="G35:P35">G36+G37</f>
        <v>13115776</v>
      </c>
      <c r="H35" s="107">
        <f t="shared" si="9"/>
        <v>5039983</v>
      </c>
      <c r="I35" s="107">
        <f t="shared" si="9"/>
        <v>618400</v>
      </c>
      <c r="J35" s="107">
        <f t="shared" si="9"/>
        <v>0</v>
      </c>
      <c r="K35" s="108">
        <f>L35+O35</f>
        <v>249000</v>
      </c>
      <c r="L35" s="107">
        <f>L36+L37</f>
        <v>0</v>
      </c>
      <c r="M35" s="107">
        <f>M36+M37</f>
        <v>0</v>
      </c>
      <c r="N35" s="107">
        <f t="shared" si="9"/>
        <v>0</v>
      </c>
      <c r="O35" s="107">
        <f t="shared" si="9"/>
        <v>249000</v>
      </c>
      <c r="P35" s="107">
        <f t="shared" si="9"/>
        <v>249000</v>
      </c>
      <c r="Q35" s="107">
        <f t="shared" si="2"/>
        <v>13364776</v>
      </c>
      <c r="R35" s="42"/>
      <c r="S35" s="42"/>
      <c r="T35" s="42"/>
      <c r="U35" s="42"/>
      <c r="V35" s="42"/>
      <c r="W35" s="42"/>
      <c r="X35" s="42"/>
      <c r="Y35" s="42"/>
      <c r="Z35" s="42"/>
      <c r="AA35" s="42"/>
      <c r="AB35" s="42"/>
      <c r="AC35" s="42"/>
      <c r="AD35" s="42"/>
      <c r="AE35" s="42"/>
    </row>
    <row r="36" spans="1:31" s="34" customFormat="1" ht="30.75" customHeight="1">
      <c r="A36" s="33"/>
      <c r="B36" s="46" t="s">
        <v>496</v>
      </c>
      <c r="C36" s="46" t="s">
        <v>494</v>
      </c>
      <c r="D36" s="46" t="s">
        <v>318</v>
      </c>
      <c r="E36" s="30" t="s">
        <v>49</v>
      </c>
      <c r="F36" s="108">
        <f>G36+J36</f>
        <v>7187993</v>
      </c>
      <c r="G36" s="108">
        <f>7111640-53334+88000+10000+11687+20000</f>
        <v>7187993</v>
      </c>
      <c r="H36" s="108">
        <f>5155600-115617</f>
        <v>5039983</v>
      </c>
      <c r="I36" s="108">
        <f>516982+101418</f>
        <v>618400</v>
      </c>
      <c r="J36" s="113"/>
      <c r="K36" s="108">
        <f>L36+O36</f>
        <v>249000</v>
      </c>
      <c r="L36" s="108"/>
      <c r="M36" s="108"/>
      <c r="N36" s="108"/>
      <c r="O36" s="113">
        <f>239000+10000</f>
        <v>249000</v>
      </c>
      <c r="P36" s="113">
        <f>239000+10000</f>
        <v>249000</v>
      </c>
      <c r="Q36" s="113">
        <f t="shared" si="2"/>
        <v>7436993</v>
      </c>
      <c r="R36" s="32"/>
      <c r="S36" s="32"/>
      <c r="T36" s="32"/>
      <c r="U36" s="32"/>
      <c r="V36" s="32"/>
      <c r="W36" s="32"/>
      <c r="X36" s="32"/>
      <c r="Y36" s="32"/>
      <c r="Z36" s="32"/>
      <c r="AA36" s="32"/>
      <c r="AB36" s="32"/>
      <c r="AC36" s="32"/>
      <c r="AD36" s="32"/>
      <c r="AE36" s="32"/>
    </row>
    <row r="37" spans="1:31" s="34" customFormat="1" ht="33" customHeight="1">
      <c r="A37" s="33"/>
      <c r="B37" s="46" t="s">
        <v>497</v>
      </c>
      <c r="C37" s="46" t="s">
        <v>495</v>
      </c>
      <c r="D37" s="46" t="s">
        <v>318</v>
      </c>
      <c r="E37" s="30" t="s">
        <v>50</v>
      </c>
      <c r="F37" s="108">
        <f>G37+J37</f>
        <v>5927783</v>
      </c>
      <c r="G37" s="108">
        <f>5968000+10200-152900+18000+19000+30000+44483-9000</f>
        <v>5927783</v>
      </c>
      <c r="H37" s="113"/>
      <c r="I37" s="113"/>
      <c r="J37" s="113"/>
      <c r="K37" s="108">
        <f>L37+O37</f>
        <v>0</v>
      </c>
      <c r="L37" s="108"/>
      <c r="M37" s="108"/>
      <c r="N37" s="108"/>
      <c r="O37" s="113"/>
      <c r="P37" s="113"/>
      <c r="Q37" s="113">
        <f t="shared" si="2"/>
        <v>5927783</v>
      </c>
      <c r="R37" s="32"/>
      <c r="S37" s="32"/>
      <c r="T37" s="32"/>
      <c r="U37" s="32"/>
      <c r="V37" s="32"/>
      <c r="W37" s="32"/>
      <c r="X37" s="32"/>
      <c r="Y37" s="32"/>
      <c r="Z37" s="32"/>
      <c r="AA37" s="32"/>
      <c r="AB37" s="32"/>
      <c r="AC37" s="32"/>
      <c r="AD37" s="32"/>
      <c r="AE37" s="32"/>
    </row>
    <row r="38" spans="1:31" s="34" customFormat="1" ht="24" customHeight="1">
      <c r="A38" s="33"/>
      <c r="B38" s="22" t="s">
        <v>51</v>
      </c>
      <c r="C38" s="22" t="s">
        <v>320</v>
      </c>
      <c r="D38" s="22"/>
      <c r="E38" s="24" t="s">
        <v>486</v>
      </c>
      <c r="F38" s="107">
        <f>F39+F40</f>
        <v>5874437</v>
      </c>
      <c r="G38" s="107">
        <f aca="true" t="shared" si="10" ref="G38:Q38">G39+G40</f>
        <v>5874437</v>
      </c>
      <c r="H38" s="107">
        <f t="shared" si="10"/>
        <v>1376959</v>
      </c>
      <c r="I38" s="107">
        <f t="shared" si="10"/>
        <v>512490</v>
      </c>
      <c r="J38" s="107">
        <f t="shared" si="10"/>
        <v>0</v>
      </c>
      <c r="K38" s="107">
        <f t="shared" si="10"/>
        <v>454700</v>
      </c>
      <c r="L38" s="107">
        <f t="shared" si="10"/>
        <v>415700</v>
      </c>
      <c r="M38" s="107">
        <f t="shared" si="10"/>
        <v>242690</v>
      </c>
      <c r="N38" s="107">
        <f t="shared" si="10"/>
        <v>99128</v>
      </c>
      <c r="O38" s="107">
        <f t="shared" si="10"/>
        <v>39000</v>
      </c>
      <c r="P38" s="107">
        <f t="shared" si="10"/>
        <v>39000</v>
      </c>
      <c r="Q38" s="107">
        <f t="shared" si="10"/>
        <v>6329137</v>
      </c>
      <c r="R38" s="32"/>
      <c r="S38" s="32"/>
      <c r="T38" s="32"/>
      <c r="U38" s="32"/>
      <c r="V38" s="32"/>
      <c r="W38" s="32"/>
      <c r="X38" s="32"/>
      <c r="Y38" s="32"/>
      <c r="Z38" s="32"/>
      <c r="AA38" s="32"/>
      <c r="AB38" s="32"/>
      <c r="AC38" s="32"/>
      <c r="AD38" s="32"/>
      <c r="AE38" s="32"/>
    </row>
    <row r="39" spans="1:31" s="34" customFormat="1" ht="64.5" customHeight="1">
      <c r="A39" s="33"/>
      <c r="B39" s="46" t="s">
        <v>487</v>
      </c>
      <c r="C39" s="46" t="s">
        <v>488</v>
      </c>
      <c r="D39" s="46" t="s">
        <v>318</v>
      </c>
      <c r="E39" s="30" t="s">
        <v>489</v>
      </c>
      <c r="F39" s="108">
        <f>G39+J39</f>
        <v>2724290</v>
      </c>
      <c r="G39" s="108">
        <f>2281250+350000+60340+20000+4000+8700</f>
        <v>2724290</v>
      </c>
      <c r="H39" s="108">
        <f>1399000-22041</f>
        <v>1376959</v>
      </c>
      <c r="I39" s="108">
        <f>425260+87230</f>
        <v>512490</v>
      </c>
      <c r="J39" s="113"/>
      <c r="K39" s="108">
        <f>L39+O39</f>
        <v>454700</v>
      </c>
      <c r="L39" s="108">
        <v>415700</v>
      </c>
      <c r="M39" s="108">
        <v>242690</v>
      </c>
      <c r="N39" s="108">
        <v>99128</v>
      </c>
      <c r="O39" s="113">
        <v>39000</v>
      </c>
      <c r="P39" s="113">
        <v>39000</v>
      </c>
      <c r="Q39" s="113">
        <f>F39+K39</f>
        <v>3178990</v>
      </c>
      <c r="R39" s="32"/>
      <c r="S39" s="32"/>
      <c r="T39" s="32"/>
      <c r="U39" s="32"/>
      <c r="V39" s="32"/>
      <c r="W39" s="32"/>
      <c r="X39" s="32"/>
      <c r="Y39" s="32"/>
      <c r="Z39" s="32"/>
      <c r="AA39" s="32"/>
      <c r="AB39" s="32"/>
      <c r="AC39" s="32"/>
      <c r="AD39" s="32"/>
      <c r="AE39" s="32"/>
    </row>
    <row r="40" spans="1:31" s="34" customFormat="1" ht="51.75" customHeight="1">
      <c r="A40" s="33"/>
      <c r="B40" s="29" t="s">
        <v>518</v>
      </c>
      <c r="C40" s="29" t="s">
        <v>491</v>
      </c>
      <c r="D40" s="29" t="s">
        <v>318</v>
      </c>
      <c r="E40" s="35" t="s">
        <v>490</v>
      </c>
      <c r="F40" s="108">
        <f>G40+J40</f>
        <v>3150147</v>
      </c>
      <c r="G40" s="108">
        <f>2965750+20000-53973+53170+115200+50000</f>
        <v>3150147</v>
      </c>
      <c r="H40" s="113"/>
      <c r="I40" s="113"/>
      <c r="J40" s="113"/>
      <c r="K40" s="108">
        <f>L40+O40</f>
        <v>0</v>
      </c>
      <c r="L40" s="108"/>
      <c r="M40" s="108"/>
      <c r="N40" s="108"/>
      <c r="O40" s="113"/>
      <c r="P40" s="113"/>
      <c r="Q40" s="113">
        <f>F40+K40</f>
        <v>3150147</v>
      </c>
      <c r="R40" s="32"/>
      <c r="S40" s="32"/>
      <c r="T40" s="32"/>
      <c r="U40" s="32"/>
      <c r="V40" s="32"/>
      <c r="W40" s="32"/>
      <c r="X40" s="32"/>
      <c r="Y40" s="32"/>
      <c r="Z40" s="32"/>
      <c r="AA40" s="32"/>
      <c r="AB40" s="32"/>
      <c r="AC40" s="32"/>
      <c r="AD40" s="32"/>
      <c r="AE40" s="32"/>
    </row>
    <row r="41" spans="1:31" s="15" customFormat="1" ht="37.5" customHeight="1">
      <c r="A41" s="23"/>
      <c r="B41" s="22" t="s">
        <v>194</v>
      </c>
      <c r="C41" s="22" t="s">
        <v>331</v>
      </c>
      <c r="D41" s="22" t="s">
        <v>332</v>
      </c>
      <c r="E41" s="24" t="s">
        <v>193</v>
      </c>
      <c r="F41" s="107">
        <f>G41+J41</f>
        <v>1604000</v>
      </c>
      <c r="G41" s="107"/>
      <c r="H41" s="107"/>
      <c r="I41" s="107"/>
      <c r="J41" s="107">
        <v>1604000</v>
      </c>
      <c r="K41" s="107"/>
      <c r="L41" s="107"/>
      <c r="M41" s="107"/>
      <c r="N41" s="107"/>
      <c r="O41" s="107"/>
      <c r="P41" s="107"/>
      <c r="Q41" s="107">
        <f t="shared" si="2"/>
        <v>1604000</v>
      </c>
      <c r="R41" s="42"/>
      <c r="S41" s="42"/>
      <c r="T41" s="42"/>
      <c r="U41" s="42"/>
      <c r="V41" s="42"/>
      <c r="W41" s="42"/>
      <c r="X41" s="42"/>
      <c r="Y41" s="42"/>
      <c r="Z41" s="42"/>
      <c r="AA41" s="42"/>
      <c r="AB41" s="42"/>
      <c r="AC41" s="42"/>
      <c r="AD41" s="42"/>
      <c r="AE41" s="42"/>
    </row>
    <row r="42" spans="1:31" s="15" customFormat="1" ht="30">
      <c r="A42" s="14"/>
      <c r="B42" s="77" t="s">
        <v>196</v>
      </c>
      <c r="C42" s="77" t="s">
        <v>412</v>
      </c>
      <c r="D42" s="77"/>
      <c r="E42" s="166" t="s">
        <v>195</v>
      </c>
      <c r="F42" s="107">
        <f>F43</f>
        <v>4844336</v>
      </c>
      <c r="G42" s="107">
        <f>G43</f>
        <v>0</v>
      </c>
      <c r="H42" s="107">
        <f aca="true" t="shared" si="11" ref="H42:P42">H43</f>
        <v>0</v>
      </c>
      <c r="I42" s="107">
        <f t="shared" si="11"/>
        <v>0</v>
      </c>
      <c r="J42" s="107">
        <f t="shared" si="11"/>
        <v>4844336</v>
      </c>
      <c r="K42" s="107">
        <f t="shared" si="11"/>
        <v>0</v>
      </c>
      <c r="L42" s="107">
        <f t="shared" si="11"/>
        <v>0</v>
      </c>
      <c r="M42" s="107">
        <f t="shared" si="11"/>
        <v>0</v>
      </c>
      <c r="N42" s="107">
        <f t="shared" si="11"/>
        <v>0</v>
      </c>
      <c r="O42" s="107">
        <f t="shared" si="11"/>
        <v>0</v>
      </c>
      <c r="P42" s="107">
        <f t="shared" si="11"/>
        <v>0</v>
      </c>
      <c r="Q42" s="107">
        <f t="shared" si="2"/>
        <v>4844336</v>
      </c>
      <c r="R42" s="42"/>
      <c r="S42" s="42"/>
      <c r="T42" s="42"/>
      <c r="U42" s="42"/>
      <c r="V42" s="42"/>
      <c r="W42" s="42"/>
      <c r="X42" s="42"/>
      <c r="Y42" s="42"/>
      <c r="Z42" s="42"/>
      <c r="AA42" s="42"/>
      <c r="AB42" s="42"/>
      <c r="AC42" s="42"/>
      <c r="AD42" s="42"/>
      <c r="AE42" s="42"/>
    </row>
    <row r="43" spans="1:31" s="34" customFormat="1" ht="30">
      <c r="A43" s="33"/>
      <c r="B43" s="46" t="s">
        <v>197</v>
      </c>
      <c r="C43" s="46" t="s">
        <v>334</v>
      </c>
      <c r="D43" s="46" t="s">
        <v>335</v>
      </c>
      <c r="E43" s="30" t="s">
        <v>198</v>
      </c>
      <c r="F43" s="108">
        <f>G43+J43</f>
        <v>4844336</v>
      </c>
      <c r="G43" s="108"/>
      <c r="H43" s="108"/>
      <c r="I43" s="108"/>
      <c r="J43" s="108">
        <f>4820000+24336</f>
        <v>4844336</v>
      </c>
      <c r="K43" s="108"/>
      <c r="L43" s="108"/>
      <c r="M43" s="108"/>
      <c r="N43" s="108"/>
      <c r="O43" s="108"/>
      <c r="P43" s="108"/>
      <c r="Q43" s="108">
        <f t="shared" si="2"/>
        <v>4844336</v>
      </c>
      <c r="R43" s="32"/>
      <c r="S43" s="32"/>
      <c r="T43" s="32"/>
      <c r="U43" s="32"/>
      <c r="V43" s="32"/>
      <c r="W43" s="32"/>
      <c r="X43" s="32"/>
      <c r="Y43" s="32"/>
      <c r="Z43" s="32"/>
      <c r="AA43" s="32"/>
      <c r="AB43" s="32"/>
      <c r="AC43" s="32"/>
      <c r="AD43" s="32"/>
      <c r="AE43" s="32"/>
    </row>
    <row r="44" spans="1:31" s="15" customFormat="1" ht="24.75" customHeight="1">
      <c r="A44" s="23"/>
      <c r="B44" s="22" t="s">
        <v>53</v>
      </c>
      <c r="C44" s="22" t="s">
        <v>337</v>
      </c>
      <c r="D44" s="22" t="s">
        <v>338</v>
      </c>
      <c r="E44" s="24" t="s">
        <v>15</v>
      </c>
      <c r="F44" s="107">
        <f>G44+J44</f>
        <v>2710500</v>
      </c>
      <c r="G44" s="107"/>
      <c r="H44" s="107"/>
      <c r="I44" s="107"/>
      <c r="J44" s="107">
        <f>2578500+132000</f>
        <v>2710500</v>
      </c>
      <c r="K44" s="107">
        <f>L44+O44</f>
        <v>1434400</v>
      </c>
      <c r="L44" s="107"/>
      <c r="M44" s="107"/>
      <c r="N44" s="107"/>
      <c r="O44" s="107">
        <f>2000000-565600</f>
        <v>1434400</v>
      </c>
      <c r="P44" s="107">
        <f>2000000-565600</f>
        <v>1434400</v>
      </c>
      <c r="Q44" s="107">
        <f t="shared" si="2"/>
        <v>4144900</v>
      </c>
      <c r="R44" s="42"/>
      <c r="S44" s="42"/>
      <c r="T44" s="42"/>
      <c r="U44" s="42"/>
      <c r="V44" s="42"/>
      <c r="W44" s="42"/>
      <c r="X44" s="42"/>
      <c r="Y44" s="42"/>
      <c r="Z44" s="42"/>
      <c r="AA44" s="42"/>
      <c r="AB44" s="42"/>
      <c r="AC44" s="42"/>
      <c r="AD44" s="42"/>
      <c r="AE44" s="42"/>
    </row>
    <row r="45" spans="1:31" s="15" customFormat="1" ht="24.75" customHeight="1">
      <c r="A45" s="23"/>
      <c r="B45" s="22" t="s">
        <v>562</v>
      </c>
      <c r="C45" s="22" t="s">
        <v>563</v>
      </c>
      <c r="D45" s="22" t="s">
        <v>332</v>
      </c>
      <c r="E45" s="24" t="s">
        <v>564</v>
      </c>
      <c r="F45" s="107">
        <f>F46</f>
        <v>33000</v>
      </c>
      <c r="G45" s="107">
        <f aca="true" t="shared" si="12" ref="G45:P45">G46</f>
        <v>0</v>
      </c>
      <c r="H45" s="107">
        <f t="shared" si="12"/>
        <v>0</v>
      </c>
      <c r="I45" s="107">
        <f t="shared" si="12"/>
        <v>0</v>
      </c>
      <c r="J45" s="107">
        <f t="shared" si="12"/>
        <v>33000</v>
      </c>
      <c r="K45" s="107">
        <f t="shared" si="12"/>
        <v>0</v>
      </c>
      <c r="L45" s="107">
        <f t="shared" si="12"/>
        <v>0</v>
      </c>
      <c r="M45" s="107">
        <f t="shared" si="12"/>
        <v>0</v>
      </c>
      <c r="N45" s="107">
        <f t="shared" si="12"/>
        <v>0</v>
      </c>
      <c r="O45" s="107">
        <f t="shared" si="12"/>
        <v>0</v>
      </c>
      <c r="P45" s="107">
        <f t="shared" si="12"/>
        <v>0</v>
      </c>
      <c r="Q45" s="107">
        <f t="shared" si="2"/>
        <v>33000</v>
      </c>
      <c r="R45" s="42"/>
      <c r="S45" s="42"/>
      <c r="T45" s="42"/>
      <c r="U45" s="42"/>
      <c r="V45" s="42"/>
      <c r="W45" s="42"/>
      <c r="X45" s="42"/>
      <c r="Y45" s="42"/>
      <c r="Z45" s="42"/>
      <c r="AA45" s="42"/>
      <c r="AB45" s="42"/>
      <c r="AC45" s="42"/>
      <c r="AD45" s="42"/>
      <c r="AE45" s="42"/>
    </row>
    <row r="46" spans="1:31" s="34" customFormat="1" ht="46.5" customHeight="1">
      <c r="A46" s="33"/>
      <c r="B46" s="46" t="s">
        <v>562</v>
      </c>
      <c r="C46" s="46" t="s">
        <v>563</v>
      </c>
      <c r="D46" s="46" t="s">
        <v>332</v>
      </c>
      <c r="E46" s="30" t="s">
        <v>565</v>
      </c>
      <c r="F46" s="108">
        <f>G46+J46</f>
        <v>33000</v>
      </c>
      <c r="G46" s="108"/>
      <c r="H46" s="108"/>
      <c r="I46" s="108"/>
      <c r="J46" s="108">
        <v>33000</v>
      </c>
      <c r="K46" s="108">
        <f>L46+O46</f>
        <v>0</v>
      </c>
      <c r="L46" s="108"/>
      <c r="M46" s="108"/>
      <c r="N46" s="108"/>
      <c r="O46" s="108"/>
      <c r="P46" s="108"/>
      <c r="Q46" s="108">
        <f t="shared" si="2"/>
        <v>33000</v>
      </c>
      <c r="R46" s="32"/>
      <c r="S46" s="32"/>
      <c r="T46" s="32"/>
      <c r="U46" s="32"/>
      <c r="V46" s="32"/>
      <c r="W46" s="32"/>
      <c r="X46" s="32"/>
      <c r="Y46" s="32"/>
      <c r="Z46" s="32"/>
      <c r="AA46" s="32"/>
      <c r="AB46" s="32"/>
      <c r="AC46" s="32"/>
      <c r="AD46" s="32"/>
      <c r="AE46" s="32"/>
    </row>
    <row r="47" spans="1:31" s="15" customFormat="1" ht="20.25" customHeight="1">
      <c r="A47" s="14"/>
      <c r="B47" s="77" t="s">
        <v>188</v>
      </c>
      <c r="C47" s="77" t="s">
        <v>311</v>
      </c>
      <c r="D47" s="77"/>
      <c r="E47" s="166" t="s">
        <v>187</v>
      </c>
      <c r="F47" s="107">
        <f>F48</f>
        <v>198000</v>
      </c>
      <c r="G47" s="107">
        <f aca="true" t="shared" si="13" ref="G47:P47">G48</f>
        <v>198000</v>
      </c>
      <c r="H47" s="107">
        <f t="shared" si="13"/>
        <v>0</v>
      </c>
      <c r="I47" s="107">
        <f t="shared" si="13"/>
        <v>0</v>
      </c>
      <c r="J47" s="107">
        <f t="shared" si="13"/>
        <v>0</v>
      </c>
      <c r="K47" s="107">
        <f t="shared" si="13"/>
        <v>0</v>
      </c>
      <c r="L47" s="107">
        <f t="shared" si="13"/>
        <v>0</v>
      </c>
      <c r="M47" s="107">
        <f t="shared" si="13"/>
        <v>0</v>
      </c>
      <c r="N47" s="107">
        <f t="shared" si="13"/>
        <v>0</v>
      </c>
      <c r="O47" s="107">
        <f t="shared" si="13"/>
        <v>0</v>
      </c>
      <c r="P47" s="107">
        <f t="shared" si="13"/>
        <v>0</v>
      </c>
      <c r="Q47" s="107">
        <f t="shared" si="2"/>
        <v>198000</v>
      </c>
      <c r="R47" s="42"/>
      <c r="S47" s="42"/>
      <c r="T47" s="42"/>
      <c r="U47" s="42"/>
      <c r="V47" s="42"/>
      <c r="W47" s="42"/>
      <c r="X47" s="42"/>
      <c r="Y47" s="42"/>
      <c r="Z47" s="42"/>
      <c r="AA47" s="42"/>
      <c r="AB47" s="42"/>
      <c r="AC47" s="42"/>
      <c r="AD47" s="42"/>
      <c r="AE47" s="42"/>
    </row>
    <row r="48" spans="1:31" s="34" customFormat="1" ht="19.5" customHeight="1">
      <c r="A48" s="33"/>
      <c r="B48" s="46" t="s">
        <v>190</v>
      </c>
      <c r="C48" s="46" t="s">
        <v>312</v>
      </c>
      <c r="D48" s="46" t="s">
        <v>313</v>
      </c>
      <c r="E48" s="30" t="s">
        <v>189</v>
      </c>
      <c r="F48" s="108">
        <f>G48+J48</f>
        <v>198000</v>
      </c>
      <c r="G48" s="108">
        <v>198000</v>
      </c>
      <c r="H48" s="108"/>
      <c r="I48" s="108"/>
      <c r="J48" s="108"/>
      <c r="K48" s="108"/>
      <c r="L48" s="108"/>
      <c r="M48" s="108"/>
      <c r="N48" s="108"/>
      <c r="O48" s="108"/>
      <c r="P48" s="108"/>
      <c r="Q48" s="108">
        <f t="shared" si="2"/>
        <v>198000</v>
      </c>
      <c r="R48" s="32"/>
      <c r="S48" s="32"/>
      <c r="T48" s="32"/>
      <c r="U48" s="32"/>
      <c r="V48" s="32"/>
      <c r="W48" s="32"/>
      <c r="X48" s="32"/>
      <c r="Y48" s="32"/>
      <c r="Z48" s="32"/>
      <c r="AA48" s="32"/>
      <c r="AB48" s="32"/>
      <c r="AC48" s="32"/>
      <c r="AD48" s="32"/>
      <c r="AE48" s="32"/>
    </row>
    <row r="49" spans="1:31" s="15" customFormat="1" ht="30">
      <c r="A49" s="23"/>
      <c r="B49" s="22" t="s">
        <v>55</v>
      </c>
      <c r="C49" s="22" t="s">
        <v>343</v>
      </c>
      <c r="D49" s="22" t="s">
        <v>344</v>
      </c>
      <c r="E49" s="24" t="s">
        <v>54</v>
      </c>
      <c r="F49" s="107">
        <f>G49+J49</f>
        <v>82200</v>
      </c>
      <c r="G49" s="107">
        <v>82200</v>
      </c>
      <c r="H49" s="107"/>
      <c r="I49" s="107"/>
      <c r="J49" s="107"/>
      <c r="K49" s="107">
        <f>L49+O49</f>
        <v>32000</v>
      </c>
      <c r="L49" s="107"/>
      <c r="M49" s="107"/>
      <c r="N49" s="107"/>
      <c r="O49" s="107">
        <v>32000</v>
      </c>
      <c r="P49" s="107">
        <v>32000</v>
      </c>
      <c r="Q49" s="107">
        <f t="shared" si="2"/>
        <v>114200</v>
      </c>
      <c r="R49" s="42"/>
      <c r="S49" s="42"/>
      <c r="T49" s="42"/>
      <c r="U49" s="42"/>
      <c r="V49" s="42"/>
      <c r="W49" s="42"/>
      <c r="X49" s="42"/>
      <c r="Y49" s="42"/>
      <c r="Z49" s="42"/>
      <c r="AA49" s="42"/>
      <c r="AB49" s="42"/>
      <c r="AC49" s="42"/>
      <c r="AD49" s="42"/>
      <c r="AE49" s="42"/>
    </row>
    <row r="50" spans="1:31" s="15" customFormat="1" ht="30">
      <c r="A50" s="14"/>
      <c r="B50" s="77" t="s">
        <v>57</v>
      </c>
      <c r="C50" s="77" t="s">
        <v>345</v>
      </c>
      <c r="D50" s="77" t="s">
        <v>324</v>
      </c>
      <c r="E50" s="166" t="s">
        <v>56</v>
      </c>
      <c r="F50" s="107">
        <f>G50+J50</f>
        <v>0</v>
      </c>
      <c r="G50" s="107"/>
      <c r="H50" s="107"/>
      <c r="I50" s="107"/>
      <c r="J50" s="107"/>
      <c r="K50" s="107">
        <f>L50+O50</f>
        <v>47925600</v>
      </c>
      <c r="L50" s="107"/>
      <c r="M50" s="107"/>
      <c r="N50" s="107"/>
      <c r="O50" s="107">
        <f>9100000+20000000+1082000+13704000+565600+3074000+400000</f>
        <v>47925600</v>
      </c>
      <c r="P50" s="107">
        <f>9100000+20000000+1082000+13704000+565600+3074000+400000</f>
        <v>47925600</v>
      </c>
      <c r="Q50" s="107">
        <f t="shared" si="2"/>
        <v>47925600</v>
      </c>
      <c r="R50" s="42"/>
      <c r="S50" s="42"/>
      <c r="T50" s="42"/>
      <c r="U50" s="42"/>
      <c r="V50" s="42"/>
      <c r="W50" s="42"/>
      <c r="X50" s="42"/>
      <c r="Y50" s="42"/>
      <c r="Z50" s="42"/>
      <c r="AA50" s="42"/>
      <c r="AB50" s="42"/>
      <c r="AC50" s="42"/>
      <c r="AD50" s="42"/>
      <c r="AE50" s="42"/>
    </row>
    <row r="51" spans="1:31" s="15" customFormat="1" ht="15.75">
      <c r="A51" s="14"/>
      <c r="B51" s="77" t="s">
        <v>58</v>
      </c>
      <c r="C51" s="77" t="s">
        <v>346</v>
      </c>
      <c r="D51" s="77" t="s">
        <v>344</v>
      </c>
      <c r="E51" s="166" t="s">
        <v>16</v>
      </c>
      <c r="F51" s="107">
        <f>F52</f>
        <v>719800</v>
      </c>
      <c r="G51" s="107">
        <f aca="true" t="shared" si="14" ref="G51:P51">G52</f>
        <v>719800</v>
      </c>
      <c r="H51" s="107">
        <f t="shared" si="14"/>
        <v>0</v>
      </c>
      <c r="I51" s="107">
        <f t="shared" si="14"/>
        <v>0</v>
      </c>
      <c r="J51" s="107">
        <f t="shared" si="14"/>
        <v>0</v>
      </c>
      <c r="K51" s="107">
        <f t="shared" si="14"/>
        <v>0</v>
      </c>
      <c r="L51" s="107">
        <f t="shared" si="14"/>
        <v>0</v>
      </c>
      <c r="M51" s="107">
        <f t="shared" si="14"/>
        <v>0</v>
      </c>
      <c r="N51" s="107">
        <f t="shared" si="14"/>
        <v>0</v>
      </c>
      <c r="O51" s="107">
        <f t="shared" si="14"/>
        <v>0</v>
      </c>
      <c r="P51" s="107">
        <f t="shared" si="14"/>
        <v>0</v>
      </c>
      <c r="Q51" s="107">
        <f t="shared" si="2"/>
        <v>719800</v>
      </c>
      <c r="R51" s="42"/>
      <c r="S51" s="42"/>
      <c r="T51" s="42"/>
      <c r="U51" s="42"/>
      <c r="V51" s="42"/>
      <c r="W51" s="42"/>
      <c r="X51" s="42"/>
      <c r="Y51" s="42"/>
      <c r="Z51" s="42"/>
      <c r="AA51" s="42"/>
      <c r="AB51" s="42"/>
      <c r="AC51" s="42"/>
      <c r="AD51" s="42"/>
      <c r="AE51" s="42"/>
    </row>
    <row r="52" spans="1:31" s="34" customFormat="1" ht="34.5" customHeight="1">
      <c r="A52" s="33"/>
      <c r="B52" s="46" t="s">
        <v>58</v>
      </c>
      <c r="C52" s="46" t="s">
        <v>346</v>
      </c>
      <c r="D52" s="46" t="s">
        <v>344</v>
      </c>
      <c r="E52" s="30" t="s">
        <v>201</v>
      </c>
      <c r="F52" s="108">
        <f>G52+J52</f>
        <v>719800</v>
      </c>
      <c r="G52" s="108">
        <f>143300-3500+500000+80000</f>
        <v>719800</v>
      </c>
      <c r="H52" s="108"/>
      <c r="I52" s="108"/>
      <c r="J52" s="108"/>
      <c r="K52" s="108">
        <f>L52+O52</f>
        <v>0</v>
      </c>
      <c r="L52" s="108"/>
      <c r="M52" s="108"/>
      <c r="N52" s="108"/>
      <c r="O52" s="108"/>
      <c r="P52" s="108"/>
      <c r="Q52" s="108">
        <f t="shared" si="2"/>
        <v>719800</v>
      </c>
      <c r="R52" s="32"/>
      <c r="S52" s="32"/>
      <c r="T52" s="32"/>
      <c r="U52" s="32"/>
      <c r="V52" s="32"/>
      <c r="W52" s="32"/>
      <c r="X52" s="32"/>
      <c r="Y52" s="32"/>
      <c r="Z52" s="32"/>
      <c r="AA52" s="32"/>
      <c r="AB52" s="32"/>
      <c r="AC52" s="32"/>
      <c r="AD52" s="32"/>
      <c r="AE52" s="32"/>
    </row>
    <row r="53" spans="1:31" s="15" customFormat="1" ht="38.25" customHeight="1">
      <c r="A53" s="14"/>
      <c r="B53" s="77" t="s">
        <v>550</v>
      </c>
      <c r="C53" s="77" t="s">
        <v>546</v>
      </c>
      <c r="D53" s="77" t="s">
        <v>356</v>
      </c>
      <c r="E53" s="166" t="s">
        <v>547</v>
      </c>
      <c r="F53" s="107">
        <f>G53+J53</f>
        <v>22200</v>
      </c>
      <c r="G53" s="107">
        <v>22200</v>
      </c>
      <c r="H53" s="107"/>
      <c r="I53" s="107"/>
      <c r="J53" s="107"/>
      <c r="K53" s="107"/>
      <c r="L53" s="107"/>
      <c r="M53" s="107"/>
      <c r="N53" s="107"/>
      <c r="O53" s="107"/>
      <c r="P53" s="107"/>
      <c r="Q53" s="107">
        <f t="shared" si="2"/>
        <v>22200</v>
      </c>
      <c r="R53" s="42"/>
      <c r="S53" s="42"/>
      <c r="T53" s="42"/>
      <c r="U53" s="42"/>
      <c r="V53" s="42"/>
      <c r="W53" s="42"/>
      <c r="X53" s="42"/>
      <c r="Y53" s="42"/>
      <c r="Z53" s="42"/>
      <c r="AA53" s="42"/>
      <c r="AB53" s="42"/>
      <c r="AC53" s="42"/>
      <c r="AD53" s="42"/>
      <c r="AE53" s="42"/>
    </row>
    <row r="54" spans="1:31" s="15" customFormat="1" ht="45">
      <c r="A54" s="23"/>
      <c r="B54" s="22" t="s">
        <v>62</v>
      </c>
      <c r="C54" s="22" t="s">
        <v>353</v>
      </c>
      <c r="D54" s="22" t="s">
        <v>354</v>
      </c>
      <c r="E54" s="24" t="s">
        <v>61</v>
      </c>
      <c r="F54" s="107">
        <f>G54+J54</f>
        <v>345692</v>
      </c>
      <c r="G54" s="107">
        <f>207600+1792+136300</f>
        <v>345692</v>
      </c>
      <c r="H54" s="107"/>
      <c r="I54" s="107">
        <v>5300</v>
      </c>
      <c r="J54" s="107"/>
      <c r="K54" s="107">
        <f>L54+O54</f>
        <v>385000</v>
      </c>
      <c r="L54" s="107"/>
      <c r="M54" s="107"/>
      <c r="N54" s="107"/>
      <c r="O54" s="107">
        <v>385000</v>
      </c>
      <c r="P54" s="107">
        <v>385000</v>
      </c>
      <c r="Q54" s="107">
        <f t="shared" si="2"/>
        <v>730692</v>
      </c>
      <c r="R54" s="42"/>
      <c r="S54" s="42"/>
      <c r="T54" s="42"/>
      <c r="U54" s="42"/>
      <c r="V54" s="42"/>
      <c r="W54" s="42"/>
      <c r="X54" s="42"/>
      <c r="Y54" s="42"/>
      <c r="Z54" s="42"/>
      <c r="AA54" s="42"/>
      <c r="AB54" s="42"/>
      <c r="AC54" s="42"/>
      <c r="AD54" s="42"/>
      <c r="AE54" s="42"/>
    </row>
    <row r="55" spans="1:31" s="15" customFormat="1" ht="19.5" customHeight="1">
      <c r="A55" s="14"/>
      <c r="B55" s="77" t="s">
        <v>60</v>
      </c>
      <c r="C55" s="77" t="s">
        <v>355</v>
      </c>
      <c r="D55" s="77" t="s">
        <v>356</v>
      </c>
      <c r="E55" s="166" t="s">
        <v>59</v>
      </c>
      <c r="F55" s="107">
        <f>G55+J55</f>
        <v>1271578</v>
      </c>
      <c r="G55" s="107">
        <f>1308300-38420+1698</f>
        <v>1271578</v>
      </c>
      <c r="H55" s="107">
        <f>997400-32000</f>
        <v>965400</v>
      </c>
      <c r="I55" s="107">
        <f>46420+480+1698</f>
        <v>48598</v>
      </c>
      <c r="J55" s="107"/>
      <c r="K55" s="107">
        <f>L55+O55</f>
        <v>4900</v>
      </c>
      <c r="L55" s="107">
        <v>4900</v>
      </c>
      <c r="M55" s="107"/>
      <c r="N55" s="107">
        <v>1000</v>
      </c>
      <c r="O55" s="107"/>
      <c r="P55" s="107"/>
      <c r="Q55" s="107">
        <f t="shared" si="2"/>
        <v>1276478</v>
      </c>
      <c r="R55" s="42"/>
      <c r="S55" s="42"/>
      <c r="T55" s="42"/>
      <c r="U55" s="42"/>
      <c r="V55" s="42"/>
      <c r="W55" s="42"/>
      <c r="X55" s="42"/>
      <c r="Y55" s="42"/>
      <c r="Z55" s="42"/>
      <c r="AA55" s="42"/>
      <c r="AB55" s="42"/>
      <c r="AC55" s="42"/>
      <c r="AD55" s="42"/>
      <c r="AE55" s="42"/>
    </row>
    <row r="56" spans="1:31" s="15" customFormat="1" ht="49.5" customHeight="1">
      <c r="A56" s="14"/>
      <c r="B56" s="77" t="s">
        <v>532</v>
      </c>
      <c r="C56" s="77" t="s">
        <v>534</v>
      </c>
      <c r="D56" s="77" t="s">
        <v>246</v>
      </c>
      <c r="E56" s="166" t="s">
        <v>533</v>
      </c>
      <c r="F56" s="107">
        <f>G56+J56</f>
        <v>693073</v>
      </c>
      <c r="G56" s="107">
        <f>253500+70000+80000+289573</f>
        <v>693073</v>
      </c>
      <c r="H56" s="107"/>
      <c r="I56" s="107"/>
      <c r="J56" s="107"/>
      <c r="K56" s="107">
        <f>L56+O56</f>
        <v>1890427</v>
      </c>
      <c r="L56" s="107"/>
      <c r="M56" s="107"/>
      <c r="N56" s="107"/>
      <c r="O56" s="107">
        <f>1320000+500000+20000+50427</f>
        <v>1890427</v>
      </c>
      <c r="P56" s="107">
        <f>1320000+500000+20000+50427</f>
        <v>1890427</v>
      </c>
      <c r="Q56" s="107">
        <f>F56+K56</f>
        <v>2583500</v>
      </c>
      <c r="R56" s="42"/>
      <c r="S56" s="42"/>
      <c r="T56" s="42"/>
      <c r="U56" s="42"/>
      <c r="V56" s="42"/>
      <c r="W56" s="42"/>
      <c r="X56" s="42"/>
      <c r="Y56" s="42"/>
      <c r="Z56" s="42"/>
      <c r="AA56" s="42"/>
      <c r="AB56" s="42"/>
      <c r="AC56" s="42"/>
      <c r="AD56" s="42"/>
      <c r="AE56" s="42"/>
    </row>
    <row r="57" spans="1:31" s="15" customFormat="1" ht="21.75" customHeight="1">
      <c r="A57" s="14"/>
      <c r="B57" s="77" t="s">
        <v>63</v>
      </c>
      <c r="C57" s="77" t="s">
        <v>373</v>
      </c>
      <c r="D57" s="77" t="s">
        <v>369</v>
      </c>
      <c r="E57" s="166" t="s">
        <v>12</v>
      </c>
      <c r="F57" s="107">
        <f>F58+F59+F60+F61+F62+F63+F64+F65</f>
        <v>7356239</v>
      </c>
      <c r="G57" s="107">
        <f aca="true" t="shared" si="15" ref="G57:Q57">G58+G59+G60+G61+G62+G63+G64+G65</f>
        <v>7356239</v>
      </c>
      <c r="H57" s="107">
        <f t="shared" si="15"/>
        <v>0</v>
      </c>
      <c r="I57" s="107">
        <f t="shared" si="15"/>
        <v>261530</v>
      </c>
      <c r="J57" s="107">
        <f t="shared" si="15"/>
        <v>0</v>
      </c>
      <c r="K57" s="107">
        <f t="shared" si="15"/>
        <v>3286718</v>
      </c>
      <c r="L57" s="107">
        <f t="shared" si="15"/>
        <v>0</v>
      </c>
      <c r="M57" s="107">
        <f t="shared" si="15"/>
        <v>0</v>
      </c>
      <c r="N57" s="107">
        <f t="shared" si="15"/>
        <v>0</v>
      </c>
      <c r="O57" s="107">
        <f t="shared" si="15"/>
        <v>3286718</v>
      </c>
      <c r="P57" s="107">
        <f t="shared" si="15"/>
        <v>3286718</v>
      </c>
      <c r="Q57" s="107">
        <f t="shared" si="15"/>
        <v>10642957</v>
      </c>
      <c r="R57" s="42"/>
      <c r="S57" s="42"/>
      <c r="T57" s="42"/>
      <c r="U57" s="42"/>
      <c r="V57" s="42"/>
      <c r="W57" s="42"/>
      <c r="X57" s="42"/>
      <c r="Y57" s="42"/>
      <c r="Z57" s="42"/>
      <c r="AA57" s="42"/>
      <c r="AB57" s="42"/>
      <c r="AC57" s="42"/>
      <c r="AD57" s="42"/>
      <c r="AE57" s="42"/>
    </row>
    <row r="58" spans="1:31" s="34" customFormat="1" ht="33.75" customHeight="1">
      <c r="A58" s="33"/>
      <c r="B58" s="46" t="s">
        <v>63</v>
      </c>
      <c r="C58" s="46" t="s">
        <v>373</v>
      </c>
      <c r="D58" s="29" t="s">
        <v>369</v>
      </c>
      <c r="E58" s="36" t="s">
        <v>242</v>
      </c>
      <c r="F58" s="108">
        <f aca="true" t="shared" si="16" ref="F58:F69">G58+J58</f>
        <v>515310</v>
      </c>
      <c r="G58" s="108">
        <f>607700+38239+2089+130000-277718+15000</f>
        <v>515310</v>
      </c>
      <c r="H58" s="113"/>
      <c r="I58" s="108">
        <f>223291+38239</f>
        <v>261530</v>
      </c>
      <c r="J58" s="108"/>
      <c r="K58" s="108">
        <f aca="true" t="shared" si="17" ref="K58:K69">L58+O58</f>
        <v>177000</v>
      </c>
      <c r="L58" s="108"/>
      <c r="M58" s="108"/>
      <c r="N58" s="108"/>
      <c r="O58" s="108">
        <v>177000</v>
      </c>
      <c r="P58" s="108">
        <v>177000</v>
      </c>
      <c r="Q58" s="108">
        <f t="shared" si="2"/>
        <v>692310</v>
      </c>
      <c r="R58" s="32"/>
      <c r="S58" s="32"/>
      <c r="T58" s="32"/>
      <c r="U58" s="32"/>
      <c r="V58" s="32"/>
      <c r="W58" s="32"/>
      <c r="X58" s="32"/>
      <c r="Y58" s="32"/>
      <c r="Z58" s="32"/>
      <c r="AA58" s="32"/>
      <c r="AB58" s="32"/>
      <c r="AC58" s="32"/>
      <c r="AD58" s="32"/>
      <c r="AE58" s="32"/>
    </row>
    <row r="59" spans="1:31" s="34" customFormat="1" ht="31.5" customHeight="1">
      <c r="A59" s="33"/>
      <c r="B59" s="46" t="s">
        <v>63</v>
      </c>
      <c r="C59" s="46" t="s">
        <v>373</v>
      </c>
      <c r="D59" s="29" t="s">
        <v>369</v>
      </c>
      <c r="E59" s="36" t="s">
        <v>422</v>
      </c>
      <c r="F59" s="108">
        <f t="shared" si="16"/>
        <v>160580</v>
      </c>
      <c r="G59" s="108">
        <f>80290+80290</f>
        <v>160580</v>
      </c>
      <c r="H59" s="113"/>
      <c r="I59" s="113"/>
      <c r="J59" s="108"/>
      <c r="K59" s="108">
        <f t="shared" si="17"/>
        <v>0</v>
      </c>
      <c r="L59" s="108"/>
      <c r="M59" s="108"/>
      <c r="N59" s="108"/>
      <c r="O59" s="108"/>
      <c r="P59" s="108"/>
      <c r="Q59" s="108">
        <f t="shared" si="2"/>
        <v>160580</v>
      </c>
      <c r="R59" s="32"/>
      <c r="S59" s="32"/>
      <c r="T59" s="32"/>
      <c r="U59" s="32"/>
      <c r="V59" s="32"/>
      <c r="W59" s="32"/>
      <c r="X59" s="32"/>
      <c r="Y59" s="32"/>
      <c r="Z59" s="32"/>
      <c r="AA59" s="32"/>
      <c r="AB59" s="32"/>
      <c r="AC59" s="32"/>
      <c r="AD59" s="32"/>
      <c r="AE59" s="32"/>
    </row>
    <row r="60" spans="1:31" s="34" customFormat="1" ht="45">
      <c r="A60" s="33"/>
      <c r="B60" s="46" t="s">
        <v>63</v>
      </c>
      <c r="C60" s="46" t="s">
        <v>373</v>
      </c>
      <c r="D60" s="29" t="s">
        <v>369</v>
      </c>
      <c r="E60" s="36" t="s">
        <v>506</v>
      </c>
      <c r="F60" s="108">
        <f t="shared" si="16"/>
        <v>3975600</v>
      </c>
      <c r="G60" s="108">
        <f>194200+843700-194200+3021900+110000</f>
        <v>3975600</v>
      </c>
      <c r="H60" s="113"/>
      <c r="I60" s="113"/>
      <c r="J60" s="108"/>
      <c r="K60" s="108">
        <f t="shared" si="17"/>
        <v>3083718</v>
      </c>
      <c r="L60" s="108"/>
      <c r="M60" s="108"/>
      <c r="N60" s="108"/>
      <c r="O60" s="108">
        <f>90000+2997000+229000-510000+277718</f>
        <v>3083718</v>
      </c>
      <c r="P60" s="108">
        <f>90000+2997000+229000-510000+277718</f>
        <v>3083718</v>
      </c>
      <c r="Q60" s="108">
        <f>F60+K60</f>
        <v>7059318</v>
      </c>
      <c r="R60" s="32"/>
      <c r="S60" s="32"/>
      <c r="T60" s="32"/>
      <c r="U60" s="32"/>
      <c r="V60" s="32"/>
      <c r="W60" s="32"/>
      <c r="X60" s="32"/>
      <c r="Y60" s="32"/>
      <c r="Z60" s="32"/>
      <c r="AA60" s="32"/>
      <c r="AB60" s="32"/>
      <c r="AC60" s="32"/>
      <c r="AD60" s="32"/>
      <c r="AE60" s="32"/>
    </row>
    <row r="61" spans="1:31" s="34" customFormat="1" ht="42.75" customHeight="1">
      <c r="A61" s="33"/>
      <c r="B61" s="46" t="s">
        <v>63</v>
      </c>
      <c r="C61" s="46" t="s">
        <v>373</v>
      </c>
      <c r="D61" s="29" t="s">
        <v>369</v>
      </c>
      <c r="E61" s="36" t="s">
        <v>201</v>
      </c>
      <c r="F61" s="108">
        <f t="shared" si="16"/>
        <v>1150570</v>
      </c>
      <c r="G61" s="108">
        <f>962400+50000-50000+188170</f>
        <v>1150570</v>
      </c>
      <c r="H61" s="113"/>
      <c r="I61" s="113"/>
      <c r="J61" s="108"/>
      <c r="K61" s="108">
        <f t="shared" si="17"/>
        <v>26000</v>
      </c>
      <c r="L61" s="108"/>
      <c r="M61" s="108"/>
      <c r="N61" s="108"/>
      <c r="O61" s="108">
        <v>26000</v>
      </c>
      <c r="P61" s="108">
        <v>26000</v>
      </c>
      <c r="Q61" s="108">
        <f t="shared" si="2"/>
        <v>1176570</v>
      </c>
      <c r="R61" s="32"/>
      <c r="S61" s="32"/>
      <c r="T61" s="32"/>
      <c r="U61" s="32"/>
      <c r="V61" s="32"/>
      <c r="W61" s="32"/>
      <c r="X61" s="32"/>
      <c r="Y61" s="32"/>
      <c r="Z61" s="32"/>
      <c r="AA61" s="32"/>
      <c r="AB61" s="32"/>
      <c r="AC61" s="32"/>
      <c r="AD61" s="32"/>
      <c r="AE61" s="32"/>
    </row>
    <row r="62" spans="1:31" s="34" customFormat="1" ht="36.75" customHeight="1">
      <c r="A62" s="33"/>
      <c r="B62" s="46" t="s">
        <v>63</v>
      </c>
      <c r="C62" s="46" t="s">
        <v>373</v>
      </c>
      <c r="D62" s="29" t="s">
        <v>369</v>
      </c>
      <c r="E62" s="36" t="s">
        <v>202</v>
      </c>
      <c r="F62" s="108">
        <f t="shared" si="16"/>
        <v>1279179</v>
      </c>
      <c r="G62" s="108">
        <f>1229100+80000-29921</f>
        <v>1279179</v>
      </c>
      <c r="H62" s="113"/>
      <c r="I62" s="113"/>
      <c r="J62" s="108"/>
      <c r="K62" s="108">
        <f t="shared" si="17"/>
        <v>0</v>
      </c>
      <c r="L62" s="108"/>
      <c r="M62" s="108"/>
      <c r="N62" s="108"/>
      <c r="O62" s="108"/>
      <c r="P62" s="108"/>
      <c r="Q62" s="108">
        <f t="shared" si="2"/>
        <v>1279179</v>
      </c>
      <c r="R62" s="32"/>
      <c r="S62" s="32"/>
      <c r="T62" s="32"/>
      <c r="U62" s="32"/>
      <c r="V62" s="32"/>
      <c r="W62" s="32"/>
      <c r="X62" s="32"/>
      <c r="Y62" s="32"/>
      <c r="Z62" s="32"/>
      <c r="AA62" s="32"/>
      <c r="AB62" s="32"/>
      <c r="AC62" s="32"/>
      <c r="AD62" s="32"/>
      <c r="AE62" s="32"/>
    </row>
    <row r="63" spans="1:31" s="34" customFormat="1" ht="46.5" customHeight="1">
      <c r="A63" s="33"/>
      <c r="B63" s="46" t="s">
        <v>63</v>
      </c>
      <c r="C63" s="46" t="s">
        <v>373</v>
      </c>
      <c r="D63" s="29" t="s">
        <v>369</v>
      </c>
      <c r="E63" s="36" t="s">
        <v>543</v>
      </c>
      <c r="F63" s="108">
        <f t="shared" si="16"/>
        <v>125000</v>
      </c>
      <c r="G63" s="108">
        <f>100000+25000</f>
        <v>125000</v>
      </c>
      <c r="H63" s="113"/>
      <c r="I63" s="113"/>
      <c r="J63" s="108"/>
      <c r="K63" s="108">
        <f t="shared" si="17"/>
        <v>0</v>
      </c>
      <c r="L63" s="108"/>
      <c r="M63" s="108"/>
      <c r="N63" s="108"/>
      <c r="O63" s="108"/>
      <c r="P63" s="108"/>
      <c r="Q63" s="108">
        <f>F63+K63</f>
        <v>125000</v>
      </c>
      <c r="R63" s="32"/>
      <c r="S63" s="32"/>
      <c r="T63" s="32"/>
      <c r="U63" s="32"/>
      <c r="V63" s="32"/>
      <c r="W63" s="32"/>
      <c r="X63" s="32"/>
      <c r="Y63" s="32"/>
      <c r="Z63" s="32"/>
      <c r="AA63" s="32"/>
      <c r="AB63" s="32"/>
      <c r="AC63" s="32"/>
      <c r="AD63" s="32"/>
      <c r="AE63" s="32"/>
    </row>
    <row r="64" spans="1:31" s="34" customFormat="1" ht="59.25" customHeight="1">
      <c r="A64" s="33"/>
      <c r="B64" s="46" t="s">
        <v>63</v>
      </c>
      <c r="C64" s="46" t="s">
        <v>373</v>
      </c>
      <c r="D64" s="29" t="s">
        <v>369</v>
      </c>
      <c r="E64" s="36" t="s">
        <v>544</v>
      </c>
      <c r="F64" s="108">
        <f t="shared" si="16"/>
        <v>100000</v>
      </c>
      <c r="G64" s="108">
        <v>100000</v>
      </c>
      <c r="H64" s="113"/>
      <c r="I64" s="113"/>
      <c r="J64" s="108"/>
      <c r="K64" s="108">
        <f t="shared" si="17"/>
        <v>0</v>
      </c>
      <c r="L64" s="108"/>
      <c r="M64" s="108"/>
      <c r="N64" s="108"/>
      <c r="O64" s="108"/>
      <c r="P64" s="108"/>
      <c r="Q64" s="108">
        <f>F64+K64</f>
        <v>100000</v>
      </c>
      <c r="R64" s="32"/>
      <c r="S64" s="32"/>
      <c r="T64" s="32"/>
      <c r="U64" s="32"/>
      <c r="V64" s="32"/>
      <c r="W64" s="32"/>
      <c r="X64" s="32"/>
      <c r="Y64" s="32"/>
      <c r="Z64" s="32"/>
      <c r="AA64" s="32"/>
      <c r="AB64" s="32"/>
      <c r="AC64" s="32"/>
      <c r="AD64" s="32"/>
      <c r="AE64" s="32"/>
    </row>
    <row r="65" spans="1:31" s="34" customFormat="1" ht="59.25" customHeight="1">
      <c r="A65" s="33"/>
      <c r="B65" s="46" t="s">
        <v>63</v>
      </c>
      <c r="C65" s="46" t="s">
        <v>373</v>
      </c>
      <c r="D65" s="29" t="s">
        <v>369</v>
      </c>
      <c r="E65" s="36" t="s">
        <v>545</v>
      </c>
      <c r="F65" s="108">
        <f t="shared" si="16"/>
        <v>50000</v>
      </c>
      <c r="G65" s="108">
        <v>50000</v>
      </c>
      <c r="H65" s="113"/>
      <c r="I65" s="113"/>
      <c r="J65" s="108"/>
      <c r="K65" s="108"/>
      <c r="L65" s="108"/>
      <c r="M65" s="108"/>
      <c r="N65" s="108"/>
      <c r="O65" s="108"/>
      <c r="P65" s="108"/>
      <c r="Q65" s="108">
        <f>F65+K65</f>
        <v>50000</v>
      </c>
      <c r="R65" s="32"/>
      <c r="S65" s="32"/>
      <c r="T65" s="32"/>
      <c r="U65" s="32"/>
      <c r="V65" s="32"/>
      <c r="W65" s="32"/>
      <c r="X65" s="32"/>
      <c r="Y65" s="32"/>
      <c r="Z65" s="32"/>
      <c r="AA65" s="32"/>
      <c r="AB65" s="32"/>
      <c r="AC65" s="32"/>
      <c r="AD65" s="32"/>
      <c r="AE65" s="32"/>
    </row>
    <row r="66" spans="1:31" s="34" customFormat="1" ht="29.25" customHeight="1">
      <c r="A66" s="33"/>
      <c r="B66" s="22" t="s">
        <v>542</v>
      </c>
      <c r="C66" s="26">
        <v>8800</v>
      </c>
      <c r="D66" s="27" t="s">
        <v>246</v>
      </c>
      <c r="E66" s="162" t="s">
        <v>26</v>
      </c>
      <c r="F66" s="107">
        <f>F67+F68</f>
        <v>142292</v>
      </c>
      <c r="G66" s="107">
        <f aca="true" t="shared" si="18" ref="G66:Q66">G67+G68</f>
        <v>142292</v>
      </c>
      <c r="H66" s="107">
        <f t="shared" si="18"/>
        <v>0</v>
      </c>
      <c r="I66" s="107">
        <f t="shared" si="18"/>
        <v>0</v>
      </c>
      <c r="J66" s="107">
        <f t="shared" si="18"/>
        <v>0</v>
      </c>
      <c r="K66" s="107">
        <f t="shared" si="18"/>
        <v>54200</v>
      </c>
      <c r="L66" s="107">
        <f t="shared" si="18"/>
        <v>0</v>
      </c>
      <c r="M66" s="107">
        <f t="shared" si="18"/>
        <v>0</v>
      </c>
      <c r="N66" s="107">
        <f t="shared" si="18"/>
        <v>0</v>
      </c>
      <c r="O66" s="107">
        <f t="shared" si="18"/>
        <v>54200</v>
      </c>
      <c r="P66" s="107">
        <f t="shared" si="18"/>
        <v>54200</v>
      </c>
      <c r="Q66" s="107">
        <f t="shared" si="18"/>
        <v>196492</v>
      </c>
      <c r="R66" s="32"/>
      <c r="S66" s="32"/>
      <c r="T66" s="32"/>
      <c r="U66" s="32"/>
      <c r="V66" s="32"/>
      <c r="W66" s="32"/>
      <c r="X66" s="32"/>
      <c r="Y66" s="32"/>
      <c r="Z66" s="32"/>
      <c r="AA66" s="32"/>
      <c r="AB66" s="32"/>
      <c r="AC66" s="32"/>
      <c r="AD66" s="32"/>
      <c r="AE66" s="32"/>
    </row>
    <row r="67" spans="1:31" s="34" customFormat="1" ht="30" customHeight="1">
      <c r="A67" s="33"/>
      <c r="B67" s="46" t="s">
        <v>542</v>
      </c>
      <c r="C67" s="177">
        <v>8800</v>
      </c>
      <c r="D67" s="46" t="s">
        <v>246</v>
      </c>
      <c r="E67" s="38" t="s">
        <v>566</v>
      </c>
      <c r="F67" s="108">
        <f t="shared" si="16"/>
        <v>119492</v>
      </c>
      <c r="G67" s="108">
        <v>119492</v>
      </c>
      <c r="H67" s="113"/>
      <c r="I67" s="113"/>
      <c r="J67" s="108"/>
      <c r="K67" s="107">
        <f t="shared" si="17"/>
        <v>0</v>
      </c>
      <c r="L67" s="108"/>
      <c r="M67" s="108"/>
      <c r="N67" s="108"/>
      <c r="O67" s="108"/>
      <c r="P67" s="108"/>
      <c r="Q67" s="108">
        <f>F67+K67</f>
        <v>119492</v>
      </c>
      <c r="R67" s="32"/>
      <c r="S67" s="32"/>
      <c r="T67" s="32"/>
      <c r="U67" s="32"/>
      <c r="V67" s="32"/>
      <c r="W67" s="32"/>
      <c r="X67" s="32"/>
      <c r="Y67" s="32"/>
      <c r="Z67" s="32"/>
      <c r="AA67" s="32"/>
      <c r="AB67" s="32"/>
      <c r="AC67" s="32"/>
      <c r="AD67" s="32"/>
      <c r="AE67" s="32"/>
    </row>
    <row r="68" spans="1:31" s="34" customFormat="1" ht="30" customHeight="1">
      <c r="A68" s="33"/>
      <c r="B68" s="46" t="s">
        <v>542</v>
      </c>
      <c r="C68" s="177">
        <v>8800</v>
      </c>
      <c r="D68" s="46" t="s">
        <v>246</v>
      </c>
      <c r="E68" s="38" t="s">
        <v>574</v>
      </c>
      <c r="F68" s="108">
        <f t="shared" si="16"/>
        <v>22800</v>
      </c>
      <c r="G68" s="108">
        <v>22800</v>
      </c>
      <c r="H68" s="113"/>
      <c r="I68" s="113"/>
      <c r="J68" s="108"/>
      <c r="K68" s="107">
        <f t="shared" si="17"/>
        <v>54200</v>
      </c>
      <c r="L68" s="108"/>
      <c r="M68" s="108"/>
      <c r="N68" s="108"/>
      <c r="O68" s="108">
        <v>54200</v>
      </c>
      <c r="P68" s="108">
        <v>54200</v>
      </c>
      <c r="Q68" s="108">
        <f>F68+K68</f>
        <v>77000</v>
      </c>
      <c r="R68" s="32"/>
      <c r="S68" s="32"/>
      <c r="T68" s="32"/>
      <c r="U68" s="32"/>
      <c r="V68" s="32"/>
      <c r="W68" s="32"/>
      <c r="X68" s="32"/>
      <c r="Y68" s="32"/>
      <c r="Z68" s="32"/>
      <c r="AA68" s="32"/>
      <c r="AB68" s="32"/>
      <c r="AC68" s="32"/>
      <c r="AD68" s="32"/>
      <c r="AE68" s="32"/>
    </row>
    <row r="69" spans="1:31" s="15" customFormat="1" ht="35.25" customHeight="1">
      <c r="A69" s="23"/>
      <c r="B69" s="27" t="s">
        <v>220</v>
      </c>
      <c r="C69" s="27" t="s">
        <v>365</v>
      </c>
      <c r="D69" s="27" t="s">
        <v>366</v>
      </c>
      <c r="E69" s="24" t="s">
        <v>214</v>
      </c>
      <c r="F69" s="107">
        <f t="shared" si="16"/>
        <v>0</v>
      </c>
      <c r="G69" s="107"/>
      <c r="H69" s="109"/>
      <c r="I69" s="109"/>
      <c r="J69" s="107"/>
      <c r="K69" s="107">
        <f t="shared" si="17"/>
        <v>58563</v>
      </c>
      <c r="L69" s="107">
        <v>58563</v>
      </c>
      <c r="M69" s="107"/>
      <c r="N69" s="107"/>
      <c r="O69" s="107"/>
      <c r="P69" s="107"/>
      <c r="Q69" s="107">
        <f t="shared" si="2"/>
        <v>58563</v>
      </c>
      <c r="R69" s="42"/>
      <c r="S69" s="42"/>
      <c r="T69" s="42"/>
      <c r="U69" s="42"/>
      <c r="V69" s="42"/>
      <c r="W69" s="42"/>
      <c r="X69" s="42"/>
      <c r="Y69" s="42"/>
      <c r="Z69" s="42"/>
      <c r="AA69" s="42"/>
      <c r="AB69" s="42"/>
      <c r="AC69" s="42"/>
      <c r="AD69" s="42"/>
      <c r="AE69" s="42"/>
    </row>
    <row r="70" spans="1:31" s="15" customFormat="1" ht="60">
      <c r="A70" s="14"/>
      <c r="B70" s="77" t="s">
        <v>511</v>
      </c>
      <c r="C70" s="77" t="s">
        <v>368</v>
      </c>
      <c r="D70" s="77" t="s">
        <v>369</v>
      </c>
      <c r="E70" s="166" t="s">
        <v>17</v>
      </c>
      <c r="F70" s="107">
        <f>G70+J70</f>
        <v>0</v>
      </c>
      <c r="G70" s="107"/>
      <c r="H70" s="107"/>
      <c r="I70" s="107"/>
      <c r="J70" s="107"/>
      <c r="K70" s="107">
        <f>L70+O70</f>
        <v>68414</v>
      </c>
      <c r="L70" s="107">
        <v>68414</v>
      </c>
      <c r="M70" s="107"/>
      <c r="N70" s="107"/>
      <c r="O70" s="107"/>
      <c r="P70" s="107"/>
      <c r="Q70" s="107">
        <f t="shared" si="2"/>
        <v>68414</v>
      </c>
      <c r="R70" s="42"/>
      <c r="S70" s="42"/>
      <c r="T70" s="42"/>
      <c r="U70" s="42"/>
      <c r="V70" s="42"/>
      <c r="W70" s="42"/>
      <c r="X70" s="42"/>
      <c r="Y70" s="42"/>
      <c r="Z70" s="42"/>
      <c r="AA70" s="42"/>
      <c r="AB70" s="42"/>
      <c r="AC70" s="42"/>
      <c r="AD70" s="42"/>
      <c r="AE70" s="42"/>
    </row>
    <row r="71" spans="1:31" s="105" customFormat="1" ht="24" customHeight="1">
      <c r="A71" s="102"/>
      <c r="B71" s="16" t="s">
        <v>74</v>
      </c>
      <c r="C71" s="16"/>
      <c r="D71" s="16"/>
      <c r="E71" s="17" t="s">
        <v>64</v>
      </c>
      <c r="F71" s="115">
        <f>F72</f>
        <v>667270964.98</v>
      </c>
      <c r="G71" s="115">
        <f aca="true" t="shared" si="19" ref="G71:P71">G72</f>
        <v>667270964.98</v>
      </c>
      <c r="H71" s="115">
        <f t="shared" si="19"/>
        <v>415526938</v>
      </c>
      <c r="I71" s="115">
        <f t="shared" si="19"/>
        <v>82266707</v>
      </c>
      <c r="J71" s="115">
        <f t="shared" si="19"/>
        <v>0</v>
      </c>
      <c r="K71" s="115">
        <f t="shared" si="19"/>
        <v>63985375</v>
      </c>
      <c r="L71" s="115">
        <f t="shared" si="19"/>
        <v>39504566</v>
      </c>
      <c r="M71" s="115">
        <f t="shared" si="19"/>
        <v>2314390</v>
      </c>
      <c r="N71" s="115">
        <f t="shared" si="19"/>
        <v>2237685</v>
      </c>
      <c r="O71" s="115">
        <f t="shared" si="19"/>
        <v>24480809</v>
      </c>
      <c r="P71" s="115">
        <f t="shared" si="19"/>
        <v>24272189</v>
      </c>
      <c r="Q71" s="115">
        <f t="shared" si="2"/>
        <v>731256339.98</v>
      </c>
      <c r="R71" s="104"/>
      <c r="S71" s="104"/>
      <c r="T71" s="104"/>
      <c r="U71" s="104"/>
      <c r="V71" s="104"/>
      <c r="W71" s="104"/>
      <c r="X71" s="104"/>
      <c r="Y71" s="104"/>
      <c r="Z71" s="104"/>
      <c r="AA71" s="104"/>
      <c r="AB71" s="104"/>
      <c r="AC71" s="104"/>
      <c r="AD71" s="104"/>
      <c r="AE71" s="104"/>
    </row>
    <row r="72" spans="1:31" s="169" customFormat="1" ht="19.5" customHeight="1">
      <c r="A72" s="167"/>
      <c r="B72" s="121" t="s">
        <v>288</v>
      </c>
      <c r="C72" s="121"/>
      <c r="D72" s="121"/>
      <c r="E72" s="122" t="s">
        <v>64</v>
      </c>
      <c r="F72" s="120">
        <f aca="true" t="shared" si="20" ref="F72:P72">F74+F75+F77+F79+F81+F83+F86+F87+F88+F89+F90+F92+F93+F94+F84+F98+F99+F96</f>
        <v>667270964.98</v>
      </c>
      <c r="G72" s="120">
        <f t="shared" si="20"/>
        <v>667270964.98</v>
      </c>
      <c r="H72" s="120">
        <f t="shared" si="20"/>
        <v>415526938</v>
      </c>
      <c r="I72" s="120">
        <f t="shared" si="20"/>
        <v>82266707</v>
      </c>
      <c r="J72" s="120">
        <f t="shared" si="20"/>
        <v>0</v>
      </c>
      <c r="K72" s="120">
        <f t="shared" si="20"/>
        <v>63985375</v>
      </c>
      <c r="L72" s="120">
        <f t="shared" si="20"/>
        <v>39504566</v>
      </c>
      <c r="M72" s="120">
        <f t="shared" si="20"/>
        <v>2314390</v>
      </c>
      <c r="N72" s="120">
        <f t="shared" si="20"/>
        <v>2237685</v>
      </c>
      <c r="O72" s="120">
        <f t="shared" si="20"/>
        <v>24480809</v>
      </c>
      <c r="P72" s="120">
        <f t="shared" si="20"/>
        <v>24272189</v>
      </c>
      <c r="Q72" s="120">
        <f t="shared" si="2"/>
        <v>731256339.98</v>
      </c>
      <c r="R72" s="168"/>
      <c r="S72" s="168"/>
      <c r="T72" s="168"/>
      <c r="U72" s="168"/>
      <c r="V72" s="168"/>
      <c r="W72" s="168"/>
      <c r="X72" s="168"/>
      <c r="Y72" s="168"/>
      <c r="Z72" s="168"/>
      <c r="AA72" s="168"/>
      <c r="AB72" s="168"/>
      <c r="AC72" s="168"/>
      <c r="AD72" s="168"/>
      <c r="AE72" s="168"/>
    </row>
    <row r="73" spans="1:31" s="15" customFormat="1" ht="15.75">
      <c r="A73" s="150"/>
      <c r="B73" s="101"/>
      <c r="C73" s="101"/>
      <c r="D73" s="101"/>
      <c r="E73" s="100" t="s">
        <v>513</v>
      </c>
      <c r="F73" s="107">
        <f>F78+F80+F82+F85+F76</f>
        <v>225191499</v>
      </c>
      <c r="G73" s="107">
        <f>G78+G80+G82+G85+G76</f>
        <v>225191499</v>
      </c>
      <c r="H73" s="107">
        <f>H78+H80+H82+H85+H76+H97</f>
        <v>184750800</v>
      </c>
      <c r="I73" s="107">
        <f aca="true" t="shared" si="21" ref="I73:Q73">I78+I80+I82+I85+I76+I97</f>
        <v>0</v>
      </c>
      <c r="J73" s="107">
        <f t="shared" si="21"/>
        <v>0</v>
      </c>
      <c r="K73" s="107">
        <f t="shared" si="21"/>
        <v>5399532</v>
      </c>
      <c r="L73" s="107">
        <f t="shared" si="21"/>
        <v>0</v>
      </c>
      <c r="M73" s="107">
        <f t="shared" si="21"/>
        <v>0</v>
      </c>
      <c r="N73" s="107">
        <f t="shared" si="21"/>
        <v>0</v>
      </c>
      <c r="O73" s="107">
        <f t="shared" si="21"/>
        <v>5399532</v>
      </c>
      <c r="P73" s="107">
        <f t="shared" si="21"/>
        <v>5399532</v>
      </c>
      <c r="Q73" s="107">
        <f t="shared" si="21"/>
        <v>230591031</v>
      </c>
      <c r="R73" s="42"/>
      <c r="S73" s="42"/>
      <c r="T73" s="42"/>
      <c r="U73" s="42"/>
      <c r="V73" s="42"/>
      <c r="W73" s="42"/>
      <c r="X73" s="42"/>
      <c r="Y73" s="42"/>
      <c r="Z73" s="42"/>
      <c r="AA73" s="42"/>
      <c r="AB73" s="42"/>
      <c r="AC73" s="42"/>
      <c r="AD73" s="42"/>
      <c r="AE73" s="42"/>
    </row>
    <row r="74" spans="1:31" s="15" customFormat="1" ht="30">
      <c r="A74" s="14"/>
      <c r="B74" s="126" t="s">
        <v>75</v>
      </c>
      <c r="C74" s="126" t="s">
        <v>246</v>
      </c>
      <c r="D74" s="126" t="s">
        <v>247</v>
      </c>
      <c r="E74" s="166" t="s">
        <v>522</v>
      </c>
      <c r="F74" s="107">
        <f>G74+J74</f>
        <v>1606714</v>
      </c>
      <c r="G74" s="107">
        <f>1611100+3800-30600+6500+12414+3500</f>
        <v>1606714</v>
      </c>
      <c r="H74" s="107">
        <v>1204000</v>
      </c>
      <c r="I74" s="107">
        <f>27800+3800</f>
        <v>31600</v>
      </c>
      <c r="J74" s="107"/>
      <c r="K74" s="107">
        <f aca="true" t="shared" si="22" ref="K74:K99">L74+O74</f>
        <v>16000</v>
      </c>
      <c r="L74" s="107"/>
      <c r="M74" s="107"/>
      <c r="N74" s="107"/>
      <c r="O74" s="107">
        <f>26000-6500-3500</f>
        <v>16000</v>
      </c>
      <c r="P74" s="107">
        <f>26000-6500-3500</f>
        <v>16000</v>
      </c>
      <c r="Q74" s="107">
        <f t="shared" si="2"/>
        <v>1622714</v>
      </c>
      <c r="R74" s="42"/>
      <c r="S74" s="42"/>
      <c r="T74" s="42"/>
      <c r="U74" s="42"/>
      <c r="V74" s="42"/>
      <c r="W74" s="42"/>
      <c r="X74" s="42"/>
      <c r="Y74" s="42"/>
      <c r="Z74" s="42"/>
      <c r="AA74" s="42"/>
      <c r="AB74" s="42"/>
      <c r="AC74" s="42"/>
      <c r="AD74" s="42"/>
      <c r="AE74" s="42"/>
    </row>
    <row r="75" spans="1:31" s="15" customFormat="1" ht="15.75">
      <c r="A75" s="14"/>
      <c r="B75" s="126" t="s">
        <v>76</v>
      </c>
      <c r="C75" s="126" t="s">
        <v>251</v>
      </c>
      <c r="D75" s="126" t="s">
        <v>252</v>
      </c>
      <c r="E75" s="166" t="s">
        <v>65</v>
      </c>
      <c r="F75" s="107">
        <f aca="true" t="shared" si="23" ref="F75:F99">G75+J75</f>
        <v>173169462</v>
      </c>
      <c r="G75" s="107">
        <f>163141450+2165415+5876790+51000+141500+74635+1499700+25200+3380+124600+47692+18100</f>
        <v>173169462</v>
      </c>
      <c r="H75" s="107">
        <f>100618010-1602190+4119690+1230400</f>
        <v>104365910</v>
      </c>
      <c r="I75" s="107">
        <f>22380176+4118459</f>
        <v>26498635</v>
      </c>
      <c r="J75" s="107"/>
      <c r="K75" s="107">
        <f t="shared" si="22"/>
        <v>18081078</v>
      </c>
      <c r="L75" s="107">
        <v>12650071</v>
      </c>
      <c r="M75" s="107"/>
      <c r="N75" s="107"/>
      <c r="O75" s="107">
        <f>4227000+46000+188000+49500+110500+23000+5000+16620+20000+16996+17900+57059+66900+566532+20000</f>
        <v>5431007</v>
      </c>
      <c r="P75" s="107">
        <f>4227000+46000+188000+49500+110500+23000+5000+16620+20000+16996+17900+57059+66900+566532+20000</f>
        <v>5431007</v>
      </c>
      <c r="Q75" s="107">
        <f t="shared" si="2"/>
        <v>191250540</v>
      </c>
      <c r="R75" s="42"/>
      <c r="S75" s="42"/>
      <c r="T75" s="42"/>
      <c r="U75" s="42"/>
      <c r="V75" s="42"/>
      <c r="W75" s="42"/>
      <c r="X75" s="42"/>
      <c r="Y75" s="42"/>
      <c r="Z75" s="42"/>
      <c r="AA75" s="42"/>
      <c r="AB75" s="42"/>
      <c r="AC75" s="42"/>
      <c r="AD75" s="42"/>
      <c r="AE75" s="42"/>
    </row>
    <row r="76" spans="1:31" s="15" customFormat="1" ht="15.75">
      <c r="A76" s="14"/>
      <c r="B76" s="126"/>
      <c r="C76" s="126"/>
      <c r="D76" s="126"/>
      <c r="E76" s="166" t="s">
        <v>513</v>
      </c>
      <c r="F76" s="107">
        <f>G76+J76</f>
        <v>0</v>
      </c>
      <c r="G76" s="107"/>
      <c r="H76" s="107"/>
      <c r="I76" s="107"/>
      <c r="J76" s="107"/>
      <c r="K76" s="107">
        <f>L76+O76</f>
        <v>566532</v>
      </c>
      <c r="L76" s="107"/>
      <c r="M76" s="107"/>
      <c r="N76" s="107"/>
      <c r="O76" s="107">
        <v>566532</v>
      </c>
      <c r="P76" s="107">
        <v>566532</v>
      </c>
      <c r="Q76" s="107">
        <f>F76+K76</f>
        <v>566532</v>
      </c>
      <c r="R76" s="42"/>
      <c r="S76" s="42"/>
      <c r="T76" s="42"/>
      <c r="U76" s="42"/>
      <c r="V76" s="42"/>
      <c r="W76" s="42"/>
      <c r="X76" s="42"/>
      <c r="Y76" s="42"/>
      <c r="Z76" s="42"/>
      <c r="AA76" s="42"/>
      <c r="AB76" s="42"/>
      <c r="AC76" s="42"/>
      <c r="AD76" s="42"/>
      <c r="AE76" s="42"/>
    </row>
    <row r="77" spans="1:31" s="15" customFormat="1" ht="62.25" customHeight="1">
      <c r="A77" s="14"/>
      <c r="B77" s="126" t="s">
        <v>77</v>
      </c>
      <c r="C77" s="126" t="s">
        <v>253</v>
      </c>
      <c r="D77" s="126" t="s">
        <v>254</v>
      </c>
      <c r="E77" s="166" t="s">
        <v>66</v>
      </c>
      <c r="F77" s="107">
        <f t="shared" si="23"/>
        <v>365865265.98</v>
      </c>
      <c r="G77" s="107">
        <f>362559505+533346-1088948+2698990+102400+94253+4010+282700+377616+7100+5000+4500+178028.98+88274+491+3000+15000</f>
        <v>365865265.98</v>
      </c>
      <c r="H77" s="107">
        <f>242583267-6488417+1311790+61809+349731+232100</f>
        <v>238050280</v>
      </c>
      <c r="I77" s="107">
        <f>35734805+6813932</f>
        <v>42548737</v>
      </c>
      <c r="J77" s="107"/>
      <c r="K77" s="107">
        <f t="shared" si="22"/>
        <v>33515159</v>
      </c>
      <c r="L77" s="107">
        <v>20411137</v>
      </c>
      <c r="M77" s="107">
        <v>519938</v>
      </c>
      <c r="N77" s="107">
        <v>41716</v>
      </c>
      <c r="O77" s="107">
        <f>6800000+11000+500000+50000+140600+23000+866300+241534+22625+18000+30000+7900+10000+40700+117090+128973+149700+46600+3903000-3000</f>
        <v>13104022</v>
      </c>
      <c r="P77" s="107">
        <f>6800000+11000+500000+50000+140600+23000+866300+241534+22625+18000+30000+7900+10000+40700+117090+128973+149700+46600+3903000-3000</f>
        <v>13104022</v>
      </c>
      <c r="Q77" s="107">
        <f t="shared" si="2"/>
        <v>399380424.98</v>
      </c>
      <c r="R77" s="42"/>
      <c r="S77" s="42"/>
      <c r="T77" s="42"/>
      <c r="U77" s="42"/>
      <c r="V77" s="42"/>
      <c r="W77" s="42"/>
      <c r="X77" s="42"/>
      <c r="Y77" s="42"/>
      <c r="Z77" s="42"/>
      <c r="AA77" s="42"/>
      <c r="AB77" s="42"/>
      <c r="AC77" s="42"/>
      <c r="AD77" s="42"/>
      <c r="AE77" s="42"/>
    </row>
    <row r="78" spans="1:31" s="15" customFormat="1" ht="15.75">
      <c r="A78" s="14"/>
      <c r="B78" s="127"/>
      <c r="C78" s="127"/>
      <c r="D78" s="127"/>
      <c r="E78" s="166" t="s">
        <v>513</v>
      </c>
      <c r="F78" s="107">
        <f t="shared" si="23"/>
        <v>212174249</v>
      </c>
      <c r="G78" s="107">
        <f>200852388+533346+151062+11700+94253+10531500</f>
        <v>212174249</v>
      </c>
      <c r="H78" s="107">
        <f>164897345+123995+9610+349731+61809+8632300</f>
        <v>174074790</v>
      </c>
      <c r="I78" s="107"/>
      <c r="J78" s="107"/>
      <c r="K78" s="107">
        <f t="shared" si="22"/>
        <v>3903000</v>
      </c>
      <c r="L78" s="107"/>
      <c r="M78" s="107"/>
      <c r="N78" s="107"/>
      <c r="O78" s="107">
        <v>3903000</v>
      </c>
      <c r="P78" s="107">
        <v>3903000</v>
      </c>
      <c r="Q78" s="107">
        <f t="shared" si="2"/>
        <v>216077249</v>
      </c>
      <c r="R78" s="42"/>
      <c r="S78" s="42"/>
      <c r="T78" s="42"/>
      <c r="U78" s="42"/>
      <c r="V78" s="42"/>
      <c r="W78" s="42"/>
      <c r="X78" s="42"/>
      <c r="Y78" s="42"/>
      <c r="Z78" s="42"/>
      <c r="AA78" s="42"/>
      <c r="AB78" s="42"/>
      <c r="AC78" s="42"/>
      <c r="AD78" s="42"/>
      <c r="AE78" s="42"/>
    </row>
    <row r="79" spans="1:31" s="15" customFormat="1" ht="30">
      <c r="A79" s="14"/>
      <c r="B79" s="126" t="s">
        <v>78</v>
      </c>
      <c r="C79" s="126" t="s">
        <v>255</v>
      </c>
      <c r="D79" s="126" t="s">
        <v>254</v>
      </c>
      <c r="E79" s="166" t="s">
        <v>67</v>
      </c>
      <c r="F79" s="107">
        <f t="shared" si="23"/>
        <v>638957</v>
      </c>
      <c r="G79" s="107">
        <f>664457-25500</f>
        <v>638957</v>
      </c>
      <c r="H79" s="107">
        <f>544295-20905</f>
        <v>523390</v>
      </c>
      <c r="I79" s="107"/>
      <c r="J79" s="107"/>
      <c r="K79" s="107">
        <f t="shared" si="22"/>
        <v>0</v>
      </c>
      <c r="L79" s="107"/>
      <c r="M79" s="107"/>
      <c r="N79" s="107"/>
      <c r="O79" s="107"/>
      <c r="P79" s="107"/>
      <c r="Q79" s="107">
        <f t="shared" si="2"/>
        <v>638957</v>
      </c>
      <c r="R79" s="42"/>
      <c r="S79" s="42"/>
      <c r="T79" s="42"/>
      <c r="U79" s="42"/>
      <c r="V79" s="42"/>
      <c r="W79" s="42"/>
      <c r="X79" s="42"/>
      <c r="Y79" s="42"/>
      <c r="Z79" s="42"/>
      <c r="AA79" s="42"/>
      <c r="AB79" s="42"/>
      <c r="AC79" s="42"/>
      <c r="AD79" s="42"/>
      <c r="AE79" s="42"/>
    </row>
    <row r="80" spans="1:31" s="15" customFormat="1" ht="24.75" customHeight="1">
      <c r="A80" s="14"/>
      <c r="B80" s="127"/>
      <c r="C80" s="127"/>
      <c r="D80" s="127"/>
      <c r="E80" s="166" t="s">
        <v>513</v>
      </c>
      <c r="F80" s="107">
        <f t="shared" si="23"/>
        <v>638540</v>
      </c>
      <c r="G80" s="107">
        <f>664040-25500</f>
        <v>638540</v>
      </c>
      <c r="H80" s="107">
        <f>544295-20905</f>
        <v>523390</v>
      </c>
      <c r="I80" s="107"/>
      <c r="J80" s="107"/>
      <c r="K80" s="107">
        <f t="shared" si="22"/>
        <v>0</v>
      </c>
      <c r="L80" s="107"/>
      <c r="M80" s="107"/>
      <c r="N80" s="107"/>
      <c r="O80" s="107"/>
      <c r="P80" s="107">
        <f>O79-O80</f>
        <v>0</v>
      </c>
      <c r="Q80" s="107">
        <f t="shared" si="2"/>
        <v>638540</v>
      </c>
      <c r="R80" s="42"/>
      <c r="S80" s="42"/>
      <c r="T80" s="42"/>
      <c r="U80" s="42"/>
      <c r="V80" s="42"/>
      <c r="W80" s="42"/>
      <c r="X80" s="42"/>
      <c r="Y80" s="42"/>
      <c r="Z80" s="42"/>
      <c r="AA80" s="42"/>
      <c r="AB80" s="42"/>
      <c r="AC80" s="42"/>
      <c r="AD80" s="42"/>
      <c r="AE80" s="42"/>
    </row>
    <row r="81" spans="1:31" s="15" customFormat="1" ht="81.75" customHeight="1">
      <c r="A81" s="14"/>
      <c r="B81" s="126" t="s">
        <v>79</v>
      </c>
      <c r="C81" s="126" t="s">
        <v>257</v>
      </c>
      <c r="D81" s="126" t="s">
        <v>258</v>
      </c>
      <c r="E81" s="166" t="s">
        <v>68</v>
      </c>
      <c r="F81" s="107">
        <f t="shared" si="23"/>
        <v>6896064</v>
      </c>
      <c r="G81" s="107">
        <f>6891455-2891+7500</f>
        <v>6896064</v>
      </c>
      <c r="H81" s="107">
        <f>4779004-111844</f>
        <v>4667160</v>
      </c>
      <c r="I81" s="107">
        <f>624309+133327</f>
        <v>757636</v>
      </c>
      <c r="J81" s="107"/>
      <c r="K81" s="107">
        <f t="shared" si="22"/>
        <v>150000</v>
      </c>
      <c r="L81" s="107"/>
      <c r="M81" s="107"/>
      <c r="N81" s="107"/>
      <c r="O81" s="107">
        <v>150000</v>
      </c>
      <c r="P81" s="107">
        <v>150000</v>
      </c>
      <c r="Q81" s="107">
        <f t="shared" si="2"/>
        <v>7046064</v>
      </c>
      <c r="R81" s="42"/>
      <c r="S81" s="42"/>
      <c r="T81" s="42"/>
      <c r="U81" s="42"/>
      <c r="V81" s="42"/>
      <c r="W81" s="42"/>
      <c r="X81" s="42"/>
      <c r="Y81" s="42"/>
      <c r="Z81" s="42"/>
      <c r="AA81" s="42"/>
      <c r="AB81" s="42"/>
      <c r="AC81" s="42"/>
      <c r="AD81" s="42"/>
      <c r="AE81" s="42"/>
    </row>
    <row r="82" spans="1:31" s="15" customFormat="1" ht="21" customHeight="1">
      <c r="A82" s="14"/>
      <c r="B82" s="127"/>
      <c r="C82" s="127"/>
      <c r="D82" s="127"/>
      <c r="E82" s="166" t="s">
        <v>513</v>
      </c>
      <c r="F82" s="107">
        <f t="shared" si="23"/>
        <v>4502510</v>
      </c>
      <c r="G82" s="107">
        <f>4628072-125562</f>
        <v>4502510</v>
      </c>
      <c r="H82" s="107">
        <f>3799730-103090</f>
        <v>3696640</v>
      </c>
      <c r="I82" s="107"/>
      <c r="J82" s="107"/>
      <c r="K82" s="107">
        <f t="shared" si="22"/>
        <v>0</v>
      </c>
      <c r="L82" s="107"/>
      <c r="M82" s="107"/>
      <c r="N82" s="107"/>
      <c r="O82" s="107"/>
      <c r="P82" s="107"/>
      <c r="Q82" s="107">
        <f aca="true" t="shared" si="24" ref="Q82:Q148">F82+K82</f>
        <v>4502510</v>
      </c>
      <c r="R82" s="42"/>
      <c r="S82" s="42"/>
      <c r="T82" s="42"/>
      <c r="U82" s="42"/>
      <c r="V82" s="42"/>
      <c r="W82" s="42"/>
      <c r="X82" s="42"/>
      <c r="Y82" s="42"/>
      <c r="Z82" s="42"/>
      <c r="AA82" s="42"/>
      <c r="AB82" s="42"/>
      <c r="AC82" s="42"/>
      <c r="AD82" s="42"/>
      <c r="AE82" s="42"/>
    </row>
    <row r="83" spans="1:31" s="15" customFormat="1" ht="51" customHeight="1">
      <c r="A83" s="14"/>
      <c r="B83" s="126" t="s">
        <v>80</v>
      </c>
      <c r="C83" s="126" t="s">
        <v>259</v>
      </c>
      <c r="D83" s="126" t="s">
        <v>260</v>
      </c>
      <c r="E83" s="166" t="s">
        <v>69</v>
      </c>
      <c r="F83" s="107">
        <f t="shared" si="23"/>
        <v>20039351</v>
      </c>
      <c r="G83" s="107">
        <f>18595670+20000+106781+991500+290400+35000</f>
        <v>20039351</v>
      </c>
      <c r="H83" s="107">
        <f>13003634-293514+795600+238400</f>
        <v>13744120</v>
      </c>
      <c r="I83" s="107">
        <f>2389241+464267</f>
        <v>2853508</v>
      </c>
      <c r="J83" s="107"/>
      <c r="K83" s="107">
        <f t="shared" si="22"/>
        <v>627090</v>
      </c>
      <c r="L83" s="107">
        <v>27090</v>
      </c>
      <c r="M83" s="107">
        <v>21312</v>
      </c>
      <c r="N83" s="107">
        <v>1090</v>
      </c>
      <c r="O83" s="107">
        <v>600000</v>
      </c>
      <c r="P83" s="107">
        <v>600000</v>
      </c>
      <c r="Q83" s="107">
        <f t="shared" si="24"/>
        <v>20666441</v>
      </c>
      <c r="R83" s="42"/>
      <c r="S83" s="42"/>
      <c r="T83" s="42"/>
      <c r="U83" s="42"/>
      <c r="V83" s="42"/>
      <c r="W83" s="42"/>
      <c r="X83" s="42"/>
      <c r="Y83" s="42"/>
      <c r="Z83" s="42"/>
      <c r="AA83" s="42"/>
      <c r="AB83" s="42"/>
      <c r="AC83" s="42"/>
      <c r="AD83" s="42"/>
      <c r="AE83" s="42"/>
    </row>
    <row r="84" spans="1:31" s="15" customFormat="1" ht="30" customHeight="1">
      <c r="A84" s="14"/>
      <c r="B84" s="126" t="s">
        <v>213</v>
      </c>
      <c r="C84" s="126" t="s">
        <v>261</v>
      </c>
      <c r="D84" s="126" t="s">
        <v>262</v>
      </c>
      <c r="E84" s="166" t="s">
        <v>484</v>
      </c>
      <c r="F84" s="107">
        <f t="shared" si="23"/>
        <v>79691130</v>
      </c>
      <c r="G84" s="107">
        <f>73603700+233500-433501+6092255+155976+100000+9000+722200+60000-852000</f>
        <v>79691130</v>
      </c>
      <c r="H84" s="107">
        <f>42260100-959000+1991000+593000</f>
        <v>43885100</v>
      </c>
      <c r="I84" s="107">
        <f>8069650+721099+100000-160000</f>
        <v>8730749</v>
      </c>
      <c r="J84" s="107"/>
      <c r="K84" s="107">
        <f>L84+O84</f>
        <v>6645288</v>
      </c>
      <c r="L84" s="107">
        <v>6147168</v>
      </c>
      <c r="M84" s="107">
        <v>1773140</v>
      </c>
      <c r="N84" s="107">
        <v>2194879</v>
      </c>
      <c r="O84" s="107">
        <f>168120+330000</f>
        <v>498120</v>
      </c>
      <c r="P84" s="107">
        <v>330000</v>
      </c>
      <c r="Q84" s="107">
        <f t="shared" si="24"/>
        <v>86336418</v>
      </c>
      <c r="R84" s="42"/>
      <c r="S84" s="42"/>
      <c r="T84" s="42"/>
      <c r="U84" s="42"/>
      <c r="V84" s="42"/>
      <c r="W84" s="42"/>
      <c r="X84" s="42"/>
      <c r="Y84" s="42"/>
      <c r="Z84" s="42"/>
      <c r="AA84" s="42"/>
      <c r="AB84" s="42"/>
      <c r="AC84" s="42"/>
      <c r="AD84" s="42"/>
      <c r="AE84" s="42"/>
    </row>
    <row r="85" spans="1:31" s="15" customFormat="1" ht="15.75">
      <c r="A85" s="14"/>
      <c r="B85" s="126"/>
      <c r="C85" s="126"/>
      <c r="D85" s="126"/>
      <c r="E85" s="166" t="s">
        <v>513</v>
      </c>
      <c r="F85" s="107">
        <f t="shared" si="23"/>
        <v>7876200</v>
      </c>
      <c r="G85" s="107">
        <f>18366200+41500-10531500</f>
        <v>7876200</v>
      </c>
      <c r="H85" s="107">
        <f>15054300+33980-8632300</f>
        <v>6455980</v>
      </c>
      <c r="I85" s="107"/>
      <c r="J85" s="107"/>
      <c r="K85" s="107">
        <f t="shared" si="22"/>
        <v>330000</v>
      </c>
      <c r="L85" s="107"/>
      <c r="M85" s="107"/>
      <c r="N85" s="107"/>
      <c r="O85" s="107">
        <v>330000</v>
      </c>
      <c r="P85" s="107">
        <v>330000</v>
      </c>
      <c r="Q85" s="107">
        <f t="shared" si="24"/>
        <v>8206200</v>
      </c>
      <c r="R85" s="42"/>
      <c r="S85" s="42"/>
      <c r="T85" s="42"/>
      <c r="U85" s="42"/>
      <c r="V85" s="42"/>
      <c r="W85" s="42"/>
      <c r="X85" s="42"/>
      <c r="Y85" s="42"/>
      <c r="Z85" s="42"/>
      <c r="AA85" s="42"/>
      <c r="AB85" s="42"/>
      <c r="AC85" s="42"/>
      <c r="AD85" s="42"/>
      <c r="AE85" s="42"/>
    </row>
    <row r="86" spans="1:31" s="15" customFormat="1" ht="35.25" customHeight="1">
      <c r="A86" s="14"/>
      <c r="B86" s="126" t="s">
        <v>81</v>
      </c>
      <c r="C86" s="126" t="s">
        <v>263</v>
      </c>
      <c r="D86" s="126" t="s">
        <v>264</v>
      </c>
      <c r="E86" s="166" t="s">
        <v>70</v>
      </c>
      <c r="F86" s="107">
        <f t="shared" si="23"/>
        <v>2817071</v>
      </c>
      <c r="G86" s="107">
        <f>2597420-63949+197100+59700+15000+11800</f>
        <v>2817071</v>
      </c>
      <c r="H86" s="107">
        <f>2008070-69620+161500+48900</f>
        <v>2148850</v>
      </c>
      <c r="I86" s="107">
        <f>105754+20986</f>
        <v>126740</v>
      </c>
      <c r="J86" s="107"/>
      <c r="K86" s="107">
        <f t="shared" si="22"/>
        <v>11200</v>
      </c>
      <c r="L86" s="107"/>
      <c r="M86" s="107"/>
      <c r="N86" s="107"/>
      <c r="O86" s="107">
        <f>23000-11800</f>
        <v>11200</v>
      </c>
      <c r="P86" s="107">
        <f>23000-11800</f>
        <v>11200</v>
      </c>
      <c r="Q86" s="107">
        <f t="shared" si="24"/>
        <v>2828271</v>
      </c>
      <c r="R86" s="42"/>
      <c r="S86" s="42"/>
      <c r="T86" s="42"/>
      <c r="U86" s="42"/>
      <c r="V86" s="42"/>
      <c r="W86" s="42"/>
      <c r="X86" s="42"/>
      <c r="Y86" s="42"/>
      <c r="Z86" s="42"/>
      <c r="AA86" s="42"/>
      <c r="AB86" s="42"/>
      <c r="AC86" s="42"/>
      <c r="AD86" s="42"/>
      <c r="AE86" s="42"/>
    </row>
    <row r="87" spans="1:31" s="15" customFormat="1" ht="20.25" customHeight="1">
      <c r="A87" s="14"/>
      <c r="B87" s="126" t="s">
        <v>82</v>
      </c>
      <c r="C87" s="126" t="s">
        <v>265</v>
      </c>
      <c r="D87" s="126" t="s">
        <v>264</v>
      </c>
      <c r="E87" s="166" t="s">
        <v>71</v>
      </c>
      <c r="F87" s="107">
        <f t="shared" si="23"/>
        <v>2314961</v>
      </c>
      <c r="G87" s="107">
        <f>2368630-64684+11015</f>
        <v>2314961</v>
      </c>
      <c r="H87" s="107">
        <f>1722350-63370</f>
        <v>1658980</v>
      </c>
      <c r="I87" s="107">
        <f>103297+12613</f>
        <v>115910</v>
      </c>
      <c r="J87" s="107"/>
      <c r="K87" s="107">
        <f t="shared" si="22"/>
        <v>50000</v>
      </c>
      <c r="L87" s="107"/>
      <c r="M87" s="107"/>
      <c r="N87" s="107"/>
      <c r="O87" s="107">
        <v>50000</v>
      </c>
      <c r="P87" s="107">
        <v>50000</v>
      </c>
      <c r="Q87" s="107">
        <f t="shared" si="24"/>
        <v>2364961</v>
      </c>
      <c r="R87" s="42"/>
      <c r="S87" s="42"/>
      <c r="T87" s="42"/>
      <c r="U87" s="42"/>
      <c r="V87" s="42"/>
      <c r="W87" s="42"/>
      <c r="X87" s="42"/>
      <c r="Y87" s="42"/>
      <c r="Z87" s="42"/>
      <c r="AA87" s="42"/>
      <c r="AB87" s="42"/>
      <c r="AC87" s="42"/>
      <c r="AD87" s="42"/>
      <c r="AE87" s="42"/>
    </row>
    <row r="88" spans="1:31" s="15" customFormat="1" ht="34.5" customHeight="1">
      <c r="A88" s="14"/>
      <c r="B88" s="126" t="s">
        <v>83</v>
      </c>
      <c r="C88" s="126" t="s">
        <v>266</v>
      </c>
      <c r="D88" s="126" t="s">
        <v>264</v>
      </c>
      <c r="E88" s="166" t="s">
        <v>72</v>
      </c>
      <c r="F88" s="107">
        <f t="shared" si="23"/>
        <v>220658</v>
      </c>
      <c r="G88" s="107">
        <f>228260-7942+340</f>
        <v>220658</v>
      </c>
      <c r="H88" s="107">
        <f>179690-6850</f>
        <v>172840</v>
      </c>
      <c r="I88" s="107">
        <f>5487+410</f>
        <v>5897</v>
      </c>
      <c r="J88" s="107"/>
      <c r="K88" s="107">
        <f t="shared" si="22"/>
        <v>0</v>
      </c>
      <c r="L88" s="107"/>
      <c r="M88" s="107"/>
      <c r="N88" s="107"/>
      <c r="O88" s="107"/>
      <c r="P88" s="107"/>
      <c r="Q88" s="107">
        <f t="shared" si="24"/>
        <v>220658</v>
      </c>
      <c r="R88" s="42"/>
      <c r="S88" s="42"/>
      <c r="T88" s="42"/>
      <c r="U88" s="42"/>
      <c r="V88" s="42"/>
      <c r="W88" s="42"/>
      <c r="X88" s="42"/>
      <c r="Y88" s="42"/>
      <c r="Z88" s="42"/>
      <c r="AA88" s="42"/>
      <c r="AB88" s="42"/>
      <c r="AC88" s="42"/>
      <c r="AD88" s="42"/>
      <c r="AE88" s="42"/>
    </row>
    <row r="89" spans="1:31" s="15" customFormat="1" ht="27" customHeight="1">
      <c r="A89" s="14"/>
      <c r="B89" s="126" t="s">
        <v>84</v>
      </c>
      <c r="C89" s="126" t="s">
        <v>267</v>
      </c>
      <c r="D89" s="126" t="s">
        <v>264</v>
      </c>
      <c r="E89" s="166" t="s">
        <v>73</v>
      </c>
      <c r="F89" s="107">
        <f t="shared" si="23"/>
        <v>3623633</v>
      </c>
      <c r="G89" s="107">
        <f>3386183-28082+189732+45300+10000+20500</f>
        <v>3623633</v>
      </c>
      <c r="H89" s="107">
        <f>2356460-58640+116500+37100</f>
        <v>2451420</v>
      </c>
      <c r="I89" s="107">
        <f>312869+43166</f>
        <v>356035</v>
      </c>
      <c r="J89" s="107"/>
      <c r="K89" s="107">
        <f t="shared" si="22"/>
        <v>167500</v>
      </c>
      <c r="L89" s="107"/>
      <c r="M89" s="107"/>
      <c r="N89" s="107"/>
      <c r="O89" s="107">
        <f>150000+17500</f>
        <v>167500</v>
      </c>
      <c r="P89" s="107">
        <f>150000+17500</f>
        <v>167500</v>
      </c>
      <c r="Q89" s="107">
        <f t="shared" si="24"/>
        <v>3791133</v>
      </c>
      <c r="R89" s="42"/>
      <c r="S89" s="42"/>
      <c r="T89" s="42"/>
      <c r="U89" s="42"/>
      <c r="V89" s="42"/>
      <c r="W89" s="42"/>
      <c r="X89" s="42"/>
      <c r="Y89" s="42"/>
      <c r="Z89" s="42"/>
      <c r="AA89" s="42"/>
      <c r="AB89" s="42"/>
      <c r="AC89" s="42"/>
      <c r="AD89" s="42"/>
      <c r="AE89" s="42"/>
    </row>
    <row r="90" spans="1:31" s="15" customFormat="1" ht="27" customHeight="1">
      <c r="A90" s="14"/>
      <c r="B90" s="126" t="s">
        <v>85</v>
      </c>
      <c r="C90" s="126" t="s">
        <v>268</v>
      </c>
      <c r="D90" s="126" t="s">
        <v>264</v>
      </c>
      <c r="E90" s="166" t="s">
        <v>18</v>
      </c>
      <c r="F90" s="107">
        <f t="shared" si="23"/>
        <v>73780</v>
      </c>
      <c r="G90" s="107">
        <f aca="true" t="shared" si="25" ref="G90:P90">G91</f>
        <v>73780</v>
      </c>
      <c r="H90" s="107">
        <f t="shared" si="25"/>
        <v>0</v>
      </c>
      <c r="I90" s="107">
        <f t="shared" si="25"/>
        <v>0</v>
      </c>
      <c r="J90" s="107">
        <f t="shared" si="25"/>
        <v>0</v>
      </c>
      <c r="K90" s="107">
        <f t="shared" si="25"/>
        <v>0</v>
      </c>
      <c r="L90" s="107">
        <f t="shared" si="25"/>
        <v>0</v>
      </c>
      <c r="M90" s="107">
        <f t="shared" si="25"/>
        <v>0</v>
      </c>
      <c r="N90" s="107">
        <f t="shared" si="25"/>
        <v>0</v>
      </c>
      <c r="O90" s="107">
        <f t="shared" si="25"/>
        <v>0</v>
      </c>
      <c r="P90" s="107">
        <f t="shared" si="25"/>
        <v>0</v>
      </c>
      <c r="Q90" s="107">
        <f t="shared" si="24"/>
        <v>73780</v>
      </c>
      <c r="R90" s="42"/>
      <c r="S90" s="42"/>
      <c r="T90" s="42"/>
      <c r="U90" s="42"/>
      <c r="V90" s="42"/>
      <c r="W90" s="42"/>
      <c r="X90" s="42"/>
      <c r="Y90" s="42"/>
      <c r="Z90" s="42"/>
      <c r="AA90" s="42"/>
      <c r="AB90" s="42"/>
      <c r="AC90" s="42"/>
      <c r="AD90" s="42"/>
      <c r="AE90" s="42"/>
    </row>
    <row r="91" spans="1:31" s="34" customFormat="1" ht="36.75" customHeight="1">
      <c r="A91" s="33"/>
      <c r="B91" s="37" t="s">
        <v>85</v>
      </c>
      <c r="C91" s="37" t="s">
        <v>268</v>
      </c>
      <c r="D91" s="37" t="s">
        <v>264</v>
      </c>
      <c r="E91" s="35" t="s">
        <v>207</v>
      </c>
      <c r="F91" s="108">
        <f t="shared" si="23"/>
        <v>73780</v>
      </c>
      <c r="G91" s="108">
        <v>73780</v>
      </c>
      <c r="H91" s="108"/>
      <c r="I91" s="108"/>
      <c r="J91" s="108"/>
      <c r="K91" s="108">
        <f t="shared" si="22"/>
        <v>0</v>
      </c>
      <c r="L91" s="108"/>
      <c r="M91" s="108"/>
      <c r="N91" s="108"/>
      <c r="O91" s="108"/>
      <c r="P91" s="108"/>
      <c r="Q91" s="108">
        <f t="shared" si="24"/>
        <v>73780</v>
      </c>
      <c r="R91" s="32"/>
      <c r="S91" s="32"/>
      <c r="T91" s="32"/>
      <c r="U91" s="32"/>
      <c r="V91" s="32"/>
      <c r="W91" s="32"/>
      <c r="X91" s="32"/>
      <c r="Y91" s="32"/>
      <c r="Z91" s="32"/>
      <c r="AA91" s="32"/>
      <c r="AB91" s="32"/>
      <c r="AC91" s="32"/>
      <c r="AD91" s="32"/>
      <c r="AE91" s="32"/>
    </row>
    <row r="92" spans="1:31" s="15" customFormat="1" ht="46.5" customHeight="1">
      <c r="A92" s="23"/>
      <c r="B92" s="27" t="s">
        <v>87</v>
      </c>
      <c r="C92" s="27" t="s">
        <v>269</v>
      </c>
      <c r="D92" s="27" t="s">
        <v>264</v>
      </c>
      <c r="E92" s="24" t="s">
        <v>86</v>
      </c>
      <c r="F92" s="107">
        <f t="shared" si="23"/>
        <v>57920</v>
      </c>
      <c r="G92" s="107">
        <f>38010+19910</f>
        <v>57920</v>
      </c>
      <c r="H92" s="107"/>
      <c r="I92" s="107"/>
      <c r="J92" s="107"/>
      <c r="K92" s="107">
        <f t="shared" si="22"/>
        <v>0</v>
      </c>
      <c r="L92" s="107"/>
      <c r="M92" s="107"/>
      <c r="N92" s="107"/>
      <c r="O92" s="107"/>
      <c r="P92" s="107"/>
      <c r="Q92" s="107">
        <f t="shared" si="24"/>
        <v>57920</v>
      </c>
      <c r="R92" s="42"/>
      <c r="S92" s="42"/>
      <c r="T92" s="42"/>
      <c r="U92" s="42"/>
      <c r="V92" s="42"/>
      <c r="W92" s="42"/>
      <c r="X92" s="42"/>
      <c r="Y92" s="42"/>
      <c r="Z92" s="42"/>
      <c r="AA92" s="42"/>
      <c r="AB92" s="42"/>
      <c r="AC92" s="42"/>
      <c r="AD92" s="42"/>
      <c r="AE92" s="42"/>
    </row>
    <row r="93" spans="1:31" s="15" customFormat="1" ht="63.75" customHeight="1">
      <c r="A93" s="14"/>
      <c r="B93" s="126" t="s">
        <v>88</v>
      </c>
      <c r="C93" s="126" t="s">
        <v>408</v>
      </c>
      <c r="D93" s="126" t="s">
        <v>387</v>
      </c>
      <c r="E93" s="184" t="s">
        <v>39</v>
      </c>
      <c r="F93" s="107">
        <f t="shared" si="23"/>
        <v>5866880</v>
      </c>
      <c r="G93" s="107">
        <f>5000000+866880</f>
        <v>5866880</v>
      </c>
      <c r="H93" s="107"/>
      <c r="I93" s="107"/>
      <c r="J93" s="107"/>
      <c r="K93" s="107">
        <f t="shared" si="22"/>
        <v>0</v>
      </c>
      <c r="L93" s="107"/>
      <c r="M93" s="107"/>
      <c r="N93" s="107"/>
      <c r="O93" s="107"/>
      <c r="P93" s="107"/>
      <c r="Q93" s="107">
        <f t="shared" si="24"/>
        <v>5866880</v>
      </c>
      <c r="R93" s="42"/>
      <c r="S93" s="42"/>
      <c r="T93" s="42"/>
      <c r="U93" s="42"/>
      <c r="V93" s="42"/>
      <c r="W93" s="42"/>
      <c r="X93" s="42"/>
      <c r="Y93" s="42"/>
      <c r="Z93" s="42"/>
      <c r="AA93" s="42"/>
      <c r="AB93" s="42"/>
      <c r="AC93" s="42"/>
      <c r="AD93" s="42"/>
      <c r="AE93" s="42"/>
    </row>
    <row r="94" spans="1:31" s="15" customFormat="1" ht="23.25" customHeight="1">
      <c r="A94" s="14"/>
      <c r="B94" s="126" t="s">
        <v>501</v>
      </c>
      <c r="C94" s="126" t="s">
        <v>492</v>
      </c>
      <c r="D94" s="126"/>
      <c r="E94" s="184" t="s">
        <v>500</v>
      </c>
      <c r="F94" s="107">
        <f t="shared" si="23"/>
        <v>3744618</v>
      </c>
      <c r="G94" s="107">
        <f aca="true" t="shared" si="26" ref="G94:P94">G95</f>
        <v>3744618</v>
      </c>
      <c r="H94" s="107">
        <f t="shared" si="26"/>
        <v>2654888</v>
      </c>
      <c r="I94" s="107">
        <f t="shared" si="26"/>
        <v>241260</v>
      </c>
      <c r="J94" s="107">
        <f t="shared" si="26"/>
        <v>0</v>
      </c>
      <c r="K94" s="107">
        <f t="shared" si="22"/>
        <v>0</v>
      </c>
      <c r="L94" s="107">
        <f t="shared" si="26"/>
        <v>0</v>
      </c>
      <c r="M94" s="107">
        <f t="shared" si="26"/>
        <v>0</v>
      </c>
      <c r="N94" s="107">
        <f t="shared" si="26"/>
        <v>0</v>
      </c>
      <c r="O94" s="107">
        <f t="shared" si="26"/>
        <v>0</v>
      </c>
      <c r="P94" s="107">
        <f t="shared" si="26"/>
        <v>0</v>
      </c>
      <c r="Q94" s="107">
        <f t="shared" si="24"/>
        <v>3744618</v>
      </c>
      <c r="R94" s="42"/>
      <c r="S94" s="42"/>
      <c r="T94" s="42"/>
      <c r="U94" s="42"/>
      <c r="V94" s="42"/>
      <c r="W94" s="42"/>
      <c r="X94" s="42"/>
      <c r="Y94" s="42"/>
      <c r="Z94" s="42"/>
      <c r="AA94" s="42"/>
      <c r="AB94" s="42"/>
      <c r="AC94" s="42"/>
      <c r="AD94" s="42"/>
      <c r="AE94" s="42"/>
    </row>
    <row r="95" spans="1:31" s="34" customFormat="1" ht="35.25" customHeight="1">
      <c r="A95" s="33"/>
      <c r="B95" s="37" t="s">
        <v>502</v>
      </c>
      <c r="C95" s="37" t="s">
        <v>494</v>
      </c>
      <c r="D95" s="37" t="s">
        <v>318</v>
      </c>
      <c r="E95" s="185" t="s">
        <v>49</v>
      </c>
      <c r="F95" s="108">
        <f t="shared" si="23"/>
        <v>3744618</v>
      </c>
      <c r="G95" s="108">
        <f>3585110+10000+126200-33792+9100+11000+37000</f>
        <v>3744618</v>
      </c>
      <c r="H95" s="108">
        <f>2613610+103400-62122</f>
        <v>2654888</v>
      </c>
      <c r="I95" s="108">
        <f>199254+42006</f>
        <v>241260</v>
      </c>
      <c r="J95" s="108"/>
      <c r="K95" s="108">
        <f t="shared" si="22"/>
        <v>0</v>
      </c>
      <c r="L95" s="108"/>
      <c r="M95" s="108"/>
      <c r="N95" s="108"/>
      <c r="O95" s="108"/>
      <c r="P95" s="108"/>
      <c r="Q95" s="108">
        <f t="shared" si="24"/>
        <v>3744618</v>
      </c>
      <c r="R95" s="32"/>
      <c r="S95" s="32"/>
      <c r="T95" s="32"/>
      <c r="U95" s="32"/>
      <c r="V95" s="32"/>
      <c r="W95" s="32"/>
      <c r="X95" s="32"/>
      <c r="Y95" s="32"/>
      <c r="Z95" s="32"/>
      <c r="AA95" s="32"/>
      <c r="AB95" s="32"/>
      <c r="AC95" s="32"/>
      <c r="AD95" s="32"/>
      <c r="AE95" s="32"/>
    </row>
    <row r="96" spans="1:31" s="34" customFormat="1" ht="23.25" customHeight="1">
      <c r="A96" s="33"/>
      <c r="B96" s="27" t="s">
        <v>382</v>
      </c>
      <c r="C96" s="27" t="s">
        <v>341</v>
      </c>
      <c r="D96" s="27" t="s">
        <v>342</v>
      </c>
      <c r="E96" s="24" t="s">
        <v>154</v>
      </c>
      <c r="F96" s="107">
        <f t="shared" si="23"/>
        <v>644500</v>
      </c>
      <c r="G96" s="107">
        <f>569500+75000</f>
        <v>644500</v>
      </c>
      <c r="H96" s="107"/>
      <c r="I96" s="107"/>
      <c r="J96" s="107"/>
      <c r="K96" s="107">
        <f>L96+O96</f>
        <v>4412460</v>
      </c>
      <c r="L96" s="107"/>
      <c r="M96" s="107"/>
      <c r="N96" s="107"/>
      <c r="O96" s="107">
        <f>3794460+18000+600000</f>
        <v>4412460</v>
      </c>
      <c r="P96" s="107">
        <f>3794460+18000+600000</f>
        <v>4412460</v>
      </c>
      <c r="Q96" s="107">
        <f t="shared" si="24"/>
        <v>5056960</v>
      </c>
      <c r="R96" s="32"/>
      <c r="S96" s="32"/>
      <c r="T96" s="32"/>
      <c r="U96" s="32"/>
      <c r="V96" s="32"/>
      <c r="W96" s="32"/>
      <c r="X96" s="32"/>
      <c r="Y96" s="32"/>
      <c r="Z96" s="32"/>
      <c r="AA96" s="32"/>
      <c r="AB96" s="32"/>
      <c r="AC96" s="32"/>
      <c r="AD96" s="32"/>
      <c r="AE96" s="32"/>
    </row>
    <row r="97" spans="1:31" s="34" customFormat="1" ht="18" customHeight="1">
      <c r="A97" s="33"/>
      <c r="B97" s="27"/>
      <c r="C97" s="27"/>
      <c r="D97" s="27"/>
      <c r="E97" s="166" t="s">
        <v>513</v>
      </c>
      <c r="F97" s="107">
        <f t="shared" si="23"/>
        <v>0</v>
      </c>
      <c r="G97" s="107"/>
      <c r="H97" s="107"/>
      <c r="I97" s="107"/>
      <c r="J97" s="107"/>
      <c r="K97" s="107">
        <f>L97+O97</f>
        <v>600000</v>
      </c>
      <c r="L97" s="107"/>
      <c r="M97" s="107"/>
      <c r="N97" s="107"/>
      <c r="O97" s="107">
        <v>600000</v>
      </c>
      <c r="P97" s="107">
        <v>600000</v>
      </c>
      <c r="Q97" s="107">
        <f t="shared" si="24"/>
        <v>600000</v>
      </c>
      <c r="R97" s="32"/>
      <c r="S97" s="32"/>
      <c r="T97" s="32"/>
      <c r="U97" s="32"/>
      <c r="V97" s="32"/>
      <c r="W97" s="32"/>
      <c r="X97" s="32"/>
      <c r="Y97" s="32"/>
      <c r="Z97" s="32"/>
      <c r="AA97" s="32"/>
      <c r="AB97" s="32"/>
      <c r="AC97" s="32"/>
      <c r="AD97" s="32"/>
      <c r="AE97" s="32"/>
    </row>
    <row r="98" spans="1:31" s="34" customFormat="1" ht="32.25" customHeight="1">
      <c r="A98" s="33"/>
      <c r="B98" s="27" t="s">
        <v>216</v>
      </c>
      <c r="C98" s="27" t="s">
        <v>365</v>
      </c>
      <c r="D98" s="27" t="s">
        <v>366</v>
      </c>
      <c r="E98" s="24" t="s">
        <v>214</v>
      </c>
      <c r="F98" s="107">
        <f t="shared" si="23"/>
        <v>0</v>
      </c>
      <c r="G98" s="107"/>
      <c r="H98" s="107"/>
      <c r="I98" s="107"/>
      <c r="J98" s="108"/>
      <c r="K98" s="107">
        <f t="shared" si="22"/>
        <v>44600</v>
      </c>
      <c r="L98" s="107">
        <v>44600</v>
      </c>
      <c r="M98" s="107"/>
      <c r="N98" s="107"/>
      <c r="O98" s="107"/>
      <c r="P98" s="107"/>
      <c r="Q98" s="107">
        <f t="shared" si="24"/>
        <v>44600</v>
      </c>
      <c r="R98" s="32"/>
      <c r="S98" s="32"/>
      <c r="T98" s="32"/>
      <c r="U98" s="32"/>
      <c r="V98" s="32"/>
      <c r="W98" s="32"/>
      <c r="X98" s="32"/>
      <c r="Y98" s="32"/>
      <c r="Z98" s="32"/>
      <c r="AA98" s="32"/>
      <c r="AB98" s="32"/>
      <c r="AC98" s="32"/>
      <c r="AD98" s="32"/>
      <c r="AE98" s="32"/>
    </row>
    <row r="99" spans="1:31" s="34" customFormat="1" ht="27.75" customHeight="1">
      <c r="A99" s="33"/>
      <c r="B99" s="27" t="s">
        <v>217</v>
      </c>
      <c r="C99" s="27" t="s">
        <v>367</v>
      </c>
      <c r="D99" s="27" t="s">
        <v>350</v>
      </c>
      <c r="E99" s="24" t="s">
        <v>19</v>
      </c>
      <c r="F99" s="107">
        <f t="shared" si="23"/>
        <v>0</v>
      </c>
      <c r="G99" s="107"/>
      <c r="H99" s="107"/>
      <c r="I99" s="107"/>
      <c r="J99" s="108"/>
      <c r="K99" s="107">
        <f t="shared" si="22"/>
        <v>265000</v>
      </c>
      <c r="L99" s="107">
        <f>220200+4300</f>
        <v>224500</v>
      </c>
      <c r="M99" s="107"/>
      <c r="N99" s="107"/>
      <c r="O99" s="107">
        <f>44800-4300</f>
        <v>40500</v>
      </c>
      <c r="P99" s="107"/>
      <c r="Q99" s="107">
        <f t="shared" si="24"/>
        <v>265000</v>
      </c>
      <c r="R99" s="32"/>
      <c r="S99" s="32"/>
      <c r="T99" s="32"/>
      <c r="U99" s="32"/>
      <c r="V99" s="32"/>
      <c r="W99" s="32"/>
      <c r="X99" s="32"/>
      <c r="Y99" s="32"/>
      <c r="Z99" s="32"/>
      <c r="AA99" s="32"/>
      <c r="AB99" s="32"/>
      <c r="AC99" s="32"/>
      <c r="AD99" s="32"/>
      <c r="AE99" s="32"/>
    </row>
    <row r="100" spans="1:31" s="105" customFormat="1" ht="22.5" customHeight="1">
      <c r="A100" s="102"/>
      <c r="B100" s="116" t="s">
        <v>90</v>
      </c>
      <c r="C100" s="116"/>
      <c r="D100" s="116"/>
      <c r="E100" s="17" t="s">
        <v>89</v>
      </c>
      <c r="F100" s="115">
        <f>F101</f>
        <v>332568268</v>
      </c>
      <c r="G100" s="115">
        <f aca="true" t="shared" si="27" ref="G100:Q100">G101</f>
        <v>332568268</v>
      </c>
      <c r="H100" s="115">
        <f t="shared" si="27"/>
        <v>492500</v>
      </c>
      <c r="I100" s="115">
        <f t="shared" si="27"/>
        <v>27400</v>
      </c>
      <c r="J100" s="115">
        <f t="shared" si="27"/>
        <v>0</v>
      </c>
      <c r="K100" s="115">
        <f t="shared" si="27"/>
        <v>51844841</v>
      </c>
      <c r="L100" s="115">
        <f t="shared" si="27"/>
        <v>12622623</v>
      </c>
      <c r="M100" s="115">
        <f t="shared" si="27"/>
        <v>0</v>
      </c>
      <c r="N100" s="115">
        <f t="shared" si="27"/>
        <v>0</v>
      </c>
      <c r="O100" s="115">
        <f t="shared" si="27"/>
        <v>39222218</v>
      </c>
      <c r="P100" s="115">
        <f t="shared" si="27"/>
        <v>39030408</v>
      </c>
      <c r="Q100" s="115">
        <f t="shared" si="27"/>
        <v>384413109</v>
      </c>
      <c r="R100" s="104"/>
      <c r="S100" s="104"/>
      <c r="T100" s="104"/>
      <c r="U100" s="104"/>
      <c r="V100" s="104"/>
      <c r="W100" s="104"/>
      <c r="X100" s="104"/>
      <c r="Y100" s="104"/>
      <c r="Z100" s="104"/>
      <c r="AA100" s="104"/>
      <c r="AB100" s="104"/>
      <c r="AC100" s="104"/>
      <c r="AD100" s="104"/>
      <c r="AE100" s="104"/>
    </row>
    <row r="101" spans="1:31" s="169" customFormat="1" ht="25.5" customHeight="1">
      <c r="A101" s="167"/>
      <c r="B101" s="116" t="s">
        <v>90</v>
      </c>
      <c r="C101" s="116"/>
      <c r="D101" s="116"/>
      <c r="E101" s="122" t="s">
        <v>89</v>
      </c>
      <c r="F101" s="120">
        <f aca="true" t="shared" si="28" ref="F101:Q101">F103+F104+F106+F110+F112+F114+F120+F108+F126+F116</f>
        <v>332568268</v>
      </c>
      <c r="G101" s="120">
        <f t="shared" si="28"/>
        <v>332568268</v>
      </c>
      <c r="H101" s="120">
        <f t="shared" si="28"/>
        <v>492500</v>
      </c>
      <c r="I101" s="120">
        <f t="shared" si="28"/>
        <v>27400</v>
      </c>
      <c r="J101" s="120">
        <f t="shared" si="28"/>
        <v>0</v>
      </c>
      <c r="K101" s="120">
        <f t="shared" si="28"/>
        <v>51844841</v>
      </c>
      <c r="L101" s="120">
        <f t="shared" si="28"/>
        <v>12622623</v>
      </c>
      <c r="M101" s="120">
        <f t="shared" si="28"/>
        <v>0</v>
      </c>
      <c r="N101" s="120">
        <f t="shared" si="28"/>
        <v>0</v>
      </c>
      <c r="O101" s="120">
        <f t="shared" si="28"/>
        <v>39222218</v>
      </c>
      <c r="P101" s="120">
        <f t="shared" si="28"/>
        <v>39030408</v>
      </c>
      <c r="Q101" s="120">
        <f t="shared" si="28"/>
        <v>384413109</v>
      </c>
      <c r="R101" s="168"/>
      <c r="S101" s="168"/>
      <c r="T101" s="168"/>
      <c r="U101" s="168"/>
      <c r="V101" s="168"/>
      <c r="W101" s="168"/>
      <c r="X101" s="168"/>
      <c r="Y101" s="168"/>
      <c r="Z101" s="168"/>
      <c r="AA101" s="168"/>
      <c r="AB101" s="168"/>
      <c r="AC101" s="168"/>
      <c r="AD101" s="168"/>
      <c r="AE101" s="168"/>
    </row>
    <row r="102" spans="1:31" s="15" customFormat="1" ht="15" customHeight="1">
      <c r="A102" s="150"/>
      <c r="B102" s="101"/>
      <c r="C102" s="101"/>
      <c r="D102" s="101"/>
      <c r="E102" s="100" t="s">
        <v>512</v>
      </c>
      <c r="F102" s="107">
        <f>F105+F107+F111+F113+F121+F115+F109+F117+F127</f>
        <v>246866056</v>
      </c>
      <c r="G102" s="107">
        <f aca="true" t="shared" si="29" ref="G102:Q102">G105+G107+G111+G113+G121+G115+G109+G117+G127</f>
        <v>246866056</v>
      </c>
      <c r="H102" s="107">
        <f t="shared" si="29"/>
        <v>0</v>
      </c>
      <c r="I102" s="107">
        <f t="shared" si="29"/>
        <v>0</v>
      </c>
      <c r="J102" s="107">
        <f t="shared" si="29"/>
        <v>0</v>
      </c>
      <c r="K102" s="107">
        <f t="shared" si="29"/>
        <v>1400000</v>
      </c>
      <c r="L102" s="107">
        <f t="shared" si="29"/>
        <v>0</v>
      </c>
      <c r="M102" s="107">
        <f t="shared" si="29"/>
        <v>0</v>
      </c>
      <c r="N102" s="107">
        <f t="shared" si="29"/>
        <v>0</v>
      </c>
      <c r="O102" s="107">
        <f t="shared" si="29"/>
        <v>1400000</v>
      </c>
      <c r="P102" s="107">
        <f t="shared" si="29"/>
        <v>1400000</v>
      </c>
      <c r="Q102" s="107">
        <f t="shared" si="29"/>
        <v>248266056</v>
      </c>
      <c r="R102" s="42"/>
      <c r="S102" s="42"/>
      <c r="T102" s="42"/>
      <c r="U102" s="42"/>
      <c r="V102" s="42"/>
      <c r="W102" s="42"/>
      <c r="X102" s="42"/>
      <c r="Y102" s="42"/>
      <c r="Z102" s="42"/>
      <c r="AA102" s="42"/>
      <c r="AB102" s="42"/>
      <c r="AC102" s="42"/>
      <c r="AD102" s="42"/>
      <c r="AE102" s="42"/>
    </row>
    <row r="103" spans="1:31" s="15" customFormat="1" ht="36.75" customHeight="1">
      <c r="A103" s="14"/>
      <c r="B103" s="126" t="s">
        <v>91</v>
      </c>
      <c r="C103" s="126" t="s">
        <v>246</v>
      </c>
      <c r="D103" s="126" t="s">
        <v>247</v>
      </c>
      <c r="E103" s="166" t="s">
        <v>522</v>
      </c>
      <c r="F103" s="107">
        <f aca="true" t="shared" si="30" ref="F103:F127">G103+J103</f>
        <v>748100</v>
      </c>
      <c r="G103" s="107">
        <f>714500+3500-22100+52200</f>
        <v>748100</v>
      </c>
      <c r="H103" s="107">
        <v>492500</v>
      </c>
      <c r="I103" s="107">
        <f>23900+3500</f>
        <v>27400</v>
      </c>
      <c r="J103" s="107"/>
      <c r="K103" s="107">
        <f aca="true" t="shared" si="31" ref="K103:K123">L103+O103</f>
        <v>13000</v>
      </c>
      <c r="L103" s="107"/>
      <c r="M103" s="107"/>
      <c r="N103" s="107"/>
      <c r="O103" s="107">
        <v>13000</v>
      </c>
      <c r="P103" s="107">
        <v>13000</v>
      </c>
      <c r="Q103" s="107">
        <f t="shared" si="24"/>
        <v>761100</v>
      </c>
      <c r="R103" s="42"/>
      <c r="S103" s="42"/>
      <c r="T103" s="42"/>
      <c r="U103" s="42"/>
      <c r="V103" s="42"/>
      <c r="W103" s="42"/>
      <c r="X103" s="42"/>
      <c r="Y103" s="42"/>
      <c r="Z103" s="42"/>
      <c r="AA103" s="42"/>
      <c r="AB103" s="42"/>
      <c r="AC103" s="42"/>
      <c r="AD103" s="42"/>
      <c r="AE103" s="42"/>
    </row>
    <row r="104" spans="1:31" s="15" customFormat="1" ht="34.5" customHeight="1">
      <c r="A104" s="14"/>
      <c r="B104" s="126" t="s">
        <v>93</v>
      </c>
      <c r="C104" s="126" t="s">
        <v>272</v>
      </c>
      <c r="D104" s="126" t="s">
        <v>273</v>
      </c>
      <c r="E104" s="166" t="s">
        <v>92</v>
      </c>
      <c r="F104" s="107">
        <f t="shared" si="30"/>
        <v>264929974</v>
      </c>
      <c r="G104" s="107">
        <f>243649288+12107548+5508000+430000+565208+150000+199000-56200+10000+28000+198900+75000+328300+1400000+489050+75000+20000-264120+7000+10000</f>
        <v>264929974</v>
      </c>
      <c r="H104" s="107">
        <f>161043787-1996817-159507856+460886</f>
        <v>0</v>
      </c>
      <c r="I104" s="107">
        <f>18583106-21652058+2996184+72768</f>
        <v>0</v>
      </c>
      <c r="J104" s="107"/>
      <c r="K104" s="107">
        <f t="shared" si="31"/>
        <v>38882933</v>
      </c>
      <c r="L104" s="107">
        <v>8677823</v>
      </c>
      <c r="M104" s="107">
        <f>4904947-4904947</f>
        <v>0</v>
      </c>
      <c r="N104" s="107">
        <f>190538-190538</f>
        <v>0</v>
      </c>
      <c r="O104" s="107">
        <f>22341810+2500000+3000000+2025000+368050+35000+300000+20000+12300+67000-489050+10000+15000</f>
        <v>30205110</v>
      </c>
      <c r="P104" s="107">
        <f>22150000+2500000+3000000+2025000+368050+35000+300000+20000+12300+67000-489050+10000+15000</f>
        <v>30013300</v>
      </c>
      <c r="Q104" s="107">
        <f t="shared" si="24"/>
        <v>303812907</v>
      </c>
      <c r="R104" s="42"/>
      <c r="S104" s="42"/>
      <c r="T104" s="42"/>
      <c r="U104" s="42"/>
      <c r="V104" s="42"/>
      <c r="W104" s="42"/>
      <c r="X104" s="42"/>
      <c r="Y104" s="42"/>
      <c r="Z104" s="42"/>
      <c r="AA104" s="42"/>
      <c r="AB104" s="42"/>
      <c r="AC104" s="42"/>
      <c r="AD104" s="42"/>
      <c r="AE104" s="42"/>
    </row>
    <row r="105" spans="1:31" s="15" customFormat="1" ht="15.75">
      <c r="A105" s="14"/>
      <c r="B105" s="127"/>
      <c r="C105" s="127"/>
      <c r="D105" s="127"/>
      <c r="E105" s="166" t="s">
        <v>512</v>
      </c>
      <c r="F105" s="107">
        <f t="shared" si="30"/>
        <v>199179187</v>
      </c>
      <c r="G105" s="107">
        <f>185378560+12107548+1364779+328300</f>
        <v>199179187</v>
      </c>
      <c r="H105" s="107">
        <f>152200885+1118770-153780541+460886</f>
        <v>0</v>
      </c>
      <c r="I105" s="107">
        <f>-72768+72768</f>
        <v>0</v>
      </c>
      <c r="J105" s="107"/>
      <c r="K105" s="107">
        <f t="shared" si="31"/>
        <v>0</v>
      </c>
      <c r="L105" s="107"/>
      <c r="M105" s="107"/>
      <c r="N105" s="107"/>
      <c r="O105" s="107"/>
      <c r="P105" s="107"/>
      <c r="Q105" s="107">
        <f t="shared" si="24"/>
        <v>199179187</v>
      </c>
      <c r="R105" s="42"/>
      <c r="S105" s="42"/>
      <c r="T105" s="42"/>
      <c r="U105" s="42"/>
      <c r="V105" s="42"/>
      <c r="W105" s="42"/>
      <c r="X105" s="42"/>
      <c r="Y105" s="42"/>
      <c r="Z105" s="42"/>
      <c r="AA105" s="42"/>
      <c r="AB105" s="42"/>
      <c r="AC105" s="42"/>
      <c r="AD105" s="42"/>
      <c r="AE105" s="42"/>
    </row>
    <row r="106" spans="1:31" s="15" customFormat="1" ht="33" customHeight="1">
      <c r="A106" s="14"/>
      <c r="B106" s="126" t="s">
        <v>95</v>
      </c>
      <c r="C106" s="126" t="s">
        <v>274</v>
      </c>
      <c r="D106" s="126" t="s">
        <v>275</v>
      </c>
      <c r="E106" s="166" t="s">
        <v>94</v>
      </c>
      <c r="F106" s="107">
        <f t="shared" si="30"/>
        <v>29992760</v>
      </c>
      <c r="G106" s="107">
        <f>28161038+1498800+192942+150000-25020+15000</f>
        <v>29992760</v>
      </c>
      <c r="H106" s="107">
        <f>18494577-18200890-293687</f>
        <v>0</v>
      </c>
      <c r="I106" s="107">
        <f>3304431-3855084+550653</f>
        <v>0</v>
      </c>
      <c r="J106" s="107"/>
      <c r="K106" s="107">
        <f t="shared" si="31"/>
        <v>3524000</v>
      </c>
      <c r="L106" s="107">
        <v>24000</v>
      </c>
      <c r="M106" s="107">
        <f>8800-8800</f>
        <v>0</v>
      </c>
      <c r="N106" s="107">
        <f>2050-2050</f>
        <v>0</v>
      </c>
      <c r="O106" s="107">
        <f>3500000</f>
        <v>3500000</v>
      </c>
      <c r="P106" s="107">
        <v>3500000</v>
      </c>
      <c r="Q106" s="107">
        <f t="shared" si="24"/>
        <v>33516760</v>
      </c>
      <c r="R106" s="42"/>
      <c r="S106" s="42"/>
      <c r="T106" s="42"/>
      <c r="U106" s="42"/>
      <c r="V106" s="42"/>
      <c r="W106" s="42"/>
      <c r="X106" s="42"/>
      <c r="Y106" s="42"/>
      <c r="Z106" s="42"/>
      <c r="AA106" s="42"/>
      <c r="AB106" s="42"/>
      <c r="AC106" s="42"/>
      <c r="AD106" s="42"/>
      <c r="AE106" s="42"/>
    </row>
    <row r="107" spans="1:31" s="15" customFormat="1" ht="15.75">
      <c r="A107" s="14"/>
      <c r="B107" s="127"/>
      <c r="C107" s="127"/>
      <c r="D107" s="127"/>
      <c r="E107" s="166" t="s">
        <v>513</v>
      </c>
      <c r="F107" s="107">
        <f t="shared" si="30"/>
        <v>20152092</v>
      </c>
      <c r="G107" s="107">
        <f>20867500-715408</f>
        <v>20152092</v>
      </c>
      <c r="H107" s="107">
        <f>17132600-16545800-586800</f>
        <v>0</v>
      </c>
      <c r="I107" s="107"/>
      <c r="J107" s="107"/>
      <c r="K107" s="107">
        <f t="shared" si="31"/>
        <v>0</v>
      </c>
      <c r="L107" s="107"/>
      <c r="M107" s="107"/>
      <c r="N107" s="107"/>
      <c r="O107" s="107"/>
      <c r="P107" s="107"/>
      <c r="Q107" s="107">
        <f t="shared" si="24"/>
        <v>20152092</v>
      </c>
      <c r="R107" s="42"/>
      <c r="S107" s="42"/>
      <c r="T107" s="42"/>
      <c r="U107" s="42"/>
      <c r="V107" s="42"/>
      <c r="W107" s="42"/>
      <c r="X107" s="42"/>
      <c r="Y107" s="42"/>
      <c r="Z107" s="42"/>
      <c r="AA107" s="42"/>
      <c r="AB107" s="42"/>
      <c r="AC107" s="42"/>
      <c r="AD107" s="42"/>
      <c r="AE107" s="42"/>
    </row>
    <row r="108" spans="1:31" s="15" customFormat="1" ht="27" customHeight="1">
      <c r="A108" s="14"/>
      <c r="B108" s="78" t="s">
        <v>186</v>
      </c>
      <c r="C108" s="78" t="s">
        <v>276</v>
      </c>
      <c r="D108" s="78" t="s">
        <v>277</v>
      </c>
      <c r="E108" s="166" t="s">
        <v>409</v>
      </c>
      <c r="F108" s="107">
        <f t="shared" si="30"/>
        <v>2282045</v>
      </c>
      <c r="G108" s="107">
        <f>2300281+33700-51936</f>
        <v>2282045</v>
      </c>
      <c r="H108" s="107">
        <f>1761860-1704980-56880</f>
        <v>0</v>
      </c>
      <c r="I108" s="107">
        <f>101807-119095+17288</f>
        <v>0</v>
      </c>
      <c r="J108" s="107"/>
      <c r="K108" s="107">
        <f t="shared" si="31"/>
        <v>412100</v>
      </c>
      <c r="L108" s="107">
        <v>412100</v>
      </c>
      <c r="M108" s="107">
        <f>105000-105000</f>
        <v>0</v>
      </c>
      <c r="N108" s="107">
        <f>147982-147982</f>
        <v>0</v>
      </c>
      <c r="O108" s="107">
        <f>O79</f>
        <v>0</v>
      </c>
      <c r="P108" s="107">
        <f>P79</f>
        <v>0</v>
      </c>
      <c r="Q108" s="107">
        <f t="shared" si="24"/>
        <v>2694145</v>
      </c>
      <c r="R108" s="42"/>
      <c r="S108" s="42"/>
      <c r="T108" s="42"/>
      <c r="U108" s="42"/>
      <c r="V108" s="42"/>
      <c r="W108" s="42"/>
      <c r="X108" s="42"/>
      <c r="Y108" s="42"/>
      <c r="Z108" s="42"/>
      <c r="AA108" s="42"/>
      <c r="AB108" s="42"/>
      <c r="AC108" s="42"/>
      <c r="AD108" s="42"/>
      <c r="AE108" s="42"/>
    </row>
    <row r="109" spans="1:31" s="15" customFormat="1" ht="15" customHeight="1">
      <c r="A109" s="14"/>
      <c r="B109" s="78"/>
      <c r="C109" s="78"/>
      <c r="D109" s="78"/>
      <c r="E109" s="166" t="s">
        <v>513</v>
      </c>
      <c r="F109" s="107">
        <f t="shared" si="30"/>
        <v>1744691</v>
      </c>
      <c r="G109" s="107">
        <f>1977420-232729</f>
        <v>1744691</v>
      </c>
      <c r="H109" s="107">
        <f>1623500-1433600-189900</f>
        <v>0</v>
      </c>
      <c r="I109" s="107"/>
      <c r="J109" s="107"/>
      <c r="K109" s="107">
        <f t="shared" si="31"/>
        <v>0</v>
      </c>
      <c r="L109" s="107">
        <f>L80</f>
        <v>0</v>
      </c>
      <c r="M109" s="107">
        <f>M80</f>
        <v>0</v>
      </c>
      <c r="N109" s="107">
        <f>N80</f>
        <v>0</v>
      </c>
      <c r="O109" s="107">
        <f>O80</f>
        <v>0</v>
      </c>
      <c r="P109" s="107">
        <f>P80</f>
        <v>0</v>
      </c>
      <c r="Q109" s="107">
        <f t="shared" si="24"/>
        <v>1744691</v>
      </c>
      <c r="R109" s="42"/>
      <c r="S109" s="42"/>
      <c r="T109" s="42"/>
      <c r="U109" s="42"/>
      <c r="V109" s="42"/>
      <c r="W109" s="42"/>
      <c r="X109" s="42"/>
      <c r="Y109" s="42"/>
      <c r="Z109" s="42"/>
      <c r="AA109" s="42"/>
      <c r="AB109" s="42"/>
      <c r="AC109" s="42"/>
      <c r="AD109" s="42"/>
      <c r="AE109" s="42"/>
    </row>
    <row r="110" spans="1:31" s="15" customFormat="1" ht="30" customHeight="1">
      <c r="A110" s="14"/>
      <c r="B110" s="126" t="s">
        <v>97</v>
      </c>
      <c r="C110" s="126" t="s">
        <v>278</v>
      </c>
      <c r="D110" s="126" t="s">
        <v>279</v>
      </c>
      <c r="E110" s="166" t="s">
        <v>96</v>
      </c>
      <c r="F110" s="107">
        <f t="shared" si="30"/>
        <v>7238632</v>
      </c>
      <c r="G110" s="107">
        <f>6763216+677800-142134-60250</f>
        <v>7238632</v>
      </c>
      <c r="H110" s="107">
        <f>4844273-4671090-173183</f>
        <v>0</v>
      </c>
      <c r="I110" s="107">
        <f>416191-485340+69149</f>
        <v>0</v>
      </c>
      <c r="J110" s="107"/>
      <c r="K110" s="107">
        <f t="shared" si="31"/>
        <v>4352000</v>
      </c>
      <c r="L110" s="107">
        <v>3352000</v>
      </c>
      <c r="M110" s="107">
        <f>2200000-2200000</f>
        <v>0</v>
      </c>
      <c r="N110" s="107">
        <f>166273-166273</f>
        <v>0</v>
      </c>
      <c r="O110" s="107">
        <v>1000000</v>
      </c>
      <c r="P110" s="107">
        <v>1000000</v>
      </c>
      <c r="Q110" s="107">
        <f t="shared" si="24"/>
        <v>11590632</v>
      </c>
      <c r="R110" s="42"/>
      <c r="S110" s="42"/>
      <c r="T110" s="42"/>
      <c r="U110" s="42"/>
      <c r="V110" s="42"/>
      <c r="W110" s="42"/>
      <c r="X110" s="42"/>
      <c r="Y110" s="42"/>
      <c r="Z110" s="42"/>
      <c r="AA110" s="42"/>
      <c r="AB110" s="42"/>
      <c r="AC110" s="42"/>
      <c r="AD110" s="42"/>
      <c r="AE110" s="42"/>
    </row>
    <row r="111" spans="1:31" s="15" customFormat="1" ht="15.75">
      <c r="A111" s="14"/>
      <c r="B111" s="127"/>
      <c r="C111" s="127"/>
      <c r="D111" s="127"/>
      <c r="E111" s="166" t="s">
        <v>513</v>
      </c>
      <c r="F111" s="107">
        <f t="shared" si="30"/>
        <v>5156330</v>
      </c>
      <c r="G111" s="107">
        <f>5229400-73070</f>
        <v>5156330</v>
      </c>
      <c r="H111" s="107">
        <f>4286400-4226500-59900</f>
        <v>0</v>
      </c>
      <c r="I111" s="107"/>
      <c r="J111" s="107"/>
      <c r="K111" s="107">
        <f t="shared" si="31"/>
        <v>0</v>
      </c>
      <c r="L111" s="107"/>
      <c r="M111" s="107"/>
      <c r="N111" s="107"/>
      <c r="O111" s="107"/>
      <c r="P111" s="107"/>
      <c r="Q111" s="107">
        <f t="shared" si="24"/>
        <v>5156330</v>
      </c>
      <c r="R111" s="42"/>
      <c r="S111" s="42"/>
      <c r="T111" s="42"/>
      <c r="U111" s="42"/>
      <c r="V111" s="42"/>
      <c r="W111" s="42"/>
      <c r="X111" s="42"/>
      <c r="Y111" s="42"/>
      <c r="Z111" s="42"/>
      <c r="AA111" s="42"/>
      <c r="AB111" s="42"/>
      <c r="AC111" s="42"/>
      <c r="AD111" s="42"/>
      <c r="AE111" s="42"/>
    </row>
    <row r="112" spans="1:31" s="15" customFormat="1" ht="22.5" customHeight="1">
      <c r="A112" s="14"/>
      <c r="B112" s="126" t="s">
        <v>99</v>
      </c>
      <c r="C112" s="126" t="s">
        <v>280</v>
      </c>
      <c r="D112" s="126" t="s">
        <v>281</v>
      </c>
      <c r="E112" s="166" t="s">
        <v>98</v>
      </c>
      <c r="F112" s="107">
        <f t="shared" si="30"/>
        <v>14884811</v>
      </c>
      <c r="G112" s="107">
        <f>15160975+211200-849984-1500+100000+264120</f>
        <v>14884811</v>
      </c>
      <c r="H112" s="107">
        <f>10325773-9562860-762913</f>
        <v>0</v>
      </c>
      <c r="I112" s="107">
        <f>541867-620349+78482</f>
        <v>0</v>
      </c>
      <c r="J112" s="107"/>
      <c r="K112" s="107">
        <f t="shared" si="31"/>
        <v>2018808</v>
      </c>
      <c r="L112" s="107">
        <v>156700</v>
      </c>
      <c r="M112" s="107">
        <f>26000-26000</f>
        <v>0</v>
      </c>
      <c r="N112" s="107">
        <f>19941-19941</f>
        <v>0</v>
      </c>
      <c r="O112" s="107">
        <f>1250000+475000+137108</f>
        <v>1862108</v>
      </c>
      <c r="P112" s="107">
        <f>1250000+475000+137108</f>
        <v>1862108</v>
      </c>
      <c r="Q112" s="107">
        <f t="shared" si="24"/>
        <v>16903619</v>
      </c>
      <c r="R112" s="42"/>
      <c r="S112" s="42"/>
      <c r="T112" s="42"/>
      <c r="U112" s="42"/>
      <c r="V112" s="42"/>
      <c r="W112" s="42"/>
      <c r="X112" s="42"/>
      <c r="Y112" s="42"/>
      <c r="Z112" s="42"/>
      <c r="AA112" s="42"/>
      <c r="AB112" s="42"/>
      <c r="AC112" s="42"/>
      <c r="AD112" s="42"/>
      <c r="AE112" s="42"/>
    </row>
    <row r="113" spans="1:31" s="15" customFormat="1" ht="15.75" customHeight="1">
      <c r="A113" s="14"/>
      <c r="B113" s="127"/>
      <c r="C113" s="127"/>
      <c r="D113" s="127"/>
      <c r="E113" s="166" t="s">
        <v>513</v>
      </c>
      <c r="F113" s="107">
        <f t="shared" si="30"/>
        <v>10538125</v>
      </c>
      <c r="G113" s="107">
        <f>10831100-292975</f>
        <v>10538125</v>
      </c>
      <c r="H113" s="107">
        <f>8899800-8659100-240700</f>
        <v>0</v>
      </c>
      <c r="I113" s="107"/>
      <c r="J113" s="107"/>
      <c r="K113" s="107">
        <f t="shared" si="31"/>
        <v>0</v>
      </c>
      <c r="L113" s="107"/>
      <c r="M113" s="107"/>
      <c r="N113" s="107"/>
      <c r="O113" s="107"/>
      <c r="P113" s="107"/>
      <c r="Q113" s="107">
        <f t="shared" si="24"/>
        <v>10538125</v>
      </c>
      <c r="R113" s="42"/>
      <c r="S113" s="42"/>
      <c r="T113" s="42"/>
      <c r="U113" s="42"/>
      <c r="V113" s="42"/>
      <c r="W113" s="42"/>
      <c r="X113" s="42"/>
      <c r="Y113" s="42"/>
      <c r="Z113" s="42"/>
      <c r="AA113" s="42"/>
      <c r="AB113" s="42"/>
      <c r="AC113" s="42"/>
      <c r="AD113" s="42"/>
      <c r="AE113" s="42"/>
    </row>
    <row r="114" spans="1:31" s="15" customFormat="1" ht="62.25" customHeight="1">
      <c r="A114" s="14"/>
      <c r="B114" s="78" t="s">
        <v>104</v>
      </c>
      <c r="C114" s="78" t="s">
        <v>282</v>
      </c>
      <c r="D114" s="78" t="s">
        <v>283</v>
      </c>
      <c r="E114" s="166" t="s">
        <v>20</v>
      </c>
      <c r="F114" s="107">
        <f t="shared" si="30"/>
        <v>898410</v>
      </c>
      <c r="G114" s="107">
        <f>1003653-105243</f>
        <v>898410</v>
      </c>
      <c r="H114" s="107">
        <f>684083-596400-87683</f>
        <v>0</v>
      </c>
      <c r="I114" s="107">
        <f>24172-25902+1730</f>
        <v>0</v>
      </c>
      <c r="J114" s="107"/>
      <c r="K114" s="107">
        <f t="shared" si="31"/>
        <v>0</v>
      </c>
      <c r="L114" s="107"/>
      <c r="M114" s="107"/>
      <c r="N114" s="107"/>
      <c r="O114" s="107"/>
      <c r="P114" s="107"/>
      <c r="Q114" s="107">
        <f t="shared" si="24"/>
        <v>898410</v>
      </c>
      <c r="R114" s="42"/>
      <c r="S114" s="42"/>
      <c r="T114" s="42"/>
      <c r="U114" s="42"/>
      <c r="V114" s="42"/>
      <c r="W114" s="42"/>
      <c r="X114" s="42"/>
      <c r="Y114" s="42"/>
      <c r="Z114" s="42"/>
      <c r="AA114" s="42"/>
      <c r="AB114" s="42"/>
      <c r="AC114" s="42"/>
      <c r="AD114" s="42"/>
      <c r="AE114" s="42"/>
    </row>
    <row r="115" spans="1:31" s="15" customFormat="1" ht="21" customHeight="1">
      <c r="A115" s="14"/>
      <c r="B115" s="127"/>
      <c r="C115" s="127"/>
      <c r="D115" s="127"/>
      <c r="E115" s="166" t="s">
        <v>513</v>
      </c>
      <c r="F115" s="107">
        <f t="shared" si="30"/>
        <v>727608</v>
      </c>
      <c r="G115" s="107">
        <f>756280-28672</f>
        <v>727608</v>
      </c>
      <c r="H115" s="107">
        <f>619900-596400-23500</f>
        <v>0</v>
      </c>
      <c r="I115" s="107"/>
      <c r="J115" s="107"/>
      <c r="K115" s="107">
        <f t="shared" si="31"/>
        <v>0</v>
      </c>
      <c r="L115" s="107"/>
      <c r="M115" s="107"/>
      <c r="N115" s="107"/>
      <c r="O115" s="107"/>
      <c r="P115" s="107"/>
      <c r="Q115" s="107">
        <f t="shared" si="24"/>
        <v>727608</v>
      </c>
      <c r="R115" s="42"/>
      <c r="S115" s="42"/>
      <c r="T115" s="42"/>
      <c r="U115" s="42"/>
      <c r="V115" s="42"/>
      <c r="W115" s="42"/>
      <c r="X115" s="42"/>
      <c r="Y115" s="42"/>
      <c r="Z115" s="42"/>
      <c r="AA115" s="42"/>
      <c r="AB115" s="42"/>
      <c r="AC115" s="42"/>
      <c r="AD115" s="42"/>
      <c r="AE115" s="42"/>
    </row>
    <row r="116" spans="1:31" s="15" customFormat="1" ht="38.25" customHeight="1">
      <c r="A116" s="14"/>
      <c r="B116" s="127">
        <v>1412210</v>
      </c>
      <c r="C116" s="127">
        <v>2210</v>
      </c>
      <c r="D116" s="127"/>
      <c r="E116" s="166" t="s">
        <v>435</v>
      </c>
      <c r="F116" s="107">
        <f t="shared" si="30"/>
        <v>5312308</v>
      </c>
      <c r="G116" s="107">
        <f aca="true" t="shared" si="32" ref="G116:P116">G118</f>
        <v>5312308</v>
      </c>
      <c r="H116" s="107">
        <f t="shared" si="32"/>
        <v>0</v>
      </c>
      <c r="I116" s="107">
        <f t="shared" si="32"/>
        <v>0</v>
      </c>
      <c r="J116" s="107">
        <f t="shared" si="32"/>
        <v>0</v>
      </c>
      <c r="K116" s="107">
        <f t="shared" si="31"/>
        <v>0</v>
      </c>
      <c r="L116" s="107">
        <f t="shared" si="32"/>
        <v>0</v>
      </c>
      <c r="M116" s="107">
        <f t="shared" si="32"/>
        <v>0</v>
      </c>
      <c r="N116" s="107">
        <f t="shared" si="32"/>
        <v>0</v>
      </c>
      <c r="O116" s="107">
        <f t="shared" si="32"/>
        <v>0</v>
      </c>
      <c r="P116" s="107">
        <f t="shared" si="32"/>
        <v>0</v>
      </c>
      <c r="Q116" s="107">
        <f t="shared" si="24"/>
        <v>5312308</v>
      </c>
      <c r="R116" s="42"/>
      <c r="S116" s="42"/>
      <c r="T116" s="42"/>
      <c r="U116" s="42"/>
      <c r="V116" s="42"/>
      <c r="W116" s="42"/>
      <c r="X116" s="42"/>
      <c r="Y116" s="42"/>
      <c r="Z116" s="42"/>
      <c r="AA116" s="42"/>
      <c r="AB116" s="42"/>
      <c r="AC116" s="42"/>
      <c r="AD116" s="42"/>
      <c r="AE116" s="42"/>
    </row>
    <row r="117" spans="1:31" s="15" customFormat="1" ht="15.75" customHeight="1">
      <c r="A117" s="14"/>
      <c r="B117" s="127"/>
      <c r="C117" s="127"/>
      <c r="D117" s="127"/>
      <c r="E117" s="166" t="s">
        <v>513</v>
      </c>
      <c r="F117" s="107">
        <f t="shared" si="30"/>
        <v>5312308</v>
      </c>
      <c r="G117" s="107">
        <f aca="true" t="shared" si="33" ref="G117:P117">G119</f>
        <v>5312308</v>
      </c>
      <c r="H117" s="107">
        <f t="shared" si="33"/>
        <v>0</v>
      </c>
      <c r="I117" s="107">
        <f t="shared" si="33"/>
        <v>0</v>
      </c>
      <c r="J117" s="107">
        <f t="shared" si="33"/>
        <v>0</v>
      </c>
      <c r="K117" s="107">
        <f t="shared" si="31"/>
        <v>0</v>
      </c>
      <c r="L117" s="107">
        <f t="shared" si="33"/>
        <v>0</v>
      </c>
      <c r="M117" s="107">
        <f t="shared" si="33"/>
        <v>0</v>
      </c>
      <c r="N117" s="107">
        <f t="shared" si="33"/>
        <v>0</v>
      </c>
      <c r="O117" s="107">
        <f t="shared" si="33"/>
        <v>0</v>
      </c>
      <c r="P117" s="107">
        <f t="shared" si="33"/>
        <v>0</v>
      </c>
      <c r="Q117" s="107">
        <f t="shared" si="24"/>
        <v>5312308</v>
      </c>
      <c r="R117" s="42"/>
      <c r="S117" s="42"/>
      <c r="T117" s="42"/>
      <c r="U117" s="42"/>
      <c r="V117" s="42"/>
      <c r="W117" s="42"/>
      <c r="X117" s="42"/>
      <c r="Y117" s="42"/>
      <c r="Z117" s="42"/>
      <c r="AA117" s="42"/>
      <c r="AB117" s="42"/>
      <c r="AC117" s="42"/>
      <c r="AD117" s="42"/>
      <c r="AE117" s="42"/>
    </row>
    <row r="118" spans="1:31" s="34" customFormat="1" ht="40.5" customHeight="1">
      <c r="A118" s="33"/>
      <c r="B118" s="28">
        <v>1412214</v>
      </c>
      <c r="C118" s="28">
        <v>2214</v>
      </c>
      <c r="D118" s="29" t="s">
        <v>283</v>
      </c>
      <c r="E118" s="30" t="s">
        <v>436</v>
      </c>
      <c r="F118" s="108">
        <f t="shared" si="30"/>
        <v>5312308</v>
      </c>
      <c r="G118" s="108">
        <f>5312308</f>
        <v>5312308</v>
      </c>
      <c r="H118" s="108"/>
      <c r="I118" s="108"/>
      <c r="J118" s="108"/>
      <c r="K118" s="108">
        <f t="shared" si="31"/>
        <v>0</v>
      </c>
      <c r="L118" s="108"/>
      <c r="M118" s="108"/>
      <c r="N118" s="108"/>
      <c r="O118" s="108"/>
      <c r="P118" s="108"/>
      <c r="Q118" s="108">
        <f t="shared" si="24"/>
        <v>5312308</v>
      </c>
      <c r="R118" s="32"/>
      <c r="S118" s="32"/>
      <c r="T118" s="174"/>
      <c r="U118" s="32"/>
      <c r="V118" s="32"/>
      <c r="W118" s="32"/>
      <c r="X118" s="32"/>
      <c r="Y118" s="32"/>
      <c r="Z118" s="32"/>
      <c r="AA118" s="32"/>
      <c r="AB118" s="32"/>
      <c r="AC118" s="32"/>
      <c r="AD118" s="32"/>
      <c r="AE118" s="32"/>
    </row>
    <row r="119" spans="1:31" s="34" customFormat="1" ht="17.25" customHeight="1">
      <c r="A119" s="33"/>
      <c r="B119" s="28"/>
      <c r="C119" s="28"/>
      <c r="D119" s="29"/>
      <c r="E119" s="30" t="s">
        <v>513</v>
      </c>
      <c r="F119" s="108">
        <f t="shared" si="30"/>
        <v>5312308</v>
      </c>
      <c r="G119" s="108">
        <f>5312308</f>
        <v>5312308</v>
      </c>
      <c r="H119" s="108"/>
      <c r="I119" s="108"/>
      <c r="J119" s="108"/>
      <c r="K119" s="108">
        <f t="shared" si="31"/>
        <v>0</v>
      </c>
      <c r="L119" s="108"/>
      <c r="M119" s="108"/>
      <c r="N119" s="108"/>
      <c r="O119" s="108"/>
      <c r="P119" s="108"/>
      <c r="Q119" s="108">
        <f t="shared" si="24"/>
        <v>5312308</v>
      </c>
      <c r="R119" s="32"/>
      <c r="S119" s="32"/>
      <c r="T119" s="32"/>
      <c r="U119" s="32"/>
      <c r="V119" s="32"/>
      <c r="W119" s="32"/>
      <c r="X119" s="32"/>
      <c r="Y119" s="32"/>
      <c r="Z119" s="32"/>
      <c r="AA119" s="32"/>
      <c r="AB119" s="32"/>
      <c r="AC119" s="32"/>
      <c r="AD119" s="32"/>
      <c r="AE119" s="32"/>
    </row>
    <row r="120" spans="1:31" s="15" customFormat="1" ht="24" customHeight="1">
      <c r="A120" s="23"/>
      <c r="B120" s="27" t="s">
        <v>101</v>
      </c>
      <c r="C120" s="27" t="s">
        <v>284</v>
      </c>
      <c r="D120" s="27" t="s">
        <v>283</v>
      </c>
      <c r="E120" s="24" t="s">
        <v>100</v>
      </c>
      <c r="F120" s="107">
        <f>G120+J120</f>
        <v>6017158</v>
      </c>
      <c r="G120" s="107">
        <f>G122+G124</f>
        <v>6017158</v>
      </c>
      <c r="H120" s="107">
        <f aca="true" t="shared" si="34" ref="H120:P120">H122+H124</f>
        <v>0</v>
      </c>
      <c r="I120" s="107">
        <f t="shared" si="34"/>
        <v>0</v>
      </c>
      <c r="J120" s="107">
        <f t="shared" si="34"/>
        <v>0</v>
      </c>
      <c r="K120" s="107">
        <f t="shared" si="31"/>
        <v>0</v>
      </c>
      <c r="L120" s="107">
        <f t="shared" si="34"/>
        <v>0</v>
      </c>
      <c r="M120" s="107">
        <f t="shared" si="34"/>
        <v>0</v>
      </c>
      <c r="N120" s="107">
        <f t="shared" si="34"/>
        <v>0</v>
      </c>
      <c r="O120" s="107">
        <f t="shared" si="34"/>
        <v>0</v>
      </c>
      <c r="P120" s="107">
        <f t="shared" si="34"/>
        <v>0</v>
      </c>
      <c r="Q120" s="107">
        <f t="shared" si="24"/>
        <v>6017158</v>
      </c>
      <c r="R120" s="42"/>
      <c r="S120" s="42"/>
      <c r="T120" s="42"/>
      <c r="U120" s="42"/>
      <c r="V120" s="42"/>
      <c r="W120" s="42"/>
      <c r="X120" s="42"/>
      <c r="Y120" s="42"/>
      <c r="Z120" s="42"/>
      <c r="AA120" s="42"/>
      <c r="AB120" s="42"/>
      <c r="AC120" s="42"/>
      <c r="AD120" s="42"/>
      <c r="AE120" s="42"/>
    </row>
    <row r="121" spans="1:31" s="15" customFormat="1" ht="24.75" customHeight="1">
      <c r="A121" s="14"/>
      <c r="B121" s="28"/>
      <c r="C121" s="28"/>
      <c r="D121" s="26"/>
      <c r="E121" s="24" t="s">
        <v>513</v>
      </c>
      <c r="F121" s="107">
        <f>G121+J121</f>
        <v>4055715</v>
      </c>
      <c r="G121" s="107">
        <f>G123+G125</f>
        <v>4055715</v>
      </c>
      <c r="H121" s="107">
        <f aca="true" t="shared" si="35" ref="H121:P121">H123</f>
        <v>0</v>
      </c>
      <c r="I121" s="107">
        <f t="shared" si="35"/>
        <v>0</v>
      </c>
      <c r="J121" s="107">
        <f t="shared" si="35"/>
        <v>0</v>
      </c>
      <c r="K121" s="107">
        <f t="shared" si="35"/>
        <v>0</v>
      </c>
      <c r="L121" s="107">
        <f t="shared" si="35"/>
        <v>0</v>
      </c>
      <c r="M121" s="107">
        <f t="shared" si="35"/>
        <v>0</v>
      </c>
      <c r="N121" s="107">
        <f t="shared" si="35"/>
        <v>0</v>
      </c>
      <c r="O121" s="107">
        <f t="shared" si="35"/>
        <v>0</v>
      </c>
      <c r="P121" s="107">
        <f t="shared" si="35"/>
        <v>0</v>
      </c>
      <c r="Q121" s="107">
        <f t="shared" si="24"/>
        <v>4055715</v>
      </c>
      <c r="R121" s="42"/>
      <c r="S121" s="42"/>
      <c r="T121" s="42"/>
      <c r="U121" s="42"/>
      <c r="V121" s="42"/>
      <c r="W121" s="42"/>
      <c r="X121" s="42"/>
      <c r="Y121" s="42"/>
      <c r="Z121" s="42"/>
      <c r="AA121" s="42"/>
      <c r="AB121" s="42"/>
      <c r="AC121" s="42"/>
      <c r="AD121" s="42"/>
      <c r="AE121" s="42"/>
    </row>
    <row r="122" spans="1:31" s="34" customFormat="1" ht="34.5" customHeight="1">
      <c r="A122" s="33"/>
      <c r="B122" s="37" t="s">
        <v>101</v>
      </c>
      <c r="C122" s="37" t="s">
        <v>284</v>
      </c>
      <c r="D122" s="29" t="s">
        <v>283</v>
      </c>
      <c r="E122" s="20" t="s">
        <v>102</v>
      </c>
      <c r="F122" s="108">
        <f t="shared" si="30"/>
        <v>826395</v>
      </c>
      <c r="G122" s="108">
        <f>912686-86291</f>
        <v>826395</v>
      </c>
      <c r="H122" s="108">
        <f>641947-569930-72017</f>
        <v>0</v>
      </c>
      <c r="I122" s="108">
        <f>10726-12295+1569</f>
        <v>0</v>
      </c>
      <c r="J122" s="108"/>
      <c r="K122" s="108">
        <f t="shared" si="31"/>
        <v>0</v>
      </c>
      <c r="L122" s="108"/>
      <c r="M122" s="108"/>
      <c r="N122" s="108"/>
      <c r="O122" s="108"/>
      <c r="P122" s="108"/>
      <c r="Q122" s="108">
        <f t="shared" si="24"/>
        <v>826395</v>
      </c>
      <c r="R122" s="32"/>
      <c r="S122" s="32"/>
      <c r="T122" s="32"/>
      <c r="U122" s="32"/>
      <c r="V122" s="32"/>
      <c r="W122" s="32"/>
      <c r="X122" s="32"/>
      <c r="Y122" s="32"/>
      <c r="Z122" s="32"/>
      <c r="AA122" s="32"/>
      <c r="AB122" s="32"/>
      <c r="AC122" s="32"/>
      <c r="AD122" s="32"/>
      <c r="AE122" s="32"/>
    </row>
    <row r="123" spans="1:31" s="34" customFormat="1" ht="16.5" customHeight="1">
      <c r="A123" s="33"/>
      <c r="B123" s="29"/>
      <c r="C123" s="29"/>
      <c r="D123" s="29"/>
      <c r="E123" s="20" t="s">
        <v>513</v>
      </c>
      <c r="F123" s="108">
        <f t="shared" si="30"/>
        <v>695315</v>
      </c>
      <c r="G123" s="108">
        <f>717240-21925</f>
        <v>695315</v>
      </c>
      <c r="H123" s="108">
        <f>587900-569930-17970</f>
        <v>0</v>
      </c>
      <c r="I123" s="108"/>
      <c r="J123" s="108"/>
      <c r="K123" s="108">
        <f t="shared" si="31"/>
        <v>0</v>
      </c>
      <c r="L123" s="108"/>
      <c r="M123" s="108"/>
      <c r="N123" s="108"/>
      <c r="O123" s="108"/>
      <c r="P123" s="108"/>
      <c r="Q123" s="108">
        <f t="shared" si="24"/>
        <v>695315</v>
      </c>
      <c r="R123" s="32"/>
      <c r="S123" s="32"/>
      <c r="T123" s="32"/>
      <c r="U123" s="32"/>
      <c r="V123" s="32"/>
      <c r="W123" s="32"/>
      <c r="X123" s="32"/>
      <c r="Y123" s="32"/>
      <c r="Z123" s="32"/>
      <c r="AA123" s="32"/>
      <c r="AB123" s="32"/>
      <c r="AC123" s="32"/>
      <c r="AD123" s="32"/>
      <c r="AE123" s="32"/>
    </row>
    <row r="124" spans="1:31" s="34" customFormat="1" ht="30" customHeight="1">
      <c r="A124" s="33"/>
      <c r="B124" s="37" t="s">
        <v>101</v>
      </c>
      <c r="C124" s="37" t="s">
        <v>284</v>
      </c>
      <c r="D124" s="29" t="s">
        <v>283</v>
      </c>
      <c r="E124" s="20" t="s">
        <v>103</v>
      </c>
      <c r="F124" s="108">
        <f t="shared" si="30"/>
        <v>5190763</v>
      </c>
      <c r="G124" s="108">
        <f>1830363+3360400</f>
        <v>5190763</v>
      </c>
      <c r="H124" s="108"/>
      <c r="I124" s="108"/>
      <c r="J124" s="108"/>
      <c r="K124" s="108">
        <f>L124+O124</f>
        <v>0</v>
      </c>
      <c r="L124" s="108"/>
      <c r="M124" s="108"/>
      <c r="N124" s="108"/>
      <c r="O124" s="108"/>
      <c r="P124" s="108"/>
      <c r="Q124" s="108">
        <f t="shared" si="24"/>
        <v>5190763</v>
      </c>
      <c r="R124" s="32"/>
      <c r="S124" s="32"/>
      <c r="T124" s="32"/>
      <c r="U124" s="32"/>
      <c r="V124" s="32"/>
      <c r="W124" s="32"/>
      <c r="X124" s="32"/>
      <c r="Y124" s="32"/>
      <c r="Z124" s="32"/>
      <c r="AA124" s="32"/>
      <c r="AB124" s="32"/>
      <c r="AC124" s="32"/>
      <c r="AD124" s="32"/>
      <c r="AE124" s="32"/>
    </row>
    <row r="125" spans="1:31" s="34" customFormat="1" ht="14.25" customHeight="1">
      <c r="A125" s="33"/>
      <c r="B125" s="37"/>
      <c r="C125" s="37"/>
      <c r="D125" s="29"/>
      <c r="E125" s="20" t="s">
        <v>513</v>
      </c>
      <c r="F125" s="108">
        <f t="shared" si="30"/>
        <v>3360400</v>
      </c>
      <c r="G125" s="108">
        <v>3360400</v>
      </c>
      <c r="H125" s="108"/>
      <c r="I125" s="108"/>
      <c r="J125" s="108"/>
      <c r="K125" s="108"/>
      <c r="L125" s="108"/>
      <c r="M125" s="108"/>
      <c r="N125" s="108"/>
      <c r="O125" s="108"/>
      <c r="P125" s="108"/>
      <c r="Q125" s="108">
        <f t="shared" si="24"/>
        <v>3360400</v>
      </c>
      <c r="R125" s="32"/>
      <c r="S125" s="32"/>
      <c r="T125" s="32"/>
      <c r="U125" s="32"/>
      <c r="V125" s="32"/>
      <c r="W125" s="32"/>
      <c r="X125" s="32"/>
      <c r="Y125" s="32"/>
      <c r="Z125" s="32"/>
      <c r="AA125" s="32"/>
      <c r="AB125" s="32"/>
      <c r="AC125" s="32"/>
      <c r="AD125" s="32"/>
      <c r="AE125" s="32"/>
    </row>
    <row r="126" spans="1:31" s="15" customFormat="1" ht="27" customHeight="1">
      <c r="A126" s="14"/>
      <c r="B126" s="126" t="s">
        <v>381</v>
      </c>
      <c r="C126" s="126" t="s">
        <v>341</v>
      </c>
      <c r="D126" s="126" t="s">
        <v>342</v>
      </c>
      <c r="E126" s="100" t="s">
        <v>154</v>
      </c>
      <c r="F126" s="107">
        <f t="shared" si="30"/>
        <v>264070</v>
      </c>
      <c r="G126" s="107">
        <f>121100+82720+60250</f>
        <v>264070</v>
      </c>
      <c r="H126" s="107"/>
      <c r="I126" s="107"/>
      <c r="J126" s="107"/>
      <c r="K126" s="107">
        <f>L126+O126</f>
        <v>2642000</v>
      </c>
      <c r="L126" s="107"/>
      <c r="M126" s="107"/>
      <c r="N126" s="107"/>
      <c r="O126" s="107">
        <f>1200000+42000+1400000</f>
        <v>2642000</v>
      </c>
      <c r="P126" s="107">
        <f>1200000+42000+1400000</f>
        <v>2642000</v>
      </c>
      <c r="Q126" s="107">
        <f t="shared" si="24"/>
        <v>2906070</v>
      </c>
      <c r="R126" s="42"/>
      <c r="S126" s="42"/>
      <c r="T126" s="42"/>
      <c r="U126" s="42"/>
      <c r="V126" s="42"/>
      <c r="W126" s="42"/>
      <c r="X126" s="42"/>
      <c r="Y126" s="42"/>
      <c r="Z126" s="42"/>
      <c r="AA126" s="42"/>
      <c r="AB126" s="42"/>
      <c r="AC126" s="42"/>
      <c r="AD126" s="42"/>
      <c r="AE126" s="42"/>
    </row>
    <row r="127" spans="1:31" s="15" customFormat="1" ht="16.5" customHeight="1">
      <c r="A127" s="14"/>
      <c r="B127" s="126"/>
      <c r="C127" s="126"/>
      <c r="D127" s="126"/>
      <c r="E127" s="100" t="s">
        <v>513</v>
      </c>
      <c r="F127" s="107">
        <f t="shared" si="30"/>
        <v>0</v>
      </c>
      <c r="G127" s="107"/>
      <c r="H127" s="107"/>
      <c r="I127" s="107"/>
      <c r="J127" s="107"/>
      <c r="K127" s="107">
        <f>L127+O127</f>
        <v>1400000</v>
      </c>
      <c r="L127" s="107"/>
      <c r="M127" s="107"/>
      <c r="N127" s="107"/>
      <c r="O127" s="107">
        <v>1400000</v>
      </c>
      <c r="P127" s="107">
        <v>1400000</v>
      </c>
      <c r="Q127" s="107">
        <f t="shared" si="24"/>
        <v>1400000</v>
      </c>
      <c r="R127" s="42"/>
      <c r="S127" s="42"/>
      <c r="T127" s="42"/>
      <c r="U127" s="42"/>
      <c r="V127" s="42"/>
      <c r="W127" s="42"/>
      <c r="X127" s="42"/>
      <c r="Y127" s="42"/>
      <c r="Z127" s="42"/>
      <c r="AA127" s="42"/>
      <c r="AB127" s="42"/>
      <c r="AC127" s="42"/>
      <c r="AD127" s="42"/>
      <c r="AE127" s="42"/>
    </row>
    <row r="128" spans="1:31" s="105" customFormat="1" ht="42" customHeight="1">
      <c r="A128" s="102"/>
      <c r="B128" s="116" t="s">
        <v>105</v>
      </c>
      <c r="C128" s="116"/>
      <c r="D128" s="116"/>
      <c r="E128" s="17" t="s">
        <v>223</v>
      </c>
      <c r="F128" s="115">
        <f>F129</f>
        <v>918948813.45</v>
      </c>
      <c r="G128" s="115">
        <f aca="true" t="shared" si="36" ref="G128:P128">G129</f>
        <v>918948813.45</v>
      </c>
      <c r="H128" s="115">
        <f t="shared" si="36"/>
        <v>26259727</v>
      </c>
      <c r="I128" s="115">
        <f t="shared" si="36"/>
        <v>1635700</v>
      </c>
      <c r="J128" s="115">
        <f t="shared" si="36"/>
        <v>0</v>
      </c>
      <c r="K128" s="115">
        <f t="shared" si="36"/>
        <v>2027685</v>
      </c>
      <c r="L128" s="115">
        <f t="shared" si="36"/>
        <v>48900</v>
      </c>
      <c r="M128" s="115">
        <f t="shared" si="36"/>
        <v>39000</v>
      </c>
      <c r="N128" s="115">
        <f t="shared" si="36"/>
        <v>0</v>
      </c>
      <c r="O128" s="115">
        <f t="shared" si="36"/>
        <v>1978785</v>
      </c>
      <c r="P128" s="115">
        <f t="shared" si="36"/>
        <v>1978785</v>
      </c>
      <c r="Q128" s="115">
        <f t="shared" si="24"/>
        <v>920976498.45</v>
      </c>
      <c r="R128" s="104"/>
      <c r="S128" s="104"/>
      <c r="T128" s="104"/>
      <c r="U128" s="104"/>
      <c r="V128" s="104"/>
      <c r="W128" s="104"/>
      <c r="X128" s="104"/>
      <c r="Y128" s="104"/>
      <c r="Z128" s="104"/>
      <c r="AA128" s="104"/>
      <c r="AB128" s="104"/>
      <c r="AC128" s="104"/>
      <c r="AD128" s="104"/>
      <c r="AE128" s="104"/>
    </row>
    <row r="129" spans="1:31" s="169" customFormat="1" ht="33" customHeight="1">
      <c r="A129" s="167"/>
      <c r="B129" s="118" t="s">
        <v>106</v>
      </c>
      <c r="C129" s="118"/>
      <c r="D129" s="118"/>
      <c r="E129" s="122" t="s">
        <v>223</v>
      </c>
      <c r="F129" s="120">
        <f>F131+F157+F184+F188+F190+F194+F195+F200+F203+F199+F198+F207+F132+F134+F149+F164+F185+F187+F208</f>
        <v>918948813.45</v>
      </c>
      <c r="G129" s="120">
        <f aca="true" t="shared" si="37" ref="G129:Q129">G131+G157+G184+G188+G190+G194+G195+G200+G203+G199+G198+G207+G132+G134+G149+G164+G185+G187+G208</f>
        <v>918948813.45</v>
      </c>
      <c r="H129" s="120">
        <f t="shared" si="37"/>
        <v>26259727</v>
      </c>
      <c r="I129" s="120">
        <f t="shared" si="37"/>
        <v>1635700</v>
      </c>
      <c r="J129" s="120">
        <f t="shared" si="37"/>
        <v>0</v>
      </c>
      <c r="K129" s="120">
        <f t="shared" si="37"/>
        <v>2027685</v>
      </c>
      <c r="L129" s="120">
        <f t="shared" si="37"/>
        <v>48900</v>
      </c>
      <c r="M129" s="120">
        <f t="shared" si="37"/>
        <v>39000</v>
      </c>
      <c r="N129" s="120">
        <f t="shared" si="37"/>
        <v>0</v>
      </c>
      <c r="O129" s="120">
        <f t="shared" si="37"/>
        <v>1978785</v>
      </c>
      <c r="P129" s="120">
        <f t="shared" si="37"/>
        <v>1978785</v>
      </c>
      <c r="Q129" s="120">
        <f t="shared" si="37"/>
        <v>920976498.45</v>
      </c>
      <c r="R129" s="168"/>
      <c r="S129" s="168"/>
      <c r="T129" s="168"/>
      <c r="U129" s="168"/>
      <c r="V129" s="168"/>
      <c r="W129" s="168"/>
      <c r="X129" s="168"/>
      <c r="Y129" s="168"/>
      <c r="Z129" s="168"/>
      <c r="AA129" s="168"/>
      <c r="AB129" s="168"/>
      <c r="AC129" s="168"/>
      <c r="AD129" s="168"/>
      <c r="AE129" s="168"/>
    </row>
    <row r="130" spans="1:31" s="169" customFormat="1" ht="27" customHeight="1">
      <c r="A130" s="167"/>
      <c r="B130" s="118"/>
      <c r="C130" s="118"/>
      <c r="D130" s="118"/>
      <c r="E130" s="30" t="s">
        <v>512</v>
      </c>
      <c r="F130" s="120">
        <f>F133+F135+F150+F165+F186</f>
        <v>806333600</v>
      </c>
      <c r="G130" s="120">
        <f aca="true" t="shared" si="38" ref="G130:Q130">G133+G135+G150+G165+G186</f>
        <v>806333600</v>
      </c>
      <c r="H130" s="120">
        <f t="shared" si="38"/>
        <v>0</v>
      </c>
      <c r="I130" s="120">
        <f t="shared" si="38"/>
        <v>0</v>
      </c>
      <c r="J130" s="120">
        <f t="shared" si="38"/>
        <v>0</v>
      </c>
      <c r="K130" s="120">
        <f t="shared" si="38"/>
        <v>0</v>
      </c>
      <c r="L130" s="120">
        <f t="shared" si="38"/>
        <v>0</v>
      </c>
      <c r="M130" s="120">
        <f t="shared" si="38"/>
        <v>0</v>
      </c>
      <c r="N130" s="120">
        <f t="shared" si="38"/>
        <v>0</v>
      </c>
      <c r="O130" s="120">
        <f t="shared" si="38"/>
        <v>0</v>
      </c>
      <c r="P130" s="120">
        <f t="shared" si="38"/>
        <v>0</v>
      </c>
      <c r="Q130" s="120">
        <f t="shared" si="38"/>
        <v>806333600</v>
      </c>
      <c r="R130" s="168"/>
      <c r="S130" s="168"/>
      <c r="T130" s="168"/>
      <c r="U130" s="168"/>
      <c r="V130" s="168"/>
      <c r="W130" s="168"/>
      <c r="X130" s="168"/>
      <c r="Y130" s="168"/>
      <c r="Z130" s="168"/>
      <c r="AA130" s="168"/>
      <c r="AB130" s="168"/>
      <c r="AC130" s="168"/>
      <c r="AD130" s="168"/>
      <c r="AE130" s="168"/>
    </row>
    <row r="131" spans="1:31" s="15" customFormat="1" ht="27.75" customHeight="1">
      <c r="A131" s="150"/>
      <c r="B131" s="99" t="s">
        <v>107</v>
      </c>
      <c r="C131" s="99" t="s">
        <v>246</v>
      </c>
      <c r="D131" s="99" t="s">
        <v>247</v>
      </c>
      <c r="E131" s="100" t="s">
        <v>522</v>
      </c>
      <c r="F131" s="107">
        <f>G131+J131</f>
        <v>22769275</v>
      </c>
      <c r="G131" s="107">
        <f>22096900+60600-102000+500000+135200+83345-404770+400000</f>
        <v>22769275</v>
      </c>
      <c r="H131" s="107">
        <f>16987900+327870</f>
        <v>17315770</v>
      </c>
      <c r="I131" s="107">
        <f>499700+60600+120300</f>
        <v>680600</v>
      </c>
      <c r="J131" s="107"/>
      <c r="K131" s="107">
        <f>L131+O131</f>
        <v>654770</v>
      </c>
      <c r="L131" s="107"/>
      <c r="M131" s="107"/>
      <c r="N131" s="107"/>
      <c r="O131" s="107">
        <f>250000+404770</f>
        <v>654770</v>
      </c>
      <c r="P131" s="107">
        <f>250000+404770</f>
        <v>654770</v>
      </c>
      <c r="Q131" s="107">
        <f t="shared" si="24"/>
        <v>23424045</v>
      </c>
      <c r="R131" s="42"/>
      <c r="S131" s="42"/>
      <c r="T131" s="42"/>
      <c r="U131" s="42"/>
      <c r="V131" s="42"/>
      <c r="W131" s="42"/>
      <c r="X131" s="42"/>
      <c r="Y131" s="42"/>
      <c r="Z131" s="42"/>
      <c r="AA131" s="42"/>
      <c r="AB131" s="42"/>
      <c r="AC131" s="42"/>
      <c r="AD131" s="42"/>
      <c r="AE131" s="42"/>
    </row>
    <row r="132" spans="1:31" s="15" customFormat="1" ht="87.75" customHeight="1">
      <c r="A132" s="14"/>
      <c r="B132" s="126" t="s">
        <v>437</v>
      </c>
      <c r="C132" s="126" t="s">
        <v>256</v>
      </c>
      <c r="D132" s="126" t="s">
        <v>252</v>
      </c>
      <c r="E132" s="166" t="s">
        <v>499</v>
      </c>
      <c r="F132" s="107">
        <f>G132+J132</f>
        <v>2415100</v>
      </c>
      <c r="G132" s="107">
        <v>2415100</v>
      </c>
      <c r="H132" s="107"/>
      <c r="I132" s="107"/>
      <c r="J132" s="107"/>
      <c r="K132" s="107">
        <f>L132+O132</f>
        <v>0</v>
      </c>
      <c r="L132" s="107"/>
      <c r="M132" s="107"/>
      <c r="N132" s="107"/>
      <c r="O132" s="107"/>
      <c r="P132" s="107"/>
      <c r="Q132" s="107">
        <f t="shared" si="24"/>
        <v>2415100</v>
      </c>
      <c r="R132" s="42"/>
      <c r="S132" s="42"/>
      <c r="T132" s="42"/>
      <c r="U132" s="42"/>
      <c r="V132" s="42"/>
      <c r="W132" s="42"/>
      <c r="X132" s="42"/>
      <c r="Y132" s="42"/>
      <c r="Z132" s="42"/>
      <c r="AA132" s="42"/>
      <c r="AB132" s="42"/>
      <c r="AC132" s="42"/>
      <c r="AD132" s="42"/>
      <c r="AE132" s="42"/>
    </row>
    <row r="133" spans="1:31" s="15" customFormat="1" ht="16.5" customHeight="1">
      <c r="A133" s="14"/>
      <c r="B133" s="126"/>
      <c r="C133" s="126"/>
      <c r="D133" s="126"/>
      <c r="E133" s="166" t="s">
        <v>513</v>
      </c>
      <c r="F133" s="107">
        <f>G133+J133</f>
        <v>2415100</v>
      </c>
      <c r="G133" s="107">
        <v>2415100</v>
      </c>
      <c r="H133" s="107"/>
      <c r="I133" s="107"/>
      <c r="J133" s="107"/>
      <c r="K133" s="107">
        <f>L133+O133</f>
        <v>0</v>
      </c>
      <c r="L133" s="107"/>
      <c r="M133" s="107"/>
      <c r="N133" s="107"/>
      <c r="O133" s="107"/>
      <c r="P133" s="107"/>
      <c r="Q133" s="107">
        <f t="shared" si="24"/>
        <v>2415100</v>
      </c>
      <c r="R133" s="42"/>
      <c r="S133" s="42"/>
      <c r="T133" s="42"/>
      <c r="U133" s="42"/>
      <c r="V133" s="42"/>
      <c r="W133" s="42"/>
      <c r="X133" s="42"/>
      <c r="Y133" s="42"/>
      <c r="Z133" s="42"/>
      <c r="AA133" s="42"/>
      <c r="AB133" s="42"/>
      <c r="AC133" s="42"/>
      <c r="AD133" s="42"/>
      <c r="AE133" s="42"/>
    </row>
    <row r="134" spans="1:31" s="15" customFormat="1" ht="69" customHeight="1">
      <c r="A134" s="14"/>
      <c r="B134" s="126" t="s">
        <v>438</v>
      </c>
      <c r="C134" s="126" t="s">
        <v>439</v>
      </c>
      <c r="D134" s="126"/>
      <c r="E134" s="166" t="s">
        <v>440</v>
      </c>
      <c r="F134" s="107">
        <f>F136+F138+F139+F141+F143+F145+F147</f>
        <v>486900900</v>
      </c>
      <c r="G134" s="107">
        <f aca="true" t="shared" si="39" ref="G134:P134">G136+G138+G139+G141+G143+G145+G147</f>
        <v>486900900</v>
      </c>
      <c r="H134" s="107">
        <f t="shared" si="39"/>
        <v>0</v>
      </c>
      <c r="I134" s="107">
        <f t="shared" si="39"/>
        <v>0</v>
      </c>
      <c r="J134" s="107">
        <f t="shared" si="39"/>
        <v>0</v>
      </c>
      <c r="K134" s="107">
        <f t="shared" si="39"/>
        <v>0</v>
      </c>
      <c r="L134" s="107">
        <f t="shared" si="39"/>
        <v>0</v>
      </c>
      <c r="M134" s="107">
        <f t="shared" si="39"/>
        <v>0</v>
      </c>
      <c r="N134" s="107">
        <f t="shared" si="39"/>
        <v>0</v>
      </c>
      <c r="O134" s="107">
        <f t="shared" si="39"/>
        <v>0</v>
      </c>
      <c r="P134" s="107">
        <f t="shared" si="39"/>
        <v>0</v>
      </c>
      <c r="Q134" s="107">
        <f t="shared" si="24"/>
        <v>486900900</v>
      </c>
      <c r="R134" s="42"/>
      <c r="S134" s="42"/>
      <c r="T134" s="42"/>
      <c r="U134" s="42"/>
      <c r="V134" s="42"/>
      <c r="W134" s="42"/>
      <c r="X134" s="42"/>
      <c r="Y134" s="42"/>
      <c r="Z134" s="42"/>
      <c r="AA134" s="42"/>
      <c r="AB134" s="42"/>
      <c r="AC134" s="42"/>
      <c r="AD134" s="42"/>
      <c r="AE134" s="42"/>
    </row>
    <row r="135" spans="1:31" s="15" customFormat="1" ht="16.5" customHeight="1">
      <c r="A135" s="14"/>
      <c r="B135" s="126"/>
      <c r="C135" s="126"/>
      <c r="D135" s="126"/>
      <c r="E135" s="166" t="s">
        <v>513</v>
      </c>
      <c r="F135" s="107">
        <f>F137+F140+F142+F144+F146+F148</f>
        <v>486900900</v>
      </c>
      <c r="G135" s="107">
        <f aca="true" t="shared" si="40" ref="G135:P135">G137+G140+G142+G144+G146+G148</f>
        <v>486900900</v>
      </c>
      <c r="H135" s="107">
        <f t="shared" si="40"/>
        <v>0</v>
      </c>
      <c r="I135" s="107">
        <f t="shared" si="40"/>
        <v>0</v>
      </c>
      <c r="J135" s="107">
        <f t="shared" si="40"/>
        <v>0</v>
      </c>
      <c r="K135" s="107">
        <f t="shared" si="40"/>
        <v>0</v>
      </c>
      <c r="L135" s="107">
        <f t="shared" si="40"/>
        <v>0</v>
      </c>
      <c r="M135" s="107">
        <f t="shared" si="40"/>
        <v>0</v>
      </c>
      <c r="N135" s="107">
        <f t="shared" si="40"/>
        <v>0</v>
      </c>
      <c r="O135" s="107">
        <f t="shared" si="40"/>
        <v>0</v>
      </c>
      <c r="P135" s="107">
        <f t="shared" si="40"/>
        <v>0</v>
      </c>
      <c r="Q135" s="107">
        <f t="shared" si="24"/>
        <v>486900900</v>
      </c>
      <c r="R135" s="42"/>
      <c r="S135" s="42"/>
      <c r="T135" s="42"/>
      <c r="U135" s="42"/>
      <c r="V135" s="42"/>
      <c r="W135" s="42"/>
      <c r="X135" s="42"/>
      <c r="Y135" s="42"/>
      <c r="Z135" s="42"/>
      <c r="AA135" s="42"/>
      <c r="AB135" s="42"/>
      <c r="AC135" s="42"/>
      <c r="AD135" s="42"/>
      <c r="AE135" s="42"/>
    </row>
    <row r="136" spans="1:31" s="34" customFormat="1" ht="220.5" customHeight="1">
      <c r="A136" s="33"/>
      <c r="B136" s="37" t="s">
        <v>441</v>
      </c>
      <c r="C136" s="37" t="s">
        <v>442</v>
      </c>
      <c r="D136" s="37" t="s">
        <v>255</v>
      </c>
      <c r="E136" s="30" t="s">
        <v>443</v>
      </c>
      <c r="F136" s="108">
        <f>G136</f>
        <v>16054500</v>
      </c>
      <c r="G136" s="108">
        <f>10254500+10000000-5200000+1000000</f>
        <v>16054500</v>
      </c>
      <c r="H136" s="108"/>
      <c r="I136" s="108"/>
      <c r="J136" s="108"/>
      <c r="K136" s="108"/>
      <c r="L136" s="108"/>
      <c r="M136" s="108"/>
      <c r="N136" s="108"/>
      <c r="O136" s="108"/>
      <c r="P136" s="108"/>
      <c r="Q136" s="108">
        <f t="shared" si="24"/>
        <v>16054500</v>
      </c>
      <c r="R136" s="32"/>
      <c r="S136" s="32"/>
      <c r="T136" s="32"/>
      <c r="U136" s="32"/>
      <c r="V136" s="32"/>
      <c r="W136" s="32"/>
      <c r="X136" s="32"/>
      <c r="Y136" s="32"/>
      <c r="Z136" s="32"/>
      <c r="AA136" s="32"/>
      <c r="AB136" s="32"/>
      <c r="AC136" s="32"/>
      <c r="AD136" s="32"/>
      <c r="AE136" s="32"/>
    </row>
    <row r="137" spans="1:31" s="34" customFormat="1" ht="21.75" customHeight="1">
      <c r="A137" s="33"/>
      <c r="B137" s="37"/>
      <c r="C137" s="37"/>
      <c r="D137" s="37"/>
      <c r="E137" s="30" t="s">
        <v>513</v>
      </c>
      <c r="F137" s="144">
        <f aca="true" t="shared" si="41" ref="F137:F156">G137</f>
        <v>16054500</v>
      </c>
      <c r="G137" s="144">
        <f>10254500+10000000-5200000+1000000</f>
        <v>16054500</v>
      </c>
      <c r="H137" s="144"/>
      <c r="I137" s="144"/>
      <c r="J137" s="144"/>
      <c r="K137" s="144"/>
      <c r="L137" s="144"/>
      <c r="M137" s="144"/>
      <c r="N137" s="144"/>
      <c r="O137" s="144"/>
      <c r="P137" s="144"/>
      <c r="Q137" s="144">
        <f t="shared" si="24"/>
        <v>16054500</v>
      </c>
      <c r="R137" s="32"/>
      <c r="S137" s="32"/>
      <c r="T137" s="32"/>
      <c r="U137" s="32"/>
      <c r="V137" s="32"/>
      <c r="W137" s="32"/>
      <c r="X137" s="32"/>
      <c r="Y137" s="32"/>
      <c r="Z137" s="32"/>
      <c r="AA137" s="32"/>
      <c r="AB137" s="32"/>
      <c r="AC137" s="32"/>
      <c r="AD137" s="32"/>
      <c r="AE137" s="32"/>
    </row>
    <row r="138" spans="1:31" s="34" customFormat="1" ht="316.5" customHeight="1">
      <c r="A138" s="33"/>
      <c r="B138" s="224" t="s">
        <v>444</v>
      </c>
      <c r="C138" s="224" t="s">
        <v>445</v>
      </c>
      <c r="D138" s="226" t="s">
        <v>255</v>
      </c>
      <c r="E138" s="142" t="s">
        <v>503</v>
      </c>
      <c r="F138" s="158">
        <f t="shared" si="41"/>
        <v>2463400</v>
      </c>
      <c r="G138" s="158">
        <f>1663400+600000+200000</f>
        <v>2463400</v>
      </c>
      <c r="H138" s="158"/>
      <c r="I138" s="158"/>
      <c r="J138" s="158"/>
      <c r="K138" s="158"/>
      <c r="L138" s="158"/>
      <c r="M138" s="158"/>
      <c r="N138" s="158"/>
      <c r="O138" s="158"/>
      <c r="P138" s="158"/>
      <c r="Q138" s="158">
        <f t="shared" si="24"/>
        <v>2463400</v>
      </c>
      <c r="R138" s="32"/>
      <c r="S138" s="32"/>
      <c r="T138" s="32"/>
      <c r="U138" s="32"/>
      <c r="V138" s="32"/>
      <c r="W138" s="32"/>
      <c r="X138" s="32"/>
      <c r="Y138" s="32"/>
      <c r="Z138" s="32"/>
      <c r="AA138" s="32"/>
      <c r="AB138" s="32"/>
      <c r="AC138" s="32"/>
      <c r="AD138" s="32"/>
      <c r="AE138" s="32"/>
    </row>
    <row r="139" spans="1:31" s="34" customFormat="1" ht="230.25" customHeight="1">
      <c r="A139" s="33"/>
      <c r="B139" s="225"/>
      <c r="C139" s="225"/>
      <c r="D139" s="227"/>
      <c r="E139" s="143" t="s">
        <v>504</v>
      </c>
      <c r="F139" s="111">
        <f t="shared" si="41"/>
        <v>0</v>
      </c>
      <c r="G139" s="111"/>
      <c r="H139" s="111"/>
      <c r="I139" s="111"/>
      <c r="J139" s="111"/>
      <c r="K139" s="111"/>
      <c r="L139" s="111"/>
      <c r="M139" s="111"/>
      <c r="N139" s="111"/>
      <c r="O139" s="111"/>
      <c r="P139" s="111"/>
      <c r="Q139" s="111">
        <f t="shared" si="24"/>
        <v>0</v>
      </c>
      <c r="R139" s="32"/>
      <c r="S139" s="32"/>
      <c r="T139" s="32"/>
      <c r="U139" s="32"/>
      <c r="V139" s="32"/>
      <c r="W139" s="32"/>
      <c r="X139" s="32"/>
      <c r="Y139" s="32"/>
      <c r="Z139" s="32"/>
      <c r="AA139" s="32"/>
      <c r="AB139" s="32"/>
      <c r="AC139" s="32"/>
      <c r="AD139" s="32"/>
      <c r="AE139" s="32"/>
    </row>
    <row r="140" spans="1:31" s="34" customFormat="1" ht="14.25" customHeight="1">
      <c r="A140" s="33"/>
      <c r="B140" s="37"/>
      <c r="C140" s="37"/>
      <c r="D140" s="37"/>
      <c r="E140" s="30" t="s">
        <v>513</v>
      </c>
      <c r="F140" s="111">
        <f t="shared" si="41"/>
        <v>2463400</v>
      </c>
      <c r="G140" s="111">
        <f>1663400+600000+200000</f>
        <v>2463400</v>
      </c>
      <c r="H140" s="111"/>
      <c r="I140" s="111"/>
      <c r="J140" s="111"/>
      <c r="K140" s="111"/>
      <c r="L140" s="111"/>
      <c r="M140" s="111"/>
      <c r="N140" s="111"/>
      <c r="O140" s="111"/>
      <c r="P140" s="111"/>
      <c r="Q140" s="111">
        <f t="shared" si="24"/>
        <v>2463400</v>
      </c>
      <c r="R140" s="32"/>
      <c r="S140" s="32"/>
      <c r="T140" s="32"/>
      <c r="U140" s="32"/>
      <c r="V140" s="32"/>
      <c r="W140" s="32"/>
      <c r="X140" s="32"/>
      <c r="Y140" s="32"/>
      <c r="Z140" s="32"/>
      <c r="AA140" s="32"/>
      <c r="AB140" s="32"/>
      <c r="AC140" s="32"/>
      <c r="AD140" s="32"/>
      <c r="AE140" s="32"/>
    </row>
    <row r="141" spans="1:31" s="34" customFormat="1" ht="92.25" customHeight="1">
      <c r="A141" s="33"/>
      <c r="B141" s="37" t="s">
        <v>447</v>
      </c>
      <c r="C141" s="37" t="s">
        <v>448</v>
      </c>
      <c r="D141" s="37" t="s">
        <v>257</v>
      </c>
      <c r="E141" s="30" t="s">
        <v>449</v>
      </c>
      <c r="F141" s="108">
        <f t="shared" si="41"/>
        <v>1634400</v>
      </c>
      <c r="G141" s="108">
        <f>1184400+600000-300000+150000</f>
        <v>1634400</v>
      </c>
      <c r="H141" s="108"/>
      <c r="I141" s="108"/>
      <c r="J141" s="108"/>
      <c r="K141" s="108"/>
      <c r="L141" s="108"/>
      <c r="M141" s="108"/>
      <c r="N141" s="108"/>
      <c r="O141" s="108"/>
      <c r="P141" s="108"/>
      <c r="Q141" s="108">
        <f t="shared" si="24"/>
        <v>1634400</v>
      </c>
      <c r="R141" s="32"/>
      <c r="S141" s="32"/>
      <c r="T141" s="32"/>
      <c r="U141" s="32"/>
      <c r="V141" s="32"/>
      <c r="W141" s="32"/>
      <c r="X141" s="32"/>
      <c r="Y141" s="32"/>
      <c r="Z141" s="32"/>
      <c r="AA141" s="32"/>
      <c r="AB141" s="32"/>
      <c r="AC141" s="32"/>
      <c r="AD141" s="32"/>
      <c r="AE141" s="32"/>
    </row>
    <row r="142" spans="1:31" s="34" customFormat="1" ht="14.25" customHeight="1">
      <c r="A142" s="33"/>
      <c r="B142" s="37"/>
      <c r="C142" s="37"/>
      <c r="D142" s="37"/>
      <c r="E142" s="30" t="s">
        <v>513</v>
      </c>
      <c r="F142" s="108">
        <f t="shared" si="41"/>
        <v>1634400</v>
      </c>
      <c r="G142" s="108">
        <f>1184400+600000-300000+150000</f>
        <v>1634400</v>
      </c>
      <c r="H142" s="108"/>
      <c r="I142" s="108"/>
      <c r="J142" s="108"/>
      <c r="K142" s="108"/>
      <c r="L142" s="108"/>
      <c r="M142" s="108"/>
      <c r="N142" s="108"/>
      <c r="O142" s="108"/>
      <c r="P142" s="108"/>
      <c r="Q142" s="108">
        <f t="shared" si="24"/>
        <v>1634400</v>
      </c>
      <c r="R142" s="32"/>
      <c r="S142" s="32"/>
      <c r="T142" s="32"/>
      <c r="U142" s="32"/>
      <c r="V142" s="32"/>
      <c r="W142" s="32"/>
      <c r="X142" s="32"/>
      <c r="Y142" s="32"/>
      <c r="Z142" s="32"/>
      <c r="AA142" s="32"/>
      <c r="AB142" s="32"/>
      <c r="AC142" s="32"/>
      <c r="AD142" s="32"/>
      <c r="AE142" s="32"/>
    </row>
    <row r="143" spans="1:31" s="34" customFormat="1" ht="192" customHeight="1">
      <c r="A143" s="33"/>
      <c r="B143" s="37" t="s">
        <v>450</v>
      </c>
      <c r="C143" s="37" t="s">
        <v>451</v>
      </c>
      <c r="D143" s="37" t="s">
        <v>257</v>
      </c>
      <c r="E143" s="30" t="s">
        <v>452</v>
      </c>
      <c r="F143" s="108">
        <f t="shared" si="41"/>
        <v>64700</v>
      </c>
      <c r="G143" s="108">
        <f>14700+50000</f>
        <v>64700</v>
      </c>
      <c r="H143" s="108"/>
      <c r="I143" s="108"/>
      <c r="J143" s="108"/>
      <c r="K143" s="108"/>
      <c r="L143" s="108"/>
      <c r="M143" s="108"/>
      <c r="N143" s="108"/>
      <c r="O143" s="108"/>
      <c r="P143" s="108"/>
      <c r="Q143" s="108">
        <f t="shared" si="24"/>
        <v>64700</v>
      </c>
      <c r="R143" s="32"/>
      <c r="S143" s="32"/>
      <c r="T143" s="32"/>
      <c r="U143" s="32"/>
      <c r="V143" s="32"/>
      <c r="W143" s="32"/>
      <c r="X143" s="32"/>
      <c r="Y143" s="32"/>
      <c r="Z143" s="32"/>
      <c r="AA143" s="32"/>
      <c r="AB143" s="32"/>
      <c r="AC143" s="32"/>
      <c r="AD143" s="32"/>
      <c r="AE143" s="32"/>
    </row>
    <row r="144" spans="1:31" s="34" customFormat="1" ht="14.25" customHeight="1">
      <c r="A144" s="33"/>
      <c r="B144" s="37"/>
      <c r="C144" s="37"/>
      <c r="D144" s="37"/>
      <c r="E144" s="30" t="s">
        <v>513</v>
      </c>
      <c r="F144" s="108">
        <f t="shared" si="41"/>
        <v>64700</v>
      </c>
      <c r="G144" s="108">
        <f>14700+50000</f>
        <v>64700</v>
      </c>
      <c r="H144" s="108"/>
      <c r="I144" s="108"/>
      <c r="J144" s="108"/>
      <c r="K144" s="108"/>
      <c r="L144" s="108"/>
      <c r="M144" s="108"/>
      <c r="N144" s="108"/>
      <c r="O144" s="108"/>
      <c r="P144" s="108"/>
      <c r="Q144" s="108">
        <f t="shared" si="24"/>
        <v>64700</v>
      </c>
      <c r="R144" s="32"/>
      <c r="S144" s="32"/>
      <c r="T144" s="32"/>
      <c r="U144" s="32"/>
      <c r="V144" s="32"/>
      <c r="W144" s="32"/>
      <c r="X144" s="32"/>
      <c r="Y144" s="32"/>
      <c r="Z144" s="32"/>
      <c r="AA144" s="32"/>
      <c r="AB144" s="32"/>
      <c r="AC144" s="32"/>
      <c r="AD144" s="32"/>
      <c r="AE144" s="32"/>
    </row>
    <row r="145" spans="1:31" s="34" customFormat="1" ht="32.25" customHeight="1">
      <c r="A145" s="33"/>
      <c r="B145" s="37" t="s">
        <v>453</v>
      </c>
      <c r="C145" s="37" t="s">
        <v>454</v>
      </c>
      <c r="D145" s="37" t="s">
        <v>257</v>
      </c>
      <c r="E145" s="30" t="s">
        <v>455</v>
      </c>
      <c r="F145" s="108">
        <f t="shared" si="41"/>
        <v>724400</v>
      </c>
      <c r="G145" s="108">
        <f>241400+600000-167000+50000</f>
        <v>724400</v>
      </c>
      <c r="H145" s="108"/>
      <c r="I145" s="108"/>
      <c r="J145" s="108"/>
      <c r="K145" s="108"/>
      <c r="L145" s="108"/>
      <c r="M145" s="108"/>
      <c r="N145" s="108"/>
      <c r="O145" s="108"/>
      <c r="P145" s="108"/>
      <c r="Q145" s="108">
        <f t="shared" si="24"/>
        <v>724400</v>
      </c>
      <c r="R145" s="32"/>
      <c r="S145" s="32"/>
      <c r="T145" s="32"/>
      <c r="U145" s="32"/>
      <c r="V145" s="32"/>
      <c r="W145" s="32"/>
      <c r="X145" s="32"/>
      <c r="Y145" s="32"/>
      <c r="Z145" s="32"/>
      <c r="AA145" s="32"/>
      <c r="AB145" s="32"/>
      <c r="AC145" s="32"/>
      <c r="AD145" s="32"/>
      <c r="AE145" s="32"/>
    </row>
    <row r="146" spans="1:31" s="34" customFormat="1" ht="14.25" customHeight="1">
      <c r="A146" s="33"/>
      <c r="B146" s="37"/>
      <c r="C146" s="37"/>
      <c r="D146" s="37"/>
      <c r="E146" s="30" t="s">
        <v>513</v>
      </c>
      <c r="F146" s="108">
        <f t="shared" si="41"/>
        <v>724400</v>
      </c>
      <c r="G146" s="108">
        <f>241400+600000-167000+50000</f>
        <v>724400</v>
      </c>
      <c r="H146" s="108"/>
      <c r="I146" s="108"/>
      <c r="J146" s="108"/>
      <c r="K146" s="108"/>
      <c r="L146" s="108"/>
      <c r="M146" s="108"/>
      <c r="N146" s="108"/>
      <c r="O146" s="108"/>
      <c r="P146" s="108"/>
      <c r="Q146" s="108">
        <f t="shared" si="24"/>
        <v>724400</v>
      </c>
      <c r="R146" s="32"/>
      <c r="S146" s="32"/>
      <c r="T146" s="32"/>
      <c r="U146" s="32"/>
      <c r="V146" s="32"/>
      <c r="W146" s="32"/>
      <c r="X146" s="32"/>
      <c r="Y146" s="32"/>
      <c r="Z146" s="32"/>
      <c r="AA146" s="32"/>
      <c r="AB146" s="32"/>
      <c r="AC146" s="32"/>
      <c r="AD146" s="32"/>
      <c r="AE146" s="32"/>
    </row>
    <row r="147" spans="1:31" s="34" customFormat="1" ht="36" customHeight="1">
      <c r="A147" s="33"/>
      <c r="B147" s="37" t="s">
        <v>456</v>
      </c>
      <c r="C147" s="37" t="s">
        <v>457</v>
      </c>
      <c r="D147" s="37" t="s">
        <v>256</v>
      </c>
      <c r="E147" s="30" t="s">
        <v>458</v>
      </c>
      <c r="F147" s="108">
        <f t="shared" si="41"/>
        <v>465959500</v>
      </c>
      <c r="G147" s="108">
        <f>253542500+183150000+5667000+23600000</f>
        <v>465959500</v>
      </c>
      <c r="H147" s="108"/>
      <c r="I147" s="108"/>
      <c r="J147" s="108"/>
      <c r="K147" s="108"/>
      <c r="L147" s="108"/>
      <c r="M147" s="108"/>
      <c r="N147" s="108"/>
      <c r="O147" s="108"/>
      <c r="P147" s="108"/>
      <c r="Q147" s="108">
        <f t="shared" si="24"/>
        <v>465959500</v>
      </c>
      <c r="R147" s="32"/>
      <c r="S147" s="32"/>
      <c r="T147" s="32"/>
      <c r="U147" s="32"/>
      <c r="V147" s="32"/>
      <c r="W147" s="32"/>
      <c r="X147" s="32"/>
      <c r="Y147" s="32"/>
      <c r="Z147" s="32"/>
      <c r="AA147" s="32"/>
      <c r="AB147" s="32"/>
      <c r="AC147" s="32"/>
      <c r="AD147" s="32"/>
      <c r="AE147" s="32"/>
    </row>
    <row r="148" spans="1:31" s="34" customFormat="1" ht="14.25" customHeight="1">
      <c r="A148" s="33"/>
      <c r="B148" s="37"/>
      <c r="C148" s="37"/>
      <c r="D148" s="37"/>
      <c r="E148" s="30" t="s">
        <v>513</v>
      </c>
      <c r="F148" s="108">
        <f t="shared" si="41"/>
        <v>465959500</v>
      </c>
      <c r="G148" s="108">
        <f>253542500+183150000+5667000+23600000</f>
        <v>465959500</v>
      </c>
      <c r="H148" s="108"/>
      <c r="I148" s="108"/>
      <c r="J148" s="108"/>
      <c r="K148" s="108"/>
      <c r="L148" s="108"/>
      <c r="M148" s="108"/>
      <c r="N148" s="108"/>
      <c r="O148" s="108"/>
      <c r="P148" s="108"/>
      <c r="Q148" s="108">
        <f t="shared" si="24"/>
        <v>465959500</v>
      </c>
      <c r="R148" s="32"/>
      <c r="S148" s="32"/>
      <c r="T148" s="32"/>
      <c r="U148" s="32"/>
      <c r="V148" s="32"/>
      <c r="W148" s="32"/>
      <c r="X148" s="32"/>
      <c r="Y148" s="32"/>
      <c r="Z148" s="32"/>
      <c r="AA148" s="32"/>
      <c r="AB148" s="32"/>
      <c r="AC148" s="32"/>
      <c r="AD148" s="32"/>
      <c r="AE148" s="32"/>
    </row>
    <row r="149" spans="1:31" s="15" customFormat="1" ht="45.75" customHeight="1">
      <c r="A149" s="23"/>
      <c r="B149" s="27" t="s">
        <v>459</v>
      </c>
      <c r="C149" s="27" t="s">
        <v>460</v>
      </c>
      <c r="D149" s="27"/>
      <c r="E149" s="24" t="s">
        <v>461</v>
      </c>
      <c r="F149" s="108">
        <f>F151+F153+F155</f>
        <v>313500</v>
      </c>
      <c r="G149" s="108">
        <f aca="true" t="shared" si="42" ref="G149:P149">G151+G153+G155</f>
        <v>313500</v>
      </c>
      <c r="H149" s="108">
        <f t="shared" si="42"/>
        <v>0</v>
      </c>
      <c r="I149" s="108">
        <f t="shared" si="42"/>
        <v>0</v>
      </c>
      <c r="J149" s="108">
        <f t="shared" si="42"/>
        <v>0</v>
      </c>
      <c r="K149" s="108">
        <f t="shared" si="42"/>
        <v>0</v>
      </c>
      <c r="L149" s="108">
        <f t="shared" si="42"/>
        <v>0</v>
      </c>
      <c r="M149" s="108">
        <f t="shared" si="42"/>
        <v>0</v>
      </c>
      <c r="N149" s="108">
        <f t="shared" si="42"/>
        <v>0</v>
      </c>
      <c r="O149" s="108">
        <f t="shared" si="42"/>
        <v>0</v>
      </c>
      <c r="P149" s="108">
        <f t="shared" si="42"/>
        <v>0</v>
      </c>
      <c r="Q149" s="107">
        <f aca="true" t="shared" si="43" ref="Q149:Q157">F149+K149</f>
        <v>313500</v>
      </c>
      <c r="R149" s="42"/>
      <c r="S149" s="42"/>
      <c r="T149" s="42"/>
      <c r="U149" s="42"/>
      <c r="V149" s="42"/>
      <c r="W149" s="42"/>
      <c r="X149" s="42"/>
      <c r="Y149" s="42"/>
      <c r="Z149" s="42"/>
      <c r="AA149" s="42"/>
      <c r="AB149" s="42"/>
      <c r="AC149" s="42"/>
      <c r="AD149" s="42"/>
      <c r="AE149" s="42"/>
    </row>
    <row r="150" spans="1:31" s="15" customFormat="1" ht="14.25" customHeight="1">
      <c r="A150" s="14"/>
      <c r="B150" s="126"/>
      <c r="C150" s="126"/>
      <c r="D150" s="126"/>
      <c r="E150" s="166" t="s">
        <v>513</v>
      </c>
      <c r="F150" s="108">
        <f>F152+F154+F156</f>
        <v>313500</v>
      </c>
      <c r="G150" s="108">
        <f aca="true" t="shared" si="44" ref="G150:P150">G152+G154+G156</f>
        <v>313500</v>
      </c>
      <c r="H150" s="108">
        <f t="shared" si="44"/>
        <v>0</v>
      </c>
      <c r="I150" s="108">
        <f t="shared" si="44"/>
        <v>0</v>
      </c>
      <c r="J150" s="108">
        <f t="shared" si="44"/>
        <v>0</v>
      </c>
      <c r="K150" s="108">
        <f t="shared" si="44"/>
        <v>0</v>
      </c>
      <c r="L150" s="108">
        <f t="shared" si="44"/>
        <v>0</v>
      </c>
      <c r="M150" s="108">
        <f t="shared" si="44"/>
        <v>0</v>
      </c>
      <c r="N150" s="108">
        <f t="shared" si="44"/>
        <v>0</v>
      </c>
      <c r="O150" s="108">
        <f t="shared" si="44"/>
        <v>0</v>
      </c>
      <c r="P150" s="108">
        <f t="shared" si="44"/>
        <v>0</v>
      </c>
      <c r="Q150" s="107">
        <f t="shared" si="43"/>
        <v>313500</v>
      </c>
      <c r="R150" s="42"/>
      <c r="S150" s="42"/>
      <c r="T150" s="42"/>
      <c r="U150" s="42"/>
      <c r="V150" s="42"/>
      <c r="W150" s="42"/>
      <c r="X150" s="42"/>
      <c r="Y150" s="42"/>
      <c r="Z150" s="42"/>
      <c r="AA150" s="42"/>
      <c r="AB150" s="42"/>
      <c r="AC150" s="42"/>
      <c r="AD150" s="42"/>
      <c r="AE150" s="42"/>
    </row>
    <row r="151" spans="1:31" s="34" customFormat="1" ht="208.5" customHeight="1">
      <c r="A151" s="33"/>
      <c r="B151" s="37" t="s">
        <v>462</v>
      </c>
      <c r="C151" s="37" t="s">
        <v>463</v>
      </c>
      <c r="D151" s="37" t="s">
        <v>255</v>
      </c>
      <c r="E151" s="30" t="s">
        <v>464</v>
      </c>
      <c r="F151" s="108">
        <f t="shared" si="41"/>
        <v>36189.020000000004</v>
      </c>
      <c r="G151" s="108">
        <f>28416+7773.02</f>
        <v>36189.020000000004</v>
      </c>
      <c r="H151" s="108"/>
      <c r="I151" s="108"/>
      <c r="J151" s="108"/>
      <c r="K151" s="108"/>
      <c r="L151" s="108"/>
      <c r="M151" s="108"/>
      <c r="N151" s="108"/>
      <c r="O151" s="108"/>
      <c r="P151" s="108"/>
      <c r="Q151" s="108">
        <f t="shared" si="43"/>
        <v>36189.020000000004</v>
      </c>
      <c r="R151" s="32"/>
      <c r="S151" s="32"/>
      <c r="T151" s="32"/>
      <c r="U151" s="32"/>
      <c r="V151" s="32"/>
      <c r="W151" s="32"/>
      <c r="X151" s="32"/>
      <c r="Y151" s="32"/>
      <c r="Z151" s="32"/>
      <c r="AA151" s="32"/>
      <c r="AB151" s="32"/>
      <c r="AC151" s="32"/>
      <c r="AD151" s="32"/>
      <c r="AE151" s="32"/>
    </row>
    <row r="152" spans="1:31" s="34" customFormat="1" ht="14.25" customHeight="1">
      <c r="A152" s="33"/>
      <c r="B152" s="37"/>
      <c r="C152" s="37"/>
      <c r="D152" s="37"/>
      <c r="E152" s="30" t="s">
        <v>513</v>
      </c>
      <c r="F152" s="108">
        <f t="shared" si="41"/>
        <v>36189.020000000004</v>
      </c>
      <c r="G152" s="108">
        <f>28416+7773.02</f>
        <v>36189.020000000004</v>
      </c>
      <c r="H152" s="108"/>
      <c r="I152" s="108"/>
      <c r="J152" s="108"/>
      <c r="K152" s="108"/>
      <c r="L152" s="108"/>
      <c r="M152" s="108"/>
      <c r="N152" s="108"/>
      <c r="O152" s="108"/>
      <c r="P152" s="108"/>
      <c r="Q152" s="108">
        <f t="shared" si="43"/>
        <v>36189.020000000004</v>
      </c>
      <c r="R152" s="32"/>
      <c r="S152" s="32"/>
      <c r="T152" s="32"/>
      <c r="U152" s="32"/>
      <c r="V152" s="32"/>
      <c r="W152" s="32"/>
      <c r="X152" s="32"/>
      <c r="Y152" s="32"/>
      <c r="Z152" s="32"/>
      <c r="AA152" s="32"/>
      <c r="AB152" s="32"/>
      <c r="AC152" s="32"/>
      <c r="AD152" s="32"/>
      <c r="AE152" s="32"/>
    </row>
    <row r="153" spans="1:31" s="34" customFormat="1" ht="34.5" customHeight="1">
      <c r="A153" s="33"/>
      <c r="B153" s="37" t="s">
        <v>465</v>
      </c>
      <c r="C153" s="37" t="s">
        <v>466</v>
      </c>
      <c r="D153" s="37" t="s">
        <v>257</v>
      </c>
      <c r="E153" s="125" t="s">
        <v>467</v>
      </c>
      <c r="F153" s="108">
        <f t="shared" si="41"/>
        <v>8035.26</v>
      </c>
      <c r="G153" s="108">
        <f>8259-223.74</f>
        <v>8035.26</v>
      </c>
      <c r="H153" s="108"/>
      <c r="I153" s="108"/>
      <c r="J153" s="108"/>
      <c r="K153" s="108"/>
      <c r="L153" s="108"/>
      <c r="M153" s="108"/>
      <c r="N153" s="108"/>
      <c r="O153" s="108"/>
      <c r="P153" s="108"/>
      <c r="Q153" s="108">
        <f t="shared" si="43"/>
        <v>8035.26</v>
      </c>
      <c r="R153" s="32"/>
      <c r="S153" s="32"/>
      <c r="T153" s="32"/>
      <c r="U153" s="32"/>
      <c r="V153" s="32"/>
      <c r="W153" s="32"/>
      <c r="X153" s="32"/>
      <c r="Y153" s="32"/>
      <c r="Z153" s="32"/>
      <c r="AA153" s="32"/>
      <c r="AB153" s="32"/>
      <c r="AC153" s="32"/>
      <c r="AD153" s="32"/>
      <c r="AE153" s="32"/>
    </row>
    <row r="154" spans="1:31" s="34" customFormat="1" ht="14.25" customHeight="1">
      <c r="A154" s="33"/>
      <c r="B154" s="37"/>
      <c r="C154" s="37"/>
      <c r="D154" s="37"/>
      <c r="E154" s="30" t="s">
        <v>513</v>
      </c>
      <c r="F154" s="108">
        <f t="shared" si="41"/>
        <v>8035.26</v>
      </c>
      <c r="G154" s="108">
        <f>8259-223.74</f>
        <v>8035.26</v>
      </c>
      <c r="H154" s="108"/>
      <c r="I154" s="108"/>
      <c r="J154" s="108"/>
      <c r="K154" s="108"/>
      <c r="L154" s="108"/>
      <c r="M154" s="108"/>
      <c r="N154" s="108"/>
      <c r="O154" s="108"/>
      <c r="P154" s="108"/>
      <c r="Q154" s="108">
        <f t="shared" si="43"/>
        <v>8035.26</v>
      </c>
      <c r="R154" s="32"/>
      <c r="S154" s="32"/>
      <c r="T154" s="32"/>
      <c r="U154" s="32"/>
      <c r="V154" s="32"/>
      <c r="W154" s="32"/>
      <c r="X154" s="32"/>
      <c r="Y154" s="32"/>
      <c r="Z154" s="32"/>
      <c r="AA154" s="32"/>
      <c r="AB154" s="32"/>
      <c r="AC154" s="32"/>
      <c r="AD154" s="32"/>
      <c r="AE154" s="32"/>
    </row>
    <row r="155" spans="1:31" s="34" customFormat="1" ht="51.75" customHeight="1">
      <c r="A155" s="33"/>
      <c r="B155" s="37" t="s">
        <v>468</v>
      </c>
      <c r="C155" s="37" t="s">
        <v>469</v>
      </c>
      <c r="D155" s="37" t="s">
        <v>256</v>
      </c>
      <c r="E155" s="30" t="s">
        <v>470</v>
      </c>
      <c r="F155" s="108">
        <f t="shared" si="41"/>
        <v>269275.72</v>
      </c>
      <c r="G155" s="108">
        <f>276825-7549.28</f>
        <v>269275.72</v>
      </c>
      <c r="H155" s="108"/>
      <c r="I155" s="108"/>
      <c r="J155" s="108"/>
      <c r="K155" s="108"/>
      <c r="L155" s="108"/>
      <c r="M155" s="108"/>
      <c r="N155" s="108"/>
      <c r="O155" s="108"/>
      <c r="P155" s="108"/>
      <c r="Q155" s="108">
        <f t="shared" si="43"/>
        <v>269275.72</v>
      </c>
      <c r="R155" s="32"/>
      <c r="S155" s="32"/>
      <c r="T155" s="32"/>
      <c r="U155" s="32"/>
      <c r="V155" s="32"/>
      <c r="W155" s="32"/>
      <c r="X155" s="32"/>
      <c r="Y155" s="32"/>
      <c r="Z155" s="32"/>
      <c r="AA155" s="32"/>
      <c r="AB155" s="32"/>
      <c r="AC155" s="32"/>
      <c r="AD155" s="32"/>
      <c r="AE155" s="32"/>
    </row>
    <row r="156" spans="1:31" s="34" customFormat="1" ht="14.25" customHeight="1">
      <c r="A156" s="33"/>
      <c r="B156" s="37"/>
      <c r="C156" s="37"/>
      <c r="D156" s="37"/>
      <c r="E156" s="30" t="s">
        <v>513</v>
      </c>
      <c r="F156" s="108">
        <f t="shared" si="41"/>
        <v>269275.72</v>
      </c>
      <c r="G156" s="108">
        <f>276825-7549.28</f>
        <v>269275.72</v>
      </c>
      <c r="H156" s="108"/>
      <c r="I156" s="108"/>
      <c r="J156" s="108"/>
      <c r="K156" s="108"/>
      <c r="L156" s="108"/>
      <c r="M156" s="108"/>
      <c r="N156" s="108"/>
      <c r="O156" s="108"/>
      <c r="P156" s="108"/>
      <c r="Q156" s="108">
        <f t="shared" si="43"/>
        <v>269275.72</v>
      </c>
      <c r="R156" s="32"/>
      <c r="S156" s="32"/>
      <c r="T156" s="32"/>
      <c r="U156" s="32"/>
      <c r="V156" s="32"/>
      <c r="W156" s="32"/>
      <c r="X156" s="32"/>
      <c r="Y156" s="32"/>
      <c r="Z156" s="32"/>
      <c r="AA156" s="32"/>
      <c r="AB156" s="32"/>
      <c r="AC156" s="32"/>
      <c r="AD156" s="32"/>
      <c r="AE156" s="32"/>
    </row>
    <row r="157" spans="1:32" s="70" customFormat="1" ht="176.25" customHeight="1">
      <c r="A157" s="151"/>
      <c r="B157" s="26">
        <v>1513030</v>
      </c>
      <c r="C157" s="26">
        <v>3030</v>
      </c>
      <c r="D157" s="26">
        <v>1030</v>
      </c>
      <c r="E157" s="24" t="s">
        <v>108</v>
      </c>
      <c r="F157" s="110">
        <f>F163+F158+F159+F160+F161+F162</f>
        <v>38568040.2</v>
      </c>
      <c r="G157" s="110">
        <f>G163+G158+G159+G160+G161+G162</f>
        <v>38568040.2</v>
      </c>
      <c r="H157" s="110">
        <f aca="true" t="shared" si="45" ref="H157:P157">H163+H158+H159+H160+H161</f>
        <v>0</v>
      </c>
      <c r="I157" s="110">
        <f t="shared" si="45"/>
        <v>0</v>
      </c>
      <c r="J157" s="110">
        <f t="shared" si="45"/>
        <v>0</v>
      </c>
      <c r="K157" s="110">
        <f>K163+K158+K159+K160+K161</f>
        <v>154612</v>
      </c>
      <c r="L157" s="110">
        <f t="shared" si="45"/>
        <v>0</v>
      </c>
      <c r="M157" s="110">
        <f t="shared" si="45"/>
        <v>0</v>
      </c>
      <c r="N157" s="110">
        <f t="shared" si="45"/>
        <v>0</v>
      </c>
      <c r="O157" s="110">
        <f t="shared" si="45"/>
        <v>154612</v>
      </c>
      <c r="P157" s="110">
        <f t="shared" si="45"/>
        <v>154612</v>
      </c>
      <c r="Q157" s="107">
        <f t="shared" si="43"/>
        <v>38722652.2</v>
      </c>
      <c r="R157" s="42"/>
      <c r="S157" s="42"/>
      <c r="T157" s="42"/>
      <c r="U157" s="42"/>
      <c r="V157" s="42"/>
      <c r="W157" s="42"/>
      <c r="X157" s="42"/>
      <c r="Y157" s="42"/>
      <c r="Z157" s="42"/>
      <c r="AA157" s="42"/>
      <c r="AB157" s="42"/>
      <c r="AC157" s="42"/>
      <c r="AD157" s="42"/>
      <c r="AE157" s="42"/>
      <c r="AF157" s="93"/>
    </row>
    <row r="158" spans="1:17" s="32" customFormat="1" ht="222" customHeight="1">
      <c r="A158" s="31"/>
      <c r="B158" s="28">
        <v>1513031</v>
      </c>
      <c r="C158" s="28">
        <v>3031</v>
      </c>
      <c r="D158" s="28">
        <v>1030</v>
      </c>
      <c r="E158" s="30" t="s">
        <v>235</v>
      </c>
      <c r="F158" s="108">
        <f aca="true" t="shared" si="46" ref="F158:F163">G158+J158</f>
        <v>270200</v>
      </c>
      <c r="G158" s="114">
        <v>270200</v>
      </c>
      <c r="H158" s="114"/>
      <c r="I158" s="114"/>
      <c r="J158" s="114"/>
      <c r="K158" s="114">
        <f>L158+O158</f>
        <v>154612</v>
      </c>
      <c r="L158" s="114"/>
      <c r="M158" s="114"/>
      <c r="N158" s="114"/>
      <c r="O158" s="114">
        <f>150000+4612</f>
        <v>154612</v>
      </c>
      <c r="P158" s="114">
        <f>150000+4612</f>
        <v>154612</v>
      </c>
      <c r="Q158" s="114">
        <f aca="true" t="shared" si="47" ref="Q158:Q210">F158+K158</f>
        <v>424812</v>
      </c>
    </row>
    <row r="159" spans="1:17" s="32" customFormat="1" ht="84.75" customHeight="1">
      <c r="A159" s="31"/>
      <c r="B159" s="28">
        <v>1513033</v>
      </c>
      <c r="C159" s="28">
        <v>3033</v>
      </c>
      <c r="D159" s="28">
        <v>1070</v>
      </c>
      <c r="E159" s="30" t="s">
        <v>236</v>
      </c>
      <c r="F159" s="108">
        <f t="shared" si="46"/>
        <v>74666</v>
      </c>
      <c r="G159" s="114">
        <v>74666</v>
      </c>
      <c r="H159" s="114"/>
      <c r="I159" s="114"/>
      <c r="J159" s="114"/>
      <c r="K159" s="114">
        <f aca="true" t="shared" si="48" ref="K159:K187">L159+O159</f>
        <v>0</v>
      </c>
      <c r="L159" s="114"/>
      <c r="M159" s="114"/>
      <c r="N159" s="114"/>
      <c r="O159" s="114"/>
      <c r="P159" s="114"/>
      <c r="Q159" s="114">
        <f t="shared" si="47"/>
        <v>74666</v>
      </c>
    </row>
    <row r="160" spans="1:17" s="32" customFormat="1" ht="40.5" customHeight="1">
      <c r="A160" s="31"/>
      <c r="B160" s="28">
        <v>1513034</v>
      </c>
      <c r="C160" s="28">
        <v>3034</v>
      </c>
      <c r="D160" s="28">
        <v>1070</v>
      </c>
      <c r="E160" s="30" t="s">
        <v>228</v>
      </c>
      <c r="F160" s="108">
        <f t="shared" si="46"/>
        <v>1577457</v>
      </c>
      <c r="G160" s="114">
        <f>1562305+15152</f>
        <v>1577457</v>
      </c>
      <c r="H160" s="114"/>
      <c r="I160" s="114"/>
      <c r="J160" s="114"/>
      <c r="K160" s="114">
        <f t="shared" si="48"/>
        <v>0</v>
      </c>
      <c r="L160" s="114"/>
      <c r="M160" s="114"/>
      <c r="N160" s="114"/>
      <c r="O160" s="114"/>
      <c r="P160" s="114"/>
      <c r="Q160" s="114">
        <f t="shared" si="47"/>
        <v>1577457</v>
      </c>
    </row>
    <row r="161" spans="1:17" s="32" customFormat="1" ht="43.5" customHeight="1">
      <c r="A161" s="31"/>
      <c r="B161" s="28">
        <v>1513035</v>
      </c>
      <c r="C161" s="28">
        <v>3035</v>
      </c>
      <c r="D161" s="28">
        <v>1070</v>
      </c>
      <c r="E161" s="30" t="s">
        <v>237</v>
      </c>
      <c r="F161" s="108">
        <f t="shared" si="46"/>
        <v>9946204.2</v>
      </c>
      <c r="G161" s="114">
        <f>5552643+68400+3427694+894987.2+2480</f>
        <v>9946204.2</v>
      </c>
      <c r="H161" s="114"/>
      <c r="I161" s="114"/>
      <c r="J161" s="114"/>
      <c r="K161" s="114">
        <f t="shared" si="48"/>
        <v>0</v>
      </c>
      <c r="L161" s="114"/>
      <c r="M161" s="114"/>
      <c r="N161" s="114"/>
      <c r="O161" s="114"/>
      <c r="P161" s="114"/>
      <c r="Q161" s="114">
        <f t="shared" si="47"/>
        <v>9946204.2</v>
      </c>
    </row>
    <row r="162" spans="1:17" s="32" customFormat="1" ht="43.5" customHeight="1">
      <c r="A162" s="31"/>
      <c r="B162" s="28">
        <v>1513037</v>
      </c>
      <c r="C162" s="28">
        <v>3037</v>
      </c>
      <c r="D162" s="28">
        <v>1070</v>
      </c>
      <c r="E162" s="30" t="s">
        <v>530</v>
      </c>
      <c r="F162" s="108">
        <f t="shared" si="46"/>
        <v>1500000</v>
      </c>
      <c r="G162" s="114">
        <v>1500000</v>
      </c>
      <c r="H162" s="114"/>
      <c r="I162" s="114"/>
      <c r="J162" s="114"/>
      <c r="K162" s="114"/>
      <c r="L162" s="114"/>
      <c r="M162" s="114"/>
      <c r="N162" s="114"/>
      <c r="O162" s="114"/>
      <c r="P162" s="114"/>
      <c r="Q162" s="114">
        <f t="shared" si="47"/>
        <v>1500000</v>
      </c>
    </row>
    <row r="163" spans="1:17" s="32" customFormat="1" ht="46.5" customHeight="1">
      <c r="A163" s="31"/>
      <c r="B163" s="28">
        <v>1513038</v>
      </c>
      <c r="C163" s="28">
        <v>3038</v>
      </c>
      <c r="D163" s="28">
        <v>1070</v>
      </c>
      <c r="E163" s="30" t="s">
        <v>23</v>
      </c>
      <c r="F163" s="108">
        <f t="shared" si="46"/>
        <v>25199513</v>
      </c>
      <c r="G163" s="108">
        <f>16255544+8943969</f>
        <v>25199513</v>
      </c>
      <c r="H163" s="108"/>
      <c r="I163" s="108"/>
      <c r="J163" s="108"/>
      <c r="K163" s="114">
        <f t="shared" si="48"/>
        <v>0</v>
      </c>
      <c r="L163" s="108"/>
      <c r="M163" s="108"/>
      <c r="N163" s="108"/>
      <c r="O163" s="108"/>
      <c r="P163" s="108"/>
      <c r="Q163" s="108">
        <f t="shared" si="47"/>
        <v>25199513</v>
      </c>
    </row>
    <row r="164" spans="1:17" s="42" customFormat="1" ht="45" customHeight="1">
      <c r="A164" s="152"/>
      <c r="B164" s="26">
        <v>1513040</v>
      </c>
      <c r="C164" s="26">
        <v>3040</v>
      </c>
      <c r="D164" s="26"/>
      <c r="E164" s="24" t="s">
        <v>471</v>
      </c>
      <c r="F164" s="107">
        <f>F166+F168+F170+F172+F174+F176+F178+F180+F182</f>
        <v>307126600</v>
      </c>
      <c r="G164" s="107">
        <f aca="true" t="shared" si="49" ref="G164:P164">G166+G168+G170+G172+G174+G176+G178+G180+G182</f>
        <v>307126600</v>
      </c>
      <c r="H164" s="107">
        <f t="shared" si="49"/>
        <v>0</v>
      </c>
      <c r="I164" s="107">
        <f t="shared" si="49"/>
        <v>0</v>
      </c>
      <c r="J164" s="107">
        <f t="shared" si="49"/>
        <v>0</v>
      </c>
      <c r="K164" s="110">
        <f t="shared" si="48"/>
        <v>0</v>
      </c>
      <c r="L164" s="107">
        <f t="shared" si="49"/>
        <v>0</v>
      </c>
      <c r="M164" s="107">
        <f t="shared" si="49"/>
        <v>0</v>
      </c>
      <c r="N164" s="107">
        <f t="shared" si="49"/>
        <v>0</v>
      </c>
      <c r="O164" s="107">
        <f t="shared" si="49"/>
        <v>0</v>
      </c>
      <c r="P164" s="107">
        <f t="shared" si="49"/>
        <v>0</v>
      </c>
      <c r="Q164" s="107">
        <f t="shared" si="47"/>
        <v>307126600</v>
      </c>
    </row>
    <row r="165" spans="1:17" s="42" customFormat="1" ht="15.75">
      <c r="A165" s="41"/>
      <c r="B165" s="127"/>
      <c r="C165" s="127"/>
      <c r="D165" s="127"/>
      <c r="E165" s="166" t="s">
        <v>513</v>
      </c>
      <c r="F165" s="107">
        <f>F167+F169+F171+F173+F175+F177+F179+F181+F183</f>
        <v>307126600</v>
      </c>
      <c r="G165" s="107">
        <f aca="true" t="shared" si="50" ref="G165:P165">G167+G169+G171+G173+G175+G177+G179+G181+G183</f>
        <v>307126600</v>
      </c>
      <c r="H165" s="107">
        <f t="shared" si="50"/>
        <v>0</v>
      </c>
      <c r="I165" s="107">
        <f t="shared" si="50"/>
        <v>0</v>
      </c>
      <c r="J165" s="107">
        <f t="shared" si="50"/>
        <v>0</v>
      </c>
      <c r="K165" s="110">
        <f t="shared" si="48"/>
        <v>0</v>
      </c>
      <c r="L165" s="107">
        <f t="shared" si="50"/>
        <v>0</v>
      </c>
      <c r="M165" s="107">
        <f t="shared" si="50"/>
        <v>0</v>
      </c>
      <c r="N165" s="107">
        <f t="shared" si="50"/>
        <v>0</v>
      </c>
      <c r="O165" s="107">
        <f t="shared" si="50"/>
        <v>0</v>
      </c>
      <c r="P165" s="107">
        <f t="shared" si="50"/>
        <v>0</v>
      </c>
      <c r="Q165" s="107">
        <f t="shared" si="47"/>
        <v>307126600</v>
      </c>
    </row>
    <row r="166" spans="1:17" s="32" customFormat="1" ht="28.5" customHeight="1">
      <c r="A166" s="31"/>
      <c r="B166" s="28">
        <v>1513041</v>
      </c>
      <c r="C166" s="28">
        <v>3041</v>
      </c>
      <c r="D166" s="28">
        <v>1040</v>
      </c>
      <c r="E166" s="30" t="s">
        <v>472</v>
      </c>
      <c r="F166" s="108">
        <f>G166</f>
        <v>3435800</v>
      </c>
      <c r="G166" s="108">
        <v>3435800</v>
      </c>
      <c r="H166" s="108"/>
      <c r="I166" s="108"/>
      <c r="J166" s="108"/>
      <c r="K166" s="114">
        <f t="shared" si="48"/>
        <v>0</v>
      </c>
      <c r="L166" s="108"/>
      <c r="M166" s="108"/>
      <c r="N166" s="108"/>
      <c r="O166" s="108"/>
      <c r="P166" s="108"/>
      <c r="Q166" s="108">
        <f t="shared" si="47"/>
        <v>3435800</v>
      </c>
    </row>
    <row r="167" spans="1:17" s="32" customFormat="1" ht="14.25" customHeight="1">
      <c r="A167" s="31"/>
      <c r="B167" s="28"/>
      <c r="C167" s="28"/>
      <c r="D167" s="28"/>
      <c r="E167" s="30" t="s">
        <v>513</v>
      </c>
      <c r="F167" s="108">
        <f aca="true" t="shared" si="51" ref="F167:F183">G167</f>
        <v>3435800</v>
      </c>
      <c r="G167" s="108">
        <v>3435800</v>
      </c>
      <c r="H167" s="108"/>
      <c r="I167" s="108"/>
      <c r="J167" s="108"/>
      <c r="K167" s="114">
        <f t="shared" si="48"/>
        <v>0</v>
      </c>
      <c r="L167" s="108"/>
      <c r="M167" s="108"/>
      <c r="N167" s="108"/>
      <c r="O167" s="108"/>
      <c r="P167" s="108"/>
      <c r="Q167" s="108">
        <f t="shared" si="47"/>
        <v>3435800</v>
      </c>
    </row>
    <row r="168" spans="1:17" s="32" customFormat="1" ht="30" customHeight="1">
      <c r="A168" s="31"/>
      <c r="B168" s="28">
        <v>1513042</v>
      </c>
      <c r="C168" s="28">
        <v>3042</v>
      </c>
      <c r="D168" s="28">
        <v>1040</v>
      </c>
      <c r="E168" s="30" t="s">
        <v>523</v>
      </c>
      <c r="F168" s="108">
        <f t="shared" si="51"/>
        <v>468000</v>
      </c>
      <c r="G168" s="108">
        <v>468000</v>
      </c>
      <c r="H168" s="108"/>
      <c r="I168" s="108"/>
      <c r="J168" s="108"/>
      <c r="K168" s="114">
        <f t="shared" si="48"/>
        <v>0</v>
      </c>
      <c r="L168" s="108"/>
      <c r="M168" s="108"/>
      <c r="N168" s="108"/>
      <c r="O168" s="108"/>
      <c r="P168" s="108"/>
      <c r="Q168" s="108">
        <f t="shared" si="47"/>
        <v>468000</v>
      </c>
    </row>
    <row r="169" spans="1:17" s="32" customFormat="1" ht="15" customHeight="1">
      <c r="A169" s="31"/>
      <c r="B169" s="28"/>
      <c r="C169" s="28"/>
      <c r="D169" s="28"/>
      <c r="E169" s="30" t="s">
        <v>513</v>
      </c>
      <c r="F169" s="108">
        <f t="shared" si="51"/>
        <v>468000</v>
      </c>
      <c r="G169" s="108">
        <v>468000</v>
      </c>
      <c r="H169" s="108"/>
      <c r="I169" s="108"/>
      <c r="J169" s="108"/>
      <c r="K169" s="114">
        <f t="shared" si="48"/>
        <v>0</v>
      </c>
      <c r="L169" s="108"/>
      <c r="M169" s="108"/>
      <c r="N169" s="108"/>
      <c r="O169" s="108"/>
      <c r="P169" s="108"/>
      <c r="Q169" s="108">
        <f t="shared" si="47"/>
        <v>468000</v>
      </c>
    </row>
    <row r="170" spans="1:17" s="32" customFormat="1" ht="21" customHeight="1">
      <c r="A170" s="31"/>
      <c r="B170" s="28">
        <v>1513043</v>
      </c>
      <c r="C170" s="28">
        <v>3043</v>
      </c>
      <c r="D170" s="28">
        <v>1040</v>
      </c>
      <c r="E170" s="30" t="s">
        <v>473</v>
      </c>
      <c r="F170" s="108">
        <f t="shared" si="51"/>
        <v>144214000</v>
      </c>
      <c r="G170" s="108">
        <f>142613700+1600300</f>
        <v>144214000</v>
      </c>
      <c r="H170" s="108"/>
      <c r="I170" s="108"/>
      <c r="J170" s="108"/>
      <c r="K170" s="114">
        <f t="shared" si="48"/>
        <v>0</v>
      </c>
      <c r="L170" s="108"/>
      <c r="M170" s="108"/>
      <c r="N170" s="108"/>
      <c r="O170" s="108"/>
      <c r="P170" s="108"/>
      <c r="Q170" s="108">
        <f t="shared" si="47"/>
        <v>144214000</v>
      </c>
    </row>
    <row r="171" spans="1:17" s="32" customFormat="1" ht="19.5" customHeight="1">
      <c r="A171" s="31"/>
      <c r="B171" s="28"/>
      <c r="C171" s="28"/>
      <c r="D171" s="28"/>
      <c r="E171" s="30" t="s">
        <v>513</v>
      </c>
      <c r="F171" s="108">
        <f t="shared" si="51"/>
        <v>144214000</v>
      </c>
      <c r="G171" s="108">
        <f>142613700+1600300</f>
        <v>144214000</v>
      </c>
      <c r="H171" s="108"/>
      <c r="I171" s="108"/>
      <c r="J171" s="108"/>
      <c r="K171" s="114">
        <f t="shared" si="48"/>
        <v>0</v>
      </c>
      <c r="L171" s="108"/>
      <c r="M171" s="108"/>
      <c r="N171" s="108"/>
      <c r="O171" s="108"/>
      <c r="P171" s="108"/>
      <c r="Q171" s="108">
        <f t="shared" si="47"/>
        <v>144214000</v>
      </c>
    </row>
    <row r="172" spans="1:17" s="32" customFormat="1" ht="30">
      <c r="A172" s="31"/>
      <c r="B172" s="28">
        <v>1513044</v>
      </c>
      <c r="C172" s="28">
        <v>3044</v>
      </c>
      <c r="D172" s="28">
        <v>1040</v>
      </c>
      <c r="E172" s="30" t="s">
        <v>474</v>
      </c>
      <c r="F172" s="108">
        <f t="shared" si="51"/>
        <v>9856700</v>
      </c>
      <c r="G172" s="108">
        <v>9856700</v>
      </c>
      <c r="H172" s="108"/>
      <c r="I172" s="108"/>
      <c r="J172" s="108"/>
      <c r="K172" s="114">
        <f t="shared" si="48"/>
        <v>0</v>
      </c>
      <c r="L172" s="108"/>
      <c r="M172" s="108"/>
      <c r="N172" s="108"/>
      <c r="O172" s="108"/>
      <c r="P172" s="108"/>
      <c r="Q172" s="108">
        <f t="shared" si="47"/>
        <v>9856700</v>
      </c>
    </row>
    <row r="173" spans="1:17" s="32" customFormat="1" ht="18" customHeight="1">
      <c r="A173" s="31"/>
      <c r="B173" s="28"/>
      <c r="C173" s="28"/>
      <c r="D173" s="28"/>
      <c r="E173" s="30" t="s">
        <v>513</v>
      </c>
      <c r="F173" s="108">
        <f t="shared" si="51"/>
        <v>9856700</v>
      </c>
      <c r="G173" s="108">
        <v>9856700</v>
      </c>
      <c r="H173" s="108"/>
      <c r="I173" s="108"/>
      <c r="J173" s="108"/>
      <c r="K173" s="114">
        <f t="shared" si="48"/>
        <v>0</v>
      </c>
      <c r="L173" s="108"/>
      <c r="M173" s="108"/>
      <c r="N173" s="108"/>
      <c r="O173" s="108"/>
      <c r="P173" s="108"/>
      <c r="Q173" s="108">
        <f t="shared" si="47"/>
        <v>9856700</v>
      </c>
    </row>
    <row r="174" spans="1:17" s="32" customFormat="1" ht="14.25" customHeight="1">
      <c r="A174" s="31"/>
      <c r="B174" s="28">
        <v>1513045</v>
      </c>
      <c r="C174" s="28">
        <v>3045</v>
      </c>
      <c r="D174" s="28">
        <v>1040</v>
      </c>
      <c r="E174" s="30" t="s">
        <v>475</v>
      </c>
      <c r="F174" s="108">
        <f t="shared" si="51"/>
        <v>47203000</v>
      </c>
      <c r="G174" s="108">
        <f>58904500-11701500</f>
        <v>47203000</v>
      </c>
      <c r="H174" s="108"/>
      <c r="I174" s="108"/>
      <c r="J174" s="108"/>
      <c r="K174" s="114">
        <f t="shared" si="48"/>
        <v>0</v>
      </c>
      <c r="L174" s="108"/>
      <c r="M174" s="108"/>
      <c r="N174" s="108"/>
      <c r="O174" s="108"/>
      <c r="P174" s="108"/>
      <c r="Q174" s="108">
        <f t="shared" si="47"/>
        <v>47203000</v>
      </c>
    </row>
    <row r="175" spans="1:17" s="32" customFormat="1" ht="17.25" customHeight="1">
      <c r="A175" s="31"/>
      <c r="B175" s="28"/>
      <c r="C175" s="28"/>
      <c r="D175" s="28"/>
      <c r="E175" s="30" t="s">
        <v>513</v>
      </c>
      <c r="F175" s="108">
        <f t="shared" si="51"/>
        <v>47203000</v>
      </c>
      <c r="G175" s="108">
        <f>58904500-11701500</f>
        <v>47203000</v>
      </c>
      <c r="H175" s="108"/>
      <c r="I175" s="108"/>
      <c r="J175" s="108"/>
      <c r="K175" s="114">
        <f t="shared" si="48"/>
        <v>0</v>
      </c>
      <c r="L175" s="108"/>
      <c r="M175" s="108"/>
      <c r="N175" s="108"/>
      <c r="O175" s="108"/>
      <c r="P175" s="108"/>
      <c r="Q175" s="108">
        <f t="shared" si="47"/>
        <v>47203000</v>
      </c>
    </row>
    <row r="176" spans="1:17" s="32" customFormat="1" ht="15" customHeight="1">
      <c r="A176" s="31"/>
      <c r="B176" s="28">
        <v>1513046</v>
      </c>
      <c r="C176" s="28">
        <v>3046</v>
      </c>
      <c r="D176" s="28">
        <v>1040</v>
      </c>
      <c r="E176" s="30" t="s">
        <v>476</v>
      </c>
      <c r="F176" s="108">
        <f t="shared" si="51"/>
        <v>2590200</v>
      </c>
      <c r="G176" s="108">
        <v>2590200</v>
      </c>
      <c r="H176" s="108"/>
      <c r="I176" s="108"/>
      <c r="J176" s="108"/>
      <c r="K176" s="114">
        <f t="shared" si="48"/>
        <v>0</v>
      </c>
      <c r="L176" s="108"/>
      <c r="M176" s="108"/>
      <c r="N176" s="108"/>
      <c r="O176" s="108"/>
      <c r="P176" s="108"/>
      <c r="Q176" s="108">
        <f t="shared" si="47"/>
        <v>2590200</v>
      </c>
    </row>
    <row r="177" spans="1:17" s="32" customFormat="1" ht="15" customHeight="1">
      <c r="A177" s="31"/>
      <c r="B177" s="28"/>
      <c r="C177" s="28"/>
      <c r="D177" s="28"/>
      <c r="E177" s="30" t="s">
        <v>513</v>
      </c>
      <c r="F177" s="108">
        <f t="shared" si="51"/>
        <v>2590200</v>
      </c>
      <c r="G177" s="108">
        <v>2590200</v>
      </c>
      <c r="H177" s="108"/>
      <c r="I177" s="108"/>
      <c r="J177" s="108"/>
      <c r="K177" s="114">
        <f t="shared" si="48"/>
        <v>0</v>
      </c>
      <c r="L177" s="108"/>
      <c r="M177" s="108"/>
      <c r="N177" s="108"/>
      <c r="O177" s="108"/>
      <c r="P177" s="108"/>
      <c r="Q177" s="108">
        <f t="shared" si="47"/>
        <v>2590200</v>
      </c>
    </row>
    <row r="178" spans="1:17" s="32" customFormat="1" ht="19.5" customHeight="1">
      <c r="A178" s="31"/>
      <c r="B178" s="28">
        <v>1513047</v>
      </c>
      <c r="C178" s="28">
        <v>3047</v>
      </c>
      <c r="D178" s="28">
        <v>1040</v>
      </c>
      <c r="E178" s="30" t="s">
        <v>477</v>
      </c>
      <c r="F178" s="108">
        <f t="shared" si="51"/>
        <v>354300</v>
      </c>
      <c r="G178" s="108">
        <v>354300</v>
      </c>
      <c r="H178" s="108"/>
      <c r="I178" s="108"/>
      <c r="J178" s="108"/>
      <c r="K178" s="114">
        <f t="shared" si="48"/>
        <v>0</v>
      </c>
      <c r="L178" s="108"/>
      <c r="M178" s="108"/>
      <c r="N178" s="108"/>
      <c r="O178" s="108"/>
      <c r="P178" s="108"/>
      <c r="Q178" s="108">
        <f t="shared" si="47"/>
        <v>354300</v>
      </c>
    </row>
    <row r="179" spans="1:17" s="32" customFormat="1" ht="18.75" customHeight="1">
      <c r="A179" s="31"/>
      <c r="B179" s="28"/>
      <c r="C179" s="28"/>
      <c r="D179" s="28"/>
      <c r="E179" s="30" t="s">
        <v>513</v>
      </c>
      <c r="F179" s="108">
        <f t="shared" si="51"/>
        <v>354300</v>
      </c>
      <c r="G179" s="108">
        <v>354300</v>
      </c>
      <c r="H179" s="108"/>
      <c r="I179" s="108"/>
      <c r="J179" s="108"/>
      <c r="K179" s="114">
        <f t="shared" si="48"/>
        <v>0</v>
      </c>
      <c r="L179" s="108"/>
      <c r="M179" s="108"/>
      <c r="N179" s="108"/>
      <c r="O179" s="108"/>
      <c r="P179" s="108"/>
      <c r="Q179" s="108">
        <f t="shared" si="47"/>
        <v>354300</v>
      </c>
    </row>
    <row r="180" spans="1:17" s="32" customFormat="1" ht="30">
      <c r="A180" s="31"/>
      <c r="B180" s="28">
        <v>1513048</v>
      </c>
      <c r="C180" s="28">
        <v>3048</v>
      </c>
      <c r="D180" s="28">
        <v>1040</v>
      </c>
      <c r="E180" s="30" t="s">
        <v>478</v>
      </c>
      <c r="F180" s="108">
        <f t="shared" si="51"/>
        <v>48309400</v>
      </c>
      <c r="G180" s="108">
        <f>38809400+9500000</f>
        <v>48309400</v>
      </c>
      <c r="H180" s="108"/>
      <c r="I180" s="108"/>
      <c r="J180" s="108"/>
      <c r="K180" s="114">
        <f t="shared" si="48"/>
        <v>0</v>
      </c>
      <c r="L180" s="108"/>
      <c r="M180" s="108"/>
      <c r="N180" s="108"/>
      <c r="O180" s="108"/>
      <c r="P180" s="108"/>
      <c r="Q180" s="108">
        <f t="shared" si="47"/>
        <v>48309400</v>
      </c>
    </row>
    <row r="181" spans="1:17" s="32" customFormat="1" ht="18.75" customHeight="1">
      <c r="A181" s="31"/>
      <c r="B181" s="28"/>
      <c r="C181" s="28"/>
      <c r="D181" s="28"/>
      <c r="E181" s="30" t="s">
        <v>513</v>
      </c>
      <c r="F181" s="108">
        <f t="shared" si="51"/>
        <v>48309400</v>
      </c>
      <c r="G181" s="108">
        <f>38809400+9500000</f>
        <v>48309400</v>
      </c>
      <c r="H181" s="108"/>
      <c r="I181" s="108"/>
      <c r="J181" s="108"/>
      <c r="K181" s="114">
        <f t="shared" si="48"/>
        <v>0</v>
      </c>
      <c r="L181" s="108"/>
      <c r="M181" s="108"/>
      <c r="N181" s="108"/>
      <c r="O181" s="108"/>
      <c r="P181" s="108"/>
      <c r="Q181" s="108">
        <f t="shared" si="47"/>
        <v>48309400</v>
      </c>
    </row>
    <row r="182" spans="1:17" s="32" customFormat="1" ht="30">
      <c r="A182" s="31"/>
      <c r="B182" s="28">
        <v>1513049</v>
      </c>
      <c r="C182" s="28">
        <v>3049</v>
      </c>
      <c r="D182" s="28">
        <v>1010</v>
      </c>
      <c r="E182" s="30" t="s">
        <v>479</v>
      </c>
      <c r="F182" s="108">
        <f t="shared" si="51"/>
        <v>50695200</v>
      </c>
      <c r="G182" s="108">
        <f>50694000+1200</f>
        <v>50695200</v>
      </c>
      <c r="H182" s="108"/>
      <c r="I182" s="108"/>
      <c r="J182" s="108"/>
      <c r="K182" s="114">
        <f t="shared" si="48"/>
        <v>0</v>
      </c>
      <c r="L182" s="108"/>
      <c r="M182" s="108"/>
      <c r="N182" s="108"/>
      <c r="O182" s="108"/>
      <c r="P182" s="108"/>
      <c r="Q182" s="108">
        <f t="shared" si="47"/>
        <v>50695200</v>
      </c>
    </row>
    <row r="183" spans="1:17" s="32" customFormat="1" ht="22.5" customHeight="1">
      <c r="A183" s="31"/>
      <c r="B183" s="28"/>
      <c r="C183" s="28"/>
      <c r="D183" s="28"/>
      <c r="E183" s="30" t="s">
        <v>513</v>
      </c>
      <c r="F183" s="108">
        <f t="shared" si="51"/>
        <v>50695200</v>
      </c>
      <c r="G183" s="108">
        <f>50694000+1200</f>
        <v>50695200</v>
      </c>
      <c r="H183" s="108"/>
      <c r="I183" s="108"/>
      <c r="J183" s="108"/>
      <c r="K183" s="114">
        <f t="shared" si="48"/>
        <v>0</v>
      </c>
      <c r="L183" s="108"/>
      <c r="M183" s="108"/>
      <c r="N183" s="108"/>
      <c r="O183" s="108"/>
      <c r="P183" s="108"/>
      <c r="Q183" s="108">
        <f t="shared" si="47"/>
        <v>50695200</v>
      </c>
    </row>
    <row r="184" spans="1:31" s="15" customFormat="1" ht="38.25" customHeight="1">
      <c r="A184" s="23"/>
      <c r="B184" s="26">
        <v>1513050</v>
      </c>
      <c r="C184" s="26">
        <v>3050</v>
      </c>
      <c r="D184" s="26">
        <v>1070</v>
      </c>
      <c r="E184" s="24" t="s">
        <v>109</v>
      </c>
      <c r="F184" s="107">
        <f>G184+J184</f>
        <v>930500</v>
      </c>
      <c r="G184" s="107">
        <f>540500+390000</f>
        <v>930500</v>
      </c>
      <c r="H184" s="107"/>
      <c r="I184" s="107"/>
      <c r="J184" s="107"/>
      <c r="K184" s="110">
        <f t="shared" si="48"/>
        <v>0</v>
      </c>
      <c r="L184" s="107"/>
      <c r="M184" s="107"/>
      <c r="N184" s="107"/>
      <c r="O184" s="107"/>
      <c r="P184" s="107"/>
      <c r="Q184" s="107">
        <f t="shared" si="47"/>
        <v>930500</v>
      </c>
      <c r="R184" s="42"/>
      <c r="S184" s="42"/>
      <c r="T184" s="42"/>
      <c r="U184" s="42"/>
      <c r="V184" s="42"/>
      <c r="W184" s="42"/>
      <c r="X184" s="42"/>
      <c r="Y184" s="42"/>
      <c r="Z184" s="42"/>
      <c r="AA184" s="42"/>
      <c r="AB184" s="42"/>
      <c r="AC184" s="42"/>
      <c r="AD184" s="42"/>
      <c r="AE184" s="42"/>
    </row>
    <row r="185" spans="1:31" s="15" customFormat="1" ht="40.5" customHeight="1">
      <c r="A185" s="14"/>
      <c r="B185" s="127">
        <v>1513080</v>
      </c>
      <c r="C185" s="127">
        <v>3080</v>
      </c>
      <c r="D185" s="127">
        <v>1010</v>
      </c>
      <c r="E185" s="166" t="s">
        <v>524</v>
      </c>
      <c r="F185" s="107">
        <f>G185+J185</f>
        <v>9577500</v>
      </c>
      <c r="G185" s="107">
        <f>8977500+600000</f>
        <v>9577500</v>
      </c>
      <c r="H185" s="107"/>
      <c r="I185" s="107"/>
      <c r="J185" s="107"/>
      <c r="K185" s="110">
        <f t="shared" si="48"/>
        <v>0</v>
      </c>
      <c r="L185" s="107"/>
      <c r="M185" s="107"/>
      <c r="N185" s="107"/>
      <c r="O185" s="107"/>
      <c r="P185" s="107"/>
      <c r="Q185" s="107">
        <f t="shared" si="47"/>
        <v>9577500</v>
      </c>
      <c r="R185" s="42"/>
      <c r="S185" s="42"/>
      <c r="T185" s="42"/>
      <c r="U185" s="42"/>
      <c r="V185" s="42"/>
      <c r="W185" s="42"/>
      <c r="X185" s="42"/>
      <c r="Y185" s="42"/>
      <c r="Z185" s="42"/>
      <c r="AA185" s="42"/>
      <c r="AB185" s="42"/>
      <c r="AC185" s="42"/>
      <c r="AD185" s="42"/>
      <c r="AE185" s="42"/>
    </row>
    <row r="186" spans="1:31" s="15" customFormat="1" ht="15.75" customHeight="1">
      <c r="A186" s="14"/>
      <c r="B186" s="127"/>
      <c r="C186" s="127"/>
      <c r="D186" s="127"/>
      <c r="E186" s="166" t="s">
        <v>513</v>
      </c>
      <c r="F186" s="107">
        <f>G186+J186</f>
        <v>9577500</v>
      </c>
      <c r="G186" s="107">
        <f>8977500+600000</f>
        <v>9577500</v>
      </c>
      <c r="H186" s="107"/>
      <c r="I186" s="107"/>
      <c r="J186" s="107"/>
      <c r="K186" s="110">
        <f t="shared" si="48"/>
        <v>0</v>
      </c>
      <c r="L186" s="107"/>
      <c r="M186" s="107"/>
      <c r="N186" s="107"/>
      <c r="O186" s="107"/>
      <c r="P186" s="107"/>
      <c r="Q186" s="107">
        <f t="shared" si="47"/>
        <v>9577500</v>
      </c>
      <c r="R186" s="42"/>
      <c r="S186" s="42"/>
      <c r="T186" s="42"/>
      <c r="U186" s="42"/>
      <c r="V186" s="42"/>
      <c r="W186" s="42"/>
      <c r="X186" s="42"/>
      <c r="Y186" s="42"/>
      <c r="Z186" s="42"/>
      <c r="AA186" s="42"/>
      <c r="AB186" s="42"/>
      <c r="AC186" s="42"/>
      <c r="AD186" s="42"/>
      <c r="AE186" s="42"/>
    </row>
    <row r="187" spans="1:31" s="15" customFormat="1" ht="34.5" customHeight="1">
      <c r="A187" s="14"/>
      <c r="B187" s="127">
        <v>1513090</v>
      </c>
      <c r="C187" s="127">
        <v>3090</v>
      </c>
      <c r="D187" s="127">
        <v>1030</v>
      </c>
      <c r="E187" s="186" t="s">
        <v>480</v>
      </c>
      <c r="F187" s="107">
        <f>G187+J187</f>
        <v>196100</v>
      </c>
      <c r="G187" s="107">
        <v>196100</v>
      </c>
      <c r="H187" s="107"/>
      <c r="I187" s="107"/>
      <c r="J187" s="107"/>
      <c r="K187" s="110">
        <f t="shared" si="48"/>
        <v>0</v>
      </c>
      <c r="L187" s="107"/>
      <c r="M187" s="107"/>
      <c r="N187" s="107"/>
      <c r="O187" s="107"/>
      <c r="P187" s="107"/>
      <c r="Q187" s="107">
        <f t="shared" si="47"/>
        <v>196100</v>
      </c>
      <c r="R187" s="42"/>
      <c r="S187" s="42"/>
      <c r="T187" s="42"/>
      <c r="U187" s="42"/>
      <c r="V187" s="42"/>
      <c r="W187" s="42"/>
      <c r="X187" s="42"/>
      <c r="Y187" s="42"/>
      <c r="Z187" s="42"/>
      <c r="AA187" s="42"/>
      <c r="AB187" s="42"/>
      <c r="AC187" s="42"/>
      <c r="AD187" s="42"/>
      <c r="AE187" s="42"/>
    </row>
    <row r="188" spans="1:31" s="15" customFormat="1" ht="45" customHeight="1">
      <c r="A188" s="14"/>
      <c r="B188" s="127">
        <v>1513100</v>
      </c>
      <c r="C188" s="127">
        <v>3100</v>
      </c>
      <c r="D188" s="127"/>
      <c r="E188" s="166" t="s">
        <v>110</v>
      </c>
      <c r="F188" s="110">
        <f>F189</f>
        <v>8342482</v>
      </c>
      <c r="G188" s="110">
        <f aca="true" t="shared" si="52" ref="G188:P188">G189</f>
        <v>8342482</v>
      </c>
      <c r="H188" s="110">
        <f t="shared" si="52"/>
        <v>6253700</v>
      </c>
      <c r="I188" s="110">
        <f t="shared" si="52"/>
        <v>195000</v>
      </c>
      <c r="J188" s="110">
        <f t="shared" si="52"/>
        <v>0</v>
      </c>
      <c r="K188" s="110">
        <f t="shared" si="52"/>
        <v>66803</v>
      </c>
      <c r="L188" s="110">
        <f t="shared" si="52"/>
        <v>48900</v>
      </c>
      <c r="M188" s="110">
        <f t="shared" si="52"/>
        <v>39000</v>
      </c>
      <c r="N188" s="110">
        <f t="shared" si="52"/>
        <v>0</v>
      </c>
      <c r="O188" s="110">
        <f t="shared" si="52"/>
        <v>17903</v>
      </c>
      <c r="P188" s="110">
        <f t="shared" si="52"/>
        <v>17903</v>
      </c>
      <c r="Q188" s="110">
        <f t="shared" si="47"/>
        <v>8409285</v>
      </c>
      <c r="R188" s="42"/>
      <c r="S188" s="42"/>
      <c r="T188" s="42"/>
      <c r="U188" s="42"/>
      <c r="V188" s="42"/>
      <c r="W188" s="42"/>
      <c r="X188" s="42"/>
      <c r="Y188" s="42"/>
      <c r="Z188" s="42"/>
      <c r="AA188" s="42"/>
      <c r="AB188" s="42"/>
      <c r="AC188" s="42"/>
      <c r="AD188" s="42"/>
      <c r="AE188" s="42"/>
    </row>
    <row r="189" spans="1:31" s="34" customFormat="1" ht="63" customHeight="1">
      <c r="A189" s="33"/>
      <c r="B189" s="28">
        <v>1513104</v>
      </c>
      <c r="C189" s="28">
        <v>3104</v>
      </c>
      <c r="D189" s="28">
        <v>1020</v>
      </c>
      <c r="E189" s="30" t="s">
        <v>111</v>
      </c>
      <c r="F189" s="108">
        <f>G189+J189</f>
        <v>8342482</v>
      </c>
      <c r="G189" s="108">
        <f>8537800-266700+43782+4000+6000+17600</f>
        <v>8342482</v>
      </c>
      <c r="H189" s="108">
        <f>6483800-230100</f>
        <v>6253700</v>
      </c>
      <c r="I189" s="108">
        <f>181600+13400</f>
        <v>195000</v>
      </c>
      <c r="J189" s="108"/>
      <c r="K189" s="108">
        <f>L189+O189</f>
        <v>66803</v>
      </c>
      <c r="L189" s="108">
        <v>48900</v>
      </c>
      <c r="M189" s="108">
        <v>39000</v>
      </c>
      <c r="N189" s="108"/>
      <c r="O189" s="108">
        <f>10000+7903</f>
        <v>17903</v>
      </c>
      <c r="P189" s="108">
        <f>10000+7903</f>
        <v>17903</v>
      </c>
      <c r="Q189" s="108">
        <f t="shared" si="47"/>
        <v>8409285</v>
      </c>
      <c r="R189" s="32"/>
      <c r="S189" s="32"/>
      <c r="T189" s="32"/>
      <c r="U189" s="32"/>
      <c r="V189" s="32"/>
      <c r="W189" s="32"/>
      <c r="X189" s="32"/>
      <c r="Y189" s="32"/>
      <c r="Z189" s="32"/>
      <c r="AA189" s="32"/>
      <c r="AB189" s="32"/>
      <c r="AC189" s="32"/>
      <c r="AD189" s="32"/>
      <c r="AE189" s="32"/>
    </row>
    <row r="190" spans="1:31" s="15" customFormat="1" ht="76.5" customHeight="1">
      <c r="A190" s="23"/>
      <c r="B190" s="26">
        <v>1513180</v>
      </c>
      <c r="C190" s="26">
        <v>3180</v>
      </c>
      <c r="D190" s="26"/>
      <c r="E190" s="24" t="s">
        <v>112</v>
      </c>
      <c r="F190" s="110">
        <f>F191+F192+F193</f>
        <v>1715937</v>
      </c>
      <c r="G190" s="110">
        <f aca="true" t="shared" si="53" ref="G190:Q190">G191+G192+G193</f>
        <v>1715937</v>
      </c>
      <c r="H190" s="110">
        <f t="shared" si="53"/>
        <v>0</v>
      </c>
      <c r="I190" s="110">
        <f t="shared" si="53"/>
        <v>0</v>
      </c>
      <c r="J190" s="110">
        <f t="shared" si="53"/>
        <v>0</v>
      </c>
      <c r="K190" s="110">
        <f t="shared" si="53"/>
        <v>0</v>
      </c>
      <c r="L190" s="110">
        <f t="shared" si="53"/>
        <v>0</v>
      </c>
      <c r="M190" s="110">
        <f t="shared" si="53"/>
        <v>0</v>
      </c>
      <c r="N190" s="110">
        <f t="shared" si="53"/>
        <v>0</v>
      </c>
      <c r="O190" s="110">
        <f t="shared" si="53"/>
        <v>0</v>
      </c>
      <c r="P190" s="110">
        <f t="shared" si="53"/>
        <v>0</v>
      </c>
      <c r="Q190" s="110">
        <f t="shared" si="53"/>
        <v>1715937</v>
      </c>
      <c r="R190" s="42"/>
      <c r="S190" s="42"/>
      <c r="T190" s="42"/>
      <c r="U190" s="42"/>
      <c r="V190" s="42"/>
      <c r="W190" s="42"/>
      <c r="X190" s="42"/>
      <c r="Y190" s="42"/>
      <c r="Z190" s="42"/>
      <c r="AA190" s="42"/>
      <c r="AB190" s="42"/>
      <c r="AC190" s="42"/>
      <c r="AD190" s="42"/>
      <c r="AE190" s="42"/>
    </row>
    <row r="191" spans="1:31" s="34" customFormat="1" ht="70.5" customHeight="1">
      <c r="A191" s="33"/>
      <c r="B191" s="28">
        <v>1513181</v>
      </c>
      <c r="C191" s="28">
        <v>3181</v>
      </c>
      <c r="D191" s="28">
        <v>1010</v>
      </c>
      <c r="E191" s="30" t="s">
        <v>113</v>
      </c>
      <c r="F191" s="108">
        <f>G191+J191</f>
        <v>1534100</v>
      </c>
      <c r="G191" s="108">
        <v>1534100</v>
      </c>
      <c r="H191" s="108"/>
      <c r="I191" s="108"/>
      <c r="J191" s="108"/>
      <c r="K191" s="108">
        <f>L191+O191</f>
        <v>0</v>
      </c>
      <c r="L191" s="108"/>
      <c r="M191" s="108"/>
      <c r="N191" s="108"/>
      <c r="O191" s="108"/>
      <c r="P191" s="108"/>
      <c r="Q191" s="108">
        <f t="shared" si="47"/>
        <v>1534100</v>
      </c>
      <c r="R191" s="32"/>
      <c r="S191" s="32"/>
      <c r="T191" s="32"/>
      <c r="U191" s="32"/>
      <c r="V191" s="32"/>
      <c r="W191" s="32"/>
      <c r="X191" s="32"/>
      <c r="Y191" s="32"/>
      <c r="Z191" s="32"/>
      <c r="AA191" s="32"/>
      <c r="AB191" s="32"/>
      <c r="AC191" s="32"/>
      <c r="AD191" s="32"/>
      <c r="AE191" s="32"/>
    </row>
    <row r="192" spans="1:31" s="34" customFormat="1" ht="45" customHeight="1">
      <c r="A192" s="33"/>
      <c r="B192" s="28">
        <v>1513182</v>
      </c>
      <c r="C192" s="28">
        <v>3182</v>
      </c>
      <c r="D192" s="28">
        <v>1010</v>
      </c>
      <c r="E192" s="30" t="s">
        <v>481</v>
      </c>
      <c r="F192" s="108">
        <f>G192+J192</f>
        <v>176637</v>
      </c>
      <c r="G192" s="108">
        <v>176637</v>
      </c>
      <c r="H192" s="108"/>
      <c r="I192" s="108"/>
      <c r="J192" s="108"/>
      <c r="K192" s="108">
        <f>L192+O192</f>
        <v>0</v>
      </c>
      <c r="L192" s="108"/>
      <c r="M192" s="108"/>
      <c r="N192" s="108"/>
      <c r="O192" s="108"/>
      <c r="P192" s="108"/>
      <c r="Q192" s="108">
        <f t="shared" si="47"/>
        <v>176637</v>
      </c>
      <c r="R192" s="32"/>
      <c r="S192" s="32"/>
      <c r="T192" s="32"/>
      <c r="U192" s="32"/>
      <c r="V192" s="32"/>
      <c r="W192" s="32"/>
      <c r="X192" s="32"/>
      <c r="Y192" s="32"/>
      <c r="Z192" s="32"/>
      <c r="AA192" s="32"/>
      <c r="AB192" s="32"/>
      <c r="AC192" s="32"/>
      <c r="AD192" s="32"/>
      <c r="AE192" s="32"/>
    </row>
    <row r="193" spans="1:31" s="34" customFormat="1" ht="20.25" customHeight="1">
      <c r="A193" s="33"/>
      <c r="B193" s="28">
        <v>1513183</v>
      </c>
      <c r="C193" s="28">
        <v>3183</v>
      </c>
      <c r="D193" s="28">
        <v>1010</v>
      </c>
      <c r="E193" s="30" t="s">
        <v>482</v>
      </c>
      <c r="F193" s="108">
        <f>G193+J193</f>
        <v>5200</v>
      </c>
      <c r="G193" s="108">
        <v>5200</v>
      </c>
      <c r="H193" s="108"/>
      <c r="I193" s="108"/>
      <c r="J193" s="108"/>
      <c r="K193" s="108">
        <f>L193+O193</f>
        <v>0</v>
      </c>
      <c r="L193" s="108"/>
      <c r="M193" s="108"/>
      <c r="N193" s="108"/>
      <c r="O193" s="108"/>
      <c r="P193" s="108"/>
      <c r="Q193" s="108">
        <f t="shared" si="47"/>
        <v>5200</v>
      </c>
      <c r="R193" s="32"/>
      <c r="S193" s="32"/>
      <c r="T193" s="32"/>
      <c r="U193" s="32"/>
      <c r="V193" s="32"/>
      <c r="W193" s="32"/>
      <c r="X193" s="32"/>
      <c r="Y193" s="32"/>
      <c r="Z193" s="32"/>
      <c r="AA193" s="32"/>
      <c r="AB193" s="32"/>
      <c r="AC193" s="32"/>
      <c r="AD193" s="32"/>
      <c r="AE193" s="32"/>
    </row>
    <row r="194" spans="1:31" s="15" customFormat="1" ht="81.75" customHeight="1">
      <c r="A194" s="23"/>
      <c r="B194" s="26">
        <v>1513190</v>
      </c>
      <c r="C194" s="26">
        <v>3190</v>
      </c>
      <c r="D194" s="26">
        <v>1060</v>
      </c>
      <c r="E194" s="24" t="s">
        <v>114</v>
      </c>
      <c r="F194" s="107">
        <f>G194+J194</f>
        <v>1832454</v>
      </c>
      <c r="G194" s="107">
        <v>1832454</v>
      </c>
      <c r="H194" s="107"/>
      <c r="I194" s="107"/>
      <c r="J194" s="107"/>
      <c r="K194" s="107">
        <f>L194+O194</f>
        <v>0</v>
      </c>
      <c r="L194" s="107"/>
      <c r="M194" s="107"/>
      <c r="N194" s="107"/>
      <c r="O194" s="107"/>
      <c r="P194" s="107"/>
      <c r="Q194" s="107">
        <f t="shared" si="47"/>
        <v>1832454</v>
      </c>
      <c r="R194" s="42"/>
      <c r="S194" s="42"/>
      <c r="T194" s="42"/>
      <c r="U194" s="42"/>
      <c r="V194" s="42"/>
      <c r="W194" s="42"/>
      <c r="X194" s="42"/>
      <c r="Y194" s="42"/>
      <c r="Z194" s="42"/>
      <c r="AA194" s="42"/>
      <c r="AB194" s="42"/>
      <c r="AC194" s="42"/>
      <c r="AD194" s="42"/>
      <c r="AE194" s="42"/>
    </row>
    <row r="195" spans="1:31" s="15" customFormat="1" ht="21.75" customHeight="1">
      <c r="A195" s="14"/>
      <c r="B195" s="127">
        <v>1513200</v>
      </c>
      <c r="C195" s="127">
        <v>3200</v>
      </c>
      <c r="D195" s="127"/>
      <c r="E195" s="166" t="s">
        <v>115</v>
      </c>
      <c r="F195" s="110">
        <f>F196+F197</f>
        <v>2493045</v>
      </c>
      <c r="G195" s="110">
        <f aca="true" t="shared" si="54" ref="G195:P195">G196+G197</f>
        <v>2493045</v>
      </c>
      <c r="H195" s="110">
        <f t="shared" si="54"/>
        <v>0</v>
      </c>
      <c r="I195" s="110">
        <f t="shared" si="54"/>
        <v>0</v>
      </c>
      <c r="J195" s="110">
        <f t="shared" si="54"/>
        <v>0</v>
      </c>
      <c r="K195" s="110">
        <f t="shared" si="54"/>
        <v>0</v>
      </c>
      <c r="L195" s="110">
        <f t="shared" si="54"/>
        <v>0</v>
      </c>
      <c r="M195" s="110">
        <f t="shared" si="54"/>
        <v>0</v>
      </c>
      <c r="N195" s="110">
        <f t="shared" si="54"/>
        <v>0</v>
      </c>
      <c r="O195" s="110">
        <f t="shared" si="54"/>
        <v>0</v>
      </c>
      <c r="P195" s="110">
        <f t="shared" si="54"/>
        <v>0</v>
      </c>
      <c r="Q195" s="110">
        <f t="shared" si="47"/>
        <v>2493045</v>
      </c>
      <c r="R195" s="42"/>
      <c r="S195" s="42"/>
      <c r="T195" s="42"/>
      <c r="U195" s="42"/>
      <c r="V195" s="42"/>
      <c r="W195" s="42"/>
      <c r="X195" s="42"/>
      <c r="Y195" s="42"/>
      <c r="Z195" s="42"/>
      <c r="AA195" s="42"/>
      <c r="AB195" s="42"/>
      <c r="AC195" s="42"/>
      <c r="AD195" s="42"/>
      <c r="AE195" s="42"/>
    </row>
    <row r="196" spans="1:31" s="34" customFormat="1" ht="31.5" customHeight="1">
      <c r="A196" s="33"/>
      <c r="B196" s="28">
        <v>1513201</v>
      </c>
      <c r="C196" s="28">
        <v>3201</v>
      </c>
      <c r="D196" s="28">
        <v>1030</v>
      </c>
      <c r="E196" s="30" t="s">
        <v>21</v>
      </c>
      <c r="F196" s="108">
        <f>G196+J196</f>
        <v>1379035</v>
      </c>
      <c r="G196" s="108">
        <f>1346729+73171-9791-1580-29494</f>
        <v>1379035</v>
      </c>
      <c r="H196" s="108"/>
      <c r="I196" s="108"/>
      <c r="J196" s="108"/>
      <c r="K196" s="108">
        <f>L196+O196</f>
        <v>0</v>
      </c>
      <c r="L196" s="108"/>
      <c r="M196" s="108"/>
      <c r="N196" s="108"/>
      <c r="O196" s="108"/>
      <c r="P196" s="108"/>
      <c r="Q196" s="108">
        <f t="shared" si="47"/>
        <v>1379035</v>
      </c>
      <c r="R196" s="32"/>
      <c r="S196" s="32"/>
      <c r="T196" s="32"/>
      <c r="U196" s="32"/>
      <c r="V196" s="32"/>
      <c r="W196" s="32"/>
      <c r="X196" s="32"/>
      <c r="Y196" s="32"/>
      <c r="Z196" s="32"/>
      <c r="AA196" s="32"/>
      <c r="AB196" s="32"/>
      <c r="AC196" s="32"/>
      <c r="AD196" s="32"/>
      <c r="AE196" s="32"/>
    </row>
    <row r="197" spans="1:31" s="15" customFormat="1" ht="45">
      <c r="A197" s="23"/>
      <c r="B197" s="25">
        <v>1513202</v>
      </c>
      <c r="C197" s="25">
        <v>3202</v>
      </c>
      <c r="D197" s="25">
        <v>1030</v>
      </c>
      <c r="E197" s="20" t="s">
        <v>116</v>
      </c>
      <c r="F197" s="108">
        <f>G197+J197</f>
        <v>1114010</v>
      </c>
      <c r="G197" s="108">
        <f>863275+249155+1580</f>
        <v>1114010</v>
      </c>
      <c r="H197" s="108"/>
      <c r="I197" s="108"/>
      <c r="J197" s="108"/>
      <c r="K197" s="108">
        <f>L197+O197</f>
        <v>0</v>
      </c>
      <c r="L197" s="108"/>
      <c r="M197" s="108"/>
      <c r="N197" s="108"/>
      <c r="O197" s="108"/>
      <c r="P197" s="108"/>
      <c r="Q197" s="108">
        <f t="shared" si="47"/>
        <v>1114010</v>
      </c>
      <c r="R197" s="42"/>
      <c r="S197" s="42"/>
      <c r="T197" s="42"/>
      <c r="U197" s="42"/>
      <c r="V197" s="42"/>
      <c r="W197" s="42"/>
      <c r="X197" s="42"/>
      <c r="Y197" s="42"/>
      <c r="Z197" s="42"/>
      <c r="AA197" s="42"/>
      <c r="AB197" s="42"/>
      <c r="AC197" s="42"/>
      <c r="AD197" s="42"/>
      <c r="AE197" s="42"/>
    </row>
    <row r="198" spans="1:31" s="15" customFormat="1" ht="30">
      <c r="A198" s="14"/>
      <c r="B198" s="127">
        <v>1513220</v>
      </c>
      <c r="C198" s="127">
        <v>3220</v>
      </c>
      <c r="D198" s="127">
        <v>1090</v>
      </c>
      <c r="E198" s="166" t="s">
        <v>211</v>
      </c>
      <c r="F198" s="107">
        <f>G198+J198</f>
        <v>160000</v>
      </c>
      <c r="G198" s="107">
        <f>90000+70000</f>
        <v>160000</v>
      </c>
      <c r="H198" s="107"/>
      <c r="I198" s="107"/>
      <c r="J198" s="107"/>
      <c r="K198" s="107"/>
      <c r="L198" s="107"/>
      <c r="M198" s="107"/>
      <c r="N198" s="107"/>
      <c r="O198" s="107"/>
      <c r="P198" s="107"/>
      <c r="Q198" s="107">
        <f t="shared" si="47"/>
        <v>160000</v>
      </c>
      <c r="R198" s="42"/>
      <c r="S198" s="42"/>
      <c r="T198" s="42"/>
      <c r="U198" s="42"/>
      <c r="V198" s="42"/>
      <c r="W198" s="42"/>
      <c r="X198" s="42"/>
      <c r="Y198" s="42"/>
      <c r="Z198" s="42"/>
      <c r="AA198" s="42"/>
      <c r="AB198" s="42"/>
      <c r="AC198" s="42"/>
      <c r="AD198" s="42"/>
      <c r="AE198" s="42"/>
    </row>
    <row r="199" spans="1:31" s="15" customFormat="1" ht="28.5" customHeight="1">
      <c r="A199" s="14"/>
      <c r="B199" s="78" t="s">
        <v>239</v>
      </c>
      <c r="C199" s="78" t="s">
        <v>399</v>
      </c>
      <c r="D199" s="78" t="s">
        <v>400</v>
      </c>
      <c r="E199" s="166" t="s">
        <v>206</v>
      </c>
      <c r="F199" s="108">
        <f>G199+I199</f>
        <v>385600</v>
      </c>
      <c r="G199" s="110">
        <f>285600+100000</f>
        <v>385600</v>
      </c>
      <c r="H199" s="110">
        <f>234192+81965</f>
        <v>316157</v>
      </c>
      <c r="I199" s="110"/>
      <c r="J199" s="110"/>
      <c r="K199" s="110">
        <f>L199+O199</f>
        <v>0</v>
      </c>
      <c r="L199" s="110"/>
      <c r="M199" s="110"/>
      <c r="N199" s="110"/>
      <c r="O199" s="110"/>
      <c r="P199" s="110"/>
      <c r="Q199" s="110">
        <f t="shared" si="47"/>
        <v>385600</v>
      </c>
      <c r="R199" s="42"/>
      <c r="S199" s="42"/>
      <c r="T199" s="42"/>
      <c r="U199" s="42"/>
      <c r="V199" s="42"/>
      <c r="W199" s="42"/>
      <c r="X199" s="42"/>
      <c r="Y199" s="42"/>
      <c r="Z199" s="42"/>
      <c r="AA199" s="42"/>
      <c r="AB199" s="42"/>
      <c r="AC199" s="42"/>
      <c r="AD199" s="42"/>
      <c r="AE199" s="42"/>
    </row>
    <row r="200" spans="1:31" s="15" customFormat="1" ht="22.5" customHeight="1">
      <c r="A200" s="14"/>
      <c r="B200" s="127">
        <v>1513300</v>
      </c>
      <c r="C200" s="127">
        <v>3300</v>
      </c>
      <c r="D200" s="127">
        <v>1090</v>
      </c>
      <c r="E200" s="166" t="s">
        <v>22</v>
      </c>
      <c r="F200" s="107">
        <f>F201+F202</f>
        <v>4072100</v>
      </c>
      <c r="G200" s="107">
        <f aca="true" t="shared" si="55" ref="G200:P200">G201+G202</f>
        <v>4072100</v>
      </c>
      <c r="H200" s="107">
        <f t="shared" si="55"/>
        <v>2374100</v>
      </c>
      <c r="I200" s="107">
        <f t="shared" si="55"/>
        <v>760100</v>
      </c>
      <c r="J200" s="107">
        <f t="shared" si="55"/>
        <v>0</v>
      </c>
      <c r="K200" s="107">
        <f t="shared" si="55"/>
        <v>851500</v>
      </c>
      <c r="L200" s="107">
        <f t="shared" si="55"/>
        <v>0</v>
      </c>
      <c r="M200" s="107">
        <f t="shared" si="55"/>
        <v>0</v>
      </c>
      <c r="N200" s="107">
        <f t="shared" si="55"/>
        <v>0</v>
      </c>
      <c r="O200" s="107">
        <f t="shared" si="55"/>
        <v>851500</v>
      </c>
      <c r="P200" s="107">
        <f t="shared" si="55"/>
        <v>851500</v>
      </c>
      <c r="Q200" s="107">
        <f t="shared" si="47"/>
        <v>4923600</v>
      </c>
      <c r="R200" s="42"/>
      <c r="S200" s="42"/>
      <c r="T200" s="42"/>
      <c r="U200" s="42"/>
      <c r="V200" s="42"/>
      <c r="W200" s="42"/>
      <c r="X200" s="42"/>
      <c r="Y200" s="42"/>
      <c r="Z200" s="42"/>
      <c r="AA200" s="42"/>
      <c r="AB200" s="42"/>
      <c r="AC200" s="42"/>
      <c r="AD200" s="42"/>
      <c r="AE200" s="42"/>
    </row>
    <row r="201" spans="1:31" s="34" customFormat="1" ht="42.75" customHeight="1">
      <c r="A201" s="33"/>
      <c r="B201" s="28">
        <v>1513300</v>
      </c>
      <c r="C201" s="28">
        <v>3300</v>
      </c>
      <c r="D201" s="29" t="s">
        <v>259</v>
      </c>
      <c r="E201" s="30" t="s">
        <v>212</v>
      </c>
      <c r="F201" s="108">
        <f>G201+J201</f>
        <v>1610100</v>
      </c>
      <c r="G201" s="108">
        <f>1599700-25600+30000+6000</f>
        <v>1610100</v>
      </c>
      <c r="H201" s="108">
        <f>1030700-38500</f>
        <v>992200</v>
      </c>
      <c r="I201" s="108">
        <f>152700+25400</f>
        <v>178100</v>
      </c>
      <c r="J201" s="114"/>
      <c r="K201" s="114">
        <f>L201+O201</f>
        <v>251500</v>
      </c>
      <c r="L201" s="114"/>
      <c r="M201" s="114"/>
      <c r="N201" s="114"/>
      <c r="O201" s="108">
        <f>257500-6000</f>
        <v>251500</v>
      </c>
      <c r="P201" s="108">
        <f>257500-6000</f>
        <v>251500</v>
      </c>
      <c r="Q201" s="108">
        <f t="shared" si="47"/>
        <v>1861600</v>
      </c>
      <c r="R201" s="32"/>
      <c r="S201" s="32"/>
      <c r="T201" s="32"/>
      <c r="U201" s="32"/>
      <c r="V201" s="32"/>
      <c r="W201" s="32"/>
      <c r="X201" s="32"/>
      <c r="Y201" s="32"/>
      <c r="Z201" s="32"/>
      <c r="AA201" s="32"/>
      <c r="AB201" s="32"/>
      <c r="AC201" s="32"/>
      <c r="AD201" s="32"/>
      <c r="AE201" s="32"/>
    </row>
    <row r="202" spans="1:31" s="34" customFormat="1" ht="66.75" customHeight="1">
      <c r="A202" s="33"/>
      <c r="B202" s="28">
        <v>1513300</v>
      </c>
      <c r="C202" s="28">
        <v>3300</v>
      </c>
      <c r="D202" s="29" t="s">
        <v>259</v>
      </c>
      <c r="E202" s="30" t="s">
        <v>240</v>
      </c>
      <c r="F202" s="108">
        <f>G202+J202</f>
        <v>2462000</v>
      </c>
      <c r="G202" s="108">
        <f>2434500+27500</f>
        <v>2462000</v>
      </c>
      <c r="H202" s="108">
        <f>1432200-50300</f>
        <v>1381900</v>
      </c>
      <c r="I202" s="108">
        <f>493100+88900</f>
        <v>582000</v>
      </c>
      <c r="J202" s="114"/>
      <c r="K202" s="114">
        <f>L202+O202</f>
        <v>600000</v>
      </c>
      <c r="L202" s="114"/>
      <c r="M202" s="114"/>
      <c r="N202" s="114"/>
      <c r="O202" s="108">
        <v>600000</v>
      </c>
      <c r="P202" s="108">
        <v>600000</v>
      </c>
      <c r="Q202" s="108">
        <f t="shared" si="47"/>
        <v>3062000</v>
      </c>
      <c r="R202" s="32"/>
      <c r="S202" s="32"/>
      <c r="T202" s="32"/>
      <c r="U202" s="32"/>
      <c r="V202" s="32"/>
      <c r="W202" s="32"/>
      <c r="X202" s="32"/>
      <c r="Y202" s="32"/>
      <c r="Z202" s="32"/>
      <c r="AA202" s="32"/>
      <c r="AB202" s="32"/>
      <c r="AC202" s="32"/>
      <c r="AD202" s="32"/>
      <c r="AE202" s="32"/>
    </row>
    <row r="203" spans="1:31" s="15" customFormat="1" ht="17.25" customHeight="1">
      <c r="A203" s="23"/>
      <c r="B203" s="21" t="s">
        <v>117</v>
      </c>
      <c r="C203" s="21" t="s">
        <v>402</v>
      </c>
      <c r="D203" s="21" t="s">
        <v>259</v>
      </c>
      <c r="E203" s="24" t="s">
        <v>11</v>
      </c>
      <c r="F203" s="107">
        <f>F204+F205+F206</f>
        <v>30275440</v>
      </c>
      <c r="G203" s="107">
        <f>G204+G205+G206</f>
        <v>30275440</v>
      </c>
      <c r="H203" s="107">
        <f aca="true" t="shared" si="56" ref="H203:Q203">H204+H205+H206</f>
        <v>0</v>
      </c>
      <c r="I203" s="107">
        <f t="shared" si="56"/>
        <v>0</v>
      </c>
      <c r="J203" s="107">
        <f t="shared" si="56"/>
        <v>0</v>
      </c>
      <c r="K203" s="107">
        <f t="shared" si="56"/>
        <v>0</v>
      </c>
      <c r="L203" s="107">
        <f t="shared" si="56"/>
        <v>0</v>
      </c>
      <c r="M203" s="107">
        <f t="shared" si="56"/>
        <v>0</v>
      </c>
      <c r="N203" s="107">
        <f t="shared" si="56"/>
        <v>0</v>
      </c>
      <c r="O203" s="107">
        <f t="shared" si="56"/>
        <v>0</v>
      </c>
      <c r="P203" s="107">
        <f t="shared" si="56"/>
        <v>0</v>
      </c>
      <c r="Q203" s="107">
        <f t="shared" si="56"/>
        <v>30275440</v>
      </c>
      <c r="R203" s="42"/>
      <c r="S203" s="42"/>
      <c r="T203" s="42"/>
      <c r="U203" s="42"/>
      <c r="V203" s="42"/>
      <c r="W203" s="42"/>
      <c r="X203" s="42"/>
      <c r="Y203" s="42"/>
      <c r="Z203" s="42"/>
      <c r="AA203" s="42"/>
      <c r="AB203" s="42"/>
      <c r="AC203" s="42"/>
      <c r="AD203" s="42"/>
      <c r="AE203" s="42"/>
    </row>
    <row r="204" spans="1:31" s="34" customFormat="1" ht="40.5" customHeight="1">
      <c r="A204" s="33"/>
      <c r="B204" s="29" t="s">
        <v>117</v>
      </c>
      <c r="C204" s="29" t="s">
        <v>402</v>
      </c>
      <c r="D204" s="29" t="s">
        <v>259</v>
      </c>
      <c r="E204" s="30" t="s">
        <v>416</v>
      </c>
      <c r="F204" s="108">
        <f>G204+J204</f>
        <v>5201736</v>
      </c>
      <c r="G204" s="108">
        <f>2263526+193500+129000+400000+569700+320310+20000+270000-15000+715865+45000+8591+139835+75000+29494+5415+5000+26500</f>
        <v>5201736</v>
      </c>
      <c r="H204" s="108"/>
      <c r="I204" s="108"/>
      <c r="J204" s="108"/>
      <c r="K204" s="108">
        <f>L204+O204</f>
        <v>0</v>
      </c>
      <c r="L204" s="108"/>
      <c r="M204" s="108"/>
      <c r="N204" s="108"/>
      <c r="O204" s="108"/>
      <c r="P204" s="108"/>
      <c r="Q204" s="108">
        <f t="shared" si="47"/>
        <v>5201736</v>
      </c>
      <c r="R204" s="32"/>
      <c r="S204" s="32"/>
      <c r="T204" s="32"/>
      <c r="U204" s="32"/>
      <c r="V204" s="32"/>
      <c r="W204" s="32"/>
      <c r="X204" s="32"/>
      <c r="Y204" s="32"/>
      <c r="Z204" s="32"/>
      <c r="AA204" s="32"/>
      <c r="AB204" s="32"/>
      <c r="AC204" s="32"/>
      <c r="AD204" s="32"/>
      <c r="AE204" s="32"/>
    </row>
    <row r="205" spans="1:31" s="34" customFormat="1" ht="45" customHeight="1">
      <c r="A205" s="33"/>
      <c r="B205" s="29" t="s">
        <v>117</v>
      </c>
      <c r="C205" s="29" t="s">
        <v>402</v>
      </c>
      <c r="D205" s="29" t="s">
        <v>259</v>
      </c>
      <c r="E205" s="30" t="s">
        <v>427</v>
      </c>
      <c r="F205" s="108">
        <f>G205+J205</f>
        <v>24750704</v>
      </c>
      <c r="G205" s="108">
        <f>2749504+1000000+21000000+1200</f>
        <v>24750704</v>
      </c>
      <c r="H205" s="108"/>
      <c r="I205" s="108"/>
      <c r="J205" s="108"/>
      <c r="K205" s="108">
        <f>L205+O205</f>
        <v>0</v>
      </c>
      <c r="L205" s="108"/>
      <c r="M205" s="108"/>
      <c r="N205" s="108"/>
      <c r="O205" s="108"/>
      <c r="P205" s="108"/>
      <c r="Q205" s="108">
        <f t="shared" si="47"/>
        <v>24750704</v>
      </c>
      <c r="R205" s="32"/>
      <c r="S205" s="32"/>
      <c r="T205" s="32"/>
      <c r="U205" s="32"/>
      <c r="V205" s="32"/>
      <c r="W205" s="32"/>
      <c r="X205" s="32"/>
      <c r="Y205" s="32"/>
      <c r="Z205" s="32"/>
      <c r="AA205" s="32"/>
      <c r="AB205" s="32"/>
      <c r="AC205" s="32"/>
      <c r="AD205" s="32"/>
      <c r="AE205" s="32"/>
    </row>
    <row r="206" spans="1:31" s="34" customFormat="1" ht="28.5" customHeight="1">
      <c r="A206" s="33"/>
      <c r="B206" s="29" t="s">
        <v>117</v>
      </c>
      <c r="C206" s="29" t="s">
        <v>402</v>
      </c>
      <c r="D206" s="29" t="s">
        <v>259</v>
      </c>
      <c r="E206" s="30" t="s">
        <v>483</v>
      </c>
      <c r="F206" s="108">
        <f>G206+J206</f>
        <v>323000</v>
      </c>
      <c r="G206" s="108">
        <v>323000</v>
      </c>
      <c r="H206" s="108"/>
      <c r="I206" s="108"/>
      <c r="J206" s="108"/>
      <c r="K206" s="108">
        <f>L206+O206</f>
        <v>0</v>
      </c>
      <c r="L206" s="108"/>
      <c r="M206" s="108"/>
      <c r="N206" s="108"/>
      <c r="O206" s="108"/>
      <c r="P206" s="108"/>
      <c r="Q206" s="108">
        <f t="shared" si="47"/>
        <v>323000</v>
      </c>
      <c r="R206" s="32"/>
      <c r="S206" s="32"/>
      <c r="T206" s="32"/>
      <c r="U206" s="32"/>
      <c r="V206" s="32"/>
      <c r="W206" s="32"/>
      <c r="X206" s="32"/>
      <c r="Y206" s="32"/>
      <c r="Z206" s="32"/>
      <c r="AA206" s="32"/>
      <c r="AB206" s="32"/>
      <c r="AC206" s="32"/>
      <c r="AD206" s="32"/>
      <c r="AE206" s="32"/>
    </row>
    <row r="207" spans="1:31" s="34" customFormat="1" ht="23.25" customHeight="1">
      <c r="A207" s="33"/>
      <c r="B207" s="27" t="s">
        <v>380</v>
      </c>
      <c r="C207" s="27" t="s">
        <v>341</v>
      </c>
      <c r="D207" s="27" t="s">
        <v>342</v>
      </c>
      <c r="E207" s="24" t="s">
        <v>154</v>
      </c>
      <c r="F207" s="108">
        <f>G207+J207</f>
        <v>0</v>
      </c>
      <c r="G207" s="108"/>
      <c r="H207" s="107"/>
      <c r="I207" s="107"/>
      <c r="J207" s="107"/>
      <c r="K207" s="107">
        <f>L207+O207</f>
        <v>300000</v>
      </c>
      <c r="L207" s="107"/>
      <c r="M207" s="107"/>
      <c r="N207" s="108"/>
      <c r="O207" s="107">
        <v>300000</v>
      </c>
      <c r="P207" s="107">
        <v>300000</v>
      </c>
      <c r="Q207" s="107">
        <f t="shared" si="47"/>
        <v>300000</v>
      </c>
      <c r="R207" s="32"/>
      <c r="S207" s="32"/>
      <c r="T207" s="32"/>
      <c r="U207" s="32"/>
      <c r="V207" s="32"/>
      <c r="W207" s="32"/>
      <c r="X207" s="32"/>
      <c r="Y207" s="32"/>
      <c r="Z207" s="32"/>
      <c r="AA207" s="32"/>
      <c r="AB207" s="32"/>
      <c r="AC207" s="32"/>
      <c r="AD207" s="32"/>
      <c r="AE207" s="32"/>
    </row>
    <row r="208" spans="1:31" s="34" customFormat="1" ht="31.5" customHeight="1">
      <c r="A208" s="33"/>
      <c r="B208" s="27" t="s">
        <v>551</v>
      </c>
      <c r="C208" s="27" t="s">
        <v>546</v>
      </c>
      <c r="D208" s="27" t="s">
        <v>356</v>
      </c>
      <c r="E208" s="24" t="s">
        <v>547</v>
      </c>
      <c r="F208" s="107">
        <f>G208+J208</f>
        <v>874240.25</v>
      </c>
      <c r="G208" s="107">
        <f>788200+86040.25</f>
        <v>874240.25</v>
      </c>
      <c r="H208" s="108"/>
      <c r="I208" s="108"/>
      <c r="J208" s="108"/>
      <c r="K208" s="108"/>
      <c r="L208" s="108"/>
      <c r="M208" s="108"/>
      <c r="N208" s="108"/>
      <c r="O208" s="107"/>
      <c r="P208" s="107"/>
      <c r="Q208" s="107">
        <f t="shared" si="47"/>
        <v>874240.25</v>
      </c>
      <c r="R208" s="32"/>
      <c r="S208" s="32"/>
      <c r="T208" s="32"/>
      <c r="U208" s="32"/>
      <c r="V208" s="32"/>
      <c r="W208" s="32"/>
      <c r="X208" s="32"/>
      <c r="Y208" s="32"/>
      <c r="Z208" s="32"/>
      <c r="AA208" s="32"/>
      <c r="AB208" s="32"/>
      <c r="AC208" s="32"/>
      <c r="AD208" s="32"/>
      <c r="AE208" s="32"/>
    </row>
    <row r="209" spans="1:31" s="105" customFormat="1" ht="18" customHeight="1">
      <c r="A209" s="102"/>
      <c r="B209" s="16" t="s">
        <v>118</v>
      </c>
      <c r="C209" s="16"/>
      <c r="D209" s="16"/>
      <c r="E209" s="17" t="s">
        <v>120</v>
      </c>
      <c r="F209" s="115">
        <f>F210</f>
        <v>1635132</v>
      </c>
      <c r="G209" s="115">
        <f aca="true" t="shared" si="57" ref="G209:P209">G210</f>
        <v>1635132</v>
      </c>
      <c r="H209" s="115">
        <f t="shared" si="57"/>
        <v>1217500</v>
      </c>
      <c r="I209" s="115">
        <f t="shared" si="57"/>
        <v>35000</v>
      </c>
      <c r="J209" s="115">
        <f t="shared" si="57"/>
        <v>0</v>
      </c>
      <c r="K209" s="115">
        <f t="shared" si="57"/>
        <v>376000</v>
      </c>
      <c r="L209" s="115">
        <f t="shared" si="57"/>
        <v>0</v>
      </c>
      <c r="M209" s="115">
        <f t="shared" si="57"/>
        <v>0</v>
      </c>
      <c r="N209" s="115">
        <f t="shared" si="57"/>
        <v>0</v>
      </c>
      <c r="O209" s="115">
        <f t="shared" si="57"/>
        <v>376000</v>
      </c>
      <c r="P209" s="115">
        <f t="shared" si="57"/>
        <v>376000</v>
      </c>
      <c r="Q209" s="115">
        <f t="shared" si="47"/>
        <v>2011132</v>
      </c>
      <c r="R209" s="104"/>
      <c r="S209" s="104"/>
      <c r="T209" s="104"/>
      <c r="U209" s="104"/>
      <c r="V209" s="104"/>
      <c r="W209" s="104"/>
      <c r="X209" s="104"/>
      <c r="Y209" s="104"/>
      <c r="Z209" s="104"/>
      <c r="AA209" s="104"/>
      <c r="AB209" s="104"/>
      <c r="AC209" s="104"/>
      <c r="AD209" s="104"/>
      <c r="AE209" s="104"/>
    </row>
    <row r="210" spans="1:31" s="169" customFormat="1" ht="18" customHeight="1">
      <c r="A210" s="167"/>
      <c r="B210" s="121" t="s">
        <v>119</v>
      </c>
      <c r="C210" s="121"/>
      <c r="D210" s="121"/>
      <c r="E210" s="122" t="s">
        <v>120</v>
      </c>
      <c r="F210" s="120">
        <f>F211+F212</f>
        <v>1635132</v>
      </c>
      <c r="G210" s="120">
        <f aca="true" t="shared" si="58" ref="G210:P210">G211+G212</f>
        <v>1635132</v>
      </c>
      <c r="H210" s="120">
        <f t="shared" si="58"/>
        <v>1217500</v>
      </c>
      <c r="I210" s="120">
        <f t="shared" si="58"/>
        <v>35000</v>
      </c>
      <c r="J210" s="120">
        <f t="shared" si="58"/>
        <v>0</v>
      </c>
      <c r="K210" s="120">
        <f t="shared" si="58"/>
        <v>376000</v>
      </c>
      <c r="L210" s="120">
        <f t="shared" si="58"/>
        <v>0</v>
      </c>
      <c r="M210" s="120">
        <f t="shared" si="58"/>
        <v>0</v>
      </c>
      <c r="N210" s="120">
        <f t="shared" si="58"/>
        <v>0</v>
      </c>
      <c r="O210" s="120">
        <f t="shared" si="58"/>
        <v>376000</v>
      </c>
      <c r="P210" s="120">
        <f t="shared" si="58"/>
        <v>376000</v>
      </c>
      <c r="Q210" s="120">
        <f t="shared" si="47"/>
        <v>2011132</v>
      </c>
      <c r="R210" s="168"/>
      <c r="S210" s="168"/>
      <c r="T210" s="168"/>
      <c r="U210" s="168"/>
      <c r="V210" s="168"/>
      <c r="W210" s="168"/>
      <c r="X210" s="168"/>
      <c r="Y210" s="168"/>
      <c r="Z210" s="168"/>
      <c r="AA210" s="168"/>
      <c r="AB210" s="168"/>
      <c r="AC210" s="168"/>
      <c r="AD210" s="168"/>
      <c r="AE210" s="168"/>
    </row>
    <row r="211" spans="1:31" s="15" customFormat="1" ht="30">
      <c r="A211" s="150"/>
      <c r="B211" s="99" t="s">
        <v>121</v>
      </c>
      <c r="C211" s="99" t="s">
        <v>246</v>
      </c>
      <c r="D211" s="99" t="s">
        <v>247</v>
      </c>
      <c r="E211" s="100" t="s">
        <v>522</v>
      </c>
      <c r="F211" s="107">
        <f>G211+J211</f>
        <v>1572132</v>
      </c>
      <c r="G211" s="107">
        <f>1472800+3300-21700+108300+9432</f>
        <v>1572132</v>
      </c>
      <c r="H211" s="107">
        <f>1133400+84100</f>
        <v>1217500</v>
      </c>
      <c r="I211" s="107">
        <f>31700+3300</f>
        <v>35000</v>
      </c>
      <c r="J211" s="107"/>
      <c r="K211" s="107">
        <f>L211+O211</f>
        <v>376000</v>
      </c>
      <c r="L211" s="107"/>
      <c r="M211" s="107"/>
      <c r="N211" s="107"/>
      <c r="O211" s="107">
        <f>26000+350000</f>
        <v>376000</v>
      </c>
      <c r="P211" s="107">
        <f>26000+350000</f>
        <v>376000</v>
      </c>
      <c r="Q211" s="107">
        <f aca="true" t="shared" si="59" ref="Q211:Q279">F211+K211</f>
        <v>1948132</v>
      </c>
      <c r="R211" s="42"/>
      <c r="S211" s="42"/>
      <c r="T211" s="42"/>
      <c r="U211" s="42"/>
      <c r="V211" s="42"/>
      <c r="W211" s="42"/>
      <c r="X211" s="42"/>
      <c r="Y211" s="42"/>
      <c r="Z211" s="42"/>
      <c r="AA211" s="42"/>
      <c r="AB211" s="42"/>
      <c r="AC211" s="42"/>
      <c r="AD211" s="42"/>
      <c r="AE211" s="42"/>
    </row>
    <row r="212" spans="1:31" s="15" customFormat="1" ht="30">
      <c r="A212" s="14"/>
      <c r="B212" s="126" t="s">
        <v>126</v>
      </c>
      <c r="C212" s="126" t="s">
        <v>410</v>
      </c>
      <c r="D212" s="126"/>
      <c r="E212" s="166" t="s">
        <v>125</v>
      </c>
      <c r="F212" s="107">
        <f>F213</f>
        <v>63000</v>
      </c>
      <c r="G212" s="107">
        <f aca="true" t="shared" si="60" ref="G212:P212">G213</f>
        <v>63000</v>
      </c>
      <c r="H212" s="107">
        <f t="shared" si="60"/>
        <v>0</v>
      </c>
      <c r="I212" s="107">
        <f t="shared" si="60"/>
        <v>0</v>
      </c>
      <c r="J212" s="107">
        <f t="shared" si="60"/>
        <v>0</v>
      </c>
      <c r="K212" s="107">
        <f t="shared" si="60"/>
        <v>0</v>
      </c>
      <c r="L212" s="107">
        <f t="shared" si="60"/>
        <v>0</v>
      </c>
      <c r="M212" s="107">
        <f t="shared" si="60"/>
        <v>0</v>
      </c>
      <c r="N212" s="107">
        <f t="shared" si="60"/>
        <v>0</v>
      </c>
      <c r="O212" s="107">
        <f t="shared" si="60"/>
        <v>0</v>
      </c>
      <c r="P212" s="107">
        <f t="shared" si="60"/>
        <v>0</v>
      </c>
      <c r="Q212" s="107">
        <f t="shared" si="59"/>
        <v>63000</v>
      </c>
      <c r="R212" s="42"/>
      <c r="S212" s="42"/>
      <c r="T212" s="42"/>
      <c r="U212" s="42"/>
      <c r="V212" s="42"/>
      <c r="W212" s="42"/>
      <c r="X212" s="42"/>
      <c r="Y212" s="42"/>
      <c r="Z212" s="42"/>
      <c r="AA212" s="42"/>
      <c r="AB212" s="42"/>
      <c r="AC212" s="42"/>
      <c r="AD212" s="42"/>
      <c r="AE212" s="42"/>
    </row>
    <row r="213" spans="1:31" s="34" customFormat="1" ht="30">
      <c r="A213" s="33"/>
      <c r="B213" s="37" t="s">
        <v>123</v>
      </c>
      <c r="C213" s="37" t="s">
        <v>391</v>
      </c>
      <c r="D213" s="37" t="s">
        <v>387</v>
      </c>
      <c r="E213" s="30" t="s">
        <v>122</v>
      </c>
      <c r="F213" s="108">
        <f>G213+J213</f>
        <v>63000</v>
      </c>
      <c r="G213" s="108">
        <f>55000+8000</f>
        <v>63000</v>
      </c>
      <c r="H213" s="108"/>
      <c r="I213" s="108"/>
      <c r="J213" s="108"/>
      <c r="K213" s="108">
        <f>L213+O213</f>
        <v>0</v>
      </c>
      <c r="L213" s="108"/>
      <c r="M213" s="108"/>
      <c r="N213" s="108"/>
      <c r="O213" s="108"/>
      <c r="P213" s="108"/>
      <c r="Q213" s="108">
        <f t="shared" si="59"/>
        <v>63000</v>
      </c>
      <c r="R213" s="32"/>
      <c r="S213" s="32"/>
      <c r="T213" s="32"/>
      <c r="U213" s="32"/>
      <c r="V213" s="32"/>
      <c r="W213" s="32"/>
      <c r="X213" s="32"/>
      <c r="Y213" s="32"/>
      <c r="Z213" s="32"/>
      <c r="AA213" s="32"/>
      <c r="AB213" s="32"/>
      <c r="AC213" s="32"/>
      <c r="AD213" s="32"/>
      <c r="AE213" s="32"/>
    </row>
    <row r="214" spans="1:31" s="105" customFormat="1" ht="27.75" customHeight="1">
      <c r="A214" s="102"/>
      <c r="B214" s="116" t="s">
        <v>127</v>
      </c>
      <c r="C214" s="116"/>
      <c r="D214" s="116"/>
      <c r="E214" s="17" t="s">
        <v>124</v>
      </c>
      <c r="F214" s="115">
        <f>F215</f>
        <v>44006723</v>
      </c>
      <c r="G214" s="115">
        <f aca="true" t="shared" si="61" ref="G214:P214">G215</f>
        <v>44006723</v>
      </c>
      <c r="H214" s="115">
        <f t="shared" si="61"/>
        <v>31814400</v>
      </c>
      <c r="I214" s="115">
        <f t="shared" si="61"/>
        <v>2235720</v>
      </c>
      <c r="J214" s="115">
        <f t="shared" si="61"/>
        <v>0</v>
      </c>
      <c r="K214" s="115">
        <f t="shared" si="61"/>
        <v>6258007</v>
      </c>
      <c r="L214" s="115">
        <f t="shared" si="61"/>
        <v>1411980</v>
      </c>
      <c r="M214" s="115">
        <f t="shared" si="61"/>
        <v>1136786</v>
      </c>
      <c r="N214" s="115">
        <f t="shared" si="61"/>
        <v>0</v>
      </c>
      <c r="O214" s="115">
        <f t="shared" si="61"/>
        <v>4846027</v>
      </c>
      <c r="P214" s="115">
        <f t="shared" si="61"/>
        <v>4841427</v>
      </c>
      <c r="Q214" s="115">
        <f t="shared" si="59"/>
        <v>50264730</v>
      </c>
      <c r="R214" s="104"/>
      <c r="S214" s="104"/>
      <c r="T214" s="104"/>
      <c r="U214" s="104"/>
      <c r="V214" s="104"/>
      <c r="W214" s="104"/>
      <c r="X214" s="104"/>
      <c r="Y214" s="104"/>
      <c r="Z214" s="104"/>
      <c r="AA214" s="104"/>
      <c r="AB214" s="104"/>
      <c r="AC214" s="104"/>
      <c r="AD214" s="104"/>
      <c r="AE214" s="104"/>
    </row>
    <row r="215" spans="1:31" s="169" customFormat="1" ht="23.25" customHeight="1">
      <c r="A215" s="167"/>
      <c r="B215" s="118" t="s">
        <v>128</v>
      </c>
      <c r="C215" s="118"/>
      <c r="D215" s="118"/>
      <c r="E215" s="122" t="s">
        <v>124</v>
      </c>
      <c r="F215" s="120">
        <f>F216+F217+F218+F219+F220+F222</f>
        <v>44006723</v>
      </c>
      <c r="G215" s="120">
        <f aca="true" t="shared" si="62" ref="G215:P215">G216+G217+G218+G219+G220+G222</f>
        <v>44006723</v>
      </c>
      <c r="H215" s="120">
        <f t="shared" si="62"/>
        <v>31814400</v>
      </c>
      <c r="I215" s="120">
        <f t="shared" si="62"/>
        <v>2235720</v>
      </c>
      <c r="J215" s="120">
        <f t="shared" si="62"/>
        <v>0</v>
      </c>
      <c r="K215" s="120">
        <f t="shared" si="62"/>
        <v>6258007</v>
      </c>
      <c r="L215" s="120">
        <f t="shared" si="62"/>
        <v>1411980</v>
      </c>
      <c r="M215" s="120">
        <f t="shared" si="62"/>
        <v>1136786</v>
      </c>
      <c r="N215" s="120">
        <f t="shared" si="62"/>
        <v>0</v>
      </c>
      <c r="O215" s="120">
        <f t="shared" si="62"/>
        <v>4846027</v>
      </c>
      <c r="P215" s="120">
        <f t="shared" si="62"/>
        <v>4841427</v>
      </c>
      <c r="Q215" s="120">
        <f t="shared" si="59"/>
        <v>50264730</v>
      </c>
      <c r="R215" s="168"/>
      <c r="S215" s="168"/>
      <c r="T215" s="168"/>
      <c r="U215" s="168"/>
      <c r="V215" s="168"/>
      <c r="W215" s="168"/>
      <c r="X215" s="168"/>
      <c r="Y215" s="168"/>
      <c r="Z215" s="168"/>
      <c r="AA215" s="168"/>
      <c r="AB215" s="168"/>
      <c r="AC215" s="168"/>
      <c r="AD215" s="168"/>
      <c r="AE215" s="168"/>
    </row>
    <row r="216" spans="1:31" s="15" customFormat="1" ht="30">
      <c r="A216" s="150"/>
      <c r="B216" s="99" t="s">
        <v>129</v>
      </c>
      <c r="C216" s="99" t="s">
        <v>246</v>
      </c>
      <c r="D216" s="99" t="s">
        <v>247</v>
      </c>
      <c r="E216" s="100" t="s">
        <v>522</v>
      </c>
      <c r="F216" s="107">
        <f>G216+J216</f>
        <v>683896</v>
      </c>
      <c r="G216" s="107">
        <f>686700+1400-10200+5996</f>
        <v>683896</v>
      </c>
      <c r="H216" s="107">
        <v>504200</v>
      </c>
      <c r="I216" s="107">
        <f>13100+1400</f>
        <v>14500</v>
      </c>
      <c r="J216" s="107"/>
      <c r="K216" s="107">
        <f>L216+O216</f>
        <v>254500</v>
      </c>
      <c r="L216" s="107"/>
      <c r="M216" s="107"/>
      <c r="N216" s="107"/>
      <c r="O216" s="107">
        <f>13000+241500</f>
        <v>254500</v>
      </c>
      <c r="P216" s="107">
        <f>13000+241500</f>
        <v>254500</v>
      </c>
      <c r="Q216" s="107">
        <f t="shared" si="59"/>
        <v>938396</v>
      </c>
      <c r="R216" s="42"/>
      <c r="S216" s="42"/>
      <c r="T216" s="42"/>
      <c r="U216" s="42"/>
      <c r="V216" s="42"/>
      <c r="W216" s="42"/>
      <c r="X216" s="42"/>
      <c r="Y216" s="42"/>
      <c r="Z216" s="42"/>
      <c r="AA216" s="42"/>
      <c r="AB216" s="42"/>
      <c r="AC216" s="42"/>
      <c r="AD216" s="42"/>
      <c r="AE216" s="42"/>
    </row>
    <row r="217" spans="1:31" s="15" customFormat="1" ht="37.5" customHeight="1">
      <c r="A217" s="14"/>
      <c r="B217" s="126" t="s">
        <v>131</v>
      </c>
      <c r="C217" s="126" t="s">
        <v>302</v>
      </c>
      <c r="D217" s="126" t="s">
        <v>303</v>
      </c>
      <c r="E217" s="166" t="s">
        <v>130</v>
      </c>
      <c r="F217" s="107">
        <f>G217+J217</f>
        <v>1498500</v>
      </c>
      <c r="G217" s="109">
        <f>1443500+50000+5000</f>
        <v>1498500</v>
      </c>
      <c r="H217" s="109">
        <v>0</v>
      </c>
      <c r="I217" s="109">
        <v>0</v>
      </c>
      <c r="J217" s="109"/>
      <c r="K217" s="107">
        <f>L217+O217</f>
        <v>0</v>
      </c>
      <c r="L217" s="107"/>
      <c r="M217" s="107"/>
      <c r="N217" s="107"/>
      <c r="O217" s="107"/>
      <c r="P217" s="107"/>
      <c r="Q217" s="107">
        <f t="shared" si="59"/>
        <v>1498500</v>
      </c>
      <c r="R217" s="42"/>
      <c r="S217" s="42"/>
      <c r="T217" s="42"/>
      <c r="U217" s="42"/>
      <c r="V217" s="42"/>
      <c r="W217" s="42"/>
      <c r="X217" s="42"/>
      <c r="Y217" s="42"/>
      <c r="Z217" s="42"/>
      <c r="AA217" s="42"/>
      <c r="AB217" s="42"/>
      <c r="AC217" s="42"/>
      <c r="AD217" s="42"/>
      <c r="AE217" s="42"/>
    </row>
    <row r="218" spans="1:31" s="15" customFormat="1" ht="21" customHeight="1">
      <c r="A218" s="14"/>
      <c r="B218" s="126" t="s">
        <v>133</v>
      </c>
      <c r="C218" s="126" t="s">
        <v>304</v>
      </c>
      <c r="D218" s="126" t="s">
        <v>305</v>
      </c>
      <c r="E218" s="166" t="s">
        <v>132</v>
      </c>
      <c r="F218" s="107">
        <f>G218+J218</f>
        <v>14696050</v>
      </c>
      <c r="G218" s="109">
        <f>14647070+50000-143240+45000+41000+18600+23120+10000+4500</f>
        <v>14696050</v>
      </c>
      <c r="H218" s="109">
        <f>10542300-293100</f>
        <v>10249200</v>
      </c>
      <c r="I218" s="109">
        <f>1094170+212870</f>
        <v>1307040</v>
      </c>
      <c r="J218" s="109"/>
      <c r="K218" s="107">
        <f>L218+O218</f>
        <v>2093000</v>
      </c>
      <c r="L218" s="107">
        <v>25000</v>
      </c>
      <c r="M218" s="107">
        <v>5000</v>
      </c>
      <c r="N218" s="107"/>
      <c r="O218" s="109">
        <f>460000+600000-25000+10000+5000+1000000+5000+3000+10000</f>
        <v>2068000</v>
      </c>
      <c r="P218" s="109">
        <f>460000+600000-25000+10000+5000+1000000+5000+3000+10000</f>
        <v>2068000</v>
      </c>
      <c r="Q218" s="109">
        <f t="shared" si="59"/>
        <v>16789050</v>
      </c>
      <c r="R218" s="42"/>
      <c r="S218" s="42"/>
      <c r="T218" s="42"/>
      <c r="U218" s="42"/>
      <c r="V218" s="42"/>
      <c r="W218" s="42"/>
      <c r="X218" s="42"/>
      <c r="Y218" s="42"/>
      <c r="Z218" s="42"/>
      <c r="AA218" s="42"/>
      <c r="AB218" s="42"/>
      <c r="AC218" s="42"/>
      <c r="AD218" s="42"/>
      <c r="AE218" s="42"/>
    </row>
    <row r="219" spans="1:31" s="15" customFormat="1" ht="21" customHeight="1">
      <c r="A219" s="14"/>
      <c r="B219" s="126" t="s">
        <v>135</v>
      </c>
      <c r="C219" s="126" t="s">
        <v>306</v>
      </c>
      <c r="D219" s="126" t="s">
        <v>260</v>
      </c>
      <c r="E219" s="166" t="s">
        <v>134</v>
      </c>
      <c r="F219" s="107">
        <f>G219+J219</f>
        <v>26091853</v>
      </c>
      <c r="G219" s="109">
        <f>24382330-501250+1557573+34200+600000+10000+9000</f>
        <v>26091853</v>
      </c>
      <c r="H219" s="109">
        <f>19115300-535900+1229500+491800</f>
        <v>20300700</v>
      </c>
      <c r="I219" s="109">
        <f>739260+152050</f>
        <v>891310</v>
      </c>
      <c r="J219" s="109"/>
      <c r="K219" s="107">
        <f>L219+O219</f>
        <v>1799007</v>
      </c>
      <c r="L219" s="107">
        <v>1386980</v>
      </c>
      <c r="M219" s="107">
        <v>1131786</v>
      </c>
      <c r="N219" s="107"/>
      <c r="O219" s="109">
        <f>50000+4600+250000+300000+42427-250000+15000</f>
        <v>412027</v>
      </c>
      <c r="P219" s="109">
        <f>50000+250000+300000+42427-250000+15000</f>
        <v>407427</v>
      </c>
      <c r="Q219" s="109">
        <f t="shared" si="59"/>
        <v>27890860</v>
      </c>
      <c r="R219" s="42"/>
      <c r="S219" s="42"/>
      <c r="T219" s="42"/>
      <c r="U219" s="42"/>
      <c r="V219" s="42"/>
      <c r="W219" s="42"/>
      <c r="X219" s="42"/>
      <c r="Y219" s="42"/>
      <c r="Z219" s="42"/>
      <c r="AA219" s="42"/>
      <c r="AB219" s="42"/>
      <c r="AC219" s="42"/>
      <c r="AD219" s="42"/>
      <c r="AE219" s="42"/>
    </row>
    <row r="220" spans="1:31" s="15" customFormat="1" ht="21" customHeight="1">
      <c r="A220" s="14"/>
      <c r="B220" s="126" t="s">
        <v>136</v>
      </c>
      <c r="C220" s="126" t="s">
        <v>307</v>
      </c>
      <c r="D220" s="126" t="s">
        <v>308</v>
      </c>
      <c r="E220" s="166" t="s">
        <v>42</v>
      </c>
      <c r="F220" s="107">
        <f aca="true" t="shared" si="63" ref="F220:P220">F221</f>
        <v>1031424</v>
      </c>
      <c r="G220" s="107">
        <f t="shared" si="63"/>
        <v>1031424</v>
      </c>
      <c r="H220" s="107">
        <f t="shared" si="63"/>
        <v>760300</v>
      </c>
      <c r="I220" s="107">
        <f t="shared" si="63"/>
        <v>22870</v>
      </c>
      <c r="J220" s="107">
        <f t="shared" si="63"/>
        <v>0</v>
      </c>
      <c r="K220" s="107">
        <f t="shared" si="63"/>
        <v>309500</v>
      </c>
      <c r="L220" s="107">
        <f t="shared" si="63"/>
        <v>0</v>
      </c>
      <c r="M220" s="107">
        <f t="shared" si="63"/>
        <v>0</v>
      </c>
      <c r="N220" s="107">
        <f t="shared" si="63"/>
        <v>0</v>
      </c>
      <c r="O220" s="107">
        <f t="shared" si="63"/>
        <v>309500</v>
      </c>
      <c r="P220" s="107">
        <f t="shared" si="63"/>
        <v>309500</v>
      </c>
      <c r="Q220" s="107">
        <f t="shared" si="59"/>
        <v>1340924</v>
      </c>
      <c r="R220" s="42"/>
      <c r="S220" s="42"/>
      <c r="T220" s="42"/>
      <c r="U220" s="42"/>
      <c r="V220" s="42"/>
      <c r="W220" s="42"/>
      <c r="X220" s="42"/>
      <c r="Y220" s="42"/>
      <c r="Z220" s="42"/>
      <c r="AA220" s="42"/>
      <c r="AB220" s="42"/>
      <c r="AC220" s="42"/>
      <c r="AD220" s="42"/>
      <c r="AE220" s="42"/>
    </row>
    <row r="221" spans="1:31" s="34" customFormat="1" ht="30.75" customHeight="1">
      <c r="A221" s="33"/>
      <c r="B221" s="37" t="s">
        <v>136</v>
      </c>
      <c r="C221" s="37" t="s">
        <v>307</v>
      </c>
      <c r="D221" s="29" t="s">
        <v>308</v>
      </c>
      <c r="E221" s="30" t="s">
        <v>137</v>
      </c>
      <c r="F221" s="108">
        <f>G221+J221</f>
        <v>1031424</v>
      </c>
      <c r="G221" s="113">
        <f>1060300-34090+5214</f>
        <v>1031424</v>
      </c>
      <c r="H221" s="113">
        <f>789640-29340</f>
        <v>760300</v>
      </c>
      <c r="I221" s="113">
        <f>21200+1670</f>
        <v>22870</v>
      </c>
      <c r="J221" s="113"/>
      <c r="K221" s="108">
        <f>L221+O221</f>
        <v>309500</v>
      </c>
      <c r="L221" s="108"/>
      <c r="M221" s="108"/>
      <c r="N221" s="108"/>
      <c r="O221" s="113">
        <f>51000+258500</f>
        <v>309500</v>
      </c>
      <c r="P221" s="113">
        <f>51000+258500</f>
        <v>309500</v>
      </c>
      <c r="Q221" s="113">
        <f t="shared" si="59"/>
        <v>1340924</v>
      </c>
      <c r="R221" s="32"/>
      <c r="S221" s="32"/>
      <c r="T221" s="32"/>
      <c r="U221" s="32"/>
      <c r="V221" s="32"/>
      <c r="W221" s="32"/>
      <c r="X221" s="32"/>
      <c r="Y221" s="32"/>
      <c r="Z221" s="32"/>
      <c r="AA221" s="32"/>
      <c r="AB221" s="32"/>
      <c r="AC221" s="32"/>
      <c r="AD221" s="32"/>
      <c r="AE221" s="32"/>
    </row>
    <row r="222" spans="1:31" s="15" customFormat="1" ht="22.5" customHeight="1">
      <c r="A222" s="23"/>
      <c r="B222" s="27" t="s">
        <v>378</v>
      </c>
      <c r="C222" s="27" t="s">
        <v>341</v>
      </c>
      <c r="D222" s="27" t="s">
        <v>342</v>
      </c>
      <c r="E222" s="24" t="s">
        <v>154</v>
      </c>
      <c r="F222" s="107">
        <f>G222+J222</f>
        <v>5000</v>
      </c>
      <c r="G222" s="109">
        <v>5000</v>
      </c>
      <c r="H222" s="109"/>
      <c r="I222" s="109"/>
      <c r="J222" s="109"/>
      <c r="K222" s="107">
        <f>L222+O222</f>
        <v>1802000</v>
      </c>
      <c r="L222" s="107"/>
      <c r="M222" s="107"/>
      <c r="N222" s="107"/>
      <c r="O222" s="109">
        <f>1088000+439000+275000</f>
        <v>1802000</v>
      </c>
      <c r="P222" s="109">
        <f>1088000+439000+275000</f>
        <v>1802000</v>
      </c>
      <c r="Q222" s="109">
        <f t="shared" si="59"/>
        <v>1807000</v>
      </c>
      <c r="R222" s="42"/>
      <c r="S222" s="42"/>
      <c r="T222" s="42"/>
      <c r="U222" s="42"/>
      <c r="V222" s="42"/>
      <c r="W222" s="42"/>
      <c r="X222" s="42"/>
      <c r="Y222" s="42"/>
      <c r="Z222" s="42"/>
      <c r="AA222" s="42"/>
      <c r="AB222" s="42"/>
      <c r="AC222" s="42"/>
      <c r="AD222" s="42"/>
      <c r="AE222" s="42"/>
    </row>
    <row r="223" spans="1:31" s="105" customFormat="1" ht="33" customHeight="1">
      <c r="A223" s="102"/>
      <c r="B223" s="116" t="s">
        <v>139</v>
      </c>
      <c r="C223" s="116"/>
      <c r="D223" s="116"/>
      <c r="E223" s="17" t="s">
        <v>138</v>
      </c>
      <c r="F223" s="115">
        <f>F224</f>
        <v>95071237.34</v>
      </c>
      <c r="G223" s="115">
        <f aca="true" t="shared" si="64" ref="G223:O223">G224</f>
        <v>35649669.5</v>
      </c>
      <c r="H223" s="115">
        <f t="shared" si="64"/>
        <v>3905608</v>
      </c>
      <c r="I223" s="115">
        <f t="shared" si="64"/>
        <v>18696700</v>
      </c>
      <c r="J223" s="115">
        <f t="shared" si="64"/>
        <v>59421567.84</v>
      </c>
      <c r="K223" s="115">
        <f t="shared" si="64"/>
        <v>208001680.21</v>
      </c>
      <c r="L223" s="115">
        <f t="shared" si="64"/>
        <v>1919270.18</v>
      </c>
      <c r="M223" s="115">
        <f t="shared" si="64"/>
        <v>0</v>
      </c>
      <c r="N223" s="115">
        <f t="shared" si="64"/>
        <v>0</v>
      </c>
      <c r="O223" s="115">
        <f t="shared" si="64"/>
        <v>206082410.03</v>
      </c>
      <c r="P223" s="115">
        <f>P224</f>
        <v>172789605</v>
      </c>
      <c r="Q223" s="115">
        <f t="shared" si="59"/>
        <v>303072917.55</v>
      </c>
      <c r="R223" s="104"/>
      <c r="S223" s="104"/>
      <c r="T223" s="104"/>
      <c r="U223" s="104"/>
      <c r="V223" s="104"/>
      <c r="W223" s="104"/>
      <c r="X223" s="104"/>
      <c r="Y223" s="104"/>
      <c r="Z223" s="104"/>
      <c r="AA223" s="104"/>
      <c r="AB223" s="104"/>
      <c r="AC223" s="104"/>
      <c r="AD223" s="104"/>
      <c r="AE223" s="104"/>
    </row>
    <row r="224" spans="1:31" s="169" customFormat="1" ht="36" customHeight="1">
      <c r="A224" s="167"/>
      <c r="B224" s="118" t="s">
        <v>140</v>
      </c>
      <c r="C224" s="118"/>
      <c r="D224" s="118"/>
      <c r="E224" s="122" t="s">
        <v>138</v>
      </c>
      <c r="F224" s="120">
        <f>F226+F229+F234+F236+F247+F248+F256+F251+F249+F254+F228+F246+F257+F237+F227+F258+F245+F241+F243+F250+F238+F239</f>
        <v>95071237.34</v>
      </c>
      <c r="G224" s="120">
        <f aca="true" t="shared" si="65" ref="G224:Q224">G226+G229+G234+G236+G247+G248+G256+G251+G249+G254+G228+G246+G257+G237+G227+G258+G245+G241+G243+G250+G238+G239</f>
        <v>35649669.5</v>
      </c>
      <c r="H224" s="120">
        <f t="shared" si="65"/>
        <v>3905608</v>
      </c>
      <c r="I224" s="120">
        <f t="shared" si="65"/>
        <v>18696700</v>
      </c>
      <c r="J224" s="120">
        <f t="shared" si="65"/>
        <v>59421567.84</v>
      </c>
      <c r="K224" s="120">
        <f t="shared" si="65"/>
        <v>208001680.21</v>
      </c>
      <c r="L224" s="120">
        <f t="shared" si="65"/>
        <v>1919270.18</v>
      </c>
      <c r="M224" s="120">
        <f t="shared" si="65"/>
        <v>0</v>
      </c>
      <c r="N224" s="120">
        <f t="shared" si="65"/>
        <v>0</v>
      </c>
      <c r="O224" s="120">
        <f t="shared" si="65"/>
        <v>206082410.03</v>
      </c>
      <c r="P224" s="120">
        <f t="shared" si="65"/>
        <v>172789605</v>
      </c>
      <c r="Q224" s="120">
        <f t="shared" si="65"/>
        <v>303072917.55</v>
      </c>
      <c r="R224" s="168"/>
      <c r="S224" s="168"/>
      <c r="T224" s="168"/>
      <c r="U224" s="168"/>
      <c r="V224" s="168"/>
      <c r="W224" s="168"/>
      <c r="X224" s="168"/>
      <c r="Y224" s="168"/>
      <c r="Z224" s="168"/>
      <c r="AA224" s="168"/>
      <c r="AB224" s="168"/>
      <c r="AC224" s="168"/>
      <c r="AD224" s="168"/>
      <c r="AE224" s="168"/>
    </row>
    <row r="225" spans="1:31" s="34" customFormat="1" ht="16.5" customHeight="1">
      <c r="A225" s="33"/>
      <c r="B225" s="37"/>
      <c r="C225" s="37"/>
      <c r="D225" s="37"/>
      <c r="E225" s="30" t="s">
        <v>512</v>
      </c>
      <c r="F225" s="108">
        <f>F230+F240+F242</f>
        <v>23863473.35</v>
      </c>
      <c r="G225" s="108">
        <f aca="true" t="shared" si="66" ref="G225:Q225">G230+G240+G242</f>
        <v>0</v>
      </c>
      <c r="H225" s="108">
        <f t="shared" si="66"/>
        <v>0</v>
      </c>
      <c r="I225" s="108">
        <f t="shared" si="66"/>
        <v>0</v>
      </c>
      <c r="J225" s="108">
        <f t="shared" si="66"/>
        <v>23863473.35</v>
      </c>
      <c r="K225" s="108">
        <f t="shared" si="66"/>
        <v>26602345.03</v>
      </c>
      <c r="L225" s="108">
        <f t="shared" si="66"/>
        <v>0</v>
      </c>
      <c r="M225" s="108">
        <f t="shared" si="66"/>
        <v>0</v>
      </c>
      <c r="N225" s="108">
        <f t="shared" si="66"/>
        <v>0</v>
      </c>
      <c r="O225" s="108">
        <f t="shared" si="66"/>
        <v>26602345.03</v>
      </c>
      <c r="P225" s="108">
        <f t="shared" si="66"/>
        <v>1575000</v>
      </c>
      <c r="Q225" s="108">
        <f t="shared" si="66"/>
        <v>50465818.38</v>
      </c>
      <c r="R225" s="32"/>
      <c r="S225" s="32"/>
      <c r="T225" s="32"/>
      <c r="U225" s="32"/>
      <c r="V225" s="32"/>
      <c r="W225" s="32"/>
      <c r="X225" s="32"/>
      <c r="Y225" s="32"/>
      <c r="Z225" s="32"/>
      <c r="AA225" s="32"/>
      <c r="AB225" s="32"/>
      <c r="AC225" s="32"/>
      <c r="AD225" s="32"/>
      <c r="AE225" s="32"/>
    </row>
    <row r="226" spans="1:31" s="15" customFormat="1" ht="30">
      <c r="A226" s="150"/>
      <c r="B226" s="99" t="s">
        <v>141</v>
      </c>
      <c r="C226" s="99" t="s">
        <v>246</v>
      </c>
      <c r="D226" s="99" t="s">
        <v>247</v>
      </c>
      <c r="E226" s="100" t="s">
        <v>522</v>
      </c>
      <c r="F226" s="107">
        <f>G226+J226</f>
        <v>5163472</v>
      </c>
      <c r="G226" s="107">
        <f>5141100+13000-46300+35000+20672</f>
        <v>5163472</v>
      </c>
      <c r="H226" s="107">
        <v>3893800</v>
      </c>
      <c r="I226" s="107">
        <f>105700+13000</f>
        <v>118700</v>
      </c>
      <c r="J226" s="107"/>
      <c r="K226" s="107">
        <f>L226+O226</f>
        <v>200000</v>
      </c>
      <c r="L226" s="107"/>
      <c r="M226" s="107"/>
      <c r="N226" s="107"/>
      <c r="O226" s="107">
        <v>200000</v>
      </c>
      <c r="P226" s="107">
        <v>200000</v>
      </c>
      <c r="Q226" s="107">
        <f t="shared" si="59"/>
        <v>5363472</v>
      </c>
      <c r="R226" s="42"/>
      <c r="S226" s="42"/>
      <c r="T226" s="42"/>
      <c r="U226" s="42"/>
      <c r="V226" s="42"/>
      <c r="W226" s="42"/>
      <c r="X226" s="42"/>
      <c r="Y226" s="42"/>
      <c r="Z226" s="42"/>
      <c r="AA226" s="42"/>
      <c r="AB226" s="42"/>
      <c r="AC226" s="42"/>
      <c r="AD226" s="42"/>
      <c r="AE226" s="42"/>
    </row>
    <row r="227" spans="1:31" s="15" customFormat="1" ht="19.5" customHeight="1">
      <c r="A227" s="14"/>
      <c r="B227" s="78" t="s">
        <v>418</v>
      </c>
      <c r="C227" s="78" t="s">
        <v>399</v>
      </c>
      <c r="D227" s="78" t="s">
        <v>400</v>
      </c>
      <c r="E227" s="166" t="s">
        <v>206</v>
      </c>
      <c r="F227" s="107">
        <f>G227+J227</f>
        <v>564400</v>
      </c>
      <c r="G227" s="107">
        <f>364400+150000+50000</f>
        <v>564400</v>
      </c>
      <c r="H227" s="107">
        <v>11808</v>
      </c>
      <c r="I227" s="107"/>
      <c r="J227" s="107"/>
      <c r="K227" s="107"/>
      <c r="L227" s="107"/>
      <c r="M227" s="107"/>
      <c r="N227" s="107"/>
      <c r="O227" s="107"/>
      <c r="P227" s="107"/>
      <c r="Q227" s="107">
        <f t="shared" si="59"/>
        <v>564400</v>
      </c>
      <c r="R227" s="42"/>
      <c r="S227" s="42"/>
      <c r="T227" s="42"/>
      <c r="U227" s="42"/>
      <c r="V227" s="42"/>
      <c r="W227" s="42"/>
      <c r="X227" s="42"/>
      <c r="Y227" s="42"/>
      <c r="Z227" s="42"/>
      <c r="AA227" s="42"/>
      <c r="AB227" s="42"/>
      <c r="AC227" s="42"/>
      <c r="AD227" s="42"/>
      <c r="AE227" s="42"/>
    </row>
    <row r="228" spans="1:31" s="15" customFormat="1" ht="45">
      <c r="A228" s="14"/>
      <c r="B228" s="126" t="s">
        <v>208</v>
      </c>
      <c r="C228" s="126" t="s">
        <v>290</v>
      </c>
      <c r="D228" s="126" t="s">
        <v>291</v>
      </c>
      <c r="E228" s="166" t="s">
        <v>209</v>
      </c>
      <c r="F228" s="107">
        <f>G228+J228</f>
        <v>1572000</v>
      </c>
      <c r="G228" s="107">
        <f>1500000+72000</f>
        <v>1572000</v>
      </c>
      <c r="H228" s="107"/>
      <c r="I228" s="107"/>
      <c r="J228" s="107"/>
      <c r="K228" s="107">
        <f>L228+O228</f>
        <v>0</v>
      </c>
      <c r="L228" s="107"/>
      <c r="M228" s="107"/>
      <c r="N228" s="107"/>
      <c r="O228" s="107"/>
      <c r="P228" s="107"/>
      <c r="Q228" s="107">
        <f t="shared" si="59"/>
        <v>1572000</v>
      </c>
      <c r="R228" s="42"/>
      <c r="S228" s="42"/>
      <c r="T228" s="42"/>
      <c r="U228" s="42"/>
      <c r="V228" s="42"/>
      <c r="W228" s="42"/>
      <c r="X228" s="42"/>
      <c r="Y228" s="42"/>
      <c r="Z228" s="42"/>
      <c r="AA228" s="42"/>
      <c r="AB228" s="42"/>
      <c r="AC228" s="42"/>
      <c r="AD228" s="42"/>
      <c r="AE228" s="42"/>
    </row>
    <row r="229" spans="1:31" s="15" customFormat="1" ht="32.25" customHeight="1">
      <c r="A229" s="14"/>
      <c r="B229" s="126" t="s">
        <v>143</v>
      </c>
      <c r="C229" s="126" t="s">
        <v>292</v>
      </c>
      <c r="D229" s="126"/>
      <c r="E229" s="166" t="s">
        <v>142</v>
      </c>
      <c r="F229" s="107">
        <f>F231+F233</f>
        <v>480000</v>
      </c>
      <c r="G229" s="107">
        <f aca="true" t="shared" si="67" ref="G229:O229">G231+G233</f>
        <v>480000</v>
      </c>
      <c r="H229" s="107">
        <f t="shared" si="67"/>
        <v>0</v>
      </c>
      <c r="I229" s="107">
        <f t="shared" si="67"/>
        <v>0</v>
      </c>
      <c r="J229" s="107">
        <f t="shared" si="67"/>
        <v>0</v>
      </c>
      <c r="K229" s="107">
        <f t="shared" si="67"/>
        <v>64568527</v>
      </c>
      <c r="L229" s="107">
        <f t="shared" si="67"/>
        <v>0</v>
      </c>
      <c r="M229" s="107">
        <f t="shared" si="67"/>
        <v>0</v>
      </c>
      <c r="N229" s="107">
        <f t="shared" si="67"/>
        <v>0</v>
      </c>
      <c r="O229" s="107">
        <f t="shared" si="67"/>
        <v>64568527</v>
      </c>
      <c r="P229" s="107">
        <f>P231+P233</f>
        <v>64568527</v>
      </c>
      <c r="Q229" s="107">
        <f t="shared" si="59"/>
        <v>65048527</v>
      </c>
      <c r="R229" s="42"/>
      <c r="S229" s="42"/>
      <c r="T229" s="42"/>
      <c r="U229" s="42"/>
      <c r="V229" s="42"/>
      <c r="W229" s="42"/>
      <c r="X229" s="42"/>
      <c r="Y229" s="42"/>
      <c r="Z229" s="42"/>
      <c r="AA229" s="42"/>
      <c r="AB229" s="42"/>
      <c r="AC229" s="42"/>
      <c r="AD229" s="42"/>
      <c r="AE229" s="42"/>
    </row>
    <row r="230" spans="1:31" s="15" customFormat="1" ht="23.25" customHeight="1">
      <c r="A230" s="14"/>
      <c r="B230" s="126"/>
      <c r="C230" s="126"/>
      <c r="D230" s="126"/>
      <c r="E230" s="166" t="s">
        <v>512</v>
      </c>
      <c r="F230" s="107">
        <f>F232</f>
        <v>0</v>
      </c>
      <c r="G230" s="107">
        <f aca="true" t="shared" si="68" ref="G230:Q230">G232</f>
        <v>0</v>
      </c>
      <c r="H230" s="107">
        <f t="shared" si="68"/>
        <v>0</v>
      </c>
      <c r="I230" s="107">
        <f t="shared" si="68"/>
        <v>0</v>
      </c>
      <c r="J230" s="107">
        <f t="shared" si="68"/>
        <v>0</v>
      </c>
      <c r="K230" s="107">
        <f t="shared" si="68"/>
        <v>150000</v>
      </c>
      <c r="L230" s="107">
        <f t="shared" si="68"/>
        <v>0</v>
      </c>
      <c r="M230" s="107">
        <f t="shared" si="68"/>
        <v>0</v>
      </c>
      <c r="N230" s="107">
        <f t="shared" si="68"/>
        <v>0</v>
      </c>
      <c r="O230" s="107">
        <f t="shared" si="68"/>
        <v>150000</v>
      </c>
      <c r="P230" s="107">
        <f t="shared" si="68"/>
        <v>150000</v>
      </c>
      <c r="Q230" s="107">
        <f t="shared" si="68"/>
        <v>150000</v>
      </c>
      <c r="R230" s="42"/>
      <c r="S230" s="42"/>
      <c r="T230" s="42"/>
      <c r="U230" s="42"/>
      <c r="V230" s="42"/>
      <c r="W230" s="42"/>
      <c r="X230" s="42"/>
      <c r="Y230" s="42"/>
      <c r="Z230" s="42"/>
      <c r="AA230" s="42"/>
      <c r="AB230" s="42"/>
      <c r="AC230" s="42"/>
      <c r="AD230" s="42"/>
      <c r="AE230" s="42"/>
    </row>
    <row r="231" spans="1:31" s="34" customFormat="1" ht="19.5" customHeight="1">
      <c r="A231" s="33"/>
      <c r="B231" s="37" t="s">
        <v>145</v>
      </c>
      <c r="C231" s="37" t="s">
        <v>293</v>
      </c>
      <c r="D231" s="37" t="s">
        <v>291</v>
      </c>
      <c r="E231" s="30" t="s">
        <v>144</v>
      </c>
      <c r="F231" s="108">
        <f>G231+J231</f>
        <v>400000</v>
      </c>
      <c r="G231" s="108">
        <f>480000-80000</f>
        <v>400000</v>
      </c>
      <c r="H231" s="108"/>
      <c r="I231" s="108"/>
      <c r="J231" s="108"/>
      <c r="K231" s="108">
        <f>L231+O231</f>
        <v>48068527</v>
      </c>
      <c r="L231" s="108"/>
      <c r="M231" s="108"/>
      <c r="N231" s="108"/>
      <c r="O231" s="108">
        <f>45000000+219600+70917+37441-10000000+1500000-327958+18960000-737000+84427-7000000+5000+4500+13000+88600+150000</f>
        <v>48068527</v>
      </c>
      <c r="P231" s="108">
        <f>45000000+327958-10000000+1500000-327958+18960000-737000+84427-7000000+5000+4500+13000+88600+150000</f>
        <v>48068527</v>
      </c>
      <c r="Q231" s="108">
        <f t="shared" si="59"/>
        <v>48468527</v>
      </c>
      <c r="R231" s="32"/>
      <c r="S231" s="32"/>
      <c r="T231" s="32"/>
      <c r="U231" s="32"/>
      <c r="V231" s="32"/>
      <c r="W231" s="32"/>
      <c r="X231" s="32"/>
      <c r="Y231" s="32"/>
      <c r="Z231" s="32"/>
      <c r="AA231" s="32"/>
      <c r="AB231" s="32"/>
      <c r="AC231" s="32"/>
      <c r="AD231" s="32"/>
      <c r="AE231" s="32"/>
    </row>
    <row r="232" spans="1:31" s="34" customFormat="1" ht="19.5" customHeight="1">
      <c r="A232" s="33"/>
      <c r="B232" s="37"/>
      <c r="C232" s="37"/>
      <c r="D232" s="37"/>
      <c r="E232" s="30" t="s">
        <v>512</v>
      </c>
      <c r="F232" s="108">
        <f>G232+J232</f>
        <v>0</v>
      </c>
      <c r="G232" s="108"/>
      <c r="H232" s="108"/>
      <c r="I232" s="108"/>
      <c r="J232" s="108"/>
      <c r="K232" s="108">
        <f>L232+O232</f>
        <v>150000</v>
      </c>
      <c r="L232" s="108"/>
      <c r="M232" s="108"/>
      <c r="N232" s="108"/>
      <c r="O232" s="108">
        <v>150000</v>
      </c>
      <c r="P232" s="108">
        <v>150000</v>
      </c>
      <c r="Q232" s="108">
        <f t="shared" si="59"/>
        <v>150000</v>
      </c>
      <c r="R232" s="32"/>
      <c r="S232" s="32"/>
      <c r="T232" s="32"/>
      <c r="U232" s="32"/>
      <c r="V232" s="32"/>
      <c r="W232" s="32"/>
      <c r="X232" s="32"/>
      <c r="Y232" s="32"/>
      <c r="Z232" s="32"/>
      <c r="AA232" s="32"/>
      <c r="AB232" s="32"/>
      <c r="AC232" s="32"/>
      <c r="AD232" s="32"/>
      <c r="AE232" s="32"/>
    </row>
    <row r="233" spans="1:31" s="34" customFormat="1" ht="39" customHeight="1">
      <c r="A233" s="33"/>
      <c r="B233" s="37" t="s">
        <v>147</v>
      </c>
      <c r="C233" s="37" t="s">
        <v>294</v>
      </c>
      <c r="D233" s="37" t="s">
        <v>291</v>
      </c>
      <c r="E233" s="30" t="s">
        <v>146</v>
      </c>
      <c r="F233" s="108">
        <f>G233+J233</f>
        <v>80000</v>
      </c>
      <c r="G233" s="108">
        <v>80000</v>
      </c>
      <c r="H233" s="108"/>
      <c r="I233" s="108"/>
      <c r="J233" s="108"/>
      <c r="K233" s="108">
        <f>L233+O233</f>
        <v>16500000</v>
      </c>
      <c r="L233" s="108"/>
      <c r="M233" s="108"/>
      <c r="N233" s="108"/>
      <c r="O233" s="108">
        <f>5000000+10000000+500000+1000000</f>
        <v>16500000</v>
      </c>
      <c r="P233" s="108">
        <f>5000000+10000000+500000+1000000</f>
        <v>16500000</v>
      </c>
      <c r="Q233" s="108">
        <f t="shared" si="59"/>
        <v>16580000</v>
      </c>
      <c r="R233" s="32"/>
      <c r="S233" s="32"/>
      <c r="T233" s="32"/>
      <c r="U233" s="32"/>
      <c r="V233" s="32"/>
      <c r="W233" s="32"/>
      <c r="X233" s="32"/>
      <c r="Y233" s="32"/>
      <c r="Z233" s="32"/>
      <c r="AA233" s="32"/>
      <c r="AB233" s="32"/>
      <c r="AC233" s="32"/>
      <c r="AD233" s="32"/>
      <c r="AE233" s="32"/>
    </row>
    <row r="234" spans="1:31" s="15" customFormat="1" ht="30">
      <c r="A234" s="23"/>
      <c r="B234" s="27" t="s">
        <v>150</v>
      </c>
      <c r="C234" s="27" t="s">
        <v>295</v>
      </c>
      <c r="D234" s="27"/>
      <c r="E234" s="24" t="s">
        <v>149</v>
      </c>
      <c r="F234" s="107">
        <f>F235</f>
        <v>5194597.49</v>
      </c>
      <c r="G234" s="107">
        <f aca="true" t="shared" si="69" ref="G234:P234">G235</f>
        <v>0</v>
      </c>
      <c r="H234" s="107">
        <f t="shared" si="69"/>
        <v>0</v>
      </c>
      <c r="I234" s="107">
        <f t="shared" si="69"/>
        <v>0</v>
      </c>
      <c r="J234" s="107">
        <f t="shared" si="69"/>
        <v>5194597.49</v>
      </c>
      <c r="K234" s="107">
        <f t="shared" si="69"/>
        <v>0</v>
      </c>
      <c r="L234" s="107">
        <f t="shared" si="69"/>
        <v>0</v>
      </c>
      <c r="M234" s="107">
        <f t="shared" si="69"/>
        <v>0</v>
      </c>
      <c r="N234" s="107">
        <f t="shared" si="69"/>
        <v>0</v>
      </c>
      <c r="O234" s="107">
        <f t="shared" si="69"/>
        <v>0</v>
      </c>
      <c r="P234" s="107">
        <f t="shared" si="69"/>
        <v>0</v>
      </c>
      <c r="Q234" s="107">
        <f t="shared" si="59"/>
        <v>5194597.49</v>
      </c>
      <c r="R234" s="42"/>
      <c r="S234" s="42"/>
      <c r="T234" s="42"/>
      <c r="U234" s="42"/>
      <c r="V234" s="42"/>
      <c r="W234" s="42"/>
      <c r="X234" s="42"/>
      <c r="Y234" s="42"/>
      <c r="Z234" s="42"/>
      <c r="AA234" s="42"/>
      <c r="AB234" s="42"/>
      <c r="AC234" s="42"/>
      <c r="AD234" s="42"/>
      <c r="AE234" s="42"/>
    </row>
    <row r="235" spans="1:31" s="34" customFormat="1" ht="36.75" customHeight="1">
      <c r="A235" s="33"/>
      <c r="B235" s="37" t="s">
        <v>151</v>
      </c>
      <c r="C235" s="37" t="s">
        <v>296</v>
      </c>
      <c r="D235" s="37" t="s">
        <v>297</v>
      </c>
      <c r="E235" s="30" t="s">
        <v>148</v>
      </c>
      <c r="F235" s="108">
        <f aca="true" t="shared" si="70" ref="F235:F256">G235+J235</f>
        <v>5194597.49</v>
      </c>
      <c r="G235" s="108"/>
      <c r="H235" s="108"/>
      <c r="I235" s="108"/>
      <c r="J235" s="108">
        <f>3151000+266000+1600000+177597.49</f>
        <v>5194597.49</v>
      </c>
      <c r="K235" s="108">
        <f aca="true" t="shared" si="71" ref="K235:K253">L235+O235</f>
        <v>0</v>
      </c>
      <c r="L235" s="108"/>
      <c r="M235" s="108"/>
      <c r="N235" s="108"/>
      <c r="O235" s="108"/>
      <c r="P235" s="108"/>
      <c r="Q235" s="108">
        <f t="shared" si="59"/>
        <v>5194597.49</v>
      </c>
      <c r="R235" s="32"/>
      <c r="S235" s="32"/>
      <c r="T235" s="32"/>
      <c r="U235" s="32"/>
      <c r="V235" s="32"/>
      <c r="W235" s="32"/>
      <c r="X235" s="32"/>
      <c r="Y235" s="32"/>
      <c r="Z235" s="32"/>
      <c r="AA235" s="32"/>
      <c r="AB235" s="32"/>
      <c r="AC235" s="32"/>
      <c r="AD235" s="32"/>
      <c r="AE235" s="32"/>
    </row>
    <row r="236" spans="1:31" s="15" customFormat="1" ht="21.75" customHeight="1">
      <c r="A236" s="23"/>
      <c r="B236" s="27" t="s">
        <v>152</v>
      </c>
      <c r="C236" s="27" t="s">
        <v>298</v>
      </c>
      <c r="D236" s="27" t="s">
        <v>297</v>
      </c>
      <c r="E236" s="24" t="s">
        <v>52</v>
      </c>
      <c r="F236" s="107">
        <f>G236+J236</f>
        <v>51707497.019999996</v>
      </c>
      <c r="G236" s="107">
        <f>17329456+15356600-1267658-102200+199810-7400000-305510-1258381-26000+30000+60000+3500+40000+300000+50000+300000+25000-591331.98-30000-358801-31006-40000+91388-30000+46500</f>
        <v>22391366.02</v>
      </c>
      <c r="H236" s="107"/>
      <c r="I236" s="107">
        <f>11364900+7156600+3500</f>
        <v>18525000</v>
      </c>
      <c r="J236" s="107">
        <f>23585944+5106907+102200-500000+31000+360000+57880+20000-50000+351000+30000+200000-28800+30000+20000</f>
        <v>29316131</v>
      </c>
      <c r="K236" s="107">
        <f>L236+O236</f>
        <v>54494659</v>
      </c>
      <c r="L236" s="107"/>
      <c r="M236" s="107"/>
      <c r="N236" s="107"/>
      <c r="O236" s="107">
        <f>27612000+6000000-12000000+1612717-219600-70917+12000000+150000+327958-244003+12522000+7400000-356390+100000-1000000+1600000+500000+30000-428650-152925-31000+230000-300000-190373-43000-165200-184570+43000+150000-142900-20000-91388-26500-115600</f>
        <v>54494659</v>
      </c>
      <c r="P236" s="107">
        <f>27612000+6000000-12000000+1322200+12000000+150000+327958-244003+12522000+7400000-356390+100000-1000000+1600000+500000+30000-428650-152925-31000+230000-300000-190373-43000-165200-184570+43000+150000-142900-20000-91388-26500-115600</f>
        <v>54494659</v>
      </c>
      <c r="Q236" s="107">
        <f>F236+K236</f>
        <v>106202156.02</v>
      </c>
      <c r="R236" s="42"/>
      <c r="S236" s="42"/>
      <c r="T236" s="42"/>
      <c r="U236" s="42"/>
      <c r="V236" s="42"/>
      <c r="W236" s="42"/>
      <c r="X236" s="42"/>
      <c r="Y236" s="42"/>
      <c r="Z236" s="42"/>
      <c r="AA236" s="42"/>
      <c r="AB236" s="42"/>
      <c r="AC236" s="42"/>
      <c r="AD236" s="42"/>
      <c r="AE236" s="42"/>
    </row>
    <row r="237" spans="1:31" s="15" customFormat="1" ht="36.75" customHeight="1">
      <c r="A237" s="14"/>
      <c r="B237" s="126" t="s">
        <v>420</v>
      </c>
      <c r="C237" s="126" t="s">
        <v>299</v>
      </c>
      <c r="D237" s="126" t="s">
        <v>297</v>
      </c>
      <c r="E237" s="166" t="s">
        <v>219</v>
      </c>
      <c r="F237" s="107">
        <f t="shared" si="70"/>
        <v>0</v>
      </c>
      <c r="G237" s="107"/>
      <c r="H237" s="107"/>
      <c r="I237" s="107"/>
      <c r="J237" s="107"/>
      <c r="K237" s="107">
        <f t="shared" si="71"/>
        <v>1000000</v>
      </c>
      <c r="L237" s="107"/>
      <c r="M237" s="107"/>
      <c r="N237" s="107"/>
      <c r="O237" s="107">
        <v>1000000</v>
      </c>
      <c r="P237" s="107">
        <v>1000000</v>
      </c>
      <c r="Q237" s="107">
        <f t="shared" si="59"/>
        <v>1000000</v>
      </c>
      <c r="R237" s="42"/>
      <c r="S237" s="42"/>
      <c r="T237" s="42"/>
      <c r="U237" s="42"/>
      <c r="V237" s="42"/>
      <c r="W237" s="42"/>
      <c r="X237" s="42"/>
      <c r="Y237" s="42"/>
      <c r="Z237" s="42"/>
      <c r="AA237" s="42"/>
      <c r="AB237" s="42"/>
      <c r="AC237" s="42"/>
      <c r="AD237" s="42"/>
      <c r="AE237" s="42"/>
    </row>
    <row r="238" spans="1:31" s="15" customFormat="1" ht="60" customHeight="1">
      <c r="A238" s="14"/>
      <c r="B238" s="126" t="s">
        <v>561</v>
      </c>
      <c r="C238" s="126" t="s">
        <v>554</v>
      </c>
      <c r="D238" s="126" t="s">
        <v>297</v>
      </c>
      <c r="E238" s="166" t="s">
        <v>553</v>
      </c>
      <c r="F238" s="107">
        <f>G238+J238</f>
        <v>197366</v>
      </c>
      <c r="G238" s="107"/>
      <c r="H238" s="107"/>
      <c r="I238" s="107"/>
      <c r="J238" s="107">
        <f>168566+28800</f>
        <v>197366</v>
      </c>
      <c r="K238" s="107">
        <f t="shared" si="71"/>
        <v>0</v>
      </c>
      <c r="L238" s="107"/>
      <c r="M238" s="107"/>
      <c r="N238" s="107"/>
      <c r="O238" s="107"/>
      <c r="P238" s="107"/>
      <c r="Q238" s="107">
        <f t="shared" si="59"/>
        <v>197366</v>
      </c>
      <c r="R238" s="42"/>
      <c r="S238" s="42"/>
      <c r="T238" s="42"/>
      <c r="U238" s="42"/>
      <c r="V238" s="42"/>
      <c r="W238" s="42"/>
      <c r="X238" s="42"/>
      <c r="Y238" s="42"/>
      <c r="Z238" s="42"/>
      <c r="AA238" s="42"/>
      <c r="AB238" s="42"/>
      <c r="AC238" s="42"/>
      <c r="AD238" s="42"/>
      <c r="AE238" s="42"/>
    </row>
    <row r="239" spans="1:31" s="15" customFormat="1" ht="192" customHeight="1">
      <c r="A239" s="14"/>
      <c r="B239" s="126" t="s">
        <v>570</v>
      </c>
      <c r="C239" s="126" t="s">
        <v>571</v>
      </c>
      <c r="D239" s="126" t="s">
        <v>572</v>
      </c>
      <c r="E239" s="166" t="s">
        <v>573</v>
      </c>
      <c r="F239" s="107">
        <f>G239+J239</f>
        <v>23863473.35</v>
      </c>
      <c r="G239" s="107"/>
      <c r="H239" s="107"/>
      <c r="I239" s="107"/>
      <c r="J239" s="107">
        <v>23863473.35</v>
      </c>
      <c r="K239" s="107">
        <f t="shared" si="71"/>
        <v>25027345.03</v>
      </c>
      <c r="L239" s="107"/>
      <c r="M239" s="107"/>
      <c r="N239" s="107"/>
      <c r="O239" s="107">
        <v>25027345.03</v>
      </c>
      <c r="P239" s="107"/>
      <c r="Q239" s="107">
        <f t="shared" si="59"/>
        <v>48890818.38</v>
      </c>
      <c r="R239" s="42"/>
      <c r="S239" s="42"/>
      <c r="T239" s="42"/>
      <c r="U239" s="42"/>
      <c r="V239" s="42"/>
      <c r="W239" s="42"/>
      <c r="X239" s="42"/>
      <c r="Y239" s="42"/>
      <c r="Z239" s="42"/>
      <c r="AA239" s="42"/>
      <c r="AB239" s="42"/>
      <c r="AC239" s="42"/>
      <c r="AD239" s="42"/>
      <c r="AE239" s="42"/>
    </row>
    <row r="240" spans="1:31" s="15" customFormat="1" ht="15" customHeight="1">
      <c r="A240" s="14"/>
      <c r="B240" s="126"/>
      <c r="C240" s="126"/>
      <c r="D240" s="126"/>
      <c r="E240" s="166" t="s">
        <v>512</v>
      </c>
      <c r="F240" s="107">
        <f>G240+J240</f>
        <v>23863473.35</v>
      </c>
      <c r="G240" s="107"/>
      <c r="H240" s="107"/>
      <c r="I240" s="107"/>
      <c r="J240" s="107">
        <v>23863473.35</v>
      </c>
      <c r="K240" s="107">
        <f t="shared" si="71"/>
        <v>25027345.03</v>
      </c>
      <c r="L240" s="107"/>
      <c r="M240" s="107"/>
      <c r="N240" s="107"/>
      <c r="O240" s="107">
        <v>25027345.03</v>
      </c>
      <c r="P240" s="107"/>
      <c r="Q240" s="107">
        <f t="shared" si="59"/>
        <v>48890818.38</v>
      </c>
      <c r="R240" s="42"/>
      <c r="S240" s="42"/>
      <c r="T240" s="42"/>
      <c r="U240" s="42"/>
      <c r="V240" s="42"/>
      <c r="W240" s="42"/>
      <c r="X240" s="42"/>
      <c r="Y240" s="42"/>
      <c r="Z240" s="42"/>
      <c r="AA240" s="42"/>
      <c r="AB240" s="42"/>
      <c r="AC240" s="42"/>
      <c r="AD240" s="42"/>
      <c r="AE240" s="42"/>
    </row>
    <row r="241" spans="1:31" s="15" customFormat="1" ht="30" customHeight="1">
      <c r="A241" s="14"/>
      <c r="B241" s="126" t="s">
        <v>434</v>
      </c>
      <c r="C241" s="126" t="s">
        <v>323</v>
      </c>
      <c r="D241" s="126" t="s">
        <v>324</v>
      </c>
      <c r="E241" s="166" t="s">
        <v>163</v>
      </c>
      <c r="F241" s="107">
        <f t="shared" si="70"/>
        <v>0</v>
      </c>
      <c r="G241" s="107"/>
      <c r="H241" s="107"/>
      <c r="I241" s="107"/>
      <c r="J241" s="107"/>
      <c r="K241" s="107">
        <f t="shared" si="71"/>
        <v>15799099</v>
      </c>
      <c r="L241" s="107"/>
      <c r="M241" s="107"/>
      <c r="N241" s="107"/>
      <c r="O241" s="107">
        <f>12774508+500000+737000+1000000+600000-43000-150000+1467750-1087159</f>
        <v>15799099</v>
      </c>
      <c r="P241" s="107">
        <f>12774508+500000+737000+1000000+600000-43000-150000+1467750-1087159</f>
        <v>15799099</v>
      </c>
      <c r="Q241" s="107">
        <f>F241+K241</f>
        <v>15799099</v>
      </c>
      <c r="R241" s="42"/>
      <c r="S241" s="42"/>
      <c r="T241" s="42"/>
      <c r="U241" s="42"/>
      <c r="V241" s="42"/>
      <c r="W241" s="42"/>
      <c r="X241" s="42"/>
      <c r="Y241" s="42"/>
      <c r="Z241" s="42"/>
      <c r="AA241" s="42"/>
      <c r="AB241" s="42"/>
      <c r="AC241" s="42"/>
      <c r="AD241" s="42"/>
      <c r="AE241" s="42"/>
    </row>
    <row r="242" spans="1:31" s="15" customFormat="1" ht="19.5" customHeight="1">
      <c r="A242" s="14"/>
      <c r="B242" s="126"/>
      <c r="C242" s="126"/>
      <c r="D242" s="126"/>
      <c r="E242" s="166" t="s">
        <v>512</v>
      </c>
      <c r="F242" s="107">
        <f t="shared" si="70"/>
        <v>0</v>
      </c>
      <c r="G242" s="107"/>
      <c r="H242" s="107"/>
      <c r="I242" s="107"/>
      <c r="J242" s="107"/>
      <c r="K242" s="107">
        <f t="shared" si="71"/>
        <v>1425000</v>
      </c>
      <c r="L242" s="107"/>
      <c r="M242" s="107"/>
      <c r="N242" s="107"/>
      <c r="O242" s="107">
        <v>1425000</v>
      </c>
      <c r="P242" s="107">
        <v>1425000</v>
      </c>
      <c r="Q242" s="107">
        <f>F242+K242</f>
        <v>1425000</v>
      </c>
      <c r="R242" s="42"/>
      <c r="S242" s="42"/>
      <c r="T242" s="42"/>
      <c r="U242" s="42"/>
      <c r="V242" s="42"/>
      <c r="W242" s="42"/>
      <c r="X242" s="42"/>
      <c r="Y242" s="42"/>
      <c r="Z242" s="42"/>
      <c r="AA242" s="42"/>
      <c r="AB242" s="42"/>
      <c r="AC242" s="42"/>
      <c r="AD242" s="42"/>
      <c r="AE242" s="42"/>
    </row>
    <row r="243" spans="1:31" s="15" customFormat="1" ht="24" customHeight="1">
      <c r="A243" s="14"/>
      <c r="B243" s="126" t="s">
        <v>526</v>
      </c>
      <c r="C243" s="126" t="s">
        <v>325</v>
      </c>
      <c r="D243" s="126"/>
      <c r="E243" s="10" t="s">
        <v>230</v>
      </c>
      <c r="F243" s="107">
        <f>F244</f>
        <v>0</v>
      </c>
      <c r="G243" s="107">
        <f aca="true" t="shared" si="72" ref="G243:Q243">G244</f>
        <v>0</v>
      </c>
      <c r="H243" s="107">
        <f t="shared" si="72"/>
        <v>0</v>
      </c>
      <c r="I243" s="107">
        <f t="shared" si="72"/>
        <v>0</v>
      </c>
      <c r="J243" s="107">
        <f t="shared" si="72"/>
        <v>0</v>
      </c>
      <c r="K243" s="107">
        <f t="shared" si="72"/>
        <v>2535000</v>
      </c>
      <c r="L243" s="107">
        <f t="shared" si="72"/>
        <v>0</v>
      </c>
      <c r="M243" s="107">
        <f t="shared" si="72"/>
        <v>0</v>
      </c>
      <c r="N243" s="107">
        <f t="shared" si="72"/>
        <v>0</v>
      </c>
      <c r="O243" s="107">
        <f t="shared" si="72"/>
        <v>2535000</v>
      </c>
      <c r="P243" s="107">
        <f t="shared" si="72"/>
        <v>2535000</v>
      </c>
      <c r="Q243" s="107">
        <f t="shared" si="72"/>
        <v>2535000</v>
      </c>
      <c r="R243" s="42"/>
      <c r="S243" s="42"/>
      <c r="T243" s="42"/>
      <c r="U243" s="42"/>
      <c r="V243" s="42"/>
      <c r="W243" s="42"/>
      <c r="X243" s="42"/>
      <c r="Y243" s="42"/>
      <c r="Z243" s="42"/>
      <c r="AA243" s="42"/>
      <c r="AB243" s="42"/>
      <c r="AC243" s="42"/>
      <c r="AD243" s="42"/>
      <c r="AE243" s="42"/>
    </row>
    <row r="244" spans="1:31" s="15" customFormat="1" ht="39" customHeight="1">
      <c r="A244" s="14"/>
      <c r="B244" s="37" t="s">
        <v>527</v>
      </c>
      <c r="C244" s="37" t="s">
        <v>326</v>
      </c>
      <c r="D244" s="37" t="s">
        <v>308</v>
      </c>
      <c r="E244" s="30" t="s">
        <v>528</v>
      </c>
      <c r="F244" s="107">
        <f t="shared" si="70"/>
        <v>0</v>
      </c>
      <c r="G244" s="107"/>
      <c r="H244" s="107"/>
      <c r="I244" s="107"/>
      <c r="J244" s="107"/>
      <c r="K244" s="108">
        <f t="shared" si="71"/>
        <v>2535000</v>
      </c>
      <c r="L244" s="107"/>
      <c r="M244" s="107"/>
      <c r="N244" s="107"/>
      <c r="O244" s="107">
        <v>2535000</v>
      </c>
      <c r="P244" s="107">
        <v>2535000</v>
      </c>
      <c r="Q244" s="107">
        <f t="shared" si="59"/>
        <v>2535000</v>
      </c>
      <c r="R244" s="42"/>
      <c r="S244" s="42"/>
      <c r="T244" s="42"/>
      <c r="U244" s="42"/>
      <c r="V244" s="42"/>
      <c r="W244" s="42"/>
      <c r="X244" s="42"/>
      <c r="Y244" s="42"/>
      <c r="Z244" s="42"/>
      <c r="AA244" s="42"/>
      <c r="AB244" s="42"/>
      <c r="AC244" s="42"/>
      <c r="AD244" s="42"/>
      <c r="AE244" s="42"/>
    </row>
    <row r="245" spans="1:31" s="15" customFormat="1" ht="30">
      <c r="A245" s="14"/>
      <c r="B245" s="126" t="s">
        <v>430</v>
      </c>
      <c r="C245" s="126" t="s">
        <v>432</v>
      </c>
      <c r="D245" s="126" t="s">
        <v>431</v>
      </c>
      <c r="E245" s="166" t="s">
        <v>433</v>
      </c>
      <c r="F245" s="107">
        <f t="shared" si="70"/>
        <v>650000</v>
      </c>
      <c r="G245" s="107"/>
      <c r="H245" s="107"/>
      <c r="I245" s="107"/>
      <c r="J245" s="107">
        <f>185000+465000-25000-13808-3976+42784</f>
        <v>650000</v>
      </c>
      <c r="K245" s="107">
        <f t="shared" si="71"/>
        <v>87216</v>
      </c>
      <c r="L245" s="107"/>
      <c r="M245" s="107"/>
      <c r="N245" s="107"/>
      <c r="O245" s="107">
        <f>130000-42784</f>
        <v>87216</v>
      </c>
      <c r="P245" s="107">
        <f>130000-42784</f>
        <v>87216</v>
      </c>
      <c r="Q245" s="107">
        <f t="shared" si="59"/>
        <v>737216</v>
      </c>
      <c r="R245" s="42"/>
      <c r="S245" s="42"/>
      <c r="T245" s="42"/>
      <c r="U245" s="42"/>
      <c r="V245" s="42"/>
      <c r="W245" s="42"/>
      <c r="X245" s="42"/>
      <c r="Y245" s="42"/>
      <c r="Z245" s="42"/>
      <c r="AA245" s="42"/>
      <c r="AB245" s="42"/>
      <c r="AC245" s="42"/>
      <c r="AD245" s="42"/>
      <c r="AE245" s="42"/>
    </row>
    <row r="246" spans="1:31" s="34" customFormat="1" ht="24.75" customHeight="1">
      <c r="A246" s="33"/>
      <c r="B246" s="27" t="s">
        <v>210</v>
      </c>
      <c r="C246" s="27" t="s">
        <v>411</v>
      </c>
      <c r="D246" s="27" t="s">
        <v>328</v>
      </c>
      <c r="E246" s="24" t="s">
        <v>153</v>
      </c>
      <c r="F246" s="107">
        <f t="shared" si="70"/>
        <v>1598808</v>
      </c>
      <c r="G246" s="107">
        <f>1500000+70000+13808+11024+3976</f>
        <v>1598808</v>
      </c>
      <c r="H246" s="108"/>
      <c r="I246" s="108"/>
      <c r="J246" s="107"/>
      <c r="K246" s="108"/>
      <c r="L246" s="108"/>
      <c r="M246" s="108"/>
      <c r="N246" s="108"/>
      <c r="O246" s="108"/>
      <c r="P246" s="108"/>
      <c r="Q246" s="107">
        <f t="shared" si="59"/>
        <v>1598808</v>
      </c>
      <c r="R246" s="32"/>
      <c r="S246" s="32"/>
      <c r="T246" s="32"/>
      <c r="U246" s="32"/>
      <c r="V246" s="32"/>
      <c r="W246" s="32"/>
      <c r="X246" s="32"/>
      <c r="Y246" s="32"/>
      <c r="Z246" s="32"/>
      <c r="AA246" s="32"/>
      <c r="AB246" s="32"/>
      <c r="AC246" s="32"/>
      <c r="AD246" s="32"/>
      <c r="AE246" s="32"/>
    </row>
    <row r="247" spans="1:31" s="15" customFormat="1" ht="24.75" customHeight="1">
      <c r="A247" s="23"/>
      <c r="B247" s="27" t="s">
        <v>155</v>
      </c>
      <c r="C247" s="27" t="s">
        <v>341</v>
      </c>
      <c r="D247" s="27" t="s">
        <v>342</v>
      </c>
      <c r="E247" s="24" t="s">
        <v>154</v>
      </c>
      <c r="F247" s="107">
        <f t="shared" si="70"/>
        <v>1000000</v>
      </c>
      <c r="G247" s="107">
        <v>800000</v>
      </c>
      <c r="H247" s="107"/>
      <c r="I247" s="107"/>
      <c r="J247" s="107">
        <v>200000</v>
      </c>
      <c r="K247" s="107">
        <f t="shared" si="71"/>
        <v>0</v>
      </c>
      <c r="L247" s="107"/>
      <c r="M247" s="107"/>
      <c r="N247" s="107"/>
      <c r="O247" s="107"/>
      <c r="P247" s="107"/>
      <c r="Q247" s="107">
        <f t="shared" si="59"/>
        <v>1000000</v>
      </c>
      <c r="R247" s="42"/>
      <c r="S247" s="42"/>
      <c r="T247" s="42"/>
      <c r="U247" s="42"/>
      <c r="V247" s="42"/>
      <c r="W247" s="42"/>
      <c r="X247" s="42"/>
      <c r="Y247" s="42"/>
      <c r="Z247" s="42"/>
      <c r="AA247" s="42"/>
      <c r="AB247" s="42"/>
      <c r="AC247" s="42"/>
      <c r="AD247" s="42"/>
      <c r="AE247" s="42"/>
    </row>
    <row r="248" spans="1:31" s="15" customFormat="1" ht="34.5" customHeight="1">
      <c r="A248" s="14"/>
      <c r="B248" s="126" t="s">
        <v>156</v>
      </c>
      <c r="C248" s="126" t="s">
        <v>345</v>
      </c>
      <c r="D248" s="126" t="s">
        <v>324</v>
      </c>
      <c r="E248" s="166" t="s">
        <v>56</v>
      </c>
      <c r="F248" s="107">
        <f t="shared" si="70"/>
        <v>0</v>
      </c>
      <c r="G248" s="107"/>
      <c r="H248" s="107"/>
      <c r="I248" s="107"/>
      <c r="J248" s="107"/>
      <c r="K248" s="107">
        <f t="shared" si="71"/>
        <v>26420700</v>
      </c>
      <c r="L248" s="107"/>
      <c r="M248" s="107"/>
      <c r="N248" s="107"/>
      <c r="O248" s="107">
        <f>18610900+3000000-1149000-1000000+2520800+913000+3000000+482000+43000</f>
        <v>26420700</v>
      </c>
      <c r="P248" s="107">
        <f>18610900+3000000-1149000-1000000+2520800+913000+3000000+482000+43000</f>
        <v>26420700</v>
      </c>
      <c r="Q248" s="107">
        <f t="shared" si="59"/>
        <v>26420700</v>
      </c>
      <c r="R248" s="42"/>
      <c r="S248" s="42"/>
      <c r="T248" s="42"/>
      <c r="U248" s="42"/>
      <c r="V248" s="42"/>
      <c r="W248" s="42"/>
      <c r="X248" s="42"/>
      <c r="Y248" s="42"/>
      <c r="Z248" s="42"/>
      <c r="AA248" s="42"/>
      <c r="AB248" s="42"/>
      <c r="AC248" s="42"/>
      <c r="AD248" s="42"/>
      <c r="AE248" s="42"/>
    </row>
    <row r="249" spans="1:31" s="15" customFormat="1" ht="24.75" customHeight="1">
      <c r="A249" s="14"/>
      <c r="B249" s="153" t="s">
        <v>191</v>
      </c>
      <c r="C249" s="153" t="s">
        <v>349</v>
      </c>
      <c r="D249" s="153" t="s">
        <v>350</v>
      </c>
      <c r="E249" s="166" t="s">
        <v>19</v>
      </c>
      <c r="F249" s="107">
        <f t="shared" si="70"/>
        <v>199733</v>
      </c>
      <c r="G249" s="107">
        <v>199733</v>
      </c>
      <c r="H249" s="107"/>
      <c r="I249" s="107"/>
      <c r="J249" s="107"/>
      <c r="K249" s="107">
        <f t="shared" si="71"/>
        <v>0</v>
      </c>
      <c r="L249" s="107"/>
      <c r="M249" s="107"/>
      <c r="N249" s="107"/>
      <c r="O249" s="107"/>
      <c r="P249" s="107"/>
      <c r="Q249" s="107">
        <f t="shared" si="59"/>
        <v>199733</v>
      </c>
      <c r="R249" s="42"/>
      <c r="S249" s="42"/>
      <c r="T249" s="42"/>
      <c r="U249" s="42"/>
      <c r="V249" s="42"/>
      <c r="W249" s="42"/>
      <c r="X249" s="42"/>
      <c r="Y249" s="42"/>
      <c r="Z249" s="42"/>
      <c r="AA249" s="42"/>
      <c r="AB249" s="42"/>
      <c r="AC249" s="42"/>
      <c r="AD249" s="42"/>
      <c r="AE249" s="42"/>
    </row>
    <row r="250" spans="1:31" s="15" customFormat="1" ht="33" customHeight="1">
      <c r="A250" s="14"/>
      <c r="B250" s="153" t="s">
        <v>552</v>
      </c>
      <c r="C250" s="153" t="s">
        <v>546</v>
      </c>
      <c r="D250" s="153" t="s">
        <v>356</v>
      </c>
      <c r="E250" s="187" t="s">
        <v>547</v>
      </c>
      <c r="F250" s="107">
        <f t="shared" si="70"/>
        <v>0</v>
      </c>
      <c r="G250" s="107"/>
      <c r="H250" s="107"/>
      <c r="I250" s="107"/>
      <c r="J250" s="107"/>
      <c r="K250" s="107">
        <f t="shared" si="71"/>
        <v>5462904</v>
      </c>
      <c r="L250" s="107"/>
      <c r="M250" s="107"/>
      <c r="N250" s="107"/>
      <c r="O250" s="107">
        <v>5462904</v>
      </c>
      <c r="P250" s="107">
        <v>5462904</v>
      </c>
      <c r="Q250" s="107">
        <f t="shared" si="59"/>
        <v>5462904</v>
      </c>
      <c r="R250" s="42"/>
      <c r="S250" s="42"/>
      <c r="T250" s="42"/>
      <c r="U250" s="42"/>
      <c r="V250" s="42"/>
      <c r="W250" s="42"/>
      <c r="X250" s="42"/>
      <c r="Y250" s="42"/>
      <c r="Z250" s="42"/>
      <c r="AA250" s="42"/>
      <c r="AB250" s="42"/>
      <c r="AC250" s="42"/>
      <c r="AD250" s="42"/>
      <c r="AE250" s="42"/>
    </row>
    <row r="251" spans="1:31" s="15" customFormat="1" ht="24.75" customHeight="1">
      <c r="A251" s="14"/>
      <c r="B251" s="77" t="s">
        <v>158</v>
      </c>
      <c r="C251" s="77" t="s">
        <v>373</v>
      </c>
      <c r="D251" s="77" t="s">
        <v>246</v>
      </c>
      <c r="E251" s="166" t="s">
        <v>12</v>
      </c>
      <c r="F251" s="107">
        <f>F252+F253</f>
        <v>2121390.48</v>
      </c>
      <c r="G251" s="107">
        <f aca="true" t="shared" si="73" ref="G251:P251">G252+G253</f>
        <v>2121390.48</v>
      </c>
      <c r="H251" s="107">
        <f t="shared" si="73"/>
        <v>0</v>
      </c>
      <c r="I251" s="107">
        <f t="shared" si="73"/>
        <v>53000</v>
      </c>
      <c r="J251" s="107">
        <f t="shared" si="73"/>
        <v>0</v>
      </c>
      <c r="K251" s="107">
        <f t="shared" si="71"/>
        <v>0</v>
      </c>
      <c r="L251" s="107">
        <f t="shared" si="73"/>
        <v>0</v>
      </c>
      <c r="M251" s="107">
        <f t="shared" si="73"/>
        <v>0</v>
      </c>
      <c r="N251" s="107">
        <f t="shared" si="73"/>
        <v>0</v>
      </c>
      <c r="O251" s="107">
        <f t="shared" si="73"/>
        <v>0</v>
      </c>
      <c r="P251" s="107">
        <f t="shared" si="73"/>
        <v>0</v>
      </c>
      <c r="Q251" s="107">
        <f t="shared" si="59"/>
        <v>2121390.48</v>
      </c>
      <c r="R251" s="42"/>
      <c r="S251" s="42"/>
      <c r="T251" s="42"/>
      <c r="U251" s="42"/>
      <c r="V251" s="42"/>
      <c r="W251" s="42"/>
      <c r="X251" s="42"/>
      <c r="Y251" s="42"/>
      <c r="Z251" s="42"/>
      <c r="AA251" s="42"/>
      <c r="AB251" s="42"/>
      <c r="AC251" s="42"/>
      <c r="AD251" s="42"/>
      <c r="AE251" s="42"/>
    </row>
    <row r="252" spans="1:31" s="15" customFormat="1" ht="59.25" customHeight="1">
      <c r="A252" s="14"/>
      <c r="B252" s="46" t="s">
        <v>158</v>
      </c>
      <c r="C252" s="46" t="s">
        <v>373</v>
      </c>
      <c r="D252" s="29" t="s">
        <v>246</v>
      </c>
      <c r="E252" s="38" t="s">
        <v>203</v>
      </c>
      <c r="F252" s="108">
        <f>G252+J252</f>
        <v>285000</v>
      </c>
      <c r="G252" s="108">
        <v>285000</v>
      </c>
      <c r="H252" s="108"/>
      <c r="I252" s="108"/>
      <c r="J252" s="108"/>
      <c r="K252" s="107">
        <f t="shared" si="71"/>
        <v>0</v>
      </c>
      <c r="L252" s="108"/>
      <c r="M252" s="108"/>
      <c r="N252" s="108"/>
      <c r="O252" s="108"/>
      <c r="P252" s="108"/>
      <c r="Q252" s="108">
        <f t="shared" si="59"/>
        <v>285000</v>
      </c>
      <c r="R252" s="42"/>
      <c r="S252" s="42"/>
      <c r="T252" s="42"/>
      <c r="U252" s="42"/>
      <c r="V252" s="42"/>
      <c r="W252" s="42"/>
      <c r="X252" s="42"/>
      <c r="Y252" s="42"/>
      <c r="Z252" s="42"/>
      <c r="AA252" s="42"/>
      <c r="AB252" s="42"/>
      <c r="AC252" s="42"/>
      <c r="AD252" s="42"/>
      <c r="AE252" s="42"/>
    </row>
    <row r="253" spans="1:31" s="15" customFormat="1" ht="55.5" customHeight="1">
      <c r="A253" s="14"/>
      <c r="B253" s="46" t="s">
        <v>158</v>
      </c>
      <c r="C253" s="46" t="s">
        <v>373</v>
      </c>
      <c r="D253" s="29" t="s">
        <v>246</v>
      </c>
      <c r="E253" s="35" t="s">
        <v>540</v>
      </c>
      <c r="F253" s="108">
        <f>G253+J253</f>
        <v>1836390.48</v>
      </c>
      <c r="G253" s="108">
        <f>1622200+110000+25190.48+29000+50000</f>
        <v>1836390.48</v>
      </c>
      <c r="H253" s="108"/>
      <c r="I253" s="107">
        <v>53000</v>
      </c>
      <c r="J253" s="108"/>
      <c r="K253" s="107">
        <f t="shared" si="71"/>
        <v>0</v>
      </c>
      <c r="L253" s="108"/>
      <c r="M253" s="108"/>
      <c r="N253" s="108"/>
      <c r="O253" s="108"/>
      <c r="P253" s="108"/>
      <c r="Q253" s="108">
        <f t="shared" si="59"/>
        <v>1836390.48</v>
      </c>
      <c r="R253" s="42"/>
      <c r="S253" s="42"/>
      <c r="T253" s="42"/>
      <c r="U253" s="42"/>
      <c r="V253" s="42"/>
      <c r="W253" s="42"/>
      <c r="X253" s="42"/>
      <c r="Y253" s="42"/>
      <c r="Z253" s="42"/>
      <c r="AA253" s="42"/>
      <c r="AB253" s="42"/>
      <c r="AC253" s="42"/>
      <c r="AD253" s="42"/>
      <c r="AE253" s="42"/>
    </row>
    <row r="254" spans="1:31" s="15" customFormat="1" ht="15.75">
      <c r="A254" s="14"/>
      <c r="B254" s="127">
        <v>4118800</v>
      </c>
      <c r="C254" s="127">
        <v>8800</v>
      </c>
      <c r="D254" s="126" t="s">
        <v>246</v>
      </c>
      <c r="E254" s="184" t="s">
        <v>26</v>
      </c>
      <c r="F254" s="107">
        <f>F255</f>
        <v>758500</v>
      </c>
      <c r="G254" s="107">
        <f aca="true" t="shared" si="74" ref="G254:Q254">G255</f>
        <v>758500</v>
      </c>
      <c r="H254" s="107">
        <f t="shared" si="74"/>
        <v>0</v>
      </c>
      <c r="I254" s="107">
        <f t="shared" si="74"/>
        <v>0</v>
      </c>
      <c r="J254" s="107">
        <f t="shared" si="74"/>
        <v>0</v>
      </c>
      <c r="K254" s="107">
        <f t="shared" si="74"/>
        <v>2221500</v>
      </c>
      <c r="L254" s="107">
        <f t="shared" si="74"/>
        <v>0</v>
      </c>
      <c r="M254" s="107">
        <f t="shared" si="74"/>
        <v>0</v>
      </c>
      <c r="N254" s="107">
        <f t="shared" si="74"/>
        <v>0</v>
      </c>
      <c r="O254" s="107">
        <f t="shared" si="74"/>
        <v>2221500</v>
      </c>
      <c r="P254" s="107">
        <f t="shared" si="74"/>
        <v>2221500</v>
      </c>
      <c r="Q254" s="107">
        <f t="shared" si="74"/>
        <v>2980000</v>
      </c>
      <c r="R254" s="42"/>
      <c r="S254" s="42"/>
      <c r="T254" s="42"/>
      <c r="U254" s="42"/>
      <c r="V254" s="42"/>
      <c r="W254" s="42"/>
      <c r="X254" s="42"/>
      <c r="Y254" s="42"/>
      <c r="Z254" s="42"/>
      <c r="AA254" s="42"/>
      <c r="AB254" s="42"/>
      <c r="AC254" s="42"/>
      <c r="AD254" s="42"/>
      <c r="AE254" s="42"/>
    </row>
    <row r="255" spans="1:31" s="15" customFormat="1" ht="41.25" customHeight="1">
      <c r="A255" s="14"/>
      <c r="B255" s="177">
        <v>4118800</v>
      </c>
      <c r="C255" s="177">
        <v>8800</v>
      </c>
      <c r="D255" s="46" t="s">
        <v>246</v>
      </c>
      <c r="E255" s="38" t="s">
        <v>567</v>
      </c>
      <c r="F255" s="114">
        <f>G255+J255</f>
        <v>758500</v>
      </c>
      <c r="G255" s="107">
        <f>250000+508500</f>
        <v>758500</v>
      </c>
      <c r="H255" s="107"/>
      <c r="I255" s="107"/>
      <c r="J255" s="107"/>
      <c r="K255" s="107">
        <f>L255+O255</f>
        <v>2221500</v>
      </c>
      <c r="L255" s="107"/>
      <c r="M255" s="107"/>
      <c r="N255" s="107"/>
      <c r="O255" s="107">
        <f>1730000-508500+1000000</f>
        <v>2221500</v>
      </c>
      <c r="P255" s="107">
        <f>1730000-508500+1000000</f>
        <v>2221500</v>
      </c>
      <c r="Q255" s="107">
        <f t="shared" si="59"/>
        <v>2980000</v>
      </c>
      <c r="R255" s="42"/>
      <c r="S255" s="42"/>
      <c r="T255" s="42"/>
      <c r="U255" s="42"/>
      <c r="V255" s="42"/>
      <c r="W255" s="42"/>
      <c r="X255" s="42"/>
      <c r="Y255" s="42"/>
      <c r="Z255" s="42"/>
      <c r="AA255" s="42"/>
      <c r="AB255" s="42"/>
      <c r="AC255" s="42"/>
      <c r="AD255" s="42"/>
      <c r="AE255" s="42"/>
    </row>
    <row r="256" spans="1:31" s="15" customFormat="1" ht="30">
      <c r="A256" s="14"/>
      <c r="B256" s="126" t="s">
        <v>157</v>
      </c>
      <c r="C256" s="126" t="s">
        <v>361</v>
      </c>
      <c r="D256" s="126" t="s">
        <v>362</v>
      </c>
      <c r="E256" s="166" t="s">
        <v>24</v>
      </c>
      <c r="F256" s="107">
        <f t="shared" si="70"/>
        <v>0</v>
      </c>
      <c r="G256" s="107">
        <f>220000-220000</f>
        <v>0</v>
      </c>
      <c r="H256" s="107"/>
      <c r="I256" s="107"/>
      <c r="J256" s="107"/>
      <c r="K256" s="107">
        <f>L256+O256</f>
        <v>4985460</v>
      </c>
      <c r="L256" s="107">
        <f>160000+620000+500000</f>
        <v>1280000</v>
      </c>
      <c r="M256" s="107"/>
      <c r="N256" s="107"/>
      <c r="O256" s="107">
        <f>880000-620000+3445460</f>
        <v>3705460</v>
      </c>
      <c r="P256" s="107">
        <f>868800-868800</f>
        <v>0</v>
      </c>
      <c r="Q256" s="107">
        <f t="shared" si="59"/>
        <v>4985460</v>
      </c>
      <c r="R256" s="42"/>
      <c r="S256" s="42"/>
      <c r="T256" s="42"/>
      <c r="U256" s="42"/>
      <c r="V256" s="42"/>
      <c r="W256" s="42"/>
      <c r="X256" s="42"/>
      <c r="Y256" s="42"/>
      <c r="Z256" s="42"/>
      <c r="AA256" s="42"/>
      <c r="AB256" s="42"/>
      <c r="AC256" s="42"/>
      <c r="AD256" s="42"/>
      <c r="AE256" s="42"/>
    </row>
    <row r="257" spans="1:31" s="15" customFormat="1" ht="20.25" customHeight="1">
      <c r="A257" s="14"/>
      <c r="B257" s="126" t="s">
        <v>215</v>
      </c>
      <c r="C257" s="126" t="s">
        <v>367</v>
      </c>
      <c r="D257" s="126" t="s">
        <v>350</v>
      </c>
      <c r="E257" s="166" t="s">
        <v>19</v>
      </c>
      <c r="F257" s="107"/>
      <c r="G257" s="107"/>
      <c r="H257" s="107"/>
      <c r="I257" s="107"/>
      <c r="J257" s="107"/>
      <c r="K257" s="107">
        <f>L257+O257</f>
        <v>448267</v>
      </c>
      <c r="L257" s="107">
        <f>220267+88000+80000</f>
        <v>388267</v>
      </c>
      <c r="M257" s="107"/>
      <c r="N257" s="107"/>
      <c r="O257" s="107">
        <f>88000-88000+60000</f>
        <v>60000</v>
      </c>
      <c r="P257" s="107"/>
      <c r="Q257" s="107">
        <f t="shared" si="59"/>
        <v>448267</v>
      </c>
      <c r="R257" s="42"/>
      <c r="S257" s="42"/>
      <c r="T257" s="42"/>
      <c r="U257" s="42"/>
      <c r="V257" s="42"/>
      <c r="W257" s="42"/>
      <c r="X257" s="42"/>
      <c r="Y257" s="42"/>
      <c r="Z257" s="42"/>
      <c r="AA257" s="42"/>
      <c r="AB257" s="42"/>
      <c r="AC257" s="42"/>
      <c r="AD257" s="42"/>
      <c r="AE257" s="42"/>
    </row>
    <row r="258" spans="1:31" s="15" customFormat="1" ht="68.25" customHeight="1">
      <c r="A258" s="14"/>
      <c r="B258" s="77" t="s">
        <v>510</v>
      </c>
      <c r="C258" s="77" t="s">
        <v>368</v>
      </c>
      <c r="D258" s="77" t="s">
        <v>369</v>
      </c>
      <c r="E258" s="166" t="s">
        <v>17</v>
      </c>
      <c r="F258" s="107">
        <f>G258+J258</f>
        <v>0</v>
      </c>
      <c r="G258" s="107"/>
      <c r="H258" s="107"/>
      <c r="I258" s="107"/>
      <c r="J258" s="107"/>
      <c r="K258" s="107">
        <f>L258+O258</f>
        <v>4751003.18</v>
      </c>
      <c r="L258" s="107">
        <f>4580000-4500000+171003.18</f>
        <v>251003.18</v>
      </c>
      <c r="M258" s="107"/>
      <c r="N258" s="107"/>
      <c r="O258" s="107">
        <f>4500000</f>
        <v>4500000</v>
      </c>
      <c r="P258" s="107"/>
      <c r="Q258" s="107">
        <f t="shared" si="59"/>
        <v>4751003.18</v>
      </c>
      <c r="R258" s="42"/>
      <c r="S258" s="42"/>
      <c r="T258" s="42"/>
      <c r="U258" s="42"/>
      <c r="V258" s="42"/>
      <c r="W258" s="42"/>
      <c r="X258" s="42"/>
      <c r="Y258" s="42"/>
      <c r="Z258" s="42"/>
      <c r="AA258" s="42"/>
      <c r="AB258" s="42"/>
      <c r="AC258" s="42"/>
      <c r="AD258" s="42"/>
      <c r="AE258" s="42"/>
    </row>
    <row r="259" spans="1:31" s="105" customFormat="1" ht="33" customHeight="1">
      <c r="A259" s="102"/>
      <c r="B259" s="116" t="s">
        <v>162</v>
      </c>
      <c r="C259" s="116"/>
      <c r="D259" s="116"/>
      <c r="E259" s="17" t="s">
        <v>224</v>
      </c>
      <c r="F259" s="115">
        <f>F260</f>
        <v>9707602.67</v>
      </c>
      <c r="G259" s="115">
        <f aca="true" t="shared" si="75" ref="G259:P259">G260</f>
        <v>8707602.67</v>
      </c>
      <c r="H259" s="115">
        <f t="shared" si="75"/>
        <v>5601472</v>
      </c>
      <c r="I259" s="115">
        <f t="shared" si="75"/>
        <v>255000</v>
      </c>
      <c r="J259" s="115">
        <f t="shared" si="75"/>
        <v>1000000</v>
      </c>
      <c r="K259" s="115">
        <f t="shared" si="75"/>
        <v>164343.33000000002</v>
      </c>
      <c r="L259" s="115">
        <f t="shared" si="75"/>
        <v>14343.33</v>
      </c>
      <c r="M259" s="115">
        <f t="shared" si="75"/>
        <v>0</v>
      </c>
      <c r="N259" s="115">
        <f t="shared" si="75"/>
        <v>0</v>
      </c>
      <c r="O259" s="115">
        <f t="shared" si="75"/>
        <v>150000</v>
      </c>
      <c r="P259" s="115">
        <f t="shared" si="75"/>
        <v>150000</v>
      </c>
      <c r="Q259" s="115">
        <f t="shared" si="59"/>
        <v>9871946</v>
      </c>
      <c r="R259" s="104"/>
      <c r="S259" s="104"/>
      <c r="T259" s="104"/>
      <c r="U259" s="104"/>
      <c r="V259" s="104"/>
      <c r="W259" s="104"/>
      <c r="X259" s="104"/>
      <c r="Y259" s="104"/>
      <c r="Z259" s="104"/>
      <c r="AA259" s="104"/>
      <c r="AB259" s="104"/>
      <c r="AC259" s="104"/>
      <c r="AD259" s="104"/>
      <c r="AE259" s="104"/>
    </row>
    <row r="260" spans="1:31" s="105" customFormat="1" ht="31.5" customHeight="1">
      <c r="A260" s="102"/>
      <c r="B260" s="118" t="s">
        <v>161</v>
      </c>
      <c r="C260" s="118"/>
      <c r="D260" s="118"/>
      <c r="E260" s="122" t="s">
        <v>224</v>
      </c>
      <c r="F260" s="120">
        <f>F261+F264+F262+F263</f>
        <v>9707602.67</v>
      </c>
      <c r="G260" s="120">
        <f aca="true" t="shared" si="76" ref="G260:P260">G261+G264+G262+G263</f>
        <v>8707602.67</v>
      </c>
      <c r="H260" s="120">
        <f t="shared" si="76"/>
        <v>5601472</v>
      </c>
      <c r="I260" s="120">
        <f t="shared" si="76"/>
        <v>255000</v>
      </c>
      <c r="J260" s="120">
        <f t="shared" si="76"/>
        <v>1000000</v>
      </c>
      <c r="K260" s="120">
        <f t="shared" si="76"/>
        <v>164343.33000000002</v>
      </c>
      <c r="L260" s="120">
        <f t="shared" si="76"/>
        <v>14343.33</v>
      </c>
      <c r="M260" s="120">
        <f t="shared" si="76"/>
        <v>0</v>
      </c>
      <c r="N260" s="120">
        <f t="shared" si="76"/>
        <v>0</v>
      </c>
      <c r="O260" s="120">
        <f t="shared" si="76"/>
        <v>150000</v>
      </c>
      <c r="P260" s="120">
        <f t="shared" si="76"/>
        <v>150000</v>
      </c>
      <c r="Q260" s="120">
        <f t="shared" si="59"/>
        <v>9871946</v>
      </c>
      <c r="R260" s="104"/>
      <c r="S260" s="104"/>
      <c r="T260" s="104"/>
      <c r="U260" s="104"/>
      <c r="V260" s="104"/>
      <c r="W260" s="104"/>
      <c r="X260" s="104"/>
      <c r="Y260" s="104"/>
      <c r="Z260" s="104"/>
      <c r="AA260" s="104"/>
      <c r="AB260" s="104"/>
      <c r="AC260" s="104"/>
      <c r="AD260" s="104"/>
      <c r="AE260" s="104"/>
    </row>
    <row r="261" spans="1:31" s="15" customFormat="1" ht="30">
      <c r="A261" s="23"/>
      <c r="B261" s="27" t="s">
        <v>160</v>
      </c>
      <c r="C261" s="27" t="s">
        <v>246</v>
      </c>
      <c r="D261" s="27" t="s">
        <v>247</v>
      </c>
      <c r="E261" s="24" t="s">
        <v>522</v>
      </c>
      <c r="F261" s="107">
        <f>G261+J261</f>
        <v>7557646</v>
      </c>
      <c r="G261" s="107">
        <f>6853500+30100-81000+1513+9887+663646+80000</f>
        <v>7557646</v>
      </c>
      <c r="H261" s="107">
        <f>5057500+543972</f>
        <v>5601472</v>
      </c>
      <c r="I261" s="107">
        <f>224900+30100</f>
        <v>255000</v>
      </c>
      <c r="J261" s="107"/>
      <c r="K261" s="107">
        <f>L261+O261</f>
        <v>100000</v>
      </c>
      <c r="L261" s="107"/>
      <c r="M261" s="107"/>
      <c r="N261" s="107"/>
      <c r="O261" s="107">
        <v>100000</v>
      </c>
      <c r="P261" s="107">
        <v>100000</v>
      </c>
      <c r="Q261" s="107">
        <f t="shared" si="59"/>
        <v>7657646</v>
      </c>
      <c r="R261" s="42"/>
      <c r="S261" s="42"/>
      <c r="T261" s="42"/>
      <c r="U261" s="42"/>
      <c r="V261" s="42"/>
      <c r="W261" s="42"/>
      <c r="X261" s="42"/>
      <c r="Y261" s="42"/>
      <c r="Z261" s="42"/>
      <c r="AA261" s="42"/>
      <c r="AB261" s="42"/>
      <c r="AC261" s="42"/>
      <c r="AD261" s="42"/>
      <c r="AE261" s="42"/>
    </row>
    <row r="262" spans="1:31" s="15" customFormat="1" ht="25.5" customHeight="1">
      <c r="A262" s="14"/>
      <c r="B262" s="126" t="s">
        <v>164</v>
      </c>
      <c r="C262" s="126" t="s">
        <v>411</v>
      </c>
      <c r="D262" s="126" t="s">
        <v>328</v>
      </c>
      <c r="E262" s="166" t="s">
        <v>153</v>
      </c>
      <c r="F262" s="107">
        <f>G262+J262</f>
        <v>292956.67</v>
      </c>
      <c r="G262" s="107">
        <f>28000+296656.67+3300+45000-80000</f>
        <v>292956.67</v>
      </c>
      <c r="H262" s="107"/>
      <c r="I262" s="107"/>
      <c r="J262" s="107"/>
      <c r="K262" s="107">
        <f>L262+O262</f>
        <v>64343.33</v>
      </c>
      <c r="L262" s="107">
        <v>14343.33</v>
      </c>
      <c r="M262" s="107"/>
      <c r="N262" s="107"/>
      <c r="O262" s="107">
        <f>50000</f>
        <v>50000</v>
      </c>
      <c r="P262" s="107">
        <f>50000</f>
        <v>50000</v>
      </c>
      <c r="Q262" s="107">
        <f>F262+K262</f>
        <v>357300</v>
      </c>
      <c r="R262" s="42"/>
      <c r="S262" s="42"/>
      <c r="T262" s="42"/>
      <c r="U262" s="42"/>
      <c r="V262" s="42"/>
      <c r="W262" s="42"/>
      <c r="X262" s="42"/>
      <c r="Y262" s="42"/>
      <c r="Z262" s="42"/>
      <c r="AA262" s="42"/>
      <c r="AB262" s="42"/>
      <c r="AC262" s="42"/>
      <c r="AD262" s="42"/>
      <c r="AE262" s="42"/>
    </row>
    <row r="263" spans="1:31" s="15" customFormat="1" ht="30">
      <c r="A263" s="14"/>
      <c r="B263" s="77" t="s">
        <v>419</v>
      </c>
      <c r="C263" s="77" t="s">
        <v>343</v>
      </c>
      <c r="D263" s="77" t="s">
        <v>344</v>
      </c>
      <c r="E263" s="166" t="s">
        <v>54</v>
      </c>
      <c r="F263" s="107">
        <f>G263+J263</f>
        <v>1227000</v>
      </c>
      <c r="G263" s="107">
        <f>227000</f>
        <v>227000</v>
      </c>
      <c r="H263" s="107"/>
      <c r="I263" s="107"/>
      <c r="J263" s="107">
        <v>1000000</v>
      </c>
      <c r="K263" s="107"/>
      <c r="L263" s="107"/>
      <c r="M263" s="107"/>
      <c r="N263" s="107"/>
      <c r="O263" s="107"/>
      <c r="P263" s="107"/>
      <c r="Q263" s="107">
        <f t="shared" si="59"/>
        <v>1227000</v>
      </c>
      <c r="R263" s="42"/>
      <c r="S263" s="42"/>
      <c r="T263" s="42"/>
      <c r="U263" s="42"/>
      <c r="V263" s="42"/>
      <c r="W263" s="42"/>
      <c r="X263" s="42"/>
      <c r="Y263" s="42"/>
      <c r="Z263" s="42"/>
      <c r="AA263" s="42"/>
      <c r="AB263" s="42"/>
      <c r="AC263" s="42"/>
      <c r="AD263" s="42"/>
      <c r="AE263" s="42"/>
    </row>
    <row r="264" spans="1:31" s="15" customFormat="1" ht="30" customHeight="1">
      <c r="A264" s="14"/>
      <c r="B264" s="77" t="s">
        <v>165</v>
      </c>
      <c r="C264" s="77" t="s">
        <v>373</v>
      </c>
      <c r="D264" s="77" t="s">
        <v>369</v>
      </c>
      <c r="E264" s="166" t="s">
        <v>12</v>
      </c>
      <c r="F264" s="107">
        <f>F265</f>
        <v>630000</v>
      </c>
      <c r="G264" s="107">
        <f aca="true" t="shared" si="77" ref="G264:P264">G265</f>
        <v>630000</v>
      </c>
      <c r="H264" s="107">
        <f t="shared" si="77"/>
        <v>0</v>
      </c>
      <c r="I264" s="107">
        <f t="shared" si="77"/>
        <v>0</v>
      </c>
      <c r="J264" s="107">
        <f t="shared" si="77"/>
        <v>0</v>
      </c>
      <c r="K264" s="107">
        <f t="shared" si="77"/>
        <v>0</v>
      </c>
      <c r="L264" s="107">
        <f t="shared" si="77"/>
        <v>0</v>
      </c>
      <c r="M264" s="107">
        <f t="shared" si="77"/>
        <v>0</v>
      </c>
      <c r="N264" s="107">
        <f t="shared" si="77"/>
        <v>0</v>
      </c>
      <c r="O264" s="107">
        <f t="shared" si="77"/>
        <v>0</v>
      </c>
      <c r="P264" s="107">
        <f t="shared" si="77"/>
        <v>0</v>
      </c>
      <c r="Q264" s="107">
        <f t="shared" si="59"/>
        <v>630000</v>
      </c>
      <c r="R264" s="42"/>
      <c r="S264" s="42"/>
      <c r="T264" s="42"/>
      <c r="U264" s="42"/>
      <c r="V264" s="42"/>
      <c r="W264" s="42"/>
      <c r="X264" s="42"/>
      <c r="Y264" s="42"/>
      <c r="Z264" s="42"/>
      <c r="AA264" s="42"/>
      <c r="AB264" s="42"/>
      <c r="AC264" s="42"/>
      <c r="AD264" s="42"/>
      <c r="AE264" s="42"/>
    </row>
    <row r="265" spans="1:31" s="34" customFormat="1" ht="82.5" customHeight="1">
      <c r="A265" s="33"/>
      <c r="B265" s="46" t="s">
        <v>165</v>
      </c>
      <c r="C265" s="46" t="s">
        <v>373</v>
      </c>
      <c r="D265" s="29" t="s">
        <v>369</v>
      </c>
      <c r="E265" s="30" t="s">
        <v>541</v>
      </c>
      <c r="F265" s="108">
        <f>G265+J265</f>
        <v>630000</v>
      </c>
      <c r="G265" s="108">
        <f>430000+200000</f>
        <v>630000</v>
      </c>
      <c r="H265" s="108"/>
      <c r="I265" s="108"/>
      <c r="J265" s="108"/>
      <c r="K265" s="108"/>
      <c r="L265" s="108"/>
      <c r="M265" s="108"/>
      <c r="N265" s="108"/>
      <c r="O265" s="108"/>
      <c r="P265" s="108"/>
      <c r="Q265" s="108">
        <f t="shared" si="59"/>
        <v>630000</v>
      </c>
      <c r="R265" s="32"/>
      <c r="S265" s="32"/>
      <c r="T265" s="32"/>
      <c r="U265" s="32"/>
      <c r="V265" s="32"/>
      <c r="W265" s="32"/>
      <c r="X265" s="32"/>
      <c r="Y265" s="32"/>
      <c r="Z265" s="32"/>
      <c r="AA265" s="32"/>
      <c r="AB265" s="32"/>
      <c r="AC265" s="32"/>
      <c r="AD265" s="32"/>
      <c r="AE265" s="32"/>
    </row>
    <row r="266" spans="1:31" s="169" customFormat="1" ht="35.25" customHeight="1">
      <c r="A266" s="167"/>
      <c r="B266" s="103">
        <v>4600000</v>
      </c>
      <c r="C266" s="103"/>
      <c r="D266" s="103"/>
      <c r="E266" s="17" t="s">
        <v>241</v>
      </c>
      <c r="F266" s="115">
        <f>F267</f>
        <v>1170600</v>
      </c>
      <c r="G266" s="115">
        <f aca="true" t="shared" si="78" ref="G266:P267">G267</f>
        <v>1170600</v>
      </c>
      <c r="H266" s="115">
        <f t="shared" si="78"/>
        <v>851400</v>
      </c>
      <c r="I266" s="115">
        <f t="shared" si="78"/>
        <v>37200</v>
      </c>
      <c r="J266" s="115">
        <f t="shared" si="78"/>
        <v>0</v>
      </c>
      <c r="K266" s="115">
        <f t="shared" si="78"/>
        <v>12000</v>
      </c>
      <c r="L266" s="115">
        <f t="shared" si="78"/>
        <v>0</v>
      </c>
      <c r="M266" s="115">
        <f t="shared" si="78"/>
        <v>0</v>
      </c>
      <c r="N266" s="115">
        <f t="shared" si="78"/>
        <v>0</v>
      </c>
      <c r="O266" s="115">
        <f t="shared" si="78"/>
        <v>12000</v>
      </c>
      <c r="P266" s="115">
        <f t="shared" si="78"/>
        <v>12000</v>
      </c>
      <c r="Q266" s="115">
        <f t="shared" si="59"/>
        <v>1182600</v>
      </c>
      <c r="R266" s="168"/>
      <c r="S266" s="168"/>
      <c r="T266" s="168"/>
      <c r="U266" s="168"/>
      <c r="V266" s="168"/>
      <c r="W266" s="168"/>
      <c r="X266" s="168"/>
      <c r="Y266" s="168"/>
      <c r="Z266" s="168"/>
      <c r="AA266" s="168"/>
      <c r="AB266" s="168"/>
      <c r="AC266" s="168"/>
      <c r="AD266" s="168"/>
      <c r="AE266" s="168"/>
    </row>
    <row r="267" spans="1:31" s="169" customFormat="1" ht="36.75" customHeight="1">
      <c r="A267" s="167"/>
      <c r="B267" s="123">
        <v>4610000</v>
      </c>
      <c r="C267" s="123"/>
      <c r="D267" s="123"/>
      <c r="E267" s="122" t="s">
        <v>241</v>
      </c>
      <c r="F267" s="120">
        <f>F268</f>
        <v>1170600</v>
      </c>
      <c r="G267" s="120">
        <f t="shared" si="78"/>
        <v>1170600</v>
      </c>
      <c r="H267" s="120">
        <f t="shared" si="78"/>
        <v>851400</v>
      </c>
      <c r="I267" s="120">
        <f t="shared" si="78"/>
        <v>37200</v>
      </c>
      <c r="J267" s="120">
        <f t="shared" si="78"/>
        <v>0</v>
      </c>
      <c r="K267" s="120">
        <f t="shared" si="78"/>
        <v>12000</v>
      </c>
      <c r="L267" s="120">
        <f t="shared" si="78"/>
        <v>0</v>
      </c>
      <c r="M267" s="120">
        <f t="shared" si="78"/>
        <v>0</v>
      </c>
      <c r="N267" s="120">
        <f t="shared" si="78"/>
        <v>0</v>
      </c>
      <c r="O267" s="120">
        <f t="shared" si="78"/>
        <v>12000</v>
      </c>
      <c r="P267" s="120">
        <f t="shared" si="78"/>
        <v>12000</v>
      </c>
      <c r="Q267" s="120">
        <f t="shared" si="59"/>
        <v>1182600</v>
      </c>
      <c r="R267" s="168"/>
      <c r="S267" s="168"/>
      <c r="T267" s="168"/>
      <c r="U267" s="168"/>
      <c r="V267" s="168"/>
      <c r="W267" s="168"/>
      <c r="X267" s="168"/>
      <c r="Y267" s="168"/>
      <c r="Z267" s="168"/>
      <c r="AA267" s="168"/>
      <c r="AB267" s="168"/>
      <c r="AC267" s="168"/>
      <c r="AD267" s="168"/>
      <c r="AE267" s="168"/>
    </row>
    <row r="268" spans="1:31" s="15" customFormat="1" ht="30">
      <c r="A268" s="14"/>
      <c r="B268" s="126" t="s">
        <v>238</v>
      </c>
      <c r="C268" s="126" t="s">
        <v>246</v>
      </c>
      <c r="D268" s="126" t="s">
        <v>247</v>
      </c>
      <c r="E268" s="166" t="s">
        <v>522</v>
      </c>
      <c r="F268" s="107">
        <f>G268+J268</f>
        <v>1170600</v>
      </c>
      <c r="G268" s="107">
        <f>1164500+600-14500+20000</f>
        <v>1170600</v>
      </c>
      <c r="H268" s="107">
        <v>851400</v>
      </c>
      <c r="I268" s="107">
        <f>36600+600</f>
        <v>37200</v>
      </c>
      <c r="J268" s="107"/>
      <c r="K268" s="107">
        <f>L268+O268</f>
        <v>12000</v>
      </c>
      <c r="L268" s="107"/>
      <c r="M268" s="107"/>
      <c r="N268" s="107"/>
      <c r="O268" s="107">
        <v>12000</v>
      </c>
      <c r="P268" s="107">
        <v>12000</v>
      </c>
      <c r="Q268" s="107">
        <f t="shared" si="59"/>
        <v>1182600</v>
      </c>
      <c r="R268" s="42"/>
      <c r="S268" s="42"/>
      <c r="T268" s="42"/>
      <c r="U268" s="42"/>
      <c r="V268" s="42"/>
      <c r="W268" s="42"/>
      <c r="X268" s="42"/>
      <c r="Y268" s="42"/>
      <c r="Z268" s="42"/>
      <c r="AA268" s="42"/>
      <c r="AB268" s="42"/>
      <c r="AC268" s="42"/>
      <c r="AD268" s="42"/>
      <c r="AE268" s="42"/>
    </row>
    <row r="269" spans="1:31" s="105" customFormat="1" ht="39.75" customHeight="1">
      <c r="A269" s="102"/>
      <c r="B269" s="116" t="s">
        <v>167</v>
      </c>
      <c r="C269" s="116"/>
      <c r="D269" s="116"/>
      <c r="E269" s="17" t="s">
        <v>166</v>
      </c>
      <c r="F269" s="115">
        <f>F270</f>
        <v>80471900</v>
      </c>
      <c r="G269" s="115">
        <f aca="true" t="shared" si="79" ref="G269:P269">G270</f>
        <v>80471900</v>
      </c>
      <c r="H269" s="115">
        <f t="shared" si="79"/>
        <v>0</v>
      </c>
      <c r="I269" s="115">
        <f t="shared" si="79"/>
        <v>0</v>
      </c>
      <c r="J269" s="115">
        <f t="shared" si="79"/>
        <v>0</v>
      </c>
      <c r="K269" s="115">
        <f t="shared" si="79"/>
        <v>289062111.09000003</v>
      </c>
      <c r="L269" s="115">
        <f t="shared" si="79"/>
        <v>3819310.46</v>
      </c>
      <c r="M269" s="115">
        <f t="shared" si="79"/>
        <v>1911000</v>
      </c>
      <c r="N269" s="115">
        <f t="shared" si="79"/>
        <v>85300</v>
      </c>
      <c r="O269" s="115">
        <f t="shared" si="79"/>
        <v>285242800.63</v>
      </c>
      <c r="P269" s="115">
        <f t="shared" si="79"/>
        <v>279220999</v>
      </c>
      <c r="Q269" s="115">
        <f t="shared" si="59"/>
        <v>369534011.09000003</v>
      </c>
      <c r="R269" s="104"/>
      <c r="S269" s="104"/>
      <c r="T269" s="104"/>
      <c r="U269" s="104"/>
      <c r="V269" s="104"/>
      <c r="W269" s="104"/>
      <c r="X269" s="104"/>
      <c r="Y269" s="104"/>
      <c r="Z269" s="104"/>
      <c r="AA269" s="104"/>
      <c r="AB269" s="104"/>
      <c r="AC269" s="104"/>
      <c r="AD269" s="104"/>
      <c r="AE269" s="104"/>
    </row>
    <row r="270" spans="1:31" s="169" customFormat="1" ht="35.25" customHeight="1">
      <c r="A270" s="167"/>
      <c r="B270" s="118" t="s">
        <v>168</v>
      </c>
      <c r="C270" s="118"/>
      <c r="D270" s="118"/>
      <c r="E270" s="122" t="s">
        <v>166</v>
      </c>
      <c r="F270" s="120">
        <f>F272+F273+F274+F275+F282+F284+F281+F285+F277+F280+F279+F286</f>
        <v>80471900</v>
      </c>
      <c r="G270" s="120">
        <f aca="true" t="shared" si="80" ref="G270:Q270">G272+G273+G274+G275+G282+G284+G281+G285+G277+G280+G279+G286</f>
        <v>80471900</v>
      </c>
      <c r="H270" s="120">
        <f t="shared" si="80"/>
        <v>0</v>
      </c>
      <c r="I270" s="120">
        <f t="shared" si="80"/>
        <v>0</v>
      </c>
      <c r="J270" s="120">
        <f t="shared" si="80"/>
        <v>0</v>
      </c>
      <c r="K270" s="120">
        <f t="shared" si="80"/>
        <v>289062111.09000003</v>
      </c>
      <c r="L270" s="120">
        <f t="shared" si="80"/>
        <v>3819310.46</v>
      </c>
      <c r="M270" s="120">
        <f t="shared" si="80"/>
        <v>1911000</v>
      </c>
      <c r="N270" s="120">
        <f t="shared" si="80"/>
        <v>85300</v>
      </c>
      <c r="O270" s="120">
        <f t="shared" si="80"/>
        <v>285242800.63</v>
      </c>
      <c r="P270" s="120">
        <f t="shared" si="80"/>
        <v>279220999</v>
      </c>
      <c r="Q270" s="120">
        <f t="shared" si="80"/>
        <v>369534011.09000003</v>
      </c>
      <c r="R270" s="168"/>
      <c r="S270" s="168"/>
      <c r="T270" s="168"/>
      <c r="U270" s="168"/>
      <c r="V270" s="168"/>
      <c r="W270" s="168"/>
      <c r="X270" s="168"/>
      <c r="Y270" s="168"/>
      <c r="Z270" s="168"/>
      <c r="AA270" s="168"/>
      <c r="AB270" s="168"/>
      <c r="AC270" s="168"/>
      <c r="AD270" s="168"/>
      <c r="AE270" s="168"/>
    </row>
    <row r="271" spans="1:31" s="169" customFormat="1" ht="15.75" customHeight="1">
      <c r="A271" s="167"/>
      <c r="B271" s="118"/>
      <c r="C271" s="118"/>
      <c r="D271" s="118"/>
      <c r="E271" s="30" t="s">
        <v>512</v>
      </c>
      <c r="F271" s="120">
        <f>F276</f>
        <v>0</v>
      </c>
      <c r="G271" s="120">
        <f aca="true" t="shared" si="81" ref="G271:Q271">G276</f>
        <v>0</v>
      </c>
      <c r="H271" s="120">
        <f t="shared" si="81"/>
        <v>0</v>
      </c>
      <c r="I271" s="120">
        <f t="shared" si="81"/>
        <v>0</v>
      </c>
      <c r="J271" s="120">
        <f t="shared" si="81"/>
        <v>0</v>
      </c>
      <c r="K271" s="120">
        <f t="shared" si="81"/>
        <v>3414000</v>
      </c>
      <c r="L271" s="120">
        <f t="shared" si="81"/>
        <v>0</v>
      </c>
      <c r="M271" s="120">
        <f t="shared" si="81"/>
        <v>0</v>
      </c>
      <c r="N271" s="120">
        <f t="shared" si="81"/>
        <v>0</v>
      </c>
      <c r="O271" s="120">
        <f t="shared" si="81"/>
        <v>3414000</v>
      </c>
      <c r="P271" s="120">
        <f t="shared" si="81"/>
        <v>3414000</v>
      </c>
      <c r="Q271" s="120">
        <f t="shared" si="81"/>
        <v>3414000</v>
      </c>
      <c r="R271" s="168"/>
      <c r="S271" s="168"/>
      <c r="T271" s="168"/>
      <c r="U271" s="168"/>
      <c r="V271" s="168"/>
      <c r="W271" s="168"/>
      <c r="X271" s="168"/>
      <c r="Y271" s="168"/>
      <c r="Z271" s="168"/>
      <c r="AA271" s="168"/>
      <c r="AB271" s="168"/>
      <c r="AC271" s="168"/>
      <c r="AD271" s="168"/>
      <c r="AE271" s="168"/>
    </row>
    <row r="272" spans="1:31" s="15" customFormat="1" ht="30">
      <c r="A272" s="150"/>
      <c r="B272" s="99" t="s">
        <v>169</v>
      </c>
      <c r="C272" s="99" t="s">
        <v>246</v>
      </c>
      <c r="D272" s="99" t="s">
        <v>247</v>
      </c>
      <c r="E272" s="100" t="s">
        <v>522</v>
      </c>
      <c r="F272" s="107">
        <f>G272+J272</f>
        <v>0</v>
      </c>
      <c r="G272" s="107"/>
      <c r="H272" s="107"/>
      <c r="I272" s="107"/>
      <c r="J272" s="107"/>
      <c r="K272" s="107">
        <f>L272+O272</f>
        <v>4047000</v>
      </c>
      <c r="L272" s="107">
        <v>3766500</v>
      </c>
      <c r="M272" s="107">
        <v>1911000</v>
      </c>
      <c r="N272" s="107">
        <f>72300+13000</f>
        <v>85300</v>
      </c>
      <c r="O272" s="107">
        <v>280500</v>
      </c>
      <c r="P272" s="107"/>
      <c r="Q272" s="107">
        <f t="shared" si="59"/>
        <v>4047000</v>
      </c>
      <c r="R272" s="42"/>
      <c r="S272" s="42"/>
      <c r="T272" s="42"/>
      <c r="U272" s="42"/>
      <c r="V272" s="42"/>
      <c r="W272" s="42"/>
      <c r="X272" s="42"/>
      <c r="Y272" s="42"/>
      <c r="Z272" s="42"/>
      <c r="AA272" s="42"/>
      <c r="AB272" s="42"/>
      <c r="AC272" s="42"/>
      <c r="AD272" s="42"/>
      <c r="AE272" s="42"/>
    </row>
    <row r="273" spans="1:31" s="15" customFormat="1" ht="30">
      <c r="A273" s="14"/>
      <c r="B273" s="126" t="s">
        <v>170</v>
      </c>
      <c r="C273" s="126" t="s">
        <v>272</v>
      </c>
      <c r="D273" s="126" t="s">
        <v>273</v>
      </c>
      <c r="E273" s="166" t="s">
        <v>92</v>
      </c>
      <c r="F273" s="107">
        <f>G273+J273</f>
        <v>0</v>
      </c>
      <c r="G273" s="107"/>
      <c r="H273" s="107"/>
      <c r="I273" s="107"/>
      <c r="J273" s="107"/>
      <c r="K273" s="107">
        <f>L273+O273</f>
        <v>5000000</v>
      </c>
      <c r="L273" s="107"/>
      <c r="M273" s="107"/>
      <c r="N273" s="107"/>
      <c r="O273" s="107">
        <v>5000000</v>
      </c>
      <c r="P273" s="107">
        <v>5000000</v>
      </c>
      <c r="Q273" s="107">
        <f t="shared" si="59"/>
        <v>5000000</v>
      </c>
      <c r="R273" s="42"/>
      <c r="S273" s="42"/>
      <c r="T273" s="42"/>
      <c r="U273" s="42"/>
      <c r="V273" s="42"/>
      <c r="W273" s="42"/>
      <c r="X273" s="42"/>
      <c r="Y273" s="42"/>
      <c r="Z273" s="42"/>
      <c r="AA273" s="42"/>
      <c r="AB273" s="42"/>
      <c r="AC273" s="42"/>
      <c r="AD273" s="42"/>
      <c r="AE273" s="42"/>
    </row>
    <row r="274" spans="1:31" s="15" customFormat="1" ht="25.5" customHeight="1">
      <c r="A274" s="14"/>
      <c r="B274" s="126" t="s">
        <v>171</v>
      </c>
      <c r="C274" s="126" t="s">
        <v>298</v>
      </c>
      <c r="D274" s="126" t="s">
        <v>297</v>
      </c>
      <c r="E274" s="166" t="s">
        <v>13</v>
      </c>
      <c r="F274" s="107">
        <f>G274+J274</f>
        <v>80387000</v>
      </c>
      <c r="G274" s="107">
        <f>45168000-15000000+5000000+2070000+32930000-1000000-60000+11279000</f>
        <v>80387000</v>
      </c>
      <c r="H274" s="107"/>
      <c r="I274" s="107"/>
      <c r="J274" s="107"/>
      <c r="K274" s="107">
        <f>L274+O274</f>
        <v>110691598</v>
      </c>
      <c r="L274" s="107"/>
      <c r="M274" s="107"/>
      <c r="N274" s="107"/>
      <c r="O274" s="107">
        <f>62165698+12000000-12000000+19609036.18+21390963.82-2000000-5000000+5500000+9000000+20000+5900</f>
        <v>110691598</v>
      </c>
      <c r="P274" s="107">
        <f>62165698+12000000-12000000+19609036.18+21390963.82-2000000-5000000+5500000+9000000+20000+5900</f>
        <v>110691598</v>
      </c>
      <c r="Q274" s="107">
        <f t="shared" si="59"/>
        <v>191078598</v>
      </c>
      <c r="R274" s="42"/>
      <c r="S274" s="42"/>
      <c r="T274" s="42"/>
      <c r="U274" s="42"/>
      <c r="V274" s="42"/>
      <c r="W274" s="42"/>
      <c r="X274" s="42"/>
      <c r="Y274" s="42"/>
      <c r="Z274" s="42"/>
      <c r="AA274" s="42"/>
      <c r="AB274" s="42"/>
      <c r="AC274" s="42"/>
      <c r="AD274" s="42"/>
      <c r="AE274" s="42"/>
    </row>
    <row r="275" spans="1:31" s="15" customFormat="1" ht="30">
      <c r="A275" s="14"/>
      <c r="B275" s="126" t="s">
        <v>172</v>
      </c>
      <c r="C275" s="126" t="s">
        <v>323</v>
      </c>
      <c r="D275" s="126" t="s">
        <v>324</v>
      </c>
      <c r="E275" s="166" t="s">
        <v>163</v>
      </c>
      <c r="F275" s="107">
        <f>G275+J275</f>
        <v>0</v>
      </c>
      <c r="G275" s="107"/>
      <c r="H275" s="107"/>
      <c r="I275" s="107"/>
      <c r="J275" s="107"/>
      <c r="K275" s="107">
        <f>L275+O275</f>
        <v>117547301</v>
      </c>
      <c r="L275" s="107"/>
      <c r="M275" s="107"/>
      <c r="N275" s="107"/>
      <c r="O275" s="107">
        <f>96264041-5000000+2694061-12800000+1000000+300000+100000+2000000+100000+96600+100000+21000+28485193+3023836+13012+500000+66463+50000+2000000-1000000+100000-75000+152116+100000+100000+291000-9000000+28000+3150000-200000+153000+184570+61000+4839000-1467750+1087159+30000</f>
        <v>117547301</v>
      </c>
      <c r="P275" s="107">
        <f>96264041-5000000+2694061-12800000+1000000+300000+100000+2000000+100000+96600+100000+21000+28485193+3023836+13012+500000+66463+50000+2000000-1000000+100000-75000+152116+100000+100000+291000-9000000+28000+3150000-200000+153000+184570+61000+4839000-1467750+1087159+30000</f>
        <v>117547301</v>
      </c>
      <c r="Q275" s="107">
        <f t="shared" si="59"/>
        <v>117547301</v>
      </c>
      <c r="R275" s="42"/>
      <c r="S275" s="42"/>
      <c r="T275" s="42"/>
      <c r="U275" s="42"/>
      <c r="V275" s="42"/>
      <c r="W275" s="42"/>
      <c r="X275" s="42"/>
      <c r="Y275" s="42"/>
      <c r="Z275" s="42"/>
      <c r="AA275" s="42"/>
      <c r="AB275" s="42"/>
      <c r="AC275" s="42"/>
      <c r="AD275" s="42"/>
      <c r="AE275" s="42"/>
    </row>
    <row r="276" spans="1:31" s="15" customFormat="1" ht="15.75">
      <c r="A276" s="14"/>
      <c r="B276" s="126"/>
      <c r="C276" s="126"/>
      <c r="D276" s="126"/>
      <c r="E276" s="166" t="s">
        <v>512</v>
      </c>
      <c r="F276" s="107">
        <f>G276+J276</f>
        <v>0</v>
      </c>
      <c r="G276" s="107"/>
      <c r="H276" s="107"/>
      <c r="I276" s="107"/>
      <c r="J276" s="107"/>
      <c r="K276" s="107">
        <f>L276+O276</f>
        <v>3414000</v>
      </c>
      <c r="L276" s="107"/>
      <c r="M276" s="107"/>
      <c r="N276" s="107"/>
      <c r="O276" s="107">
        <f>4839000-1425000</f>
        <v>3414000</v>
      </c>
      <c r="P276" s="107">
        <f>4839000-1425000</f>
        <v>3414000</v>
      </c>
      <c r="Q276" s="107">
        <f t="shared" si="59"/>
        <v>3414000</v>
      </c>
      <c r="R276" s="42"/>
      <c r="S276" s="42"/>
      <c r="T276" s="42"/>
      <c r="U276" s="42"/>
      <c r="V276" s="42"/>
      <c r="W276" s="42"/>
      <c r="X276" s="42"/>
      <c r="Y276" s="42"/>
      <c r="Z276" s="42"/>
      <c r="AA276" s="42"/>
      <c r="AB276" s="42"/>
      <c r="AC276" s="42"/>
      <c r="AD276" s="42"/>
      <c r="AE276" s="42"/>
    </row>
    <row r="277" spans="1:31" s="15" customFormat="1" ht="24.75" customHeight="1">
      <c r="A277" s="23"/>
      <c r="B277" s="27" t="s">
        <v>229</v>
      </c>
      <c r="C277" s="27" t="s">
        <v>325</v>
      </c>
      <c r="D277" s="27"/>
      <c r="E277" s="24" t="s">
        <v>230</v>
      </c>
      <c r="F277" s="107">
        <f>F278</f>
        <v>0</v>
      </c>
      <c r="G277" s="107">
        <f aca="true" t="shared" si="82" ref="G277:P277">G278</f>
        <v>0</v>
      </c>
      <c r="H277" s="107">
        <f t="shared" si="82"/>
        <v>0</v>
      </c>
      <c r="I277" s="107">
        <f t="shared" si="82"/>
        <v>0</v>
      </c>
      <c r="J277" s="107">
        <f t="shared" si="82"/>
        <v>0</v>
      </c>
      <c r="K277" s="107">
        <f>K278</f>
        <v>608100</v>
      </c>
      <c r="L277" s="107">
        <f t="shared" si="82"/>
        <v>0</v>
      </c>
      <c r="M277" s="107">
        <f t="shared" si="82"/>
        <v>0</v>
      </c>
      <c r="N277" s="107">
        <f t="shared" si="82"/>
        <v>0</v>
      </c>
      <c r="O277" s="107">
        <f t="shared" si="82"/>
        <v>608100</v>
      </c>
      <c r="P277" s="107">
        <f t="shared" si="82"/>
        <v>608100</v>
      </c>
      <c r="Q277" s="107">
        <f t="shared" si="59"/>
        <v>608100</v>
      </c>
      <c r="R277" s="42"/>
      <c r="S277" s="42"/>
      <c r="T277" s="42"/>
      <c r="U277" s="42"/>
      <c r="V277" s="42"/>
      <c r="W277" s="42"/>
      <c r="X277" s="42"/>
      <c r="Y277" s="42"/>
      <c r="Z277" s="42"/>
      <c r="AA277" s="42"/>
      <c r="AB277" s="42"/>
      <c r="AC277" s="42"/>
      <c r="AD277" s="42"/>
      <c r="AE277" s="42"/>
    </row>
    <row r="278" spans="1:31" s="34" customFormat="1" ht="34.5" customHeight="1">
      <c r="A278" s="33"/>
      <c r="B278" s="37" t="s">
        <v>231</v>
      </c>
      <c r="C278" s="37" t="s">
        <v>326</v>
      </c>
      <c r="D278" s="37" t="s">
        <v>308</v>
      </c>
      <c r="E278" s="30" t="s">
        <v>234</v>
      </c>
      <c r="F278" s="108">
        <f>G278+J278</f>
        <v>0</v>
      </c>
      <c r="G278" s="108"/>
      <c r="H278" s="108"/>
      <c r="I278" s="108"/>
      <c r="J278" s="108"/>
      <c r="K278" s="108">
        <f>L278+O278</f>
        <v>608100</v>
      </c>
      <c r="L278" s="108"/>
      <c r="M278" s="108"/>
      <c r="N278" s="108"/>
      <c r="O278" s="108">
        <f>108100+100000+500000-100000</f>
        <v>608100</v>
      </c>
      <c r="P278" s="108">
        <f>108100+100000+500000-100000</f>
        <v>608100</v>
      </c>
      <c r="Q278" s="108">
        <f t="shared" si="59"/>
        <v>608100</v>
      </c>
      <c r="R278" s="32"/>
      <c r="S278" s="32"/>
      <c r="T278" s="32"/>
      <c r="U278" s="32"/>
      <c r="V278" s="32"/>
      <c r="W278" s="32"/>
      <c r="X278" s="32"/>
      <c r="Y278" s="32"/>
      <c r="Z278" s="32"/>
      <c r="AA278" s="32"/>
      <c r="AB278" s="32"/>
      <c r="AC278" s="32"/>
      <c r="AD278" s="32"/>
      <c r="AE278" s="32"/>
    </row>
    <row r="279" spans="1:31" s="15" customFormat="1" ht="34.5" customHeight="1">
      <c r="A279" s="23"/>
      <c r="B279" s="27" t="s">
        <v>535</v>
      </c>
      <c r="C279" s="27" t="s">
        <v>536</v>
      </c>
      <c r="D279" s="27" t="s">
        <v>538</v>
      </c>
      <c r="E279" s="24" t="s">
        <v>537</v>
      </c>
      <c r="F279" s="107"/>
      <c r="G279" s="107"/>
      <c r="H279" s="107"/>
      <c r="I279" s="107"/>
      <c r="J279" s="107"/>
      <c r="K279" s="108">
        <f>L279+O279</f>
        <v>69811.6</v>
      </c>
      <c r="L279" s="107"/>
      <c r="M279" s="107"/>
      <c r="N279" s="107"/>
      <c r="O279" s="107">
        <v>69811.6</v>
      </c>
      <c r="P279" s="107"/>
      <c r="Q279" s="108">
        <f t="shared" si="59"/>
        <v>69811.6</v>
      </c>
      <c r="R279" s="42"/>
      <c r="S279" s="42"/>
      <c r="T279" s="42"/>
      <c r="U279" s="42"/>
      <c r="V279" s="42"/>
      <c r="W279" s="42"/>
      <c r="X279" s="42"/>
      <c r="Y279" s="42"/>
      <c r="Z279" s="42"/>
      <c r="AA279" s="42"/>
      <c r="AB279" s="42"/>
      <c r="AC279" s="42"/>
      <c r="AD279" s="42"/>
      <c r="AE279" s="42"/>
    </row>
    <row r="280" spans="1:31" s="15" customFormat="1" ht="24.75" customHeight="1">
      <c r="A280" s="14"/>
      <c r="B280" s="126" t="s">
        <v>429</v>
      </c>
      <c r="C280" s="126" t="s">
        <v>341</v>
      </c>
      <c r="D280" s="126" t="s">
        <v>342</v>
      </c>
      <c r="E280" s="166" t="s">
        <v>154</v>
      </c>
      <c r="F280" s="107">
        <f>G280+J280</f>
        <v>0</v>
      </c>
      <c r="G280" s="107"/>
      <c r="H280" s="107"/>
      <c r="I280" s="107"/>
      <c r="J280" s="108"/>
      <c r="K280" s="108">
        <f>L280+O280</f>
        <v>16524000</v>
      </c>
      <c r="L280" s="107"/>
      <c r="M280" s="107"/>
      <c r="N280" s="107"/>
      <c r="O280" s="107">
        <v>16524000</v>
      </c>
      <c r="P280" s="107">
        <v>16524000</v>
      </c>
      <c r="Q280" s="107">
        <f aca="true" t="shared" si="83" ref="Q280:Q312">F280+K280</f>
        <v>16524000</v>
      </c>
      <c r="R280" s="42"/>
      <c r="S280" s="42"/>
      <c r="T280" s="42"/>
      <c r="U280" s="42"/>
      <c r="V280" s="42"/>
      <c r="W280" s="42"/>
      <c r="X280" s="42"/>
      <c r="Y280" s="42"/>
      <c r="Z280" s="42"/>
      <c r="AA280" s="42"/>
      <c r="AB280" s="42"/>
      <c r="AC280" s="42"/>
      <c r="AD280" s="42"/>
      <c r="AE280" s="42"/>
    </row>
    <row r="281" spans="1:31" s="15" customFormat="1" ht="30">
      <c r="A281" s="14"/>
      <c r="B281" s="77" t="s">
        <v>218</v>
      </c>
      <c r="C281" s="77" t="s">
        <v>345</v>
      </c>
      <c r="D281" s="77" t="s">
        <v>324</v>
      </c>
      <c r="E281" s="166" t="s">
        <v>56</v>
      </c>
      <c r="F281" s="107">
        <f>G281+J281</f>
        <v>0</v>
      </c>
      <c r="G281" s="107"/>
      <c r="H281" s="107"/>
      <c r="I281" s="107"/>
      <c r="J281" s="107"/>
      <c r="K281" s="107">
        <f>L281+O281</f>
        <v>28850000</v>
      </c>
      <c r="L281" s="107"/>
      <c r="M281" s="107"/>
      <c r="N281" s="107"/>
      <c r="O281" s="107">
        <f>13700000+2000000+9850000+1473000+1827000</f>
        <v>28850000</v>
      </c>
      <c r="P281" s="107">
        <f>13700000+2000000+9850000+1473000+1827000</f>
        <v>28850000</v>
      </c>
      <c r="Q281" s="107">
        <f t="shared" si="83"/>
        <v>28850000</v>
      </c>
      <c r="R281" s="42"/>
      <c r="S281" s="42"/>
      <c r="T281" s="42"/>
      <c r="U281" s="42"/>
      <c r="V281" s="42"/>
      <c r="W281" s="42"/>
      <c r="X281" s="42"/>
      <c r="Y281" s="42"/>
      <c r="Z281" s="42"/>
      <c r="AA281" s="42"/>
      <c r="AB281" s="42"/>
      <c r="AC281" s="42"/>
      <c r="AD281" s="42"/>
      <c r="AE281" s="42"/>
    </row>
    <row r="282" spans="1:31" s="15" customFormat="1" ht="45">
      <c r="A282" s="14"/>
      <c r="B282" s="78" t="s">
        <v>185</v>
      </c>
      <c r="C282" s="78" t="s">
        <v>374</v>
      </c>
      <c r="D282" s="78"/>
      <c r="E282" s="166" t="s">
        <v>175</v>
      </c>
      <c r="F282" s="107">
        <f>F283</f>
        <v>84900</v>
      </c>
      <c r="G282" s="107">
        <f aca="true" t="shared" si="84" ref="G282:Q282">G283</f>
        <v>84900</v>
      </c>
      <c r="H282" s="107">
        <f t="shared" si="84"/>
        <v>0</v>
      </c>
      <c r="I282" s="107">
        <f t="shared" si="84"/>
        <v>0</v>
      </c>
      <c r="J282" s="107">
        <f t="shared" si="84"/>
        <v>0</v>
      </c>
      <c r="K282" s="107">
        <f t="shared" si="84"/>
        <v>52810.46</v>
      </c>
      <c r="L282" s="107">
        <f t="shared" si="84"/>
        <v>52810.46</v>
      </c>
      <c r="M282" s="107">
        <f t="shared" si="84"/>
        <v>0</v>
      </c>
      <c r="N282" s="107">
        <f t="shared" si="84"/>
        <v>0</v>
      </c>
      <c r="O282" s="107">
        <f t="shared" si="84"/>
        <v>0</v>
      </c>
      <c r="P282" s="107">
        <f t="shared" si="84"/>
        <v>0</v>
      </c>
      <c r="Q282" s="107">
        <f t="shared" si="84"/>
        <v>137710.46</v>
      </c>
      <c r="R282" s="42"/>
      <c r="S282" s="42"/>
      <c r="T282" s="42"/>
      <c r="U282" s="42"/>
      <c r="V282" s="42"/>
      <c r="W282" s="42"/>
      <c r="X282" s="42"/>
      <c r="Y282" s="42"/>
      <c r="Z282" s="42"/>
      <c r="AA282" s="42"/>
      <c r="AB282" s="42"/>
      <c r="AC282" s="42"/>
      <c r="AD282" s="42"/>
      <c r="AE282" s="42"/>
    </row>
    <row r="283" spans="1:31" s="15" customFormat="1" ht="66.75" customHeight="1">
      <c r="A283" s="14"/>
      <c r="B283" s="37" t="s">
        <v>174</v>
      </c>
      <c r="C283" s="37" t="s">
        <v>375</v>
      </c>
      <c r="D283" s="37" t="s">
        <v>256</v>
      </c>
      <c r="E283" s="30" t="s">
        <v>173</v>
      </c>
      <c r="F283" s="108">
        <f>G283+J283</f>
        <v>84900</v>
      </c>
      <c r="G283" s="108">
        <v>84900</v>
      </c>
      <c r="H283" s="108"/>
      <c r="I283" s="108"/>
      <c r="J283" s="108"/>
      <c r="K283" s="108">
        <f>L283+O283</f>
        <v>52810.46</v>
      </c>
      <c r="L283" s="108">
        <f>32488+20322.46</f>
        <v>52810.46</v>
      </c>
      <c r="M283" s="108"/>
      <c r="N283" s="108"/>
      <c r="O283" s="108"/>
      <c r="P283" s="108"/>
      <c r="Q283" s="108">
        <f t="shared" si="83"/>
        <v>137710.46</v>
      </c>
      <c r="R283" s="42"/>
      <c r="S283" s="42"/>
      <c r="T283" s="42"/>
      <c r="U283" s="42"/>
      <c r="V283" s="42"/>
      <c r="W283" s="42"/>
      <c r="X283" s="42"/>
      <c r="Y283" s="42"/>
      <c r="Z283" s="42"/>
      <c r="AA283" s="42"/>
      <c r="AB283" s="42"/>
      <c r="AC283" s="42"/>
      <c r="AD283" s="42"/>
      <c r="AE283" s="42"/>
    </row>
    <row r="284" spans="1:31" s="15" customFormat="1" ht="35.25" customHeight="1">
      <c r="A284" s="14"/>
      <c r="B284" s="126" t="s">
        <v>192</v>
      </c>
      <c r="C284" s="126" t="s">
        <v>361</v>
      </c>
      <c r="D284" s="126" t="s">
        <v>362</v>
      </c>
      <c r="E284" s="166" t="s">
        <v>24</v>
      </c>
      <c r="F284" s="107"/>
      <c r="G284" s="107"/>
      <c r="H284" s="107"/>
      <c r="I284" s="107"/>
      <c r="J284" s="107"/>
      <c r="K284" s="107">
        <f>L284+O284</f>
        <v>1230670</v>
      </c>
      <c r="L284" s="107"/>
      <c r="M284" s="107"/>
      <c r="N284" s="107"/>
      <c r="O284" s="107">
        <v>1230670</v>
      </c>
      <c r="P284" s="107"/>
      <c r="Q284" s="107">
        <f t="shared" si="83"/>
        <v>1230670</v>
      </c>
      <c r="R284" s="42"/>
      <c r="S284" s="42"/>
      <c r="T284" s="42"/>
      <c r="U284" s="42"/>
      <c r="V284" s="42"/>
      <c r="W284" s="42"/>
      <c r="X284" s="42"/>
      <c r="Y284" s="42"/>
      <c r="Z284" s="42"/>
      <c r="AA284" s="42"/>
      <c r="AB284" s="42"/>
      <c r="AC284" s="42"/>
      <c r="AD284" s="42"/>
      <c r="AE284" s="42"/>
    </row>
    <row r="285" spans="1:31" s="15" customFormat="1" ht="37.5" customHeight="1">
      <c r="A285" s="14"/>
      <c r="B285" s="126" t="s">
        <v>222</v>
      </c>
      <c r="C285" s="126" t="s">
        <v>363</v>
      </c>
      <c r="D285" s="126" t="s">
        <v>364</v>
      </c>
      <c r="E285" s="166" t="s">
        <v>221</v>
      </c>
      <c r="F285" s="107"/>
      <c r="G285" s="107"/>
      <c r="H285" s="107"/>
      <c r="I285" s="107"/>
      <c r="J285" s="107"/>
      <c r="K285" s="107">
        <f>L285+O285</f>
        <v>3182607.91</v>
      </c>
      <c r="L285" s="107"/>
      <c r="M285" s="107"/>
      <c r="N285" s="107"/>
      <c r="O285" s="107">
        <f>715000+2188520+279087.91</f>
        <v>3182607.91</v>
      </c>
      <c r="P285" s="107"/>
      <c r="Q285" s="107">
        <f t="shared" si="83"/>
        <v>3182607.91</v>
      </c>
      <c r="R285" s="42"/>
      <c r="S285" s="42"/>
      <c r="T285" s="42"/>
      <c r="U285" s="42"/>
      <c r="V285" s="42"/>
      <c r="W285" s="42"/>
      <c r="X285" s="42"/>
      <c r="Y285" s="42"/>
      <c r="Z285" s="42"/>
      <c r="AA285" s="42"/>
      <c r="AB285" s="42"/>
      <c r="AC285" s="42"/>
      <c r="AD285" s="42"/>
      <c r="AE285" s="42"/>
    </row>
    <row r="286" spans="1:31" s="15" customFormat="1" ht="63.75" customHeight="1">
      <c r="A286" s="14"/>
      <c r="B286" s="126" t="s">
        <v>539</v>
      </c>
      <c r="C286" s="126" t="s">
        <v>368</v>
      </c>
      <c r="D286" s="126" t="s">
        <v>369</v>
      </c>
      <c r="E286" s="166" t="s">
        <v>17</v>
      </c>
      <c r="F286" s="107"/>
      <c r="G286" s="107"/>
      <c r="H286" s="107"/>
      <c r="I286" s="107"/>
      <c r="J286" s="107"/>
      <c r="K286" s="107">
        <f>L286+O286</f>
        <v>1258212.12</v>
      </c>
      <c r="L286" s="107"/>
      <c r="M286" s="107"/>
      <c r="N286" s="107"/>
      <c r="O286" s="107">
        <v>1258212.12</v>
      </c>
      <c r="P286" s="107"/>
      <c r="Q286" s="107">
        <f>F286+K286</f>
        <v>1258212.12</v>
      </c>
      <c r="R286" s="42"/>
      <c r="S286" s="42"/>
      <c r="T286" s="42"/>
      <c r="U286" s="42"/>
      <c r="V286" s="42"/>
      <c r="W286" s="42"/>
      <c r="X286" s="42"/>
      <c r="Y286" s="42"/>
      <c r="Z286" s="42"/>
      <c r="AA286" s="42"/>
      <c r="AB286" s="42"/>
      <c r="AC286" s="42"/>
      <c r="AD286" s="42"/>
      <c r="AE286" s="42"/>
    </row>
    <row r="287" spans="1:31" s="169" customFormat="1" ht="31.5" customHeight="1">
      <c r="A287" s="167"/>
      <c r="B287" s="103">
        <v>4800000</v>
      </c>
      <c r="C287" s="103"/>
      <c r="D287" s="103"/>
      <c r="E287" s="17" t="s">
        <v>525</v>
      </c>
      <c r="F287" s="115">
        <f>F288</f>
        <v>200831</v>
      </c>
      <c r="G287" s="115">
        <f aca="true" t="shared" si="85" ref="G287:Q288">G288</f>
        <v>200831</v>
      </c>
      <c r="H287" s="115">
        <f t="shared" si="85"/>
        <v>156372</v>
      </c>
      <c r="I287" s="115">
        <f t="shared" si="85"/>
        <v>0</v>
      </c>
      <c r="J287" s="115">
        <f t="shared" si="85"/>
        <v>0</v>
      </c>
      <c r="K287" s="115">
        <f t="shared" si="85"/>
        <v>0</v>
      </c>
      <c r="L287" s="115">
        <f t="shared" si="85"/>
        <v>0</v>
      </c>
      <c r="M287" s="115">
        <f t="shared" si="85"/>
        <v>0</v>
      </c>
      <c r="N287" s="115">
        <f t="shared" si="85"/>
        <v>0</v>
      </c>
      <c r="O287" s="115">
        <f t="shared" si="85"/>
        <v>0</v>
      </c>
      <c r="P287" s="115">
        <f t="shared" si="85"/>
        <v>0</v>
      </c>
      <c r="Q287" s="115">
        <f>F287+K287</f>
        <v>200831</v>
      </c>
      <c r="R287" s="168"/>
      <c r="S287" s="168"/>
      <c r="T287" s="168"/>
      <c r="U287" s="168"/>
      <c r="V287" s="168"/>
      <c r="W287" s="168"/>
      <c r="X287" s="168"/>
      <c r="Y287" s="168"/>
      <c r="Z287" s="168"/>
      <c r="AA287" s="168"/>
      <c r="AB287" s="168"/>
      <c r="AC287" s="168"/>
      <c r="AD287" s="168"/>
      <c r="AE287" s="168"/>
    </row>
    <row r="288" spans="1:31" s="169" customFormat="1" ht="30">
      <c r="A288" s="167"/>
      <c r="B288" s="123">
        <v>4810000</v>
      </c>
      <c r="C288" s="123"/>
      <c r="D288" s="123"/>
      <c r="E288" s="30" t="s">
        <v>525</v>
      </c>
      <c r="F288" s="120">
        <f>F289</f>
        <v>200831</v>
      </c>
      <c r="G288" s="120">
        <f t="shared" si="85"/>
        <v>200831</v>
      </c>
      <c r="H288" s="120">
        <f t="shared" si="85"/>
        <v>156372</v>
      </c>
      <c r="I288" s="120">
        <f t="shared" si="85"/>
        <v>0</v>
      </c>
      <c r="J288" s="120">
        <f t="shared" si="85"/>
        <v>0</v>
      </c>
      <c r="K288" s="120">
        <f t="shared" si="85"/>
        <v>0</v>
      </c>
      <c r="L288" s="120">
        <f t="shared" si="85"/>
        <v>0</v>
      </c>
      <c r="M288" s="120">
        <f t="shared" si="85"/>
        <v>0</v>
      </c>
      <c r="N288" s="120">
        <f t="shared" si="85"/>
        <v>0</v>
      </c>
      <c r="O288" s="120">
        <f t="shared" si="85"/>
        <v>0</v>
      </c>
      <c r="P288" s="120">
        <f t="shared" si="85"/>
        <v>0</v>
      </c>
      <c r="Q288" s="120">
        <f t="shared" si="85"/>
        <v>200831</v>
      </c>
      <c r="R288" s="168"/>
      <c r="S288" s="168"/>
      <c r="T288" s="168"/>
      <c r="U288" s="168"/>
      <c r="V288" s="168"/>
      <c r="W288" s="168"/>
      <c r="X288" s="168"/>
      <c r="Y288" s="168"/>
      <c r="Z288" s="168"/>
      <c r="AA288" s="168"/>
      <c r="AB288" s="168"/>
      <c r="AC288" s="168"/>
      <c r="AD288" s="168"/>
      <c r="AE288" s="168"/>
    </row>
    <row r="289" spans="1:31" s="15" customFormat="1" ht="30">
      <c r="A289" s="150"/>
      <c r="B289" s="99" t="s">
        <v>176</v>
      </c>
      <c r="C289" s="99" t="s">
        <v>246</v>
      </c>
      <c r="D289" s="99" t="s">
        <v>247</v>
      </c>
      <c r="E289" s="100" t="s">
        <v>522</v>
      </c>
      <c r="F289" s="107">
        <f>G289+J289</f>
        <v>200831</v>
      </c>
      <c r="G289" s="107">
        <f>199728+1103</f>
        <v>200831</v>
      </c>
      <c r="H289" s="107">
        <v>156372</v>
      </c>
      <c r="I289" s="107"/>
      <c r="J289" s="107"/>
      <c r="K289" s="107">
        <f>L289+O289</f>
        <v>0</v>
      </c>
      <c r="L289" s="107"/>
      <c r="M289" s="107"/>
      <c r="N289" s="107"/>
      <c r="O289" s="107"/>
      <c r="P289" s="107"/>
      <c r="Q289" s="107">
        <f>F289+K289</f>
        <v>200831</v>
      </c>
      <c r="R289" s="42"/>
      <c r="S289" s="42"/>
      <c r="T289" s="42"/>
      <c r="U289" s="42"/>
      <c r="V289" s="42"/>
      <c r="W289" s="42"/>
      <c r="X289" s="42"/>
      <c r="Y289" s="42"/>
      <c r="Z289" s="42"/>
      <c r="AA289" s="42"/>
      <c r="AB289" s="42"/>
      <c r="AC289" s="42"/>
      <c r="AD289" s="42"/>
      <c r="AE289" s="42"/>
    </row>
    <row r="290" spans="1:31" s="169" customFormat="1" ht="31.5" customHeight="1">
      <c r="A290" s="167"/>
      <c r="B290" s="103">
        <v>4800000</v>
      </c>
      <c r="C290" s="103"/>
      <c r="D290" s="103"/>
      <c r="E290" s="17" t="s">
        <v>225</v>
      </c>
      <c r="F290" s="115">
        <f>F291</f>
        <v>3721975</v>
      </c>
      <c r="G290" s="115">
        <f aca="true" t="shared" si="86" ref="G290:P290">G291</f>
        <v>3721975</v>
      </c>
      <c r="H290" s="115">
        <f t="shared" si="86"/>
        <v>2580700</v>
      </c>
      <c r="I290" s="115">
        <f t="shared" si="86"/>
        <v>70500</v>
      </c>
      <c r="J290" s="115">
        <f t="shared" si="86"/>
        <v>0</v>
      </c>
      <c r="K290" s="115">
        <f t="shared" si="86"/>
        <v>2196603</v>
      </c>
      <c r="L290" s="115">
        <f t="shared" si="86"/>
        <v>559330</v>
      </c>
      <c r="M290" s="115">
        <f t="shared" si="86"/>
        <v>0</v>
      </c>
      <c r="N290" s="115">
        <f t="shared" si="86"/>
        <v>0</v>
      </c>
      <c r="O290" s="115">
        <f t="shared" si="86"/>
        <v>1637273</v>
      </c>
      <c r="P290" s="115">
        <f t="shared" si="86"/>
        <v>112173</v>
      </c>
      <c r="Q290" s="115">
        <f t="shared" si="83"/>
        <v>5918578</v>
      </c>
      <c r="R290" s="168"/>
      <c r="S290" s="168"/>
      <c r="T290" s="168"/>
      <c r="U290" s="168"/>
      <c r="V290" s="168"/>
      <c r="W290" s="168"/>
      <c r="X290" s="168"/>
      <c r="Y290" s="168"/>
      <c r="Z290" s="168"/>
      <c r="AA290" s="168"/>
      <c r="AB290" s="168"/>
      <c r="AC290" s="168"/>
      <c r="AD290" s="168"/>
      <c r="AE290" s="168"/>
    </row>
    <row r="291" spans="1:31" s="169" customFormat="1" ht="30">
      <c r="A291" s="167"/>
      <c r="B291" s="123">
        <v>4810000</v>
      </c>
      <c r="C291" s="123"/>
      <c r="D291" s="123"/>
      <c r="E291" s="122" t="s">
        <v>225</v>
      </c>
      <c r="F291" s="120">
        <f>F292+F294+F296+F293</f>
        <v>3721975</v>
      </c>
      <c r="G291" s="120">
        <f aca="true" t="shared" si="87" ref="G291:Q291">G292+G294+G296+G293</f>
        <v>3721975</v>
      </c>
      <c r="H291" s="120">
        <f t="shared" si="87"/>
        <v>2580700</v>
      </c>
      <c r="I291" s="120">
        <f t="shared" si="87"/>
        <v>70500</v>
      </c>
      <c r="J291" s="120">
        <f t="shared" si="87"/>
        <v>0</v>
      </c>
      <c r="K291" s="120">
        <f t="shared" si="87"/>
        <v>2196603</v>
      </c>
      <c r="L291" s="120">
        <f t="shared" si="87"/>
        <v>559330</v>
      </c>
      <c r="M291" s="120">
        <f t="shared" si="87"/>
        <v>0</v>
      </c>
      <c r="N291" s="120">
        <f t="shared" si="87"/>
        <v>0</v>
      </c>
      <c r="O291" s="120">
        <f t="shared" si="87"/>
        <v>1637273</v>
      </c>
      <c r="P291" s="120">
        <f t="shared" si="87"/>
        <v>112173</v>
      </c>
      <c r="Q291" s="120">
        <f t="shared" si="87"/>
        <v>5918578</v>
      </c>
      <c r="R291" s="168"/>
      <c r="S291" s="168"/>
      <c r="T291" s="168"/>
      <c r="U291" s="168"/>
      <c r="V291" s="168"/>
      <c r="W291" s="168"/>
      <c r="X291" s="168"/>
      <c r="Y291" s="168"/>
      <c r="Z291" s="168"/>
      <c r="AA291" s="168"/>
      <c r="AB291" s="168"/>
      <c r="AC291" s="168"/>
      <c r="AD291" s="168"/>
      <c r="AE291" s="168"/>
    </row>
    <row r="292" spans="1:31" s="15" customFormat="1" ht="30">
      <c r="A292" s="150"/>
      <c r="B292" s="99" t="s">
        <v>176</v>
      </c>
      <c r="C292" s="99" t="s">
        <v>246</v>
      </c>
      <c r="D292" s="99" t="s">
        <v>247</v>
      </c>
      <c r="E292" s="100" t="s">
        <v>522</v>
      </c>
      <c r="F292" s="107">
        <f>G292+J292</f>
        <v>3481975</v>
      </c>
      <c r="G292" s="107">
        <f>2857700+1300-18700+634700+6975</f>
        <v>3481975</v>
      </c>
      <c r="H292" s="107">
        <f>2081800+498900</f>
        <v>2580700</v>
      </c>
      <c r="I292" s="107">
        <f>69200+1300</f>
        <v>70500</v>
      </c>
      <c r="J292" s="107"/>
      <c r="K292" s="107">
        <f>L292+O292</f>
        <v>95000</v>
      </c>
      <c r="L292" s="107"/>
      <c r="M292" s="107"/>
      <c r="N292" s="107"/>
      <c r="O292" s="107">
        <f>45000+50000</f>
        <v>95000</v>
      </c>
      <c r="P292" s="107">
        <f>45000+50000</f>
        <v>95000</v>
      </c>
      <c r="Q292" s="107">
        <f t="shared" si="83"/>
        <v>3576975</v>
      </c>
      <c r="R292" s="42"/>
      <c r="S292" s="42"/>
      <c r="T292" s="42"/>
      <c r="U292" s="42"/>
      <c r="V292" s="42"/>
      <c r="W292" s="42"/>
      <c r="X292" s="42"/>
      <c r="Y292" s="42"/>
      <c r="Z292" s="42"/>
      <c r="AA292" s="42"/>
      <c r="AB292" s="42"/>
      <c r="AC292" s="42"/>
      <c r="AD292" s="42"/>
      <c r="AE292" s="42"/>
    </row>
    <row r="293" spans="1:31" s="15" customFormat="1" ht="33" customHeight="1">
      <c r="A293" s="14"/>
      <c r="B293" s="77" t="s">
        <v>529</v>
      </c>
      <c r="C293" s="77" t="s">
        <v>345</v>
      </c>
      <c r="D293" s="77" t="s">
        <v>324</v>
      </c>
      <c r="E293" s="166" t="s">
        <v>56</v>
      </c>
      <c r="F293" s="107">
        <f>G293+J293</f>
        <v>0</v>
      </c>
      <c r="G293" s="107"/>
      <c r="H293" s="107"/>
      <c r="I293" s="107"/>
      <c r="J293" s="107"/>
      <c r="K293" s="107">
        <f>L293+O293</f>
        <v>17173</v>
      </c>
      <c r="L293" s="107"/>
      <c r="M293" s="107"/>
      <c r="N293" s="107"/>
      <c r="O293" s="107">
        <v>17173</v>
      </c>
      <c r="P293" s="107">
        <v>17173</v>
      </c>
      <c r="Q293" s="107">
        <f t="shared" si="83"/>
        <v>17173</v>
      </c>
      <c r="R293" s="42"/>
      <c r="S293" s="42"/>
      <c r="T293" s="42"/>
      <c r="U293" s="42"/>
      <c r="V293" s="42"/>
      <c r="W293" s="42"/>
      <c r="X293" s="42"/>
      <c r="Y293" s="42"/>
      <c r="Z293" s="42"/>
      <c r="AA293" s="42"/>
      <c r="AB293" s="42"/>
      <c r="AC293" s="42"/>
      <c r="AD293" s="42"/>
      <c r="AE293" s="42"/>
    </row>
    <row r="294" spans="1:31" s="15" customFormat="1" ht="22.5" customHeight="1">
      <c r="A294" s="14"/>
      <c r="B294" s="78" t="s">
        <v>517</v>
      </c>
      <c r="C294" s="78" t="s">
        <v>373</v>
      </c>
      <c r="D294" s="78" t="s">
        <v>369</v>
      </c>
      <c r="E294" s="166" t="s">
        <v>12</v>
      </c>
      <c r="F294" s="107">
        <f>F295</f>
        <v>240000</v>
      </c>
      <c r="G294" s="107">
        <f aca="true" t="shared" si="88" ref="G294:Q294">G295</f>
        <v>240000</v>
      </c>
      <c r="H294" s="107">
        <f t="shared" si="88"/>
        <v>0</v>
      </c>
      <c r="I294" s="107">
        <f t="shared" si="88"/>
        <v>0</v>
      </c>
      <c r="J294" s="107">
        <f t="shared" si="88"/>
        <v>0</v>
      </c>
      <c r="K294" s="107">
        <f t="shared" si="88"/>
        <v>0</v>
      </c>
      <c r="L294" s="107">
        <f t="shared" si="88"/>
        <v>0</v>
      </c>
      <c r="M294" s="107">
        <f t="shared" si="88"/>
        <v>0</v>
      </c>
      <c r="N294" s="107">
        <f t="shared" si="88"/>
        <v>0</v>
      </c>
      <c r="O294" s="107">
        <f t="shared" si="88"/>
        <v>0</v>
      </c>
      <c r="P294" s="107">
        <f t="shared" si="88"/>
        <v>0</v>
      </c>
      <c r="Q294" s="107">
        <f t="shared" si="88"/>
        <v>240000</v>
      </c>
      <c r="R294" s="42"/>
      <c r="S294" s="42"/>
      <c r="T294" s="42"/>
      <c r="U294" s="42"/>
      <c r="V294" s="42"/>
      <c r="W294" s="42"/>
      <c r="X294" s="42"/>
      <c r="Y294" s="42"/>
      <c r="Z294" s="42"/>
      <c r="AA294" s="42"/>
      <c r="AB294" s="42"/>
      <c r="AC294" s="42"/>
      <c r="AD294" s="42"/>
      <c r="AE294" s="42"/>
    </row>
    <row r="295" spans="1:31" s="34" customFormat="1" ht="45.75" customHeight="1">
      <c r="A295" s="33"/>
      <c r="B295" s="29" t="s">
        <v>517</v>
      </c>
      <c r="C295" s="29" t="s">
        <v>373</v>
      </c>
      <c r="D295" s="29" t="s">
        <v>369</v>
      </c>
      <c r="E295" s="35" t="s">
        <v>159</v>
      </c>
      <c r="F295" s="108">
        <f>G295+J295</f>
        <v>240000</v>
      </c>
      <c r="G295" s="108">
        <v>240000</v>
      </c>
      <c r="H295" s="108"/>
      <c r="I295" s="108"/>
      <c r="J295" s="108"/>
      <c r="K295" s="108"/>
      <c r="L295" s="108"/>
      <c r="M295" s="108"/>
      <c r="N295" s="108"/>
      <c r="O295" s="108"/>
      <c r="P295" s="108"/>
      <c r="Q295" s="108">
        <f t="shared" si="83"/>
        <v>240000</v>
      </c>
      <c r="R295" s="32"/>
      <c r="S295" s="32"/>
      <c r="T295" s="32"/>
      <c r="U295" s="32"/>
      <c r="V295" s="32"/>
      <c r="W295" s="32"/>
      <c r="X295" s="32"/>
      <c r="Y295" s="32"/>
      <c r="Z295" s="32"/>
      <c r="AA295" s="32"/>
      <c r="AB295" s="32"/>
      <c r="AC295" s="32"/>
      <c r="AD295" s="32"/>
      <c r="AE295" s="32"/>
    </row>
    <row r="296" spans="1:31" s="34" customFormat="1" ht="61.5" customHeight="1">
      <c r="A296" s="33"/>
      <c r="B296" s="22" t="s">
        <v>177</v>
      </c>
      <c r="C296" s="22" t="s">
        <v>368</v>
      </c>
      <c r="D296" s="22" t="s">
        <v>369</v>
      </c>
      <c r="E296" s="24" t="s">
        <v>17</v>
      </c>
      <c r="F296" s="108">
        <f>G296+J296</f>
        <v>0</v>
      </c>
      <c r="G296" s="108"/>
      <c r="H296" s="108"/>
      <c r="I296" s="108"/>
      <c r="J296" s="108"/>
      <c r="K296" s="108">
        <f>L296+O296</f>
        <v>2084430</v>
      </c>
      <c r="L296" s="108">
        <f>712922-170092+16500</f>
        <v>559330</v>
      </c>
      <c r="M296" s="108"/>
      <c r="N296" s="108"/>
      <c r="O296" s="108">
        <f>1223008+170092+132000</f>
        <v>1525100</v>
      </c>
      <c r="P296" s="108"/>
      <c r="Q296" s="108">
        <f t="shared" si="83"/>
        <v>2084430</v>
      </c>
      <c r="R296" s="32"/>
      <c r="S296" s="32"/>
      <c r="T296" s="32"/>
      <c r="U296" s="32"/>
      <c r="V296" s="32"/>
      <c r="W296" s="32"/>
      <c r="X296" s="32"/>
      <c r="Y296" s="32"/>
      <c r="Z296" s="32"/>
      <c r="AA296" s="32"/>
      <c r="AB296" s="32"/>
      <c r="AC296" s="32"/>
      <c r="AD296" s="32"/>
      <c r="AE296" s="32"/>
    </row>
    <row r="297" spans="1:31" s="105" customFormat="1" ht="33" customHeight="1">
      <c r="A297" s="102"/>
      <c r="B297" s="103">
        <v>5000000</v>
      </c>
      <c r="C297" s="103"/>
      <c r="D297" s="103"/>
      <c r="E297" s="17" t="s">
        <v>178</v>
      </c>
      <c r="F297" s="115">
        <f>F298</f>
        <v>2803783</v>
      </c>
      <c r="G297" s="115">
        <f aca="true" t="shared" si="89" ref="G297:P297">G298</f>
        <v>2803783</v>
      </c>
      <c r="H297" s="115">
        <f t="shared" si="89"/>
        <v>1811600</v>
      </c>
      <c r="I297" s="115">
        <f t="shared" si="89"/>
        <v>89000</v>
      </c>
      <c r="J297" s="115">
        <f t="shared" si="89"/>
        <v>0</v>
      </c>
      <c r="K297" s="115">
        <f t="shared" si="89"/>
        <v>21000</v>
      </c>
      <c r="L297" s="115">
        <f t="shared" si="89"/>
        <v>0</v>
      </c>
      <c r="M297" s="115">
        <f t="shared" si="89"/>
        <v>0</v>
      </c>
      <c r="N297" s="115">
        <f t="shared" si="89"/>
        <v>0</v>
      </c>
      <c r="O297" s="115">
        <f t="shared" si="89"/>
        <v>21000</v>
      </c>
      <c r="P297" s="115">
        <f t="shared" si="89"/>
        <v>21000</v>
      </c>
      <c r="Q297" s="115">
        <f t="shared" si="83"/>
        <v>2824783</v>
      </c>
      <c r="R297" s="104"/>
      <c r="S297" s="104"/>
      <c r="T297" s="104"/>
      <c r="U297" s="104"/>
      <c r="V297" s="104"/>
      <c r="W297" s="104"/>
      <c r="X297" s="104"/>
      <c r="Y297" s="104"/>
      <c r="Z297" s="104"/>
      <c r="AA297" s="104"/>
      <c r="AB297" s="104"/>
      <c r="AC297" s="104"/>
      <c r="AD297" s="104"/>
      <c r="AE297" s="104"/>
    </row>
    <row r="298" spans="1:31" s="172" customFormat="1" ht="34.5" customHeight="1">
      <c r="A298" s="170"/>
      <c r="B298" s="123">
        <v>5010000</v>
      </c>
      <c r="C298" s="123"/>
      <c r="D298" s="123"/>
      <c r="E298" s="122" t="s">
        <v>178</v>
      </c>
      <c r="F298" s="120">
        <f>F299+F300</f>
        <v>2803783</v>
      </c>
      <c r="G298" s="120">
        <f aca="true" t="shared" si="90" ref="G298:Q298">G299+G300</f>
        <v>2803783</v>
      </c>
      <c r="H298" s="120">
        <f t="shared" si="90"/>
        <v>1811600</v>
      </c>
      <c r="I298" s="120">
        <f t="shared" si="90"/>
        <v>89000</v>
      </c>
      <c r="J298" s="120">
        <f t="shared" si="90"/>
        <v>0</v>
      </c>
      <c r="K298" s="120">
        <f t="shared" si="90"/>
        <v>21000</v>
      </c>
      <c r="L298" s="120">
        <f t="shared" si="90"/>
        <v>0</v>
      </c>
      <c r="M298" s="120">
        <f t="shared" si="90"/>
        <v>0</v>
      </c>
      <c r="N298" s="120">
        <f t="shared" si="90"/>
        <v>0</v>
      </c>
      <c r="O298" s="120">
        <f t="shared" si="90"/>
        <v>21000</v>
      </c>
      <c r="P298" s="120">
        <f t="shared" si="90"/>
        <v>21000</v>
      </c>
      <c r="Q298" s="120">
        <f t="shared" si="90"/>
        <v>2824783</v>
      </c>
      <c r="R298" s="171"/>
      <c r="S298" s="171"/>
      <c r="T298" s="171"/>
      <c r="U298" s="171"/>
      <c r="V298" s="171"/>
      <c r="W298" s="171"/>
      <c r="X298" s="171"/>
      <c r="Y298" s="171"/>
      <c r="Z298" s="171"/>
      <c r="AA298" s="171"/>
      <c r="AB298" s="171"/>
      <c r="AC298" s="171"/>
      <c r="AD298" s="171"/>
      <c r="AE298" s="171"/>
    </row>
    <row r="299" spans="1:31" s="15" customFormat="1" ht="30">
      <c r="A299" s="150"/>
      <c r="B299" s="99" t="s">
        <v>179</v>
      </c>
      <c r="C299" s="99" t="s">
        <v>246</v>
      </c>
      <c r="D299" s="99" t="s">
        <v>247</v>
      </c>
      <c r="E299" s="100" t="s">
        <v>522</v>
      </c>
      <c r="F299" s="107">
        <f>G299+J299</f>
        <v>2387283</v>
      </c>
      <c r="G299" s="107">
        <f>2403400+12100-31900+3683</f>
        <v>2387283</v>
      </c>
      <c r="H299" s="107">
        <v>1811600</v>
      </c>
      <c r="I299" s="107">
        <f>76900+12100</f>
        <v>89000</v>
      </c>
      <c r="J299" s="107"/>
      <c r="K299" s="107">
        <f>L299+O299</f>
        <v>21000</v>
      </c>
      <c r="L299" s="107"/>
      <c r="M299" s="107"/>
      <c r="N299" s="107"/>
      <c r="O299" s="107">
        <v>21000</v>
      </c>
      <c r="P299" s="107">
        <v>21000</v>
      </c>
      <c r="Q299" s="107">
        <f t="shared" si="83"/>
        <v>2408283</v>
      </c>
      <c r="R299" s="42"/>
      <c r="S299" s="42"/>
      <c r="T299" s="42"/>
      <c r="U299" s="42"/>
      <c r="V299" s="42"/>
      <c r="W299" s="42"/>
      <c r="X299" s="42"/>
      <c r="Y299" s="42"/>
      <c r="Z299" s="42"/>
      <c r="AA299" s="42"/>
      <c r="AB299" s="42"/>
      <c r="AC299" s="42"/>
      <c r="AD299" s="42"/>
      <c r="AE299" s="42"/>
    </row>
    <row r="300" spans="1:31" s="15" customFormat="1" ht="18.75" customHeight="1">
      <c r="A300" s="14"/>
      <c r="B300" s="78" t="s">
        <v>180</v>
      </c>
      <c r="C300" s="78" t="s">
        <v>373</v>
      </c>
      <c r="D300" s="78" t="s">
        <v>369</v>
      </c>
      <c r="E300" s="166" t="s">
        <v>12</v>
      </c>
      <c r="F300" s="107">
        <f>F301</f>
        <v>416500</v>
      </c>
      <c r="G300" s="107">
        <f aca="true" t="shared" si="91" ref="G300:P300">G301</f>
        <v>416500</v>
      </c>
      <c r="H300" s="107">
        <f t="shared" si="91"/>
        <v>0</v>
      </c>
      <c r="I300" s="107">
        <f t="shared" si="91"/>
        <v>0</v>
      </c>
      <c r="J300" s="107">
        <f t="shared" si="91"/>
        <v>0</v>
      </c>
      <c r="K300" s="107">
        <f t="shared" si="91"/>
        <v>0</v>
      </c>
      <c r="L300" s="107">
        <f t="shared" si="91"/>
        <v>0</v>
      </c>
      <c r="M300" s="107">
        <f t="shared" si="91"/>
        <v>0</v>
      </c>
      <c r="N300" s="107">
        <f t="shared" si="91"/>
        <v>0</v>
      </c>
      <c r="O300" s="107">
        <f t="shared" si="91"/>
        <v>0</v>
      </c>
      <c r="P300" s="107">
        <f t="shared" si="91"/>
        <v>0</v>
      </c>
      <c r="Q300" s="107">
        <f t="shared" si="83"/>
        <v>416500</v>
      </c>
      <c r="R300" s="42"/>
      <c r="S300" s="42"/>
      <c r="T300" s="42"/>
      <c r="U300" s="42"/>
      <c r="V300" s="42"/>
      <c r="W300" s="42"/>
      <c r="X300" s="42"/>
      <c r="Y300" s="42"/>
      <c r="Z300" s="42"/>
      <c r="AA300" s="42"/>
      <c r="AB300" s="42"/>
      <c r="AC300" s="42"/>
      <c r="AD300" s="42"/>
      <c r="AE300" s="42"/>
    </row>
    <row r="301" spans="1:31" s="15" customFormat="1" ht="44.25" customHeight="1">
      <c r="A301" s="14"/>
      <c r="B301" s="29" t="s">
        <v>180</v>
      </c>
      <c r="C301" s="29" t="s">
        <v>373</v>
      </c>
      <c r="D301" s="29" t="s">
        <v>369</v>
      </c>
      <c r="E301" s="36" t="s">
        <v>508</v>
      </c>
      <c r="F301" s="108">
        <f>G301+J301</f>
        <v>416500</v>
      </c>
      <c r="G301" s="108">
        <v>416500</v>
      </c>
      <c r="H301" s="108"/>
      <c r="I301" s="108"/>
      <c r="J301" s="108"/>
      <c r="K301" s="108">
        <f>L301+O301</f>
        <v>0</v>
      </c>
      <c r="L301" s="108"/>
      <c r="M301" s="108"/>
      <c r="N301" s="108"/>
      <c r="O301" s="108"/>
      <c r="P301" s="108"/>
      <c r="Q301" s="108">
        <f t="shared" si="83"/>
        <v>416500</v>
      </c>
      <c r="R301" s="42"/>
      <c r="S301" s="42"/>
      <c r="T301" s="42"/>
      <c r="U301" s="42"/>
      <c r="V301" s="42"/>
      <c r="W301" s="42"/>
      <c r="X301" s="42"/>
      <c r="Y301" s="42"/>
      <c r="Z301" s="42"/>
      <c r="AA301" s="42"/>
      <c r="AB301" s="42"/>
      <c r="AC301" s="42"/>
      <c r="AD301" s="42"/>
      <c r="AE301" s="42"/>
    </row>
    <row r="302" spans="1:31" s="105" customFormat="1" ht="34.5" customHeight="1">
      <c r="A302" s="102"/>
      <c r="B302" s="116" t="s">
        <v>181</v>
      </c>
      <c r="C302" s="116"/>
      <c r="D302" s="116"/>
      <c r="E302" s="17" t="s">
        <v>226</v>
      </c>
      <c r="F302" s="115">
        <f>F303</f>
        <v>9414487</v>
      </c>
      <c r="G302" s="115">
        <f aca="true" t="shared" si="92" ref="G302:P302">G303</f>
        <v>9414487</v>
      </c>
      <c r="H302" s="115">
        <f t="shared" si="92"/>
        <v>7042543</v>
      </c>
      <c r="I302" s="115">
        <f t="shared" si="92"/>
        <v>203900</v>
      </c>
      <c r="J302" s="115">
        <f t="shared" si="92"/>
        <v>0</v>
      </c>
      <c r="K302" s="115">
        <f t="shared" si="92"/>
        <v>205000</v>
      </c>
      <c r="L302" s="115">
        <f t="shared" si="92"/>
        <v>19000</v>
      </c>
      <c r="M302" s="115">
        <f t="shared" si="92"/>
        <v>0</v>
      </c>
      <c r="N302" s="115">
        <f t="shared" si="92"/>
        <v>0</v>
      </c>
      <c r="O302" s="115">
        <f t="shared" si="92"/>
        <v>186000</v>
      </c>
      <c r="P302" s="115">
        <f t="shared" si="92"/>
        <v>186000</v>
      </c>
      <c r="Q302" s="115">
        <f t="shared" si="83"/>
        <v>9619487</v>
      </c>
      <c r="R302" s="104"/>
      <c r="S302" s="104"/>
      <c r="T302" s="104"/>
      <c r="U302" s="104"/>
      <c r="V302" s="104"/>
      <c r="W302" s="104"/>
      <c r="X302" s="104"/>
      <c r="Y302" s="104"/>
      <c r="Z302" s="104"/>
      <c r="AA302" s="104"/>
      <c r="AB302" s="104"/>
      <c r="AC302" s="104"/>
      <c r="AD302" s="104"/>
      <c r="AE302" s="104"/>
    </row>
    <row r="303" spans="1:31" s="169" customFormat="1" ht="30">
      <c r="A303" s="167"/>
      <c r="B303" s="118" t="s">
        <v>182</v>
      </c>
      <c r="C303" s="118"/>
      <c r="D303" s="118"/>
      <c r="E303" s="122" t="s">
        <v>226</v>
      </c>
      <c r="F303" s="120">
        <f>F304+F305+F306</f>
        <v>9414487</v>
      </c>
      <c r="G303" s="120">
        <f aca="true" t="shared" si="93" ref="G303:P303">G304+G305+G306</f>
        <v>9414487</v>
      </c>
      <c r="H303" s="120">
        <f t="shared" si="93"/>
        <v>7042543</v>
      </c>
      <c r="I303" s="120">
        <f t="shared" si="93"/>
        <v>203900</v>
      </c>
      <c r="J303" s="120">
        <f t="shared" si="93"/>
        <v>0</v>
      </c>
      <c r="K303" s="120">
        <f t="shared" si="93"/>
        <v>205000</v>
      </c>
      <c r="L303" s="120">
        <f t="shared" si="93"/>
        <v>19000</v>
      </c>
      <c r="M303" s="120">
        <f t="shared" si="93"/>
        <v>0</v>
      </c>
      <c r="N303" s="120">
        <f t="shared" si="93"/>
        <v>0</v>
      </c>
      <c r="O303" s="120">
        <f t="shared" si="93"/>
        <v>186000</v>
      </c>
      <c r="P303" s="120">
        <f t="shared" si="93"/>
        <v>186000</v>
      </c>
      <c r="Q303" s="120">
        <f t="shared" si="83"/>
        <v>9619487</v>
      </c>
      <c r="R303" s="168"/>
      <c r="S303" s="168"/>
      <c r="T303" s="168"/>
      <c r="U303" s="168"/>
      <c r="V303" s="168"/>
      <c r="W303" s="168"/>
      <c r="X303" s="168"/>
      <c r="Y303" s="168"/>
      <c r="Z303" s="168"/>
      <c r="AA303" s="168"/>
      <c r="AB303" s="168"/>
      <c r="AC303" s="168"/>
      <c r="AD303" s="168"/>
      <c r="AE303" s="168"/>
    </row>
    <row r="304" spans="1:31" s="15" customFormat="1" ht="30">
      <c r="A304" s="150"/>
      <c r="B304" s="99" t="s">
        <v>183</v>
      </c>
      <c r="C304" s="99" t="s">
        <v>246</v>
      </c>
      <c r="D304" s="99" t="s">
        <v>247</v>
      </c>
      <c r="E304" s="100" t="s">
        <v>522</v>
      </c>
      <c r="F304" s="107">
        <f>G304+J304</f>
        <v>9187387</v>
      </c>
      <c r="G304" s="107">
        <f>9049300+23400-66400+33171+147916</f>
        <v>9187387</v>
      </c>
      <c r="H304" s="107">
        <f>6921300+121243</f>
        <v>7042543</v>
      </c>
      <c r="I304" s="107">
        <f>180500+23400</f>
        <v>203900</v>
      </c>
      <c r="J304" s="107"/>
      <c r="K304" s="107">
        <f>L304+O304</f>
        <v>186000</v>
      </c>
      <c r="L304" s="107"/>
      <c r="M304" s="107"/>
      <c r="N304" s="107"/>
      <c r="O304" s="107">
        <f>50000+81000+55000</f>
        <v>186000</v>
      </c>
      <c r="P304" s="107">
        <f>50000+81000+55000</f>
        <v>186000</v>
      </c>
      <c r="Q304" s="107">
        <f t="shared" si="83"/>
        <v>9373387</v>
      </c>
      <c r="R304" s="42"/>
      <c r="S304" s="42"/>
      <c r="T304" s="42"/>
      <c r="U304" s="42"/>
      <c r="V304" s="42"/>
      <c r="W304" s="42"/>
      <c r="X304" s="42"/>
      <c r="Y304" s="42"/>
      <c r="Z304" s="42"/>
      <c r="AA304" s="42"/>
      <c r="AB304" s="42"/>
      <c r="AC304" s="42"/>
      <c r="AD304" s="42"/>
      <c r="AE304" s="42"/>
    </row>
    <row r="305" spans="1:31" s="15" customFormat="1" ht="19.5" customHeight="1">
      <c r="A305" s="14"/>
      <c r="B305" s="126" t="s">
        <v>205</v>
      </c>
      <c r="C305" s="126" t="s">
        <v>357</v>
      </c>
      <c r="D305" s="126" t="s">
        <v>358</v>
      </c>
      <c r="E305" s="166" t="s">
        <v>204</v>
      </c>
      <c r="F305" s="107">
        <f>G305+J305</f>
        <v>227100</v>
      </c>
      <c r="G305" s="107">
        <v>227100</v>
      </c>
      <c r="H305" s="107"/>
      <c r="I305" s="107"/>
      <c r="J305" s="107"/>
      <c r="K305" s="107">
        <f>L305+O305</f>
        <v>0</v>
      </c>
      <c r="L305" s="107"/>
      <c r="M305" s="107"/>
      <c r="N305" s="107"/>
      <c r="O305" s="107"/>
      <c r="P305" s="107"/>
      <c r="Q305" s="107">
        <f t="shared" si="83"/>
        <v>227100</v>
      </c>
      <c r="R305" s="42"/>
      <c r="S305" s="42"/>
      <c r="T305" s="42"/>
      <c r="U305" s="42"/>
      <c r="V305" s="42"/>
      <c r="W305" s="42"/>
      <c r="X305" s="42"/>
      <c r="Y305" s="42"/>
      <c r="Z305" s="42"/>
      <c r="AA305" s="42"/>
      <c r="AB305" s="42"/>
      <c r="AC305" s="42"/>
      <c r="AD305" s="42"/>
      <c r="AE305" s="42"/>
    </row>
    <row r="306" spans="1:31" s="15" customFormat="1" ht="33" customHeight="1">
      <c r="A306" s="14"/>
      <c r="B306" s="126" t="s">
        <v>232</v>
      </c>
      <c r="C306" s="126" t="s">
        <v>365</v>
      </c>
      <c r="D306" s="126" t="s">
        <v>366</v>
      </c>
      <c r="E306" s="166" t="s">
        <v>214</v>
      </c>
      <c r="F306" s="107">
        <f>G306+J306</f>
        <v>0</v>
      </c>
      <c r="G306" s="107"/>
      <c r="H306" s="107"/>
      <c r="I306" s="107"/>
      <c r="J306" s="107"/>
      <c r="K306" s="107">
        <f>L306+O306</f>
        <v>19000</v>
      </c>
      <c r="L306" s="107">
        <v>19000</v>
      </c>
      <c r="M306" s="107"/>
      <c r="N306" s="107"/>
      <c r="O306" s="107"/>
      <c r="P306" s="107"/>
      <c r="Q306" s="107">
        <f t="shared" si="83"/>
        <v>19000</v>
      </c>
      <c r="R306" s="42"/>
      <c r="S306" s="42"/>
      <c r="T306" s="42"/>
      <c r="U306" s="42"/>
      <c r="V306" s="42"/>
      <c r="W306" s="42"/>
      <c r="X306" s="42"/>
      <c r="Y306" s="42"/>
      <c r="Z306" s="42"/>
      <c r="AA306" s="42"/>
      <c r="AB306" s="42"/>
      <c r="AC306" s="42"/>
      <c r="AD306" s="42"/>
      <c r="AE306" s="42"/>
    </row>
    <row r="307" spans="1:31" s="105" customFormat="1" ht="42.75" customHeight="1">
      <c r="A307" s="102"/>
      <c r="B307" s="103">
        <v>7600000</v>
      </c>
      <c r="C307" s="103"/>
      <c r="D307" s="103"/>
      <c r="E307" s="17" t="s">
        <v>227</v>
      </c>
      <c r="F307" s="115">
        <f>F308</f>
        <v>73371569.75</v>
      </c>
      <c r="G307" s="115">
        <f aca="true" t="shared" si="94" ref="G307:P307">G308</f>
        <v>67231500</v>
      </c>
      <c r="H307" s="115">
        <f t="shared" si="94"/>
        <v>0</v>
      </c>
      <c r="I307" s="115">
        <f t="shared" si="94"/>
        <v>0</v>
      </c>
      <c r="J307" s="115">
        <f t="shared" si="94"/>
        <v>0</v>
      </c>
      <c r="K307" s="115">
        <f t="shared" si="94"/>
        <v>1500000</v>
      </c>
      <c r="L307" s="115">
        <f t="shared" si="94"/>
        <v>0</v>
      </c>
      <c r="M307" s="115">
        <f t="shared" si="94"/>
        <v>0</v>
      </c>
      <c r="N307" s="115">
        <f t="shared" si="94"/>
        <v>0</v>
      </c>
      <c r="O307" s="115">
        <f t="shared" si="94"/>
        <v>1500000</v>
      </c>
      <c r="P307" s="115">
        <f t="shared" si="94"/>
        <v>1500000</v>
      </c>
      <c r="Q307" s="115">
        <f t="shared" si="83"/>
        <v>74871569.75</v>
      </c>
      <c r="R307" s="104"/>
      <c r="S307" s="104"/>
      <c r="T307" s="104"/>
      <c r="U307" s="104"/>
      <c r="V307" s="104"/>
      <c r="W307" s="104"/>
      <c r="X307" s="104"/>
      <c r="Y307" s="104"/>
      <c r="Z307" s="104"/>
      <c r="AA307" s="104"/>
      <c r="AB307" s="104"/>
      <c r="AC307" s="104"/>
      <c r="AD307" s="104"/>
      <c r="AE307" s="104"/>
    </row>
    <row r="308" spans="1:31" s="169" customFormat="1" ht="45.75" customHeight="1">
      <c r="A308" s="167"/>
      <c r="B308" s="123">
        <v>7610000</v>
      </c>
      <c r="C308" s="123"/>
      <c r="D308" s="123"/>
      <c r="E308" s="122" t="s">
        <v>227</v>
      </c>
      <c r="F308" s="120">
        <f>F309+F310+F311</f>
        <v>73371569.75</v>
      </c>
      <c r="G308" s="120">
        <f aca="true" t="shared" si="95" ref="G308:Q308">G309+G310+G311</f>
        <v>67231500</v>
      </c>
      <c r="H308" s="120">
        <f t="shared" si="95"/>
        <v>0</v>
      </c>
      <c r="I308" s="120">
        <f t="shared" si="95"/>
        <v>0</v>
      </c>
      <c r="J308" s="120">
        <f t="shared" si="95"/>
        <v>0</v>
      </c>
      <c r="K308" s="120">
        <f t="shared" si="95"/>
        <v>1500000</v>
      </c>
      <c r="L308" s="120">
        <f t="shared" si="95"/>
        <v>0</v>
      </c>
      <c r="M308" s="120">
        <f t="shared" si="95"/>
        <v>0</v>
      </c>
      <c r="N308" s="120">
        <f t="shared" si="95"/>
        <v>0</v>
      </c>
      <c r="O308" s="120">
        <f t="shared" si="95"/>
        <v>1500000</v>
      </c>
      <c r="P308" s="120">
        <f t="shared" si="95"/>
        <v>1500000</v>
      </c>
      <c r="Q308" s="120">
        <f t="shared" si="95"/>
        <v>74871569.75</v>
      </c>
      <c r="R308" s="168"/>
      <c r="S308" s="168"/>
      <c r="T308" s="168"/>
      <c r="U308" s="168"/>
      <c r="V308" s="168"/>
      <c r="W308" s="168"/>
      <c r="X308" s="168"/>
      <c r="Y308" s="168"/>
      <c r="Z308" s="168"/>
      <c r="AA308" s="168"/>
      <c r="AB308" s="168"/>
      <c r="AC308" s="168"/>
      <c r="AD308" s="168"/>
      <c r="AE308" s="168"/>
    </row>
    <row r="309" spans="1:31" s="15" customFormat="1" ht="15.75">
      <c r="A309" s="150"/>
      <c r="B309" s="101">
        <v>7618010</v>
      </c>
      <c r="C309" s="101">
        <v>8010</v>
      </c>
      <c r="D309" s="99" t="s">
        <v>369</v>
      </c>
      <c r="E309" s="100" t="s">
        <v>25</v>
      </c>
      <c r="F309" s="107">
        <f>7191907-5500+3500+3781+22800+127100+94-250000+685730-1685400+53402+10000000+50000-5000000-788200+450000-5485104-86040.25+852000</f>
        <v>6140069.75</v>
      </c>
      <c r="G309" s="107"/>
      <c r="H309" s="107"/>
      <c r="I309" s="107"/>
      <c r="J309" s="107"/>
      <c r="K309" s="107">
        <f>L309+O309</f>
        <v>0</v>
      </c>
      <c r="L309" s="107"/>
      <c r="M309" s="107"/>
      <c r="N309" s="107"/>
      <c r="O309" s="107"/>
      <c r="P309" s="107"/>
      <c r="Q309" s="107">
        <f t="shared" si="83"/>
        <v>6140069.75</v>
      </c>
      <c r="R309" s="42"/>
      <c r="S309" s="42"/>
      <c r="T309" s="42"/>
      <c r="U309" s="42"/>
      <c r="V309" s="42"/>
      <c r="W309" s="42"/>
      <c r="X309" s="42"/>
      <c r="Y309" s="42"/>
      <c r="Z309" s="42"/>
      <c r="AA309" s="42"/>
      <c r="AB309" s="42"/>
      <c r="AC309" s="42"/>
      <c r="AD309" s="42"/>
      <c r="AE309" s="42"/>
    </row>
    <row r="310" spans="1:31" s="15" customFormat="1" ht="15.75">
      <c r="A310" s="14"/>
      <c r="B310" s="127">
        <v>7618120</v>
      </c>
      <c r="C310" s="127">
        <v>8120</v>
      </c>
      <c r="D310" s="126" t="s">
        <v>246</v>
      </c>
      <c r="E310" s="166" t="s">
        <v>413</v>
      </c>
      <c r="F310" s="107">
        <f>G310+J310</f>
        <v>67231500</v>
      </c>
      <c r="G310" s="107">
        <f>65470900+1760600</f>
        <v>67231500</v>
      </c>
      <c r="H310" s="107"/>
      <c r="I310" s="107"/>
      <c r="J310" s="107"/>
      <c r="K310" s="107">
        <f>L310+O310</f>
        <v>0</v>
      </c>
      <c r="L310" s="107"/>
      <c r="M310" s="107"/>
      <c r="N310" s="107"/>
      <c r="O310" s="107"/>
      <c r="P310" s="107"/>
      <c r="Q310" s="107">
        <f t="shared" si="83"/>
        <v>67231500</v>
      </c>
      <c r="R310" s="42"/>
      <c r="S310" s="42"/>
      <c r="T310" s="42"/>
      <c r="U310" s="42"/>
      <c r="V310" s="42"/>
      <c r="W310" s="42"/>
      <c r="X310" s="42"/>
      <c r="Y310" s="42"/>
      <c r="Z310" s="42"/>
      <c r="AA310" s="42"/>
      <c r="AB310" s="42"/>
      <c r="AC310" s="42"/>
      <c r="AD310" s="42"/>
      <c r="AE310" s="42"/>
    </row>
    <row r="311" spans="1:31" s="15" customFormat="1" ht="17.25" customHeight="1">
      <c r="A311" s="14"/>
      <c r="B311" s="127">
        <v>7618800</v>
      </c>
      <c r="C311" s="127">
        <v>8800</v>
      </c>
      <c r="D311" s="126" t="s">
        <v>246</v>
      </c>
      <c r="E311" s="184" t="s">
        <v>26</v>
      </c>
      <c r="F311" s="107">
        <f>F312</f>
        <v>0</v>
      </c>
      <c r="G311" s="107">
        <f aca="true" t="shared" si="96" ref="G311:P311">G312</f>
        <v>0</v>
      </c>
      <c r="H311" s="107">
        <f t="shared" si="96"/>
        <v>0</v>
      </c>
      <c r="I311" s="107">
        <f t="shared" si="96"/>
        <v>0</v>
      </c>
      <c r="J311" s="107">
        <f t="shared" si="96"/>
        <v>0</v>
      </c>
      <c r="K311" s="107">
        <f t="shared" si="96"/>
        <v>1500000</v>
      </c>
      <c r="L311" s="107">
        <f t="shared" si="96"/>
        <v>0</v>
      </c>
      <c r="M311" s="107">
        <f t="shared" si="96"/>
        <v>0</v>
      </c>
      <c r="N311" s="107">
        <f t="shared" si="96"/>
        <v>0</v>
      </c>
      <c r="O311" s="107">
        <f t="shared" si="96"/>
        <v>1500000</v>
      </c>
      <c r="P311" s="107">
        <f t="shared" si="96"/>
        <v>1500000</v>
      </c>
      <c r="Q311" s="107">
        <f t="shared" si="83"/>
        <v>1500000</v>
      </c>
      <c r="R311" s="42"/>
      <c r="S311" s="42"/>
      <c r="T311" s="42"/>
      <c r="U311" s="42"/>
      <c r="V311" s="42"/>
      <c r="W311" s="42"/>
      <c r="X311" s="42"/>
      <c r="Y311" s="42"/>
      <c r="Z311" s="42"/>
      <c r="AA311" s="42"/>
      <c r="AB311" s="42"/>
      <c r="AC311" s="42"/>
      <c r="AD311" s="42"/>
      <c r="AE311" s="42"/>
    </row>
    <row r="312" spans="1:31" s="15" customFormat="1" ht="15.75">
      <c r="A312" s="14"/>
      <c r="B312" s="28">
        <v>7618800</v>
      </c>
      <c r="C312" s="28">
        <v>8800</v>
      </c>
      <c r="D312" s="29" t="s">
        <v>246</v>
      </c>
      <c r="E312" s="38" t="s">
        <v>568</v>
      </c>
      <c r="F312" s="114">
        <f>G312+J312</f>
        <v>0</v>
      </c>
      <c r="G312" s="114"/>
      <c r="H312" s="107"/>
      <c r="I312" s="107"/>
      <c r="J312" s="107"/>
      <c r="K312" s="107">
        <f>L312+O312</f>
        <v>1500000</v>
      </c>
      <c r="L312" s="107"/>
      <c r="M312" s="107"/>
      <c r="N312" s="107"/>
      <c r="O312" s="107">
        <f>500000+500000+950000-450000</f>
        <v>1500000</v>
      </c>
      <c r="P312" s="107">
        <f>500000+500000+950000-450000</f>
        <v>1500000</v>
      </c>
      <c r="Q312" s="107">
        <f t="shared" si="83"/>
        <v>1500000</v>
      </c>
      <c r="R312" s="42"/>
      <c r="S312" s="42"/>
      <c r="T312" s="42"/>
      <c r="U312" s="42"/>
      <c r="V312" s="42"/>
      <c r="W312" s="42"/>
      <c r="X312" s="42"/>
      <c r="Y312" s="42"/>
      <c r="Z312" s="42"/>
      <c r="AA312" s="42"/>
      <c r="AB312" s="42"/>
      <c r="AC312" s="42"/>
      <c r="AD312" s="42"/>
      <c r="AE312" s="42"/>
    </row>
    <row r="313" spans="1:31" s="105" customFormat="1" ht="15.75">
      <c r="A313" s="102"/>
      <c r="B313" s="103"/>
      <c r="C313" s="103"/>
      <c r="D313" s="103"/>
      <c r="E313" s="17" t="s">
        <v>27</v>
      </c>
      <c r="F313" s="115">
        <f aca="true" t="shared" si="97" ref="F313:Q313">F13+F71+F100+F128+F209+F214+F223+F259+F266+F269+F290+F297+F302+F307+F287</f>
        <v>2334746561.19</v>
      </c>
      <c r="G313" s="115">
        <f t="shared" si="97"/>
        <v>2258993087.6000004</v>
      </c>
      <c r="H313" s="115">
        <f t="shared" si="97"/>
        <v>537953063</v>
      </c>
      <c r="I313" s="115">
        <f t="shared" si="97"/>
        <v>109479255</v>
      </c>
      <c r="J313" s="115">
        <f t="shared" si="97"/>
        <v>69613403.84</v>
      </c>
      <c r="K313" s="115">
        <f t="shared" si="97"/>
        <v>686401097.6300001</v>
      </c>
      <c r="L313" s="115">
        <f t="shared" si="97"/>
        <v>60466899.97</v>
      </c>
      <c r="M313" s="115">
        <f t="shared" si="97"/>
        <v>5643866</v>
      </c>
      <c r="N313" s="115">
        <f t="shared" si="97"/>
        <v>2423113</v>
      </c>
      <c r="O313" s="115">
        <f t="shared" si="97"/>
        <v>625934197.66</v>
      </c>
      <c r="P313" s="115">
        <f t="shared" si="97"/>
        <v>584689461</v>
      </c>
      <c r="Q313" s="115">
        <f t="shared" si="97"/>
        <v>3021147658.8200006</v>
      </c>
      <c r="R313" s="104"/>
      <c r="S313" s="104"/>
      <c r="T313" s="104"/>
      <c r="U313" s="104"/>
      <c r="V313" s="104"/>
      <c r="W313" s="104"/>
      <c r="X313" s="104"/>
      <c r="Y313" s="104"/>
      <c r="Z313" s="104"/>
      <c r="AA313" s="104"/>
      <c r="AB313" s="104"/>
      <c r="AC313" s="104"/>
      <c r="AD313" s="104"/>
      <c r="AE313" s="104"/>
    </row>
    <row r="314" spans="1:31" s="105" customFormat="1" ht="19.5" customHeight="1">
      <c r="A314" s="102"/>
      <c r="B314" s="103"/>
      <c r="C314" s="103"/>
      <c r="D314" s="103"/>
      <c r="E314" s="17" t="s">
        <v>512</v>
      </c>
      <c r="F314" s="115">
        <f>F73+F102+F130+F225+F271</f>
        <v>1302254628.35</v>
      </c>
      <c r="G314" s="115">
        <f aca="true" t="shared" si="98" ref="G314:Q314">G73+G102+G130+G225+G271</f>
        <v>1278391155</v>
      </c>
      <c r="H314" s="115">
        <f t="shared" si="98"/>
        <v>184750800</v>
      </c>
      <c r="I314" s="115">
        <f t="shared" si="98"/>
        <v>0</v>
      </c>
      <c r="J314" s="115">
        <f t="shared" si="98"/>
        <v>23863473.35</v>
      </c>
      <c r="K314" s="115">
        <f t="shared" si="98"/>
        <v>36815877.03</v>
      </c>
      <c r="L314" s="115">
        <f t="shared" si="98"/>
        <v>0</v>
      </c>
      <c r="M314" s="115">
        <f t="shared" si="98"/>
        <v>0</v>
      </c>
      <c r="N314" s="115">
        <f t="shared" si="98"/>
        <v>0</v>
      </c>
      <c r="O314" s="115">
        <f t="shared" si="98"/>
        <v>36815877.03</v>
      </c>
      <c r="P314" s="115">
        <f t="shared" si="98"/>
        <v>11788532</v>
      </c>
      <c r="Q314" s="115">
        <f t="shared" si="98"/>
        <v>1339070505.38</v>
      </c>
      <c r="R314" s="104"/>
      <c r="S314" s="104"/>
      <c r="T314" s="104"/>
      <c r="U314" s="104"/>
      <c r="V314" s="104"/>
      <c r="W314" s="104"/>
      <c r="X314" s="104"/>
      <c r="Y314" s="104"/>
      <c r="Z314" s="104"/>
      <c r="AA314" s="104"/>
      <c r="AB314" s="104"/>
      <c r="AC314" s="104"/>
      <c r="AD314" s="104"/>
      <c r="AE314" s="104"/>
    </row>
    <row r="315" spans="1:31" s="15" customFormat="1" ht="14.25" customHeight="1">
      <c r="A315" s="23"/>
      <c r="B315" s="154"/>
      <c r="C315" s="154"/>
      <c r="D315" s="154"/>
      <c r="E315" s="155"/>
      <c r="F315" s="156"/>
      <c r="G315" s="156"/>
      <c r="H315" s="156"/>
      <c r="I315" s="156"/>
      <c r="J315" s="156"/>
      <c r="K315" s="156"/>
      <c r="L315" s="156"/>
      <c r="M315" s="156"/>
      <c r="N315" s="156"/>
      <c r="O315" s="156"/>
      <c r="P315" s="156"/>
      <c r="Q315" s="156"/>
      <c r="R315" s="42"/>
      <c r="S315" s="42"/>
      <c r="T315" s="42"/>
      <c r="U315" s="42"/>
      <c r="V315" s="42"/>
      <c r="W315" s="42"/>
      <c r="X315" s="42"/>
      <c r="Y315" s="42"/>
      <c r="Z315" s="42"/>
      <c r="AA315" s="42"/>
      <c r="AB315" s="42"/>
      <c r="AC315" s="42"/>
      <c r="AD315" s="42"/>
      <c r="AE315" s="42"/>
    </row>
    <row r="316" spans="2:17" ht="57.75" customHeight="1">
      <c r="B316" s="97"/>
      <c r="C316" s="97"/>
      <c r="D316" s="97"/>
      <c r="E316" s="180"/>
      <c r="F316" s="82"/>
      <c r="G316" s="81"/>
      <c r="H316" s="81"/>
      <c r="I316" s="81"/>
      <c r="J316" s="81"/>
      <c r="K316" s="81"/>
      <c r="L316" s="81"/>
      <c r="M316" s="39"/>
      <c r="N316" s="39"/>
      <c r="O316" s="39"/>
      <c r="P316" s="157"/>
      <c r="Q316" s="157"/>
    </row>
    <row r="317" spans="1:31" s="189" customFormat="1" ht="15">
      <c r="A317" s="7"/>
      <c r="B317" s="18"/>
      <c r="C317" s="18"/>
      <c r="D317" s="18"/>
      <c r="E317" s="159"/>
      <c r="F317" s="1"/>
      <c r="G317" s="1"/>
      <c r="H317" s="1"/>
      <c r="I317" s="1"/>
      <c r="J317" s="1"/>
      <c r="K317" s="1"/>
      <c r="L317" s="1"/>
      <c r="M317" s="1"/>
      <c r="N317" s="1"/>
      <c r="O317" s="1"/>
      <c r="P317" s="1"/>
      <c r="Q317" s="1"/>
      <c r="R317" s="188"/>
      <c r="S317" s="188"/>
      <c r="T317" s="188"/>
      <c r="U317" s="188"/>
      <c r="V317" s="188"/>
      <c r="W317" s="188"/>
      <c r="X317" s="188"/>
      <c r="Y317" s="188"/>
      <c r="Z317" s="188"/>
      <c r="AA317" s="188"/>
      <c r="AB317" s="188"/>
      <c r="AC317" s="188"/>
      <c r="AD317" s="188"/>
      <c r="AE317" s="188"/>
    </row>
    <row r="318" spans="1:31" s="189" customFormat="1" ht="61.5" customHeight="1">
      <c r="A318" s="7"/>
      <c r="B318" s="40"/>
      <c r="C318" s="222" t="s">
        <v>577</v>
      </c>
      <c r="D318" s="222"/>
      <c r="E318" s="222"/>
      <c r="F318" s="43"/>
      <c r="G318" s="43"/>
      <c r="H318" s="43"/>
      <c r="I318" s="43"/>
      <c r="J318" s="43"/>
      <c r="K318" s="43"/>
      <c r="L318" s="43"/>
      <c r="M318" s="223" t="s">
        <v>578</v>
      </c>
      <c r="N318" s="223"/>
      <c r="O318" s="223"/>
      <c r="P318" s="199"/>
      <c r="Q318" s="1"/>
      <c r="R318" s="188"/>
      <c r="S318" s="188"/>
      <c r="T318" s="188"/>
      <c r="U318" s="188"/>
      <c r="V318" s="188"/>
      <c r="W318" s="188"/>
      <c r="X318" s="188"/>
      <c r="Y318" s="188"/>
      <c r="Z318" s="188"/>
      <c r="AA318" s="188"/>
      <c r="AB318" s="188"/>
      <c r="AC318" s="188"/>
      <c r="AD318" s="188"/>
      <c r="AE318" s="188"/>
    </row>
    <row r="319" spans="1:31" s="189" customFormat="1" ht="26.25">
      <c r="A319" s="7"/>
      <c r="B319" s="222"/>
      <c r="C319" s="222"/>
      <c r="D319" s="222"/>
      <c r="E319" s="222"/>
      <c r="F319" s="222"/>
      <c r="G319" s="222"/>
      <c r="H319" s="222"/>
      <c r="I319" s="43"/>
      <c r="J319" s="43"/>
      <c r="K319" s="199"/>
      <c r="L319" s="43"/>
      <c r="M319" s="223"/>
      <c r="N319" s="223"/>
      <c r="O319" s="223"/>
      <c r="P319" s="223"/>
      <c r="Q319" s="1"/>
      <c r="R319" s="188"/>
      <c r="S319" s="188"/>
      <c r="T319" s="188"/>
      <c r="U319" s="188"/>
      <c r="V319" s="188"/>
      <c r="W319" s="188"/>
      <c r="X319" s="188"/>
      <c r="Y319" s="188"/>
      <c r="Z319" s="188"/>
      <c r="AA319" s="188"/>
      <c r="AB319" s="188"/>
      <c r="AC319" s="188"/>
      <c r="AD319" s="188"/>
      <c r="AE319" s="188"/>
    </row>
    <row r="320" spans="1:31" s="189" customFormat="1" ht="23.25">
      <c r="A320" s="7"/>
      <c r="B320" s="205"/>
      <c r="C320" s="206" t="s">
        <v>559</v>
      </c>
      <c r="D320" s="205"/>
      <c r="E320" s="207"/>
      <c r="F320" s="81"/>
      <c r="G320" s="81"/>
      <c r="H320" s="81"/>
      <c r="I320" s="81"/>
      <c r="J320" s="81"/>
      <c r="K320" s="81"/>
      <c r="L320" s="81"/>
      <c r="M320" s="81"/>
      <c r="N320" s="81"/>
      <c r="O320" s="205"/>
      <c r="P320" s="205"/>
      <c r="Q320" s="1"/>
      <c r="R320" s="188"/>
      <c r="S320" s="188"/>
      <c r="T320" s="188"/>
      <c r="U320" s="188"/>
      <c r="V320" s="188"/>
      <c r="W320" s="188"/>
      <c r="X320" s="188"/>
      <c r="Y320" s="188"/>
      <c r="Z320" s="188"/>
      <c r="AA320" s="188"/>
      <c r="AB320" s="188"/>
      <c r="AC320" s="188"/>
      <c r="AD320" s="188"/>
      <c r="AE320" s="188"/>
    </row>
    <row r="321" spans="1:31" s="189" customFormat="1" ht="27.75">
      <c r="A321" s="7"/>
      <c r="B321" s="97"/>
      <c r="C321" s="208"/>
      <c r="D321" s="97"/>
      <c r="E321" s="180"/>
      <c r="F321" s="82"/>
      <c r="G321" s="81"/>
      <c r="H321" s="81"/>
      <c r="I321" s="81"/>
      <c r="J321" s="81"/>
      <c r="K321" s="81"/>
      <c r="L321" s="81"/>
      <c r="M321" s="39"/>
      <c r="N321" s="39"/>
      <c r="O321" s="39"/>
      <c r="P321" s="209"/>
      <c r="Q321" s="1"/>
      <c r="R321" s="188"/>
      <c r="S321" s="188"/>
      <c r="T321" s="188"/>
      <c r="U321" s="188"/>
      <c r="V321" s="188"/>
      <c r="W321" s="188"/>
      <c r="X321" s="188"/>
      <c r="Y321" s="188"/>
      <c r="Z321" s="188"/>
      <c r="AA321" s="188"/>
      <c r="AB321" s="188"/>
      <c r="AC321" s="188"/>
      <c r="AD321" s="188"/>
      <c r="AE321" s="188"/>
    </row>
    <row r="322" spans="1:31" s="189" customFormat="1" ht="15.75">
      <c r="A322" s="7"/>
      <c r="B322" s="72"/>
      <c r="C322" s="50"/>
      <c r="D322" s="50"/>
      <c r="E322" s="73"/>
      <c r="F322" s="73"/>
      <c r="G322" s="73"/>
      <c r="H322" s="73"/>
      <c r="I322" s="73"/>
      <c r="J322" s="73"/>
      <c r="K322" s="73"/>
      <c r="L322" s="73"/>
      <c r="M322" s="73"/>
      <c r="N322" s="73"/>
      <c r="O322" s="73"/>
      <c r="P322" s="73"/>
      <c r="Q322" s="199"/>
      <c r="R322" s="188"/>
      <c r="S322" s="188"/>
      <c r="T322" s="188"/>
      <c r="U322" s="188"/>
      <c r="V322" s="188"/>
      <c r="W322" s="188"/>
      <c r="X322" s="188"/>
      <c r="Y322" s="188"/>
      <c r="Z322" s="188"/>
      <c r="AA322" s="188"/>
      <c r="AB322" s="188"/>
      <c r="AC322" s="188"/>
      <c r="AD322" s="188"/>
      <c r="AE322" s="188"/>
    </row>
    <row r="323" spans="1:31" s="189" customFormat="1" ht="15">
      <c r="A323" s="7"/>
      <c r="B323" s="18"/>
      <c r="C323" s="18"/>
      <c r="D323" s="18"/>
      <c r="E323" s="159"/>
      <c r="F323" s="199">
        <f>F313-'дод. 3'!E253</f>
        <v>0</v>
      </c>
      <c r="G323" s="199">
        <f>G313-'дод. 3'!F253</f>
        <v>0</v>
      </c>
      <c r="H323" s="199">
        <f>H313-'дод. 3'!G253</f>
        <v>0</v>
      </c>
      <c r="I323" s="199">
        <f>I313-'дод. 3'!H253</f>
        <v>0</v>
      </c>
      <c r="J323" s="199">
        <f>J313-'дод. 3'!I253</f>
        <v>0</v>
      </c>
      <c r="K323" s="199">
        <f>K313-'дод. 3'!J253</f>
        <v>0</v>
      </c>
      <c r="L323" s="199">
        <f>L313-'дод. 3'!K253</f>
        <v>0</v>
      </c>
      <c r="M323" s="199">
        <f>M313-'дод. 3'!L253</f>
        <v>0</v>
      </c>
      <c r="N323" s="199">
        <f>N313-'дод. 3'!M253</f>
        <v>0</v>
      </c>
      <c r="O323" s="199">
        <f>O313-'дод. 3'!N253</f>
        <v>0</v>
      </c>
      <c r="P323" s="199">
        <f>P313-'дод. 3'!O253</f>
        <v>0</v>
      </c>
      <c r="Q323" s="199">
        <f>Q313-'дод. 3'!P253</f>
        <v>0</v>
      </c>
      <c r="R323" s="188"/>
      <c r="S323" s="188"/>
      <c r="T323" s="188"/>
      <c r="U323" s="188"/>
      <c r="V323" s="188"/>
      <c r="W323" s="188"/>
      <c r="X323" s="188"/>
      <c r="Y323" s="188"/>
      <c r="Z323" s="188"/>
      <c r="AA323" s="188"/>
      <c r="AB323" s="188"/>
      <c r="AC323" s="188"/>
      <c r="AD323" s="188"/>
      <c r="AE323" s="188"/>
    </row>
    <row r="324" spans="1:31" s="189" customFormat="1" ht="15">
      <c r="A324" s="7"/>
      <c r="B324" s="18"/>
      <c r="C324" s="18"/>
      <c r="D324" s="18"/>
      <c r="E324" s="159"/>
      <c r="F324" s="199">
        <f>F313-'дод. 3'!E253</f>
        <v>0</v>
      </c>
      <c r="G324" s="199">
        <f>G313-'дод. 3'!F253</f>
        <v>0</v>
      </c>
      <c r="H324" s="199">
        <f>H313-'дод. 3'!G253</f>
        <v>0</v>
      </c>
      <c r="I324" s="199">
        <f>I313-'дод. 3'!H253</f>
        <v>0</v>
      </c>
      <c r="J324" s="199">
        <f>J313-'дод. 3'!I253</f>
        <v>0</v>
      </c>
      <c r="K324" s="199">
        <f>K313-'дод. 3'!J253</f>
        <v>0</v>
      </c>
      <c r="L324" s="199">
        <f>L313-'дод. 3'!K253</f>
        <v>0</v>
      </c>
      <c r="M324" s="199">
        <f>M313-'дод. 3'!L253</f>
        <v>0</v>
      </c>
      <c r="N324" s="199">
        <f>N313-'дод. 3'!M253</f>
        <v>0</v>
      </c>
      <c r="O324" s="199">
        <f>O313-'дод. 3'!N253</f>
        <v>0</v>
      </c>
      <c r="P324" s="199">
        <f>P313-'дод. 3'!O253</f>
        <v>0</v>
      </c>
      <c r="Q324" s="199">
        <f>Q313-'дод. 3'!P253</f>
        <v>0</v>
      </c>
      <c r="R324" s="188"/>
      <c r="S324" s="188"/>
      <c r="T324" s="188"/>
      <c r="U324" s="188"/>
      <c r="V324" s="188"/>
      <c r="W324" s="188"/>
      <c r="X324" s="188"/>
      <c r="Y324" s="188"/>
      <c r="Z324" s="188"/>
      <c r="AA324" s="188"/>
      <c r="AB324" s="188"/>
      <c r="AC324" s="188"/>
      <c r="AD324" s="188"/>
      <c r="AE324" s="188"/>
    </row>
    <row r="325" spans="1:31" s="189" customFormat="1" ht="15">
      <c r="A325" s="7"/>
      <c r="B325" s="18"/>
      <c r="C325" s="18"/>
      <c r="D325" s="18"/>
      <c r="E325" s="159"/>
      <c r="F325" s="199">
        <f>F314-'дод. 3'!E254</f>
        <v>0</v>
      </c>
      <c r="G325" s="199">
        <f>G314-'дод. 3'!F254</f>
        <v>0</v>
      </c>
      <c r="H325" s="199">
        <f>H314-'дод. 3'!G254</f>
        <v>0</v>
      </c>
      <c r="I325" s="199">
        <f>I314-'дод. 3'!H254</f>
        <v>0</v>
      </c>
      <c r="J325" s="199">
        <f>J314-'дод. 3'!I254</f>
        <v>0</v>
      </c>
      <c r="K325" s="199">
        <f>K314-'дод. 3'!J254</f>
        <v>0</v>
      </c>
      <c r="L325" s="199">
        <f>L314-'дод. 3'!K254</f>
        <v>0</v>
      </c>
      <c r="M325" s="199">
        <f>M314-'дод. 3'!L254</f>
        <v>0</v>
      </c>
      <c r="N325" s="199">
        <f>N314-'дод. 3'!M254</f>
        <v>0</v>
      </c>
      <c r="O325" s="199">
        <f>O314-'дод. 3'!N254</f>
        <v>0</v>
      </c>
      <c r="P325" s="199">
        <f>P314-'дод. 3'!O254</f>
        <v>0</v>
      </c>
      <c r="Q325" s="199">
        <f>Q314-'дод. 3'!P254</f>
        <v>0</v>
      </c>
      <c r="R325" s="188"/>
      <c r="S325" s="188"/>
      <c r="T325" s="188"/>
      <c r="U325" s="188"/>
      <c r="V325" s="188"/>
      <c r="W325" s="188"/>
      <c r="X325" s="188"/>
      <c r="Y325" s="188"/>
      <c r="Z325" s="188"/>
      <c r="AA325" s="188"/>
      <c r="AB325" s="188"/>
      <c r="AC325" s="188"/>
      <c r="AD325" s="188"/>
      <c r="AE325" s="188"/>
    </row>
    <row r="326" spans="1:31" s="189" customFormat="1" ht="15">
      <c r="A326" s="7"/>
      <c r="B326" s="18"/>
      <c r="C326" s="18"/>
      <c r="D326" s="18"/>
      <c r="E326" s="159"/>
      <c r="F326" s="1"/>
      <c r="G326" s="1"/>
      <c r="H326" s="1"/>
      <c r="I326" s="1"/>
      <c r="J326" s="1"/>
      <c r="K326" s="1"/>
      <c r="L326" s="1"/>
      <c r="M326" s="1"/>
      <c r="N326" s="1"/>
      <c r="O326" s="1"/>
      <c r="P326" s="1"/>
      <c r="Q326" s="1"/>
      <c r="R326" s="188"/>
      <c r="S326" s="188"/>
      <c r="T326" s="188"/>
      <c r="U326" s="188"/>
      <c r="V326" s="188"/>
      <c r="W326" s="188"/>
      <c r="X326" s="188"/>
      <c r="Y326" s="188"/>
      <c r="Z326" s="188"/>
      <c r="AA326" s="188"/>
      <c r="AB326" s="188"/>
      <c r="AC326" s="188"/>
      <c r="AD326" s="188"/>
      <c r="AE326" s="188"/>
    </row>
    <row r="327" spans="1:31" s="189" customFormat="1" ht="15">
      <c r="A327" s="7"/>
      <c r="B327" s="18"/>
      <c r="C327" s="18"/>
      <c r="D327" s="18"/>
      <c r="E327" s="159"/>
      <c r="F327" s="1"/>
      <c r="G327" s="1"/>
      <c r="H327" s="1"/>
      <c r="I327" s="1"/>
      <c r="J327" s="1"/>
      <c r="K327" s="1"/>
      <c r="L327" s="1"/>
      <c r="M327" s="1"/>
      <c r="N327" s="1"/>
      <c r="O327" s="1"/>
      <c r="P327" s="1"/>
      <c r="Q327" s="1"/>
      <c r="R327" s="188"/>
      <c r="S327" s="188"/>
      <c r="T327" s="188"/>
      <c r="U327" s="188"/>
      <c r="V327" s="188"/>
      <c r="W327" s="188"/>
      <c r="X327" s="188"/>
      <c r="Y327" s="188"/>
      <c r="Z327" s="188"/>
      <c r="AA327" s="188"/>
      <c r="AB327" s="188"/>
      <c r="AC327" s="188"/>
      <c r="AD327" s="188"/>
      <c r="AE327" s="188"/>
    </row>
    <row r="328" spans="1:31" s="189" customFormat="1" ht="15">
      <c r="A328" s="7"/>
      <c r="B328" s="18"/>
      <c r="C328" s="18"/>
      <c r="D328" s="18"/>
      <c r="E328" s="159"/>
      <c r="F328" s="199">
        <f>F313-'дод. 3'!E253</f>
        <v>0</v>
      </c>
      <c r="G328" s="199">
        <f>G313-'дод. 3'!F253</f>
        <v>0</v>
      </c>
      <c r="H328" s="199">
        <f>H313-'дод. 3'!G253</f>
        <v>0</v>
      </c>
      <c r="I328" s="199">
        <f>I313-'дод. 3'!H253</f>
        <v>0</v>
      </c>
      <c r="J328" s="199">
        <f>J313-'дод. 3'!I253</f>
        <v>0</v>
      </c>
      <c r="K328" s="199">
        <f>K313-'дод. 3'!J253</f>
        <v>0</v>
      </c>
      <c r="L328" s="199">
        <f>L313-'дод. 3'!K253</f>
        <v>0</v>
      </c>
      <c r="M328" s="199">
        <f>M313-'дод. 3'!L253</f>
        <v>0</v>
      </c>
      <c r="N328" s="199">
        <f>N313-'дод. 3'!M253</f>
        <v>0</v>
      </c>
      <c r="O328" s="199">
        <f>O313-'дод. 3'!N253</f>
        <v>0</v>
      </c>
      <c r="P328" s="199">
        <f>P313-'дод. 3'!O253</f>
        <v>0</v>
      </c>
      <c r="Q328" s="199">
        <f>Q313-'дод. 3'!P253</f>
        <v>0</v>
      </c>
      <c r="R328" s="188"/>
      <c r="S328" s="188"/>
      <c r="T328" s="188"/>
      <c r="U328" s="188"/>
      <c r="V328" s="188"/>
      <c r="W328" s="188"/>
      <c r="X328" s="188"/>
      <c r="Y328" s="188"/>
      <c r="Z328" s="188"/>
      <c r="AA328" s="188"/>
      <c r="AB328" s="188"/>
      <c r="AC328" s="188"/>
      <c r="AD328" s="188"/>
      <c r="AE328" s="188"/>
    </row>
    <row r="329" spans="1:31" s="189" customFormat="1" ht="26.25" customHeight="1">
      <c r="A329" s="7"/>
      <c r="B329" s="18"/>
      <c r="C329" s="18"/>
      <c r="D329" s="18"/>
      <c r="E329" s="159"/>
      <c r="F329" s="199">
        <f>F314-'дод. 3'!E254</f>
        <v>0</v>
      </c>
      <c r="G329" s="199">
        <f>G314-'дод. 3'!F254</f>
        <v>0</v>
      </c>
      <c r="H329" s="199">
        <f>H314-'дод. 3'!G254</f>
        <v>0</v>
      </c>
      <c r="I329" s="199">
        <f>I314-'дод. 3'!H254</f>
        <v>0</v>
      </c>
      <c r="J329" s="199">
        <f>J314-'дод. 3'!I254</f>
        <v>0</v>
      </c>
      <c r="K329" s="199">
        <f>K314-'дод. 3'!J254</f>
        <v>0</v>
      </c>
      <c r="L329" s="199">
        <f>L314-'дод. 3'!K254</f>
        <v>0</v>
      </c>
      <c r="M329" s="199">
        <f>M314-'дод. 3'!L254</f>
        <v>0</v>
      </c>
      <c r="N329" s="199">
        <f>N314-'дод. 3'!M254</f>
        <v>0</v>
      </c>
      <c r="O329" s="199">
        <f>O314-'дод. 3'!N254</f>
        <v>0</v>
      </c>
      <c r="P329" s="199">
        <f>P314-'дод. 3'!O254</f>
        <v>0</v>
      </c>
      <c r="Q329" s="199">
        <f>Q314-'дод. 3'!P254</f>
        <v>0</v>
      </c>
      <c r="R329" s="188"/>
      <c r="S329" s="188"/>
      <c r="T329" s="188"/>
      <c r="U329" s="188"/>
      <c r="V329" s="188"/>
      <c r="W329" s="188"/>
      <c r="X329" s="188"/>
      <c r="Y329" s="188"/>
      <c r="Z329" s="188"/>
      <c r="AA329" s="188"/>
      <c r="AB329" s="188"/>
      <c r="AC329" s="188"/>
      <c r="AD329" s="188"/>
      <c r="AE329" s="188"/>
    </row>
    <row r="330" spans="1:31" s="189" customFormat="1" ht="26.25" customHeight="1">
      <c r="A330" s="7"/>
      <c r="B330" s="18"/>
      <c r="C330" s="18"/>
      <c r="D330" s="18"/>
      <c r="E330" s="159"/>
      <c r="F330" s="1"/>
      <c r="G330" s="1"/>
      <c r="H330" s="1"/>
      <c r="I330" s="1"/>
      <c r="J330" s="1"/>
      <c r="K330" s="1"/>
      <c r="L330" s="1"/>
      <c r="M330" s="1"/>
      <c r="N330" s="1"/>
      <c r="O330" s="1"/>
      <c r="P330" s="1"/>
      <c r="Q330" s="1"/>
      <c r="R330" s="188"/>
      <c r="S330" s="188"/>
      <c r="T330" s="188"/>
      <c r="U330" s="188"/>
      <c r="V330" s="188"/>
      <c r="W330" s="188"/>
      <c r="X330" s="188"/>
      <c r="Y330" s="188"/>
      <c r="Z330" s="188"/>
      <c r="AA330" s="188"/>
      <c r="AB330" s="188"/>
      <c r="AC330" s="188"/>
      <c r="AD330" s="188"/>
      <c r="AE330" s="188"/>
    </row>
    <row r="331" spans="1:31" s="189" customFormat="1" ht="26.25" customHeight="1">
      <c r="A331" s="7"/>
      <c r="B331" s="18"/>
      <c r="C331" s="18"/>
      <c r="D331" s="18"/>
      <c r="E331" s="159"/>
      <c r="F331" s="1"/>
      <c r="G331" s="1"/>
      <c r="H331" s="1"/>
      <c r="I331" s="1"/>
      <c r="J331" s="1"/>
      <c r="K331" s="1"/>
      <c r="L331" s="1"/>
      <c r="M331" s="1"/>
      <c r="N331" s="1"/>
      <c r="O331" s="1"/>
      <c r="P331" s="1"/>
      <c r="Q331" s="1"/>
      <c r="R331" s="188"/>
      <c r="S331" s="188"/>
      <c r="T331" s="188"/>
      <c r="U331" s="188"/>
      <c r="V331" s="188"/>
      <c r="W331" s="188"/>
      <c r="X331" s="188"/>
      <c r="Y331" s="188"/>
      <c r="Z331" s="188"/>
      <c r="AA331" s="188"/>
      <c r="AB331" s="188"/>
      <c r="AC331" s="188"/>
      <c r="AD331" s="188"/>
      <c r="AE331" s="188"/>
    </row>
    <row r="332" spans="1:31" s="189" customFormat="1" ht="26.25" customHeight="1">
      <c r="A332" s="7"/>
      <c r="B332" s="18"/>
      <c r="C332" s="18"/>
      <c r="D332" s="18"/>
      <c r="E332" s="159"/>
      <c r="F332" s="1"/>
      <c r="G332" s="1"/>
      <c r="H332" s="1"/>
      <c r="I332" s="1"/>
      <c r="J332" s="1"/>
      <c r="K332" s="1"/>
      <c r="L332" s="1"/>
      <c r="M332" s="1"/>
      <c r="N332" s="1"/>
      <c r="O332" s="1"/>
      <c r="P332" s="1"/>
      <c r="Q332" s="1"/>
      <c r="R332" s="188"/>
      <c r="S332" s="188"/>
      <c r="T332" s="188"/>
      <c r="U332" s="188"/>
      <c r="V332" s="188"/>
      <c r="W332" s="188"/>
      <c r="X332" s="188"/>
      <c r="Y332" s="188"/>
      <c r="Z332" s="188"/>
      <c r="AA332" s="188"/>
      <c r="AB332" s="188"/>
      <c r="AC332" s="188"/>
      <c r="AD332" s="188"/>
      <c r="AE332" s="188"/>
    </row>
    <row r="333" spans="1:31" s="189" customFormat="1" ht="26.25" customHeight="1">
      <c r="A333" s="7"/>
      <c r="B333" s="18"/>
      <c r="C333" s="18"/>
      <c r="D333" s="18"/>
      <c r="E333" s="159"/>
      <c r="F333" s="1"/>
      <c r="G333" s="1"/>
      <c r="H333" s="1"/>
      <c r="I333" s="1"/>
      <c r="J333" s="1"/>
      <c r="K333" s="1"/>
      <c r="L333" s="1"/>
      <c r="M333" s="1"/>
      <c r="N333" s="1"/>
      <c r="O333" s="1"/>
      <c r="P333" s="1"/>
      <c r="Q333" s="1"/>
      <c r="R333" s="188"/>
      <c r="S333" s="188"/>
      <c r="T333" s="188"/>
      <c r="U333" s="188"/>
      <c r="V333" s="188"/>
      <c r="W333" s="188"/>
      <c r="X333" s="188"/>
      <c r="Y333" s="188"/>
      <c r="Z333" s="188"/>
      <c r="AA333" s="188"/>
      <c r="AB333" s="188"/>
      <c r="AC333" s="188"/>
      <c r="AD333" s="188"/>
      <c r="AE333" s="188"/>
    </row>
    <row r="334" spans="1:31" s="189" customFormat="1" ht="15">
      <c r="A334" s="7"/>
      <c r="B334" s="18"/>
      <c r="C334" s="18"/>
      <c r="D334" s="18"/>
      <c r="E334" s="159"/>
      <c r="F334" s="1"/>
      <c r="G334" s="1"/>
      <c r="H334" s="1"/>
      <c r="I334" s="1"/>
      <c r="J334" s="1"/>
      <c r="K334" s="1"/>
      <c r="L334" s="1"/>
      <c r="M334" s="1"/>
      <c r="N334" s="1"/>
      <c r="O334" s="1"/>
      <c r="P334" s="1"/>
      <c r="Q334" s="1"/>
      <c r="R334" s="188"/>
      <c r="S334" s="188"/>
      <c r="T334" s="188"/>
      <c r="U334" s="188"/>
      <c r="V334" s="188"/>
      <c r="W334" s="188"/>
      <c r="X334" s="188"/>
      <c r="Y334" s="188"/>
      <c r="Z334" s="188"/>
      <c r="AA334" s="188"/>
      <c r="AB334" s="188"/>
      <c r="AC334" s="188"/>
      <c r="AD334" s="188"/>
      <c r="AE334" s="188"/>
    </row>
    <row r="335" spans="1:31" s="189" customFormat="1" ht="15">
      <c r="A335" s="7"/>
      <c r="B335" s="18"/>
      <c r="C335" s="18"/>
      <c r="D335" s="18"/>
      <c r="E335" s="159"/>
      <c r="F335" s="1"/>
      <c r="G335" s="1"/>
      <c r="H335" s="1"/>
      <c r="I335" s="1"/>
      <c r="J335" s="1"/>
      <c r="K335" s="1"/>
      <c r="L335" s="1"/>
      <c r="M335" s="1"/>
      <c r="N335" s="1"/>
      <c r="O335" s="1"/>
      <c r="P335" s="1"/>
      <c r="Q335" s="1"/>
      <c r="R335" s="188"/>
      <c r="S335" s="188"/>
      <c r="T335" s="188"/>
      <c r="U335" s="188"/>
      <c r="V335" s="188"/>
      <c r="W335" s="188"/>
      <c r="X335" s="188"/>
      <c r="Y335" s="188"/>
      <c r="Z335" s="188"/>
      <c r="AA335" s="188"/>
      <c r="AB335" s="188"/>
      <c r="AC335" s="188"/>
      <c r="AD335" s="188"/>
      <c r="AE335" s="188"/>
    </row>
    <row r="336" spans="1:31" s="189" customFormat="1" ht="15">
      <c r="A336" s="7"/>
      <c r="B336" s="18"/>
      <c r="C336" s="18"/>
      <c r="D336" s="18"/>
      <c r="E336" s="159"/>
      <c r="F336" s="1"/>
      <c r="G336" s="1"/>
      <c r="H336" s="1"/>
      <c r="I336" s="1"/>
      <c r="J336" s="1"/>
      <c r="K336" s="1"/>
      <c r="L336" s="1"/>
      <c r="M336" s="1"/>
      <c r="N336" s="1"/>
      <c r="O336" s="1"/>
      <c r="P336" s="1"/>
      <c r="Q336" s="1"/>
      <c r="R336" s="188"/>
      <c r="S336" s="188"/>
      <c r="T336" s="188"/>
      <c r="U336" s="188"/>
      <c r="V336" s="188"/>
      <c r="W336" s="188"/>
      <c r="X336" s="188"/>
      <c r="Y336" s="188"/>
      <c r="Z336" s="188"/>
      <c r="AA336" s="188"/>
      <c r="AB336" s="188"/>
      <c r="AC336" s="188"/>
      <c r="AD336" s="188"/>
      <c r="AE336" s="188"/>
    </row>
    <row r="337" spans="1:31" s="189" customFormat="1" ht="15">
      <c r="A337" s="7"/>
      <c r="B337" s="18"/>
      <c r="C337" s="18"/>
      <c r="D337" s="18"/>
      <c r="E337" s="159"/>
      <c r="F337" s="1"/>
      <c r="G337" s="1"/>
      <c r="H337" s="1"/>
      <c r="I337" s="1"/>
      <c r="J337" s="1"/>
      <c r="K337" s="1"/>
      <c r="L337" s="1"/>
      <c r="M337" s="1"/>
      <c r="N337" s="1"/>
      <c r="O337" s="1"/>
      <c r="P337" s="1"/>
      <c r="Q337" s="1"/>
      <c r="R337" s="188"/>
      <c r="S337" s="188"/>
      <c r="T337" s="188"/>
      <c r="U337" s="188"/>
      <c r="V337" s="188"/>
      <c r="W337" s="188"/>
      <c r="X337" s="188"/>
      <c r="Y337" s="188"/>
      <c r="Z337" s="188"/>
      <c r="AA337" s="188"/>
      <c r="AB337" s="188"/>
      <c r="AC337" s="188"/>
      <c r="AD337" s="188"/>
      <c r="AE337" s="188"/>
    </row>
    <row r="338" spans="1:31" s="189" customFormat="1" ht="15">
      <c r="A338" s="7"/>
      <c r="B338" s="18"/>
      <c r="C338" s="18"/>
      <c r="D338" s="18"/>
      <c r="E338" s="159"/>
      <c r="F338" s="1"/>
      <c r="G338" s="1"/>
      <c r="H338" s="1"/>
      <c r="I338" s="1"/>
      <c r="J338" s="1"/>
      <c r="K338" s="1"/>
      <c r="L338" s="1"/>
      <c r="M338" s="1"/>
      <c r="N338" s="1"/>
      <c r="O338" s="1"/>
      <c r="P338" s="1"/>
      <c r="Q338" s="1"/>
      <c r="R338" s="188"/>
      <c r="S338" s="188"/>
      <c r="T338" s="188"/>
      <c r="U338" s="188"/>
      <c r="V338" s="188"/>
      <c r="W338" s="188"/>
      <c r="X338" s="188"/>
      <c r="Y338" s="188"/>
      <c r="Z338" s="188"/>
      <c r="AA338" s="188"/>
      <c r="AB338" s="188"/>
      <c r="AC338" s="188"/>
      <c r="AD338" s="188"/>
      <c r="AE338" s="188"/>
    </row>
    <row r="339" spans="1:31" s="189" customFormat="1" ht="15">
      <c r="A339" s="7"/>
      <c r="B339" s="18"/>
      <c r="C339" s="18"/>
      <c r="D339" s="18"/>
      <c r="E339" s="159"/>
      <c r="F339" s="1"/>
      <c r="G339" s="1"/>
      <c r="H339" s="1"/>
      <c r="I339" s="1"/>
      <c r="J339" s="1"/>
      <c r="K339" s="1"/>
      <c r="L339" s="1"/>
      <c r="M339" s="1"/>
      <c r="N339" s="1"/>
      <c r="O339" s="1"/>
      <c r="P339" s="1"/>
      <c r="Q339" s="1"/>
      <c r="R339" s="188"/>
      <c r="S339" s="188"/>
      <c r="T339" s="188"/>
      <c r="U339" s="188"/>
      <c r="V339" s="188"/>
      <c r="W339" s="188"/>
      <c r="X339" s="188"/>
      <c r="Y339" s="188"/>
      <c r="Z339" s="188"/>
      <c r="AA339" s="188"/>
      <c r="AB339" s="188"/>
      <c r="AC339" s="188"/>
      <c r="AD339" s="188"/>
      <c r="AE339" s="188"/>
    </row>
    <row r="340" spans="1:31" s="189" customFormat="1" ht="15">
      <c r="A340" s="7"/>
      <c r="B340" s="18"/>
      <c r="C340" s="18"/>
      <c r="D340" s="18"/>
      <c r="E340" s="159"/>
      <c r="F340" s="1"/>
      <c r="G340" s="1"/>
      <c r="H340" s="1"/>
      <c r="I340" s="1"/>
      <c r="J340" s="1"/>
      <c r="K340" s="1"/>
      <c r="L340" s="1"/>
      <c r="M340" s="1"/>
      <c r="N340" s="1"/>
      <c r="O340" s="1"/>
      <c r="P340" s="1"/>
      <c r="Q340" s="1"/>
      <c r="R340" s="188"/>
      <c r="S340" s="188"/>
      <c r="T340" s="188"/>
      <c r="U340" s="188"/>
      <c r="V340" s="188"/>
      <c r="W340" s="188"/>
      <c r="X340" s="188"/>
      <c r="Y340" s="188"/>
      <c r="Z340" s="188"/>
      <c r="AA340" s="188"/>
      <c r="AB340" s="188"/>
      <c r="AC340" s="188"/>
      <c r="AD340" s="188"/>
      <c r="AE340" s="188"/>
    </row>
    <row r="341" spans="1:31" s="189" customFormat="1" ht="15">
      <c r="A341" s="7"/>
      <c r="B341" s="18"/>
      <c r="C341" s="18"/>
      <c r="D341" s="18"/>
      <c r="E341" s="159"/>
      <c r="F341" s="1"/>
      <c r="G341" s="1"/>
      <c r="H341" s="1"/>
      <c r="I341" s="1"/>
      <c r="J341" s="1"/>
      <c r="K341" s="1"/>
      <c r="L341" s="1"/>
      <c r="M341" s="1"/>
      <c r="N341" s="1"/>
      <c r="O341" s="1"/>
      <c r="P341" s="1"/>
      <c r="Q341" s="1"/>
      <c r="R341" s="188"/>
      <c r="S341" s="188"/>
      <c r="T341" s="188"/>
      <c r="U341" s="188"/>
      <c r="V341" s="188"/>
      <c r="W341" s="188"/>
      <c r="X341" s="188"/>
      <c r="Y341" s="188"/>
      <c r="Z341" s="188"/>
      <c r="AA341" s="188"/>
      <c r="AB341" s="188"/>
      <c r="AC341" s="188"/>
      <c r="AD341" s="188"/>
      <c r="AE341" s="188"/>
    </row>
    <row r="342" spans="1:31" s="189" customFormat="1" ht="15">
      <c r="A342" s="7"/>
      <c r="B342" s="18"/>
      <c r="C342" s="18"/>
      <c r="D342" s="18"/>
      <c r="E342" s="159"/>
      <c r="F342" s="1"/>
      <c r="G342" s="1"/>
      <c r="H342" s="1"/>
      <c r="I342" s="1"/>
      <c r="J342" s="1"/>
      <c r="K342" s="1"/>
      <c r="L342" s="1"/>
      <c r="M342" s="1"/>
      <c r="N342" s="1"/>
      <c r="O342" s="1"/>
      <c r="P342" s="1"/>
      <c r="Q342" s="1"/>
      <c r="R342" s="188"/>
      <c r="S342" s="188"/>
      <c r="T342" s="188"/>
      <c r="U342" s="188"/>
      <c r="V342" s="188"/>
      <c r="W342" s="188"/>
      <c r="X342" s="188"/>
      <c r="Y342" s="188"/>
      <c r="Z342" s="188"/>
      <c r="AA342" s="188"/>
      <c r="AB342" s="188"/>
      <c r="AC342" s="188"/>
      <c r="AD342" s="188"/>
      <c r="AE342" s="188"/>
    </row>
    <row r="343" spans="1:31" s="189" customFormat="1" ht="15">
      <c r="A343" s="7"/>
      <c r="B343" s="18"/>
      <c r="C343" s="18"/>
      <c r="D343" s="18"/>
      <c r="E343" s="159"/>
      <c r="F343" s="1"/>
      <c r="G343" s="1"/>
      <c r="H343" s="1"/>
      <c r="I343" s="1"/>
      <c r="J343" s="1"/>
      <c r="K343" s="1"/>
      <c r="L343" s="1"/>
      <c r="M343" s="1"/>
      <c r="N343" s="1"/>
      <c r="O343" s="1"/>
      <c r="P343" s="1"/>
      <c r="Q343" s="1"/>
      <c r="R343" s="188"/>
      <c r="S343" s="188"/>
      <c r="T343" s="188"/>
      <c r="U343" s="188"/>
      <c r="V343" s="188"/>
      <c r="W343" s="188"/>
      <c r="X343" s="188"/>
      <c r="Y343" s="188"/>
      <c r="Z343" s="188"/>
      <c r="AA343" s="188"/>
      <c r="AB343" s="188"/>
      <c r="AC343" s="188"/>
      <c r="AD343" s="188"/>
      <c r="AE343" s="188"/>
    </row>
    <row r="344" spans="1:31" s="189" customFormat="1" ht="15">
      <c r="A344" s="7"/>
      <c r="B344" s="18"/>
      <c r="C344" s="18"/>
      <c r="D344" s="18"/>
      <c r="E344" s="159"/>
      <c r="F344" s="1"/>
      <c r="G344" s="1"/>
      <c r="H344" s="1"/>
      <c r="I344" s="1"/>
      <c r="J344" s="1"/>
      <c r="K344" s="1"/>
      <c r="L344" s="1"/>
      <c r="M344" s="1"/>
      <c r="N344" s="1"/>
      <c r="O344" s="1"/>
      <c r="P344" s="1"/>
      <c r="Q344" s="1"/>
      <c r="R344" s="188"/>
      <c r="S344" s="188"/>
      <c r="T344" s="188"/>
      <c r="U344" s="188"/>
      <c r="V344" s="188"/>
      <c r="W344" s="188"/>
      <c r="X344" s="188"/>
      <c r="Y344" s="188"/>
      <c r="Z344" s="188"/>
      <c r="AA344" s="188"/>
      <c r="AB344" s="188"/>
      <c r="AC344" s="188"/>
      <c r="AD344" s="188"/>
      <c r="AE344" s="188"/>
    </row>
    <row r="345" spans="1:31" s="189" customFormat="1" ht="15">
      <c r="A345" s="7"/>
      <c r="B345" s="18"/>
      <c r="C345" s="18"/>
      <c r="D345" s="18"/>
      <c r="E345" s="159"/>
      <c r="F345" s="1"/>
      <c r="G345" s="1"/>
      <c r="H345" s="1"/>
      <c r="I345" s="1"/>
      <c r="J345" s="1"/>
      <c r="K345" s="1"/>
      <c r="L345" s="1"/>
      <c r="M345" s="1"/>
      <c r="N345" s="1"/>
      <c r="O345" s="1"/>
      <c r="P345" s="1"/>
      <c r="Q345" s="1"/>
      <c r="R345" s="188"/>
      <c r="S345" s="188"/>
      <c r="T345" s="188"/>
      <c r="U345" s="188"/>
      <c r="V345" s="188"/>
      <c r="W345" s="188"/>
      <c r="X345" s="188"/>
      <c r="Y345" s="188"/>
      <c r="Z345" s="188"/>
      <c r="AA345" s="188"/>
      <c r="AB345" s="188"/>
      <c r="AC345" s="188"/>
      <c r="AD345" s="188"/>
      <c r="AE345" s="188"/>
    </row>
    <row r="346" spans="1:31" s="189" customFormat="1" ht="15">
      <c r="A346" s="7"/>
      <c r="B346" s="18"/>
      <c r="C346" s="18"/>
      <c r="D346" s="18"/>
      <c r="E346" s="159"/>
      <c r="F346" s="1"/>
      <c r="G346" s="1"/>
      <c r="H346" s="1"/>
      <c r="I346" s="1"/>
      <c r="J346" s="1"/>
      <c r="K346" s="1"/>
      <c r="L346" s="1"/>
      <c r="M346" s="1"/>
      <c r="N346" s="1"/>
      <c r="O346" s="1"/>
      <c r="P346" s="1"/>
      <c r="Q346" s="1"/>
      <c r="R346" s="188"/>
      <c r="S346" s="188"/>
      <c r="T346" s="188"/>
      <c r="U346" s="188"/>
      <c r="V346" s="188"/>
      <c r="W346" s="188"/>
      <c r="X346" s="188"/>
      <c r="Y346" s="188"/>
      <c r="Z346" s="188"/>
      <c r="AA346" s="188"/>
      <c r="AB346" s="188"/>
      <c r="AC346" s="188"/>
      <c r="AD346" s="188"/>
      <c r="AE346" s="188"/>
    </row>
    <row r="347" spans="1:31" s="189" customFormat="1" ht="15">
      <c r="A347" s="7"/>
      <c r="B347" s="18"/>
      <c r="C347" s="18"/>
      <c r="D347" s="18"/>
      <c r="E347" s="159"/>
      <c r="F347" s="1"/>
      <c r="G347" s="1"/>
      <c r="H347" s="1"/>
      <c r="I347" s="1"/>
      <c r="J347" s="1"/>
      <c r="K347" s="1"/>
      <c r="L347" s="1"/>
      <c r="M347" s="1"/>
      <c r="N347" s="1"/>
      <c r="O347" s="1"/>
      <c r="P347" s="1"/>
      <c r="Q347" s="1"/>
      <c r="R347" s="188"/>
      <c r="S347" s="188"/>
      <c r="T347" s="188"/>
      <c r="U347" s="188"/>
      <c r="V347" s="188"/>
      <c r="W347" s="188"/>
      <c r="X347" s="188"/>
      <c r="Y347" s="188"/>
      <c r="Z347" s="188"/>
      <c r="AA347" s="188"/>
      <c r="AB347" s="188"/>
      <c r="AC347" s="188"/>
      <c r="AD347" s="188"/>
      <c r="AE347" s="188"/>
    </row>
    <row r="348" spans="1:31" s="189" customFormat="1" ht="15">
      <c r="A348" s="7"/>
      <c r="B348" s="18"/>
      <c r="C348" s="18"/>
      <c r="D348" s="18"/>
      <c r="E348" s="159"/>
      <c r="F348" s="1"/>
      <c r="G348" s="1"/>
      <c r="H348" s="1"/>
      <c r="I348" s="1"/>
      <c r="J348" s="1"/>
      <c r="K348" s="1"/>
      <c r="L348" s="1"/>
      <c r="M348" s="1"/>
      <c r="N348" s="1"/>
      <c r="O348" s="1"/>
      <c r="P348" s="1"/>
      <c r="Q348" s="1"/>
      <c r="R348" s="188"/>
      <c r="S348" s="188"/>
      <c r="T348" s="188"/>
      <c r="U348" s="188"/>
      <c r="V348" s="188"/>
      <c r="W348" s="188"/>
      <c r="X348" s="188"/>
      <c r="Y348" s="188"/>
      <c r="Z348" s="188"/>
      <c r="AA348" s="188"/>
      <c r="AB348" s="188"/>
      <c r="AC348" s="188"/>
      <c r="AD348" s="188"/>
      <c r="AE348" s="188"/>
    </row>
    <row r="349" spans="1:31" s="189" customFormat="1" ht="15">
      <c r="A349" s="7"/>
      <c r="B349" s="18"/>
      <c r="C349" s="18"/>
      <c r="D349" s="18"/>
      <c r="E349" s="159"/>
      <c r="F349" s="1"/>
      <c r="G349" s="1"/>
      <c r="H349" s="1"/>
      <c r="I349" s="1"/>
      <c r="J349" s="1"/>
      <c r="K349" s="1"/>
      <c r="L349" s="1"/>
      <c r="M349" s="1"/>
      <c r="N349" s="1"/>
      <c r="O349" s="1"/>
      <c r="P349" s="1"/>
      <c r="Q349" s="1"/>
      <c r="R349" s="188"/>
      <c r="S349" s="188"/>
      <c r="T349" s="188"/>
      <c r="U349" s="188"/>
      <c r="V349" s="188"/>
      <c r="W349" s="188"/>
      <c r="X349" s="188"/>
      <c r="Y349" s="188"/>
      <c r="Z349" s="188"/>
      <c r="AA349" s="188"/>
      <c r="AB349" s="188"/>
      <c r="AC349" s="188"/>
      <c r="AD349" s="188"/>
      <c r="AE349" s="188"/>
    </row>
    <row r="350" spans="1:31" s="189" customFormat="1" ht="15">
      <c r="A350" s="7"/>
      <c r="B350" s="18"/>
      <c r="C350" s="18"/>
      <c r="D350" s="18"/>
      <c r="E350" s="159"/>
      <c r="F350" s="1"/>
      <c r="G350" s="1"/>
      <c r="H350" s="1"/>
      <c r="I350" s="1"/>
      <c r="J350" s="1"/>
      <c r="K350" s="1"/>
      <c r="L350" s="1"/>
      <c r="M350" s="1"/>
      <c r="N350" s="1"/>
      <c r="O350" s="1"/>
      <c r="P350" s="1"/>
      <c r="Q350" s="1"/>
      <c r="R350" s="188"/>
      <c r="S350" s="188"/>
      <c r="T350" s="188"/>
      <c r="U350" s="188"/>
      <c r="V350" s="188"/>
      <c r="W350" s="188"/>
      <c r="X350" s="188"/>
      <c r="Y350" s="188"/>
      <c r="Z350" s="188"/>
      <c r="AA350" s="188"/>
      <c r="AB350" s="188"/>
      <c r="AC350" s="188"/>
      <c r="AD350" s="188"/>
      <c r="AE350" s="188"/>
    </row>
    <row r="351" spans="1:31" s="189" customFormat="1" ht="15">
      <c r="A351" s="7"/>
      <c r="B351" s="18"/>
      <c r="C351" s="18"/>
      <c r="D351" s="18"/>
      <c r="E351" s="159"/>
      <c r="F351" s="1"/>
      <c r="G351" s="1"/>
      <c r="H351" s="1"/>
      <c r="I351" s="1"/>
      <c r="J351" s="1"/>
      <c r="K351" s="1"/>
      <c r="L351" s="1"/>
      <c r="M351" s="1"/>
      <c r="N351" s="1"/>
      <c r="O351" s="1"/>
      <c r="P351" s="1"/>
      <c r="Q351" s="1"/>
      <c r="R351" s="188"/>
      <c r="S351" s="188"/>
      <c r="T351" s="188"/>
      <c r="U351" s="188"/>
      <c r="V351" s="188"/>
      <c r="W351" s="188"/>
      <c r="X351" s="188"/>
      <c r="Y351" s="188"/>
      <c r="Z351" s="188"/>
      <c r="AA351" s="188"/>
      <c r="AB351" s="188"/>
      <c r="AC351" s="188"/>
      <c r="AD351" s="188"/>
      <c r="AE351" s="188"/>
    </row>
    <row r="352" spans="1:31" s="189" customFormat="1" ht="15">
      <c r="A352" s="7"/>
      <c r="B352" s="18"/>
      <c r="C352" s="18"/>
      <c r="D352" s="18"/>
      <c r="E352" s="159"/>
      <c r="F352" s="1"/>
      <c r="G352" s="1"/>
      <c r="H352" s="1"/>
      <c r="I352" s="1"/>
      <c r="J352" s="1"/>
      <c r="K352" s="1"/>
      <c r="L352" s="1"/>
      <c r="M352" s="1"/>
      <c r="N352" s="1"/>
      <c r="O352" s="1"/>
      <c r="P352" s="1"/>
      <c r="Q352" s="1"/>
      <c r="R352" s="188"/>
      <c r="S352" s="188"/>
      <c r="T352" s="188"/>
      <c r="U352" s="188"/>
      <c r="V352" s="188"/>
      <c r="W352" s="188"/>
      <c r="X352" s="188"/>
      <c r="Y352" s="188"/>
      <c r="Z352" s="188"/>
      <c r="AA352" s="188"/>
      <c r="AB352" s="188"/>
      <c r="AC352" s="188"/>
      <c r="AD352" s="188"/>
      <c r="AE352" s="188"/>
    </row>
    <row r="353" spans="1:31" s="189" customFormat="1" ht="15">
      <c r="A353" s="7"/>
      <c r="B353" s="18"/>
      <c r="C353" s="18"/>
      <c r="D353" s="18"/>
      <c r="E353" s="159"/>
      <c r="F353" s="1"/>
      <c r="G353" s="1"/>
      <c r="H353" s="1"/>
      <c r="I353" s="1"/>
      <c r="J353" s="1"/>
      <c r="K353" s="1"/>
      <c r="L353" s="1"/>
      <c r="M353" s="1"/>
      <c r="N353" s="1"/>
      <c r="O353" s="1"/>
      <c r="P353" s="1"/>
      <c r="Q353" s="1"/>
      <c r="R353" s="188"/>
      <c r="S353" s="188"/>
      <c r="T353" s="188"/>
      <c r="U353" s="188"/>
      <c r="V353" s="188"/>
      <c r="W353" s="188"/>
      <c r="X353" s="188"/>
      <c r="Y353" s="188"/>
      <c r="Z353" s="188"/>
      <c r="AA353" s="188"/>
      <c r="AB353" s="188"/>
      <c r="AC353" s="188"/>
      <c r="AD353" s="188"/>
      <c r="AE353" s="188"/>
    </row>
    <row r="354" spans="1:31" s="189" customFormat="1" ht="15">
      <c r="A354" s="7"/>
      <c r="B354" s="18"/>
      <c r="C354" s="18"/>
      <c r="D354" s="18"/>
      <c r="E354" s="159"/>
      <c r="F354" s="1"/>
      <c r="G354" s="1"/>
      <c r="H354" s="1"/>
      <c r="I354" s="1"/>
      <c r="J354" s="1"/>
      <c r="K354" s="1"/>
      <c r="L354" s="1"/>
      <c r="M354" s="1"/>
      <c r="N354" s="1"/>
      <c r="O354" s="1"/>
      <c r="P354" s="1"/>
      <c r="Q354" s="1"/>
      <c r="R354" s="188"/>
      <c r="S354" s="188"/>
      <c r="T354" s="188"/>
      <c r="U354" s="188"/>
      <c r="V354" s="188"/>
      <c r="W354" s="188"/>
      <c r="X354" s="188"/>
      <c r="Y354" s="188"/>
      <c r="Z354" s="188"/>
      <c r="AA354" s="188"/>
      <c r="AB354" s="188"/>
      <c r="AC354" s="188"/>
      <c r="AD354" s="188"/>
      <c r="AE354" s="188"/>
    </row>
    <row r="355" spans="1:31" s="189" customFormat="1" ht="15">
      <c r="A355" s="7"/>
      <c r="B355" s="18"/>
      <c r="C355" s="18"/>
      <c r="D355" s="18"/>
      <c r="E355" s="159"/>
      <c r="F355" s="1"/>
      <c r="G355" s="1"/>
      <c r="H355" s="1"/>
      <c r="I355" s="1"/>
      <c r="J355" s="1"/>
      <c r="K355" s="1"/>
      <c r="L355" s="1"/>
      <c r="M355" s="1"/>
      <c r="N355" s="1"/>
      <c r="O355" s="1"/>
      <c r="P355" s="1"/>
      <c r="Q355" s="1"/>
      <c r="R355" s="188"/>
      <c r="S355" s="188"/>
      <c r="T355" s="188"/>
      <c r="U355" s="188"/>
      <c r="V355" s="188"/>
      <c r="W355" s="188"/>
      <c r="X355" s="188"/>
      <c r="Y355" s="188"/>
      <c r="Z355" s="188"/>
      <c r="AA355" s="188"/>
      <c r="AB355" s="188"/>
      <c r="AC355" s="188"/>
      <c r="AD355" s="188"/>
      <c r="AE355" s="188"/>
    </row>
    <row r="356" spans="1:31" s="189" customFormat="1" ht="15">
      <c r="A356" s="7"/>
      <c r="B356" s="18"/>
      <c r="C356" s="18"/>
      <c r="D356" s="18"/>
      <c r="E356" s="159"/>
      <c r="F356" s="1"/>
      <c r="G356" s="1"/>
      <c r="H356" s="1"/>
      <c r="I356" s="1"/>
      <c r="J356" s="1"/>
      <c r="K356" s="1"/>
      <c r="L356" s="1"/>
      <c r="M356" s="1"/>
      <c r="N356" s="1"/>
      <c r="O356" s="1"/>
      <c r="P356" s="1"/>
      <c r="Q356" s="1"/>
      <c r="R356" s="188"/>
      <c r="S356" s="188"/>
      <c r="T356" s="188"/>
      <c r="U356" s="188"/>
      <c r="V356" s="188"/>
      <c r="W356" s="188"/>
      <c r="X356" s="188"/>
      <c r="Y356" s="188"/>
      <c r="Z356" s="188"/>
      <c r="AA356" s="188"/>
      <c r="AB356" s="188"/>
      <c r="AC356" s="188"/>
      <c r="AD356" s="188"/>
      <c r="AE356" s="188"/>
    </row>
    <row r="357" spans="3:11" ht="15">
      <c r="C357" s="40"/>
      <c r="K357" s="1"/>
    </row>
    <row r="358" spans="3:11" ht="15">
      <c r="C358" s="40"/>
      <c r="K358" s="1"/>
    </row>
    <row r="359" spans="3:11" ht="15">
      <c r="C359" s="40"/>
      <c r="K359" s="1"/>
    </row>
    <row r="360" spans="3:11" ht="15">
      <c r="C360" s="40"/>
      <c r="K360" s="1"/>
    </row>
    <row r="361" spans="3:11" ht="15">
      <c r="C361" s="40"/>
      <c r="K361" s="1"/>
    </row>
    <row r="362" spans="3:11" ht="15">
      <c r="C362" s="40"/>
      <c r="K362" s="1"/>
    </row>
    <row r="363" spans="3:11" ht="15">
      <c r="C363" s="40"/>
      <c r="K363" s="1"/>
    </row>
    <row r="364" spans="3:11" ht="15">
      <c r="C364" s="40"/>
      <c r="K364" s="1"/>
    </row>
    <row r="365" spans="3:11" ht="15">
      <c r="C365" s="40"/>
      <c r="K365" s="1"/>
    </row>
    <row r="366" spans="3:11" ht="15">
      <c r="C366" s="40"/>
      <c r="K366" s="1"/>
    </row>
    <row r="367" spans="3:11" ht="15">
      <c r="C367" s="40"/>
      <c r="K367" s="1"/>
    </row>
    <row r="368" spans="3:11" ht="15">
      <c r="C368" s="40"/>
      <c r="K368" s="1"/>
    </row>
    <row r="369" spans="3:11" ht="15">
      <c r="C369" s="40"/>
      <c r="K369" s="1"/>
    </row>
    <row r="370" spans="3:11" ht="15">
      <c r="C370" s="40"/>
      <c r="K370" s="1"/>
    </row>
    <row r="371" spans="3:11" ht="15">
      <c r="C371" s="40"/>
      <c r="K371" s="1"/>
    </row>
    <row r="372" spans="3:11" ht="15">
      <c r="C372" s="40"/>
      <c r="K372" s="1"/>
    </row>
    <row r="373" spans="3:11" ht="15">
      <c r="C373" s="40"/>
      <c r="K373" s="1"/>
    </row>
    <row r="374" spans="3:11" ht="15">
      <c r="C374" s="40"/>
      <c r="K374" s="1"/>
    </row>
    <row r="375" spans="3:11" ht="15">
      <c r="C375" s="40"/>
      <c r="K375" s="1"/>
    </row>
    <row r="376" spans="3:11" ht="15">
      <c r="C376" s="40"/>
      <c r="K376" s="1"/>
    </row>
    <row r="377" spans="3:11" ht="15">
      <c r="C377" s="40"/>
      <c r="K377" s="1"/>
    </row>
    <row r="378" spans="3:11" ht="15">
      <c r="C378" s="40"/>
      <c r="K378" s="1"/>
    </row>
    <row r="379" spans="3:11" ht="15">
      <c r="C379" s="40"/>
      <c r="K379" s="1"/>
    </row>
    <row r="380" spans="3:11" ht="15">
      <c r="C380" s="40"/>
      <c r="K380" s="1"/>
    </row>
    <row r="381" spans="3:11" ht="15">
      <c r="C381" s="40"/>
      <c r="K381" s="1"/>
    </row>
    <row r="382" spans="3:11" ht="15">
      <c r="C382" s="40"/>
      <c r="K382" s="1"/>
    </row>
    <row r="383" spans="3:11" ht="15">
      <c r="C383" s="40"/>
      <c r="K383" s="1"/>
    </row>
    <row r="384" spans="3:11" ht="15">
      <c r="C384" s="40"/>
      <c r="K384" s="1"/>
    </row>
    <row r="385" spans="3:11" ht="15">
      <c r="C385" s="40"/>
      <c r="K385" s="1"/>
    </row>
    <row r="386" spans="3:11" ht="15">
      <c r="C386" s="40"/>
      <c r="K386" s="1"/>
    </row>
    <row r="387" spans="3:11" ht="15">
      <c r="C387" s="40"/>
      <c r="K387" s="1"/>
    </row>
    <row r="388" spans="3:11" ht="15">
      <c r="C388" s="40"/>
      <c r="K388" s="1"/>
    </row>
    <row r="389" spans="3:11" ht="15">
      <c r="C389" s="40"/>
      <c r="K389" s="1"/>
    </row>
    <row r="390" spans="3:11" ht="15">
      <c r="C390" s="40"/>
      <c r="K390" s="1"/>
    </row>
    <row r="391" spans="3:11" ht="15">
      <c r="C391" s="40"/>
      <c r="K391" s="1"/>
    </row>
    <row r="392" spans="3:11" ht="15">
      <c r="C392" s="40"/>
      <c r="K392" s="1"/>
    </row>
    <row r="393" spans="3:11" ht="15">
      <c r="C393" s="40"/>
      <c r="K393" s="1"/>
    </row>
    <row r="394" spans="3:11" ht="15">
      <c r="C394" s="40"/>
      <c r="K394" s="1"/>
    </row>
    <row r="395" spans="3:11" ht="15">
      <c r="C395" s="40"/>
      <c r="K395" s="1"/>
    </row>
    <row r="396" spans="3:11" ht="15">
      <c r="C396" s="40"/>
      <c r="K396" s="1"/>
    </row>
    <row r="397" spans="3:11" ht="15">
      <c r="C397" s="40"/>
      <c r="K397" s="1"/>
    </row>
    <row r="398" spans="3:11" ht="15">
      <c r="C398" s="40"/>
      <c r="K398" s="1"/>
    </row>
    <row r="399" spans="3:11" ht="15">
      <c r="C399" s="40"/>
      <c r="K399" s="1"/>
    </row>
    <row r="400" spans="3:11" ht="15">
      <c r="C400" s="40"/>
      <c r="K400" s="1"/>
    </row>
    <row r="401" spans="3:11" ht="15">
      <c r="C401" s="40"/>
      <c r="K401" s="1"/>
    </row>
    <row r="402" spans="3:11" ht="15">
      <c r="C402" s="40"/>
      <c r="K402" s="1"/>
    </row>
    <row r="403" spans="3:11" ht="15">
      <c r="C403" s="40"/>
      <c r="K403" s="1"/>
    </row>
    <row r="404" spans="3:11" ht="15">
      <c r="C404" s="40"/>
      <c r="K404" s="1"/>
    </row>
    <row r="405" spans="3:11" ht="15">
      <c r="C405" s="40"/>
      <c r="K405" s="1"/>
    </row>
    <row r="406" spans="3:11" ht="15">
      <c r="C406" s="40"/>
      <c r="K406" s="1"/>
    </row>
    <row r="407" spans="3:11" ht="15">
      <c r="C407" s="40"/>
      <c r="K407" s="1"/>
    </row>
    <row r="408" spans="3:11" ht="15">
      <c r="C408" s="40"/>
      <c r="K408" s="1"/>
    </row>
    <row r="409" spans="3:11" ht="15">
      <c r="C409" s="40"/>
      <c r="K409" s="1"/>
    </row>
    <row r="410" spans="3:11" ht="15">
      <c r="C410" s="40"/>
      <c r="K410" s="1"/>
    </row>
    <row r="411" spans="3:11" ht="15">
      <c r="C411" s="40"/>
      <c r="K411" s="1"/>
    </row>
    <row r="412" spans="3:11" ht="15">
      <c r="C412" s="40"/>
      <c r="K412" s="1"/>
    </row>
    <row r="413" spans="3:11" ht="15">
      <c r="C413" s="40"/>
      <c r="K413" s="1"/>
    </row>
    <row r="414" spans="3:11" ht="15">
      <c r="C414" s="40"/>
      <c r="K414" s="1"/>
    </row>
    <row r="415" spans="3:11" ht="15">
      <c r="C415" s="40"/>
      <c r="K415" s="1"/>
    </row>
    <row r="416" spans="3:11" ht="15">
      <c r="C416" s="40"/>
      <c r="K416" s="1"/>
    </row>
    <row r="417" spans="3:11" ht="15">
      <c r="C417" s="40"/>
      <c r="K417" s="1"/>
    </row>
    <row r="418" spans="3:11" ht="15">
      <c r="C418" s="40"/>
      <c r="K418" s="1"/>
    </row>
    <row r="419" spans="3:11" ht="15">
      <c r="C419" s="40"/>
      <c r="K419" s="1"/>
    </row>
    <row r="420" spans="3:11" ht="15">
      <c r="C420" s="40"/>
      <c r="K420" s="1"/>
    </row>
    <row r="421" spans="3:11" ht="15">
      <c r="C421" s="40"/>
      <c r="K421" s="1"/>
    </row>
    <row r="422" spans="3:11" ht="15">
      <c r="C422" s="40"/>
      <c r="K422" s="1"/>
    </row>
    <row r="423" spans="3:11" ht="15">
      <c r="C423" s="40"/>
      <c r="K423" s="1"/>
    </row>
    <row r="424" spans="3:11" ht="15">
      <c r="C424" s="40"/>
      <c r="K424" s="1"/>
    </row>
    <row r="425" spans="3:11" ht="15">
      <c r="C425" s="40"/>
      <c r="K425" s="1"/>
    </row>
    <row r="426" spans="3:11" ht="15">
      <c r="C426" s="40"/>
      <c r="K426" s="1"/>
    </row>
    <row r="427" spans="3:11" ht="15">
      <c r="C427" s="40"/>
      <c r="K427" s="1"/>
    </row>
    <row r="428" spans="3:11" ht="15">
      <c r="C428" s="40"/>
      <c r="K428" s="1"/>
    </row>
    <row r="429" spans="3:11" ht="15">
      <c r="C429" s="40"/>
      <c r="K429" s="1"/>
    </row>
    <row r="430" spans="3:11" ht="15">
      <c r="C430" s="40"/>
      <c r="K430" s="1"/>
    </row>
    <row r="431" spans="3:11" ht="15">
      <c r="C431" s="40"/>
      <c r="K431" s="1"/>
    </row>
    <row r="432" spans="3:11" ht="15">
      <c r="C432" s="40"/>
      <c r="K432" s="1"/>
    </row>
    <row r="433" spans="3:11" ht="15">
      <c r="C433" s="40"/>
      <c r="K433" s="1"/>
    </row>
    <row r="434" spans="3:11" ht="15">
      <c r="C434" s="40"/>
      <c r="K434" s="1"/>
    </row>
    <row r="435" spans="3:11" ht="15">
      <c r="C435" s="40"/>
      <c r="K435" s="1"/>
    </row>
    <row r="436" spans="3:11" ht="15">
      <c r="C436" s="40"/>
      <c r="K436" s="1"/>
    </row>
    <row r="437" spans="3:11" ht="15">
      <c r="C437" s="40"/>
      <c r="K437" s="1"/>
    </row>
    <row r="438" spans="3:11" ht="15">
      <c r="C438" s="40"/>
      <c r="K438" s="1"/>
    </row>
    <row r="439" spans="3:11" ht="15">
      <c r="C439" s="40"/>
      <c r="K439" s="1"/>
    </row>
    <row r="440" spans="3:11" ht="15">
      <c r="C440" s="40"/>
      <c r="K440" s="1"/>
    </row>
    <row r="441" spans="3:11" ht="15">
      <c r="C441" s="40"/>
      <c r="K441" s="1"/>
    </row>
    <row r="442" spans="3:11" ht="15">
      <c r="C442" s="40"/>
      <c r="K442" s="1"/>
    </row>
    <row r="443" spans="3:11" ht="15">
      <c r="C443" s="40"/>
      <c r="K443" s="1"/>
    </row>
    <row r="444" spans="3:11" ht="15">
      <c r="C444" s="40"/>
      <c r="K444" s="1"/>
    </row>
    <row r="445" spans="3:11" ht="15">
      <c r="C445" s="40"/>
      <c r="K445" s="1"/>
    </row>
    <row r="446" spans="3:11" ht="15">
      <c r="C446" s="40"/>
      <c r="K446" s="1"/>
    </row>
    <row r="447" spans="3:11" ht="15">
      <c r="C447" s="40"/>
      <c r="K447" s="1"/>
    </row>
    <row r="448" spans="3:11" ht="15">
      <c r="C448" s="40"/>
      <c r="K448" s="1"/>
    </row>
    <row r="449" spans="3:11" ht="15">
      <c r="C449" s="40"/>
      <c r="K449" s="1"/>
    </row>
    <row r="450" spans="3:11" ht="15">
      <c r="C450" s="40"/>
      <c r="K450" s="1"/>
    </row>
    <row r="451" spans="3:11" ht="15">
      <c r="C451" s="40"/>
      <c r="K451" s="1"/>
    </row>
    <row r="452" spans="3:11" ht="15">
      <c r="C452" s="40"/>
      <c r="K452" s="1"/>
    </row>
    <row r="453" spans="3:11" ht="15">
      <c r="C453" s="40"/>
      <c r="K453" s="1"/>
    </row>
    <row r="454" spans="3:11" ht="15">
      <c r="C454" s="40"/>
      <c r="K454" s="1"/>
    </row>
    <row r="455" spans="3:11" ht="15">
      <c r="C455" s="40"/>
      <c r="K455" s="1"/>
    </row>
    <row r="456" spans="3:11" ht="15">
      <c r="C456" s="40"/>
      <c r="K456" s="1"/>
    </row>
    <row r="457" spans="3:11" ht="15">
      <c r="C457" s="40"/>
      <c r="K457" s="1"/>
    </row>
    <row r="458" spans="3:11" ht="15">
      <c r="C458" s="40"/>
      <c r="K458" s="1"/>
    </row>
    <row r="459" spans="3:11" ht="15">
      <c r="C459" s="40"/>
      <c r="K459" s="1"/>
    </row>
    <row r="460" spans="3:11" ht="15">
      <c r="C460" s="40"/>
      <c r="K460" s="1"/>
    </row>
    <row r="461" spans="3:11" ht="15">
      <c r="C461" s="40"/>
      <c r="K461" s="1"/>
    </row>
    <row r="462" spans="3:11" ht="15">
      <c r="C462" s="40"/>
      <c r="K462" s="1"/>
    </row>
    <row r="463" spans="3:11" ht="15">
      <c r="C463" s="40"/>
      <c r="K463" s="1"/>
    </row>
    <row r="464" spans="3:11" ht="15">
      <c r="C464" s="40"/>
      <c r="K464" s="1"/>
    </row>
    <row r="465" spans="3:11" ht="15">
      <c r="C465" s="40"/>
      <c r="K465" s="1"/>
    </row>
    <row r="466" spans="3:11" ht="15">
      <c r="C466" s="40"/>
      <c r="K466" s="1"/>
    </row>
    <row r="467" spans="3:11" ht="15">
      <c r="C467" s="40"/>
      <c r="K467" s="1"/>
    </row>
  </sheetData>
  <sheetProtection/>
  <mergeCells count="31">
    <mergeCell ref="D9:D12"/>
    <mergeCell ref="I11:I12"/>
    <mergeCell ref="M11:M12"/>
    <mergeCell ref="K9:P9"/>
    <mergeCell ref="L10:L12"/>
    <mergeCell ref="P11:P12"/>
    <mergeCell ref="B319:H319"/>
    <mergeCell ref="M319:P319"/>
    <mergeCell ref="M1:P1"/>
    <mergeCell ref="M4:Q4"/>
    <mergeCell ref="M5:Q5"/>
    <mergeCell ref="B138:B139"/>
    <mergeCell ref="B9:B12"/>
    <mergeCell ref="C9:C12"/>
    <mergeCell ref="G10:G12"/>
    <mergeCell ref="H11:H12"/>
    <mergeCell ref="Q9:Q12"/>
    <mergeCell ref="N11:N12"/>
    <mergeCell ref="C318:E318"/>
    <mergeCell ref="M318:O318"/>
    <mergeCell ref="F10:F12"/>
    <mergeCell ref="H10:I10"/>
    <mergeCell ref="J10:J12"/>
    <mergeCell ref="M10:N10"/>
    <mergeCell ref="C138:C139"/>
    <mergeCell ref="D138:D139"/>
    <mergeCell ref="E7:O7"/>
    <mergeCell ref="K10:K12"/>
    <mergeCell ref="F9:J9"/>
    <mergeCell ref="E9:E12"/>
    <mergeCell ref="O10:O12"/>
  </mergeCells>
  <printOptions horizontalCentered="1"/>
  <pageMargins left="0.1968503937007874" right="0.1968503937007874" top="0.7086614173228347" bottom="0.5118110236220472" header="0.5118110236220472" footer="0.2362204724409449"/>
  <pageSetup fitToHeight="12" fitToWidth="1" horizontalDpi="600" verticalDpi="600" orientation="landscape" paperSize="9" scale="43" r:id="rId1"/>
  <headerFooter alignWithMargins="0">
    <oddFooter xml:space="preserve">&amp;R&amp;18Сторінка  &amp;P </oddFooter>
  </headerFooter>
  <rowBreaks count="5" manualBreakCount="5">
    <brk id="37" min="1" max="16" man="1"/>
    <brk id="77" min="1" max="16" man="1"/>
    <brk id="137" min="1" max="16" man="1"/>
    <brk id="150" min="1" max="16" man="1"/>
    <brk id="306" min="1" max="16" man="1"/>
  </rowBreaks>
</worksheet>
</file>

<file path=xl/worksheets/sheet2.xml><?xml version="1.0" encoding="utf-8"?>
<worksheet xmlns="http://schemas.openxmlformats.org/spreadsheetml/2006/main" xmlns:r="http://schemas.openxmlformats.org/officeDocument/2006/relationships">
  <dimension ref="A1:Y596"/>
  <sheetViews>
    <sheetView showGridLines="0" showZeros="0" tabSelected="1" view="pageBreakPreview" zoomScale="55" zoomScaleNormal="70" zoomScaleSheetLayoutView="55" zoomScalePageLayoutView="0" workbookViewId="0" topLeftCell="F239">
      <selection activeCell="E253" sqref="E253:P254"/>
    </sheetView>
  </sheetViews>
  <sheetFormatPr defaultColWidth="9.16015625" defaultRowHeight="12.75"/>
  <cols>
    <col min="1" max="1" width="3.83203125" style="5" hidden="1" customWidth="1"/>
    <col min="2" max="2" width="19.16015625" style="47" customWidth="1"/>
    <col min="3" max="3" width="18.66015625" style="5" customWidth="1"/>
    <col min="4" max="4" width="76.16015625" style="5" customWidth="1"/>
    <col min="5" max="5" width="24.66015625" style="64" customWidth="1"/>
    <col min="6" max="6" width="25.5" style="65" customWidth="1"/>
    <col min="7" max="7" width="22" style="65" customWidth="1"/>
    <col min="8" max="8" width="22.33203125" style="65" customWidth="1"/>
    <col min="9" max="9" width="23.83203125" style="65" customWidth="1"/>
    <col min="10" max="10" width="27.5" style="64" customWidth="1"/>
    <col min="11" max="11" width="22.83203125" style="65" customWidth="1"/>
    <col min="12" max="12" width="18.66015625" style="65" customWidth="1"/>
    <col min="13" max="13" width="23" style="65" customWidth="1"/>
    <col min="14" max="14" width="23.66015625" style="65" customWidth="1"/>
    <col min="15" max="15" width="24.16015625" style="65" customWidth="1"/>
    <col min="16" max="16" width="26" style="64" customWidth="1"/>
    <col min="17" max="17" width="19.5" style="6" customWidth="1"/>
    <col min="18" max="19" width="16.16015625" style="6" bestFit="1" customWidth="1"/>
    <col min="20" max="20" width="15.66015625" style="6" customWidth="1"/>
    <col min="21" max="23" width="9.16015625" style="6" customWidth="1"/>
    <col min="24" max="24" width="18.83203125" style="6" customWidth="1"/>
    <col min="25" max="25" width="18.66015625" style="6" customWidth="1"/>
    <col min="26" max="16384" width="9.16015625" style="6" customWidth="1"/>
  </cols>
  <sheetData>
    <row r="1" spans="2:18" ht="12.75" customHeight="1">
      <c r="B1" s="72"/>
      <c r="C1" s="50"/>
      <c r="D1" s="50"/>
      <c r="E1" s="73"/>
      <c r="F1" s="74"/>
      <c r="G1" s="74"/>
      <c r="H1" s="74"/>
      <c r="I1" s="74"/>
      <c r="J1" s="73"/>
      <c r="K1" s="74"/>
      <c r="L1" s="74"/>
      <c r="M1" s="74"/>
      <c r="N1" s="74"/>
      <c r="O1" s="74"/>
      <c r="P1" s="73"/>
      <c r="Q1" s="173"/>
      <c r="R1" s="173"/>
    </row>
    <row r="2" spans="2:18" ht="26.25" customHeight="1">
      <c r="B2" s="72"/>
      <c r="C2" s="132"/>
      <c r="D2" s="132"/>
      <c r="E2" s="73"/>
      <c r="F2" s="74"/>
      <c r="G2" s="74"/>
      <c r="H2" s="74"/>
      <c r="I2" s="74"/>
      <c r="J2" s="73"/>
      <c r="K2" s="74"/>
      <c r="L2" s="228" t="s">
        <v>560</v>
      </c>
      <c r="M2" s="228"/>
      <c r="N2" s="228"/>
      <c r="O2" s="228"/>
      <c r="P2" s="148"/>
      <c r="Q2" s="173"/>
      <c r="R2" s="173"/>
    </row>
    <row r="3" spans="2:18" ht="26.25" customHeight="1">
      <c r="B3" s="72"/>
      <c r="C3" s="132"/>
      <c r="D3" s="132"/>
      <c r="E3" s="73"/>
      <c r="F3" s="74"/>
      <c r="G3" s="74"/>
      <c r="H3" s="74"/>
      <c r="I3" s="74"/>
      <c r="J3" s="73"/>
      <c r="K3" s="74"/>
      <c r="L3" s="148" t="s">
        <v>556</v>
      </c>
      <c r="M3" s="148"/>
      <c r="N3" s="148"/>
      <c r="O3" s="148"/>
      <c r="P3" s="148"/>
      <c r="Q3" s="173"/>
      <c r="R3" s="173"/>
    </row>
    <row r="4" spans="2:18" ht="26.25" customHeight="1">
      <c r="B4" s="72"/>
      <c r="C4" s="132"/>
      <c r="D4" s="132"/>
      <c r="E4" s="73"/>
      <c r="F4" s="74"/>
      <c r="G4" s="74"/>
      <c r="H4" s="74"/>
      <c r="I4" s="74"/>
      <c r="J4" s="73"/>
      <c r="K4" s="74"/>
      <c r="L4" s="148" t="s">
        <v>557</v>
      </c>
      <c r="M4" s="148"/>
      <c r="N4" s="148"/>
      <c r="O4" s="148"/>
      <c r="P4" s="148"/>
      <c r="Q4" s="173"/>
      <c r="R4" s="173"/>
    </row>
    <row r="5" spans="2:18" ht="26.25" customHeight="1">
      <c r="B5" s="72"/>
      <c r="C5" s="132"/>
      <c r="D5" s="132"/>
      <c r="E5" s="73"/>
      <c r="F5" s="74"/>
      <c r="G5" s="74"/>
      <c r="H5" s="74"/>
      <c r="I5" s="74"/>
      <c r="J5" s="73"/>
      <c r="K5" s="74"/>
      <c r="L5" s="229" t="s">
        <v>558</v>
      </c>
      <c r="M5" s="229"/>
      <c r="N5" s="229"/>
      <c r="O5" s="229"/>
      <c r="P5" s="229"/>
      <c r="Q5" s="173"/>
      <c r="R5" s="173"/>
    </row>
    <row r="6" spans="2:18" ht="30" customHeight="1">
      <c r="B6" s="72"/>
      <c r="C6" s="132"/>
      <c r="D6" s="132"/>
      <c r="E6" s="73"/>
      <c r="F6" s="74"/>
      <c r="G6" s="74"/>
      <c r="H6" s="74"/>
      <c r="I6" s="74"/>
      <c r="J6" s="73"/>
      <c r="K6" s="74"/>
      <c r="L6" s="229" t="s">
        <v>575</v>
      </c>
      <c r="M6" s="229"/>
      <c r="N6" s="229"/>
      <c r="O6" s="229"/>
      <c r="P6" s="229"/>
      <c r="Q6" s="173"/>
      <c r="R6" s="173"/>
    </row>
    <row r="7" spans="2:18" ht="27" customHeight="1">
      <c r="B7" s="72"/>
      <c r="C7" s="132"/>
      <c r="D7" s="132"/>
      <c r="E7" s="73"/>
      <c r="F7" s="74"/>
      <c r="G7" s="74"/>
      <c r="H7" s="74"/>
      <c r="I7" s="74"/>
      <c r="J7" s="73"/>
      <c r="K7" s="74"/>
      <c r="L7" s="74"/>
      <c r="M7" s="74"/>
      <c r="N7" s="74"/>
      <c r="O7" s="74"/>
      <c r="P7" s="73"/>
      <c r="Q7" s="173"/>
      <c r="R7" s="173"/>
    </row>
    <row r="8" spans="2:18" ht="77.25" customHeight="1">
      <c r="B8" s="214" t="s">
        <v>424</v>
      </c>
      <c r="C8" s="214"/>
      <c r="D8" s="214"/>
      <c r="E8" s="214"/>
      <c r="F8" s="214"/>
      <c r="G8" s="214"/>
      <c r="H8" s="214"/>
      <c r="I8" s="214"/>
      <c r="J8" s="214"/>
      <c r="K8" s="214"/>
      <c r="L8" s="214"/>
      <c r="M8" s="214"/>
      <c r="N8" s="214"/>
      <c r="O8" s="214"/>
      <c r="P8" s="214"/>
      <c r="Q8" s="173"/>
      <c r="R8" s="173"/>
    </row>
    <row r="9" spans="1:18" s="71" customFormat="1" ht="24" customHeight="1">
      <c r="A9" s="50"/>
      <c r="B9" s="72"/>
      <c r="C9" s="98"/>
      <c r="D9" s="98"/>
      <c r="E9" s="73"/>
      <c r="F9" s="74"/>
      <c r="G9" s="74"/>
      <c r="H9" s="74"/>
      <c r="I9" s="74"/>
      <c r="J9" s="73"/>
      <c r="K9" s="74"/>
      <c r="L9" s="74"/>
      <c r="M9" s="74"/>
      <c r="N9" s="74"/>
      <c r="O9" s="74"/>
      <c r="P9" s="74" t="s">
        <v>10</v>
      </c>
      <c r="Q9" s="173"/>
      <c r="R9" s="173"/>
    </row>
    <row r="10" spans="1:18" ht="21.75" customHeight="1">
      <c r="A10" s="48"/>
      <c r="B10" s="212" t="s">
        <v>425</v>
      </c>
      <c r="C10" s="235" t="s">
        <v>248</v>
      </c>
      <c r="D10" s="235" t="s">
        <v>521</v>
      </c>
      <c r="E10" s="236" t="s">
        <v>0</v>
      </c>
      <c r="F10" s="236"/>
      <c r="G10" s="236"/>
      <c r="H10" s="236"/>
      <c r="I10" s="236"/>
      <c r="J10" s="236" t="s">
        <v>1</v>
      </c>
      <c r="K10" s="236"/>
      <c r="L10" s="236"/>
      <c r="M10" s="236"/>
      <c r="N10" s="236"/>
      <c r="O10" s="236"/>
      <c r="P10" s="242" t="s">
        <v>2</v>
      </c>
      <c r="Q10" s="173"/>
      <c r="R10" s="173"/>
    </row>
    <row r="11" spans="1:18" ht="16.5" customHeight="1">
      <c r="A11" s="48"/>
      <c r="B11" s="213"/>
      <c r="C11" s="235"/>
      <c r="D11" s="235"/>
      <c r="E11" s="242" t="s">
        <v>3</v>
      </c>
      <c r="F11" s="237" t="s">
        <v>4</v>
      </c>
      <c r="G11" s="236" t="s">
        <v>5</v>
      </c>
      <c r="H11" s="236"/>
      <c r="I11" s="237" t="s">
        <v>6</v>
      </c>
      <c r="J11" s="242" t="s">
        <v>3</v>
      </c>
      <c r="K11" s="237" t="s">
        <v>4</v>
      </c>
      <c r="L11" s="236" t="s">
        <v>5</v>
      </c>
      <c r="M11" s="236"/>
      <c r="N11" s="237" t="s">
        <v>6</v>
      </c>
      <c r="O11" s="106" t="s">
        <v>5</v>
      </c>
      <c r="P11" s="242"/>
      <c r="Q11" s="173"/>
      <c r="R11" s="173"/>
    </row>
    <row r="12" spans="1:18" ht="20.25" customHeight="1">
      <c r="A12" s="49"/>
      <c r="B12" s="213"/>
      <c r="C12" s="235"/>
      <c r="D12" s="235"/>
      <c r="E12" s="242"/>
      <c r="F12" s="237"/>
      <c r="G12" s="236" t="s">
        <v>7</v>
      </c>
      <c r="H12" s="236" t="s">
        <v>8</v>
      </c>
      <c r="I12" s="237"/>
      <c r="J12" s="242"/>
      <c r="K12" s="237"/>
      <c r="L12" s="236" t="s">
        <v>7</v>
      </c>
      <c r="M12" s="236" t="s">
        <v>8</v>
      </c>
      <c r="N12" s="237"/>
      <c r="O12" s="236" t="s">
        <v>9</v>
      </c>
      <c r="P12" s="242"/>
      <c r="Q12" s="173"/>
      <c r="R12" s="173"/>
    </row>
    <row r="13" spans="1:18" ht="74.25" customHeight="1">
      <c r="A13" s="50"/>
      <c r="B13" s="234"/>
      <c r="C13" s="235"/>
      <c r="D13" s="235"/>
      <c r="E13" s="242"/>
      <c r="F13" s="237"/>
      <c r="G13" s="236"/>
      <c r="H13" s="236"/>
      <c r="I13" s="237"/>
      <c r="J13" s="242"/>
      <c r="K13" s="237"/>
      <c r="L13" s="236"/>
      <c r="M13" s="236"/>
      <c r="N13" s="237"/>
      <c r="O13" s="236"/>
      <c r="P13" s="242"/>
      <c r="Q13" s="173"/>
      <c r="R13" s="173"/>
    </row>
    <row r="14" spans="1:18" s="88" customFormat="1" ht="23.25" customHeight="1">
      <c r="A14" s="87"/>
      <c r="B14" s="89" t="s">
        <v>244</v>
      </c>
      <c r="C14" s="58"/>
      <c r="D14" s="92" t="s">
        <v>245</v>
      </c>
      <c r="E14" s="190">
        <f>E15</f>
        <v>102395537</v>
      </c>
      <c r="F14" s="190">
        <f aca="true" t="shared" si="0" ref="F14:P14">F15</f>
        <v>102395537</v>
      </c>
      <c r="G14" s="190">
        <f t="shared" si="0"/>
        <v>72926112</v>
      </c>
      <c r="H14" s="190">
        <f t="shared" si="0"/>
        <v>3733700</v>
      </c>
      <c r="I14" s="190">
        <f t="shared" si="0"/>
        <v>0</v>
      </c>
      <c r="J14" s="190">
        <f t="shared" si="0"/>
        <v>10745800</v>
      </c>
      <c r="K14" s="190">
        <f t="shared" si="0"/>
        <v>3766500</v>
      </c>
      <c r="L14" s="190">
        <f t="shared" si="0"/>
        <v>1911000</v>
      </c>
      <c r="M14" s="190">
        <f t="shared" si="0"/>
        <v>85300</v>
      </c>
      <c r="N14" s="190">
        <f t="shared" si="0"/>
        <v>6979300</v>
      </c>
      <c r="O14" s="190">
        <f t="shared" si="0"/>
        <v>6698800</v>
      </c>
      <c r="P14" s="190">
        <f t="shared" si="0"/>
        <v>113141337</v>
      </c>
      <c r="Q14" s="173"/>
      <c r="R14" s="173"/>
    </row>
    <row r="15" spans="2:25" ht="35.25" customHeight="1">
      <c r="B15" s="47" t="s">
        <v>246</v>
      </c>
      <c r="C15" s="47" t="s">
        <v>247</v>
      </c>
      <c r="D15" s="61" t="s">
        <v>522</v>
      </c>
      <c r="E15" s="191">
        <f>'дод. 2'!F15+'дод. 2'!F74+'дод. 2'!F103+'дод. 2'!F131+'дод. 2'!F211+'дод. 2'!F216+'дод. 2'!F226+'дод. 2'!F261+'дод. 2'!F268+'дод. 2'!F272+'дод. 2'!F292+'дод. 2'!F299+'дод. 2'!F304+'дод. 2'!F289</f>
        <v>102395537</v>
      </c>
      <c r="F15" s="191">
        <f>'дод. 2'!G15+'дод. 2'!G74+'дод. 2'!G103+'дод. 2'!G131+'дод. 2'!G211+'дод. 2'!G216+'дод. 2'!G226+'дод. 2'!G261+'дод. 2'!G268+'дод. 2'!G272+'дод. 2'!G292+'дод. 2'!G299+'дод. 2'!G304+'дод. 2'!G289</f>
        <v>102395537</v>
      </c>
      <c r="G15" s="191">
        <f>'дод. 2'!H15+'дод. 2'!H74+'дод. 2'!H103+'дод. 2'!H131+'дод. 2'!H211+'дод. 2'!H216+'дод. 2'!H226+'дод. 2'!H261+'дод. 2'!H268+'дод. 2'!H272+'дод. 2'!H292+'дод. 2'!H299+'дод. 2'!H304+'дод. 2'!H289</f>
        <v>72926112</v>
      </c>
      <c r="H15" s="191">
        <f>'дод. 2'!I15+'дод. 2'!I74+'дод. 2'!I103+'дод. 2'!I131+'дод. 2'!I211+'дод. 2'!I216+'дод. 2'!I226+'дод. 2'!I261+'дод. 2'!I268+'дод. 2'!I272+'дод. 2'!I292+'дод. 2'!I299+'дод. 2'!I304+'дод. 2'!I289</f>
        <v>3733700</v>
      </c>
      <c r="I15" s="191">
        <f>'дод. 2'!J15+'дод. 2'!J74+'дод. 2'!J103+'дод. 2'!J131+'дод. 2'!J211+'дод. 2'!J216+'дод. 2'!J226+'дод. 2'!J261+'дод. 2'!J268+'дод. 2'!J272+'дод. 2'!J292+'дод. 2'!J299+'дод. 2'!J304+'дод. 2'!J289</f>
        <v>0</v>
      </c>
      <c r="J15" s="191">
        <f>'дод. 2'!K15+'дод. 2'!K74+'дод. 2'!K103+'дод. 2'!K131+'дод. 2'!K211+'дод. 2'!K216+'дод. 2'!K226+'дод. 2'!K261+'дод. 2'!K268+'дод. 2'!K272+'дод. 2'!K292+'дод. 2'!K299+'дод. 2'!K304+'дод. 2'!K289</f>
        <v>10745800</v>
      </c>
      <c r="K15" s="191">
        <f>'дод. 2'!L15+'дод. 2'!L74+'дод. 2'!L103+'дод. 2'!L131+'дод. 2'!L211+'дод. 2'!L216+'дод. 2'!L226+'дод. 2'!L261+'дод. 2'!L268+'дод. 2'!L272+'дод. 2'!L292+'дод. 2'!L299+'дод. 2'!L304+'дод. 2'!L289</f>
        <v>3766500</v>
      </c>
      <c r="L15" s="191">
        <f>'дод. 2'!M15+'дод. 2'!M74+'дод. 2'!M103+'дод. 2'!M131+'дод. 2'!M211+'дод. 2'!M216+'дод. 2'!M226+'дод. 2'!M261+'дод. 2'!M268+'дод. 2'!M272+'дод. 2'!M292+'дод. 2'!M299+'дод. 2'!M304+'дод. 2'!M289</f>
        <v>1911000</v>
      </c>
      <c r="M15" s="191">
        <f>'дод. 2'!N15+'дод. 2'!N74+'дод. 2'!N103+'дод. 2'!N131+'дод. 2'!N211+'дод. 2'!N216+'дод. 2'!N226+'дод. 2'!N261+'дод. 2'!N268+'дод. 2'!N272+'дод. 2'!N292+'дод. 2'!N299+'дод. 2'!N304+'дод. 2'!N289</f>
        <v>85300</v>
      </c>
      <c r="N15" s="191">
        <f>'дод. 2'!O15+'дод. 2'!O74+'дод. 2'!O103+'дод. 2'!O131+'дод. 2'!O211+'дод. 2'!O216+'дод. 2'!O226+'дод. 2'!O261+'дод. 2'!O268+'дод. 2'!O272+'дод. 2'!O292+'дод. 2'!O299+'дод. 2'!O304+'дод. 2'!O289</f>
        <v>6979300</v>
      </c>
      <c r="O15" s="191">
        <f>'дод. 2'!P15+'дод. 2'!P74+'дод. 2'!P103+'дод. 2'!P131+'дод. 2'!P211+'дод. 2'!P216+'дод. 2'!P226+'дод. 2'!P261+'дод. 2'!P268+'дод. 2'!P272+'дод. 2'!P292+'дод. 2'!P299+'дод. 2'!P304+'дод. 2'!P289</f>
        <v>6698800</v>
      </c>
      <c r="P15" s="191">
        <f>'дод. 2'!Q15+'дод. 2'!Q74+'дод. 2'!Q103+'дод. 2'!Q131+'дод. 2'!Q211+'дод. 2'!Q216+'дод. 2'!Q226+'дод. 2'!Q261+'дод. 2'!Q268+'дод. 2'!Q272+'дод. 2'!Q292+'дод. 2'!Q299+'дод. 2'!Q304+'дод. 2'!Q289</f>
        <v>113141337</v>
      </c>
      <c r="Q15" s="173"/>
      <c r="R15" s="173"/>
      <c r="X15" s="83"/>
      <c r="Y15" s="83"/>
    </row>
    <row r="16" spans="1:25" s="88" customFormat="1" ht="23.25" customHeight="1">
      <c r="A16" s="87"/>
      <c r="B16" s="89" t="s">
        <v>249</v>
      </c>
      <c r="C16" s="58"/>
      <c r="D16" s="92" t="s">
        <v>250</v>
      </c>
      <c r="E16" s="190">
        <f aca="true" t="shared" si="1" ref="E16:P16">E18+E20+E22+E26+E28+E29+E31+E32+E33+E34+E36+E37+E24</f>
        <v>657823352.98</v>
      </c>
      <c r="F16" s="190">
        <f t="shared" si="1"/>
        <v>657823352.98</v>
      </c>
      <c r="G16" s="190">
        <f t="shared" si="1"/>
        <v>411668050</v>
      </c>
      <c r="H16" s="190">
        <f t="shared" si="1"/>
        <v>81993847</v>
      </c>
      <c r="I16" s="190">
        <f t="shared" si="1"/>
        <v>0</v>
      </c>
      <c r="J16" s="190">
        <f t="shared" si="1"/>
        <v>59247315</v>
      </c>
      <c r="K16" s="190">
        <f t="shared" si="1"/>
        <v>39235466</v>
      </c>
      <c r="L16" s="190">
        <f t="shared" si="1"/>
        <v>2314390</v>
      </c>
      <c r="M16" s="190">
        <f t="shared" si="1"/>
        <v>2237685</v>
      </c>
      <c r="N16" s="190">
        <f t="shared" si="1"/>
        <v>20011849</v>
      </c>
      <c r="O16" s="190">
        <f t="shared" si="1"/>
        <v>19843729</v>
      </c>
      <c r="P16" s="190">
        <f t="shared" si="1"/>
        <v>717070667.98</v>
      </c>
      <c r="Q16" s="173"/>
      <c r="R16" s="173"/>
      <c r="X16" s="86"/>
      <c r="Y16" s="86"/>
    </row>
    <row r="17" spans="1:25" s="88" customFormat="1" ht="23.25" customHeight="1">
      <c r="A17" s="87"/>
      <c r="B17" s="89"/>
      <c r="C17" s="58"/>
      <c r="D17" s="92" t="s">
        <v>512</v>
      </c>
      <c r="E17" s="190">
        <f>E21+E23+E27+E30+E25+E19</f>
        <v>227606599</v>
      </c>
      <c r="F17" s="190">
        <f aca="true" t="shared" si="2" ref="F17:P17">F21+F23+F27+F30+F25+F19</f>
        <v>227606599</v>
      </c>
      <c r="G17" s="190">
        <f t="shared" si="2"/>
        <v>184750800</v>
      </c>
      <c r="H17" s="190">
        <f t="shared" si="2"/>
        <v>0</v>
      </c>
      <c r="I17" s="190">
        <f t="shared" si="2"/>
        <v>0</v>
      </c>
      <c r="J17" s="190">
        <f t="shared" si="2"/>
        <v>4799532</v>
      </c>
      <c r="K17" s="190">
        <f t="shared" si="2"/>
        <v>0</v>
      </c>
      <c r="L17" s="190">
        <f t="shared" si="2"/>
        <v>0</v>
      </c>
      <c r="M17" s="190">
        <f t="shared" si="2"/>
        <v>0</v>
      </c>
      <c r="N17" s="190">
        <f t="shared" si="2"/>
        <v>4799532</v>
      </c>
      <c r="O17" s="190">
        <f t="shared" si="2"/>
        <v>4799532</v>
      </c>
      <c r="P17" s="190">
        <f t="shared" si="2"/>
        <v>232406131</v>
      </c>
      <c r="Q17" s="173"/>
      <c r="R17" s="173"/>
      <c r="X17" s="86"/>
      <c r="Y17" s="86"/>
    </row>
    <row r="18" spans="2:25" ht="23.25" customHeight="1">
      <c r="B18" s="47" t="s">
        <v>251</v>
      </c>
      <c r="C18" s="47" t="s">
        <v>252</v>
      </c>
      <c r="D18" s="61" t="s">
        <v>65</v>
      </c>
      <c r="E18" s="191">
        <f>'дод. 2'!F75</f>
        <v>173169462</v>
      </c>
      <c r="F18" s="191">
        <f>'дод. 2'!G75</f>
        <v>173169462</v>
      </c>
      <c r="G18" s="191">
        <f>'дод. 2'!H75</f>
        <v>104365910</v>
      </c>
      <c r="H18" s="191">
        <f>'дод. 2'!I75</f>
        <v>26498635</v>
      </c>
      <c r="I18" s="191">
        <f>'дод. 2'!J75</f>
        <v>0</v>
      </c>
      <c r="J18" s="191">
        <f>'дод. 2'!K75</f>
        <v>18081078</v>
      </c>
      <c r="K18" s="191">
        <f>'дод. 2'!L75</f>
        <v>12650071</v>
      </c>
      <c r="L18" s="191">
        <f>'дод. 2'!M75</f>
        <v>0</v>
      </c>
      <c r="M18" s="191">
        <f>'дод. 2'!N75</f>
        <v>0</v>
      </c>
      <c r="N18" s="191">
        <f>'дод. 2'!O75</f>
        <v>5431007</v>
      </c>
      <c r="O18" s="191">
        <f>'дод. 2'!P75</f>
        <v>5431007</v>
      </c>
      <c r="P18" s="191">
        <f aca="true" t="shared" si="3" ref="P18:P60">E18+J18</f>
        <v>191250540</v>
      </c>
      <c r="Q18" s="173"/>
      <c r="R18" s="173"/>
      <c r="X18" s="83"/>
      <c r="Y18" s="83"/>
    </row>
    <row r="19" spans="3:25" ht="19.5" customHeight="1">
      <c r="C19" s="47"/>
      <c r="D19" s="61" t="s">
        <v>513</v>
      </c>
      <c r="E19" s="191">
        <f>'дод. 2'!F76</f>
        <v>0</v>
      </c>
      <c r="F19" s="191">
        <f>'дод. 2'!G76</f>
        <v>0</v>
      </c>
      <c r="G19" s="191">
        <f>'дод. 2'!H76</f>
        <v>0</v>
      </c>
      <c r="H19" s="191">
        <f>'дод. 2'!I76</f>
        <v>0</v>
      </c>
      <c r="I19" s="191">
        <f>'дод. 2'!J76</f>
        <v>0</v>
      </c>
      <c r="J19" s="191">
        <f>'дод. 2'!K76</f>
        <v>566532</v>
      </c>
      <c r="K19" s="191">
        <f>'дод. 2'!L76</f>
        <v>0</v>
      </c>
      <c r="L19" s="191">
        <f>'дод. 2'!M76</f>
        <v>0</v>
      </c>
      <c r="M19" s="191">
        <f>'дод. 2'!N76</f>
        <v>0</v>
      </c>
      <c r="N19" s="191">
        <f>'дод. 2'!O76</f>
        <v>566532</v>
      </c>
      <c r="O19" s="191">
        <f>'дод. 2'!P76</f>
        <v>566532</v>
      </c>
      <c r="P19" s="191">
        <f>'дод. 2'!Q76</f>
        <v>566532</v>
      </c>
      <c r="Q19" s="173"/>
      <c r="R19" s="173"/>
      <c r="X19" s="83"/>
      <c r="Y19" s="83"/>
    </row>
    <row r="20" spans="2:25" ht="63" customHeight="1">
      <c r="B20" s="47" t="s">
        <v>253</v>
      </c>
      <c r="C20" s="47" t="s">
        <v>254</v>
      </c>
      <c r="D20" s="61" t="s">
        <v>66</v>
      </c>
      <c r="E20" s="191">
        <f>'дод. 2'!F77</f>
        <v>365865265.98</v>
      </c>
      <c r="F20" s="191">
        <f>'дод. 2'!G77</f>
        <v>365865265.98</v>
      </c>
      <c r="G20" s="191">
        <f>'дод. 2'!H77</f>
        <v>238050280</v>
      </c>
      <c r="H20" s="191">
        <f>'дод. 2'!I77</f>
        <v>42548737</v>
      </c>
      <c r="I20" s="191">
        <f>'дод. 2'!J77</f>
        <v>0</v>
      </c>
      <c r="J20" s="191">
        <f>'дод. 2'!K77</f>
        <v>33515159</v>
      </c>
      <c r="K20" s="191">
        <f>'дод. 2'!L77</f>
        <v>20411137</v>
      </c>
      <c r="L20" s="191">
        <f>'дод. 2'!M77</f>
        <v>519938</v>
      </c>
      <c r="M20" s="191">
        <f>'дод. 2'!N77</f>
        <v>41716</v>
      </c>
      <c r="N20" s="191">
        <f>'дод. 2'!O77</f>
        <v>13104022</v>
      </c>
      <c r="O20" s="191">
        <f>'дод. 2'!P77</f>
        <v>13104022</v>
      </c>
      <c r="P20" s="191">
        <f t="shared" si="3"/>
        <v>399380424.98</v>
      </c>
      <c r="Q20" s="173"/>
      <c r="R20" s="173"/>
      <c r="X20" s="83"/>
      <c r="Y20" s="83"/>
    </row>
    <row r="21" spans="3:25" ht="21.75" customHeight="1">
      <c r="C21" s="47"/>
      <c r="D21" s="61" t="s">
        <v>513</v>
      </c>
      <c r="E21" s="191">
        <f>'дод. 2'!F78</f>
        <v>212174249</v>
      </c>
      <c r="F21" s="191">
        <f>'дод. 2'!G78</f>
        <v>212174249</v>
      </c>
      <c r="G21" s="191">
        <f>'дод. 2'!H78</f>
        <v>174074790</v>
      </c>
      <c r="H21" s="191">
        <f>'дод. 2'!I78</f>
        <v>0</v>
      </c>
      <c r="I21" s="191">
        <f>'дод. 2'!J78</f>
        <v>0</v>
      </c>
      <c r="J21" s="191">
        <f>'дод. 2'!K78</f>
        <v>3903000</v>
      </c>
      <c r="K21" s="191">
        <f>'дод. 2'!L78</f>
        <v>0</v>
      </c>
      <c r="L21" s="191">
        <f>'дод. 2'!M78</f>
        <v>0</v>
      </c>
      <c r="M21" s="191">
        <f>'дод. 2'!N78</f>
        <v>0</v>
      </c>
      <c r="N21" s="191">
        <f>'дод. 2'!O78</f>
        <v>3903000</v>
      </c>
      <c r="O21" s="191">
        <f>'дод. 2'!P78</f>
        <v>3903000</v>
      </c>
      <c r="P21" s="191">
        <f t="shared" si="3"/>
        <v>216077249</v>
      </c>
      <c r="Q21" s="173"/>
      <c r="R21" s="173"/>
      <c r="X21" s="83"/>
      <c r="Y21" s="83"/>
    </row>
    <row r="22" spans="2:25" ht="31.5">
      <c r="B22" s="47" t="s">
        <v>255</v>
      </c>
      <c r="C22" s="47" t="s">
        <v>254</v>
      </c>
      <c r="D22" s="61" t="s">
        <v>67</v>
      </c>
      <c r="E22" s="191">
        <f>'дод. 2'!F79</f>
        <v>638957</v>
      </c>
      <c r="F22" s="191">
        <f>'дод. 2'!G79</f>
        <v>638957</v>
      </c>
      <c r="G22" s="191">
        <f>'дод. 2'!H79</f>
        <v>523390</v>
      </c>
      <c r="H22" s="191">
        <f>'дод. 2'!I79</f>
        <v>0</v>
      </c>
      <c r="I22" s="191">
        <f>'дод. 2'!J79</f>
        <v>0</v>
      </c>
      <c r="J22" s="191">
        <f>'дод. 2'!K79</f>
        <v>0</v>
      </c>
      <c r="K22" s="191">
        <f>'дод. 2'!L79</f>
        <v>0</v>
      </c>
      <c r="L22" s="191">
        <f>'дод. 2'!M79</f>
        <v>0</v>
      </c>
      <c r="M22" s="191">
        <f>'дод. 2'!N79</f>
        <v>0</v>
      </c>
      <c r="N22" s="191">
        <f>'дод. 2'!O79</f>
        <v>0</v>
      </c>
      <c r="O22" s="191">
        <f>'дод. 2'!P79</f>
        <v>0</v>
      </c>
      <c r="P22" s="191">
        <f t="shared" si="3"/>
        <v>638957</v>
      </c>
      <c r="Q22" s="173"/>
      <c r="R22" s="173"/>
      <c r="X22" s="83"/>
      <c r="Y22" s="83"/>
    </row>
    <row r="23" spans="3:25" ht="15.75">
      <c r="C23" s="47"/>
      <c r="D23" s="61" t="s">
        <v>513</v>
      </c>
      <c r="E23" s="191">
        <f>'дод. 2'!F80</f>
        <v>638540</v>
      </c>
      <c r="F23" s="191">
        <f>'дод. 2'!G80</f>
        <v>638540</v>
      </c>
      <c r="G23" s="191">
        <f>'дод. 2'!H80</f>
        <v>523390</v>
      </c>
      <c r="H23" s="191">
        <f>'дод. 2'!I80</f>
        <v>0</v>
      </c>
      <c r="I23" s="191">
        <f>'дод. 2'!J80</f>
        <v>0</v>
      </c>
      <c r="J23" s="191">
        <f>'дод. 2'!K80</f>
        <v>0</v>
      </c>
      <c r="K23" s="191">
        <f>'дод. 2'!L80</f>
        <v>0</v>
      </c>
      <c r="L23" s="191">
        <f>'дод. 2'!M80</f>
        <v>0</v>
      </c>
      <c r="M23" s="191">
        <f>'дод. 2'!N80</f>
        <v>0</v>
      </c>
      <c r="N23" s="191">
        <f>'дод. 2'!O80</f>
        <v>0</v>
      </c>
      <c r="O23" s="191">
        <f>'дод. 2'!P80</f>
        <v>0</v>
      </c>
      <c r="P23" s="191">
        <f t="shared" si="3"/>
        <v>638540</v>
      </c>
      <c r="Q23" s="173"/>
      <c r="R23" s="173"/>
      <c r="X23" s="83"/>
      <c r="Y23" s="83"/>
    </row>
    <row r="24" spans="2:25" ht="72" customHeight="1">
      <c r="B24" s="131" t="s">
        <v>256</v>
      </c>
      <c r="C24" s="131" t="s">
        <v>252</v>
      </c>
      <c r="D24" s="61" t="s">
        <v>499</v>
      </c>
      <c r="E24" s="191">
        <f>'дод. 2'!F132</f>
        <v>2415100</v>
      </c>
      <c r="F24" s="191">
        <f>'дод. 2'!G132</f>
        <v>2415100</v>
      </c>
      <c r="G24" s="191">
        <f>'дод. 2'!H132</f>
        <v>0</v>
      </c>
      <c r="H24" s="191">
        <f>'дод. 2'!I132</f>
        <v>0</v>
      </c>
      <c r="I24" s="191">
        <f>'дод. 2'!J132</f>
        <v>0</v>
      </c>
      <c r="J24" s="191">
        <f>'дод. 2'!K132</f>
        <v>0</v>
      </c>
      <c r="K24" s="191">
        <f>'дод. 2'!L132</f>
        <v>0</v>
      </c>
      <c r="L24" s="191">
        <f>'дод. 2'!M132</f>
        <v>0</v>
      </c>
      <c r="M24" s="191">
        <f>'дод. 2'!N132</f>
        <v>0</v>
      </c>
      <c r="N24" s="191">
        <f>'дод. 2'!O132</f>
        <v>0</v>
      </c>
      <c r="O24" s="191">
        <f>'дод. 2'!P132</f>
        <v>0</v>
      </c>
      <c r="P24" s="191">
        <f>'дод. 2'!Q132</f>
        <v>2415100</v>
      </c>
      <c r="Q24" s="173"/>
      <c r="R24" s="173"/>
      <c r="X24" s="83"/>
      <c r="Y24" s="83"/>
    </row>
    <row r="25" spans="2:25" ht="15.75">
      <c r="B25" s="131"/>
      <c r="C25" s="131"/>
      <c r="D25" s="61" t="s">
        <v>513</v>
      </c>
      <c r="E25" s="191">
        <f>'дод. 2'!F133</f>
        <v>2415100</v>
      </c>
      <c r="F25" s="191">
        <f>'дод. 2'!G133</f>
        <v>2415100</v>
      </c>
      <c r="G25" s="191">
        <f>'дод. 2'!H133</f>
        <v>0</v>
      </c>
      <c r="H25" s="191">
        <f>'дод. 2'!I133</f>
        <v>0</v>
      </c>
      <c r="I25" s="191">
        <f>'дод. 2'!J133</f>
        <v>0</v>
      </c>
      <c r="J25" s="191">
        <f>'дод. 2'!K133</f>
        <v>0</v>
      </c>
      <c r="K25" s="191">
        <f>'дод. 2'!L133</f>
        <v>0</v>
      </c>
      <c r="L25" s="191">
        <f>'дод. 2'!M133</f>
        <v>0</v>
      </c>
      <c r="M25" s="191">
        <f>'дод. 2'!N133</f>
        <v>0</v>
      </c>
      <c r="N25" s="191">
        <f>'дод. 2'!O133</f>
        <v>0</v>
      </c>
      <c r="O25" s="191">
        <f>'дод. 2'!P133</f>
        <v>0</v>
      </c>
      <c r="P25" s="191">
        <f>'дод. 2'!Q133</f>
        <v>2415100</v>
      </c>
      <c r="Q25" s="173"/>
      <c r="R25" s="173"/>
      <c r="X25" s="83"/>
      <c r="Y25" s="83"/>
    </row>
    <row r="26" spans="2:25" ht="71.25" customHeight="1">
      <c r="B26" s="47" t="s">
        <v>257</v>
      </c>
      <c r="C26" s="47" t="s">
        <v>258</v>
      </c>
      <c r="D26" s="61" t="s">
        <v>68</v>
      </c>
      <c r="E26" s="191">
        <f>'дод. 2'!F81</f>
        <v>6896064</v>
      </c>
      <c r="F26" s="191">
        <f>'дод. 2'!G81</f>
        <v>6896064</v>
      </c>
      <c r="G26" s="191">
        <f>'дод. 2'!H81</f>
        <v>4667160</v>
      </c>
      <c r="H26" s="191">
        <f>'дод. 2'!I81</f>
        <v>757636</v>
      </c>
      <c r="I26" s="191">
        <f>'дод. 2'!J81</f>
        <v>0</v>
      </c>
      <c r="J26" s="191">
        <f>'дод. 2'!K81</f>
        <v>150000</v>
      </c>
      <c r="K26" s="191">
        <f>'дод. 2'!L81</f>
        <v>0</v>
      </c>
      <c r="L26" s="191">
        <f>'дод. 2'!M81</f>
        <v>0</v>
      </c>
      <c r="M26" s="191">
        <f>'дод. 2'!N81</f>
        <v>0</v>
      </c>
      <c r="N26" s="191">
        <f>'дод. 2'!O81</f>
        <v>150000</v>
      </c>
      <c r="O26" s="191">
        <f>'дод. 2'!P81</f>
        <v>150000</v>
      </c>
      <c r="P26" s="191">
        <f t="shared" si="3"/>
        <v>7046064</v>
      </c>
      <c r="Q26" s="173"/>
      <c r="R26" s="173"/>
      <c r="X26" s="83"/>
      <c r="Y26" s="83"/>
    </row>
    <row r="27" spans="3:25" ht="15.75">
      <c r="C27" s="47"/>
      <c r="D27" s="61" t="s">
        <v>513</v>
      </c>
      <c r="E27" s="191">
        <f>'дод. 2'!F82</f>
        <v>4502510</v>
      </c>
      <c r="F27" s="191">
        <f>'дод. 2'!G82</f>
        <v>4502510</v>
      </c>
      <c r="G27" s="191">
        <f>'дод. 2'!H82</f>
        <v>3696640</v>
      </c>
      <c r="H27" s="191">
        <f>'дод. 2'!I82</f>
        <v>0</v>
      </c>
      <c r="I27" s="191">
        <f>'дод. 2'!J82</f>
        <v>0</v>
      </c>
      <c r="J27" s="191">
        <f>'дод. 2'!K82</f>
        <v>0</v>
      </c>
      <c r="K27" s="191">
        <f>'дод. 2'!L82</f>
        <v>0</v>
      </c>
      <c r="L27" s="191">
        <f>'дод. 2'!M82</f>
        <v>0</v>
      </c>
      <c r="M27" s="191">
        <f>'дод. 2'!N82</f>
        <v>0</v>
      </c>
      <c r="N27" s="191">
        <f>'дод. 2'!O82</f>
        <v>0</v>
      </c>
      <c r="O27" s="191">
        <f>'дод. 2'!P82</f>
        <v>0</v>
      </c>
      <c r="P27" s="191">
        <f t="shared" si="3"/>
        <v>4502510</v>
      </c>
      <c r="Q27" s="173"/>
      <c r="R27" s="173"/>
      <c r="X27" s="83"/>
      <c r="Y27" s="83"/>
    </row>
    <row r="28" spans="2:25" ht="50.25" customHeight="1">
      <c r="B28" s="47" t="s">
        <v>259</v>
      </c>
      <c r="C28" s="47" t="s">
        <v>260</v>
      </c>
      <c r="D28" s="61" t="s">
        <v>69</v>
      </c>
      <c r="E28" s="191">
        <f>'дод. 2'!F83</f>
        <v>20039351</v>
      </c>
      <c r="F28" s="191">
        <f>'дод. 2'!G83</f>
        <v>20039351</v>
      </c>
      <c r="G28" s="191">
        <f>'дод. 2'!H83</f>
        <v>13744120</v>
      </c>
      <c r="H28" s="191">
        <f>'дод. 2'!I83</f>
        <v>2853508</v>
      </c>
      <c r="I28" s="191">
        <f>'дод. 2'!J83</f>
        <v>0</v>
      </c>
      <c r="J28" s="191">
        <f>'дод. 2'!K83</f>
        <v>627090</v>
      </c>
      <c r="K28" s="191">
        <f>'дод. 2'!L83</f>
        <v>27090</v>
      </c>
      <c r="L28" s="191">
        <f>'дод. 2'!M83</f>
        <v>21312</v>
      </c>
      <c r="M28" s="191">
        <f>'дод. 2'!N83</f>
        <v>1090</v>
      </c>
      <c r="N28" s="191">
        <f>'дод. 2'!O83</f>
        <v>600000</v>
      </c>
      <c r="O28" s="191">
        <f>'дод. 2'!P83</f>
        <v>600000</v>
      </c>
      <c r="P28" s="191">
        <f t="shared" si="3"/>
        <v>20666441</v>
      </c>
      <c r="Q28" s="173"/>
      <c r="R28" s="173"/>
      <c r="X28" s="83"/>
      <c r="Y28" s="83"/>
    </row>
    <row r="29" spans="2:25" ht="40.5" customHeight="1">
      <c r="B29" s="47" t="s">
        <v>261</v>
      </c>
      <c r="C29" s="47" t="s">
        <v>262</v>
      </c>
      <c r="D29" s="61" t="s">
        <v>484</v>
      </c>
      <c r="E29" s="191">
        <f>'дод. 2'!F84</f>
        <v>79691130</v>
      </c>
      <c r="F29" s="191">
        <f>'дод. 2'!G84</f>
        <v>79691130</v>
      </c>
      <c r="G29" s="191">
        <f>'дод. 2'!H84</f>
        <v>43885100</v>
      </c>
      <c r="H29" s="191">
        <f>'дод. 2'!I84</f>
        <v>8730749</v>
      </c>
      <c r="I29" s="191">
        <f>'дод. 2'!J84</f>
        <v>0</v>
      </c>
      <c r="J29" s="191">
        <f>'дод. 2'!K84</f>
        <v>6645288</v>
      </c>
      <c r="K29" s="191">
        <f>'дод. 2'!L84</f>
        <v>6147168</v>
      </c>
      <c r="L29" s="191">
        <f>'дод. 2'!M84</f>
        <v>1773140</v>
      </c>
      <c r="M29" s="191">
        <f>'дод. 2'!N84</f>
        <v>2194879</v>
      </c>
      <c r="N29" s="191">
        <f>'дод. 2'!O84</f>
        <v>498120</v>
      </c>
      <c r="O29" s="191">
        <f>'дод. 2'!P84</f>
        <v>330000</v>
      </c>
      <c r="P29" s="191">
        <f t="shared" si="3"/>
        <v>86336418</v>
      </c>
      <c r="Q29" s="173"/>
      <c r="R29" s="173"/>
      <c r="X29" s="83"/>
      <c r="Y29" s="83"/>
    </row>
    <row r="30" spans="3:25" ht="15.75">
      <c r="C30" s="47"/>
      <c r="D30" s="61" t="s">
        <v>513</v>
      </c>
      <c r="E30" s="191">
        <f>'дод. 2'!F85</f>
        <v>7876200</v>
      </c>
      <c r="F30" s="191">
        <f>'дод. 2'!G85</f>
        <v>7876200</v>
      </c>
      <c r="G30" s="191">
        <f>'дод. 2'!H85</f>
        <v>6455980</v>
      </c>
      <c r="H30" s="191">
        <f>'дод. 2'!I85</f>
        <v>0</v>
      </c>
      <c r="I30" s="191">
        <f>'дод. 2'!J85</f>
        <v>0</v>
      </c>
      <c r="J30" s="191">
        <f>'дод. 2'!K85</f>
        <v>330000</v>
      </c>
      <c r="K30" s="191">
        <f>'дод. 2'!L85</f>
        <v>0</v>
      </c>
      <c r="L30" s="191">
        <f>'дод. 2'!M85</f>
        <v>0</v>
      </c>
      <c r="M30" s="191">
        <f>'дод. 2'!N85</f>
        <v>0</v>
      </c>
      <c r="N30" s="191">
        <f>'дод. 2'!O85</f>
        <v>330000</v>
      </c>
      <c r="O30" s="191">
        <f>'дод. 2'!P85</f>
        <v>330000</v>
      </c>
      <c r="P30" s="191">
        <f t="shared" si="3"/>
        <v>8206200</v>
      </c>
      <c r="Q30" s="173"/>
      <c r="R30" s="173"/>
      <c r="X30" s="83"/>
      <c r="Y30" s="83"/>
    </row>
    <row r="31" spans="2:25" ht="42.75" customHeight="1">
      <c r="B31" s="47" t="s">
        <v>263</v>
      </c>
      <c r="C31" s="47" t="s">
        <v>264</v>
      </c>
      <c r="D31" s="61" t="s">
        <v>70</v>
      </c>
      <c r="E31" s="191">
        <f>'дод. 2'!F86</f>
        <v>2817071</v>
      </c>
      <c r="F31" s="191">
        <f>'дод. 2'!G86</f>
        <v>2817071</v>
      </c>
      <c r="G31" s="191">
        <f>'дод. 2'!H86</f>
        <v>2148850</v>
      </c>
      <c r="H31" s="191">
        <f>'дод. 2'!I86</f>
        <v>126740</v>
      </c>
      <c r="I31" s="191">
        <f>'дод. 2'!J86</f>
        <v>0</v>
      </c>
      <c r="J31" s="191">
        <f>'дод. 2'!K86</f>
        <v>11200</v>
      </c>
      <c r="K31" s="191">
        <f>'дод. 2'!L86</f>
        <v>0</v>
      </c>
      <c r="L31" s="191">
        <f>'дод. 2'!M86</f>
        <v>0</v>
      </c>
      <c r="M31" s="191">
        <f>'дод. 2'!N86</f>
        <v>0</v>
      </c>
      <c r="N31" s="191">
        <f>'дод. 2'!O86</f>
        <v>11200</v>
      </c>
      <c r="O31" s="191">
        <f>'дод. 2'!P86</f>
        <v>11200</v>
      </c>
      <c r="P31" s="191">
        <f t="shared" si="3"/>
        <v>2828271</v>
      </c>
      <c r="Q31" s="173"/>
      <c r="R31" s="173"/>
      <c r="X31" s="83"/>
      <c r="Y31" s="83"/>
    </row>
    <row r="32" spans="2:25" ht="25.5" customHeight="1">
      <c r="B32" s="47" t="s">
        <v>265</v>
      </c>
      <c r="C32" s="47" t="s">
        <v>264</v>
      </c>
      <c r="D32" s="61" t="s">
        <v>71</v>
      </c>
      <c r="E32" s="191">
        <f>'дод. 2'!F87</f>
        <v>2314961</v>
      </c>
      <c r="F32" s="191">
        <f>'дод. 2'!G87</f>
        <v>2314961</v>
      </c>
      <c r="G32" s="191">
        <f>'дод. 2'!H87</f>
        <v>1658980</v>
      </c>
      <c r="H32" s="191">
        <f>'дод. 2'!I87</f>
        <v>115910</v>
      </c>
      <c r="I32" s="191">
        <f>'дод. 2'!J87</f>
        <v>0</v>
      </c>
      <c r="J32" s="191">
        <f>'дод. 2'!K87</f>
        <v>50000</v>
      </c>
      <c r="K32" s="191">
        <f>'дод. 2'!L87</f>
        <v>0</v>
      </c>
      <c r="L32" s="191">
        <f>'дод. 2'!M87</f>
        <v>0</v>
      </c>
      <c r="M32" s="191">
        <f>'дод. 2'!N87</f>
        <v>0</v>
      </c>
      <c r="N32" s="191">
        <f>'дод. 2'!O87</f>
        <v>50000</v>
      </c>
      <c r="O32" s="191">
        <f>'дод. 2'!P87</f>
        <v>50000</v>
      </c>
      <c r="P32" s="191">
        <f t="shared" si="3"/>
        <v>2364961</v>
      </c>
      <c r="Q32" s="173"/>
      <c r="R32" s="173"/>
      <c r="X32" s="83"/>
      <c r="Y32" s="83"/>
    </row>
    <row r="33" spans="2:25" ht="15.75" customHeight="1">
      <c r="B33" s="47" t="s">
        <v>266</v>
      </c>
      <c r="C33" s="47" t="s">
        <v>264</v>
      </c>
      <c r="D33" s="61" t="s">
        <v>72</v>
      </c>
      <c r="E33" s="191">
        <f>'дод. 2'!F88</f>
        <v>220658</v>
      </c>
      <c r="F33" s="191">
        <f>'дод. 2'!G88</f>
        <v>220658</v>
      </c>
      <c r="G33" s="191">
        <f>'дод. 2'!H88</f>
        <v>172840</v>
      </c>
      <c r="H33" s="191">
        <f>'дод. 2'!I88</f>
        <v>5897</v>
      </c>
      <c r="I33" s="191">
        <f>'дод. 2'!J88</f>
        <v>0</v>
      </c>
      <c r="J33" s="191">
        <f>'дод. 2'!K88</f>
        <v>0</v>
      </c>
      <c r="K33" s="191">
        <f>'дод. 2'!L88</f>
        <v>0</v>
      </c>
      <c r="L33" s="191">
        <f>'дод. 2'!M88</f>
        <v>0</v>
      </c>
      <c r="M33" s="191">
        <f>'дод. 2'!N88</f>
        <v>0</v>
      </c>
      <c r="N33" s="191">
        <f>'дод. 2'!O88</f>
        <v>0</v>
      </c>
      <c r="O33" s="191">
        <f>'дод. 2'!P88</f>
        <v>0</v>
      </c>
      <c r="P33" s="191">
        <f t="shared" si="3"/>
        <v>220658</v>
      </c>
      <c r="Q33" s="173"/>
      <c r="R33" s="173"/>
      <c r="X33" s="83"/>
      <c r="Y33" s="83"/>
    </row>
    <row r="34" spans="2:25" ht="22.5" customHeight="1">
      <c r="B34" s="47" t="s">
        <v>267</v>
      </c>
      <c r="C34" s="47" t="s">
        <v>264</v>
      </c>
      <c r="D34" s="61" t="s">
        <v>73</v>
      </c>
      <c r="E34" s="191">
        <f>'дод. 2'!F89</f>
        <v>3623633</v>
      </c>
      <c r="F34" s="191">
        <f>'дод. 2'!G89</f>
        <v>3623633</v>
      </c>
      <c r="G34" s="191">
        <f>'дод. 2'!H89</f>
        <v>2451420</v>
      </c>
      <c r="H34" s="191">
        <f>'дод. 2'!I89</f>
        <v>356035</v>
      </c>
      <c r="I34" s="191">
        <f>'дод. 2'!J89</f>
        <v>0</v>
      </c>
      <c r="J34" s="191">
        <f>'дод. 2'!K89</f>
        <v>167500</v>
      </c>
      <c r="K34" s="191">
        <f>'дод. 2'!L89</f>
        <v>0</v>
      </c>
      <c r="L34" s="191">
        <f>'дод. 2'!M89</f>
        <v>0</v>
      </c>
      <c r="M34" s="191">
        <f>'дод. 2'!N89</f>
        <v>0</v>
      </c>
      <c r="N34" s="191">
        <f>'дод. 2'!O89</f>
        <v>167500</v>
      </c>
      <c r="O34" s="191">
        <f>'дод. 2'!P89</f>
        <v>167500</v>
      </c>
      <c r="P34" s="191">
        <f t="shared" si="3"/>
        <v>3791133</v>
      </c>
      <c r="Q34" s="173"/>
      <c r="R34" s="173"/>
      <c r="X34" s="83"/>
      <c r="Y34" s="83"/>
    </row>
    <row r="35" spans="2:25" ht="24.75" customHeight="1">
      <c r="B35" s="47" t="s">
        <v>268</v>
      </c>
      <c r="C35" s="47" t="s">
        <v>264</v>
      </c>
      <c r="D35" s="61" t="s">
        <v>18</v>
      </c>
      <c r="E35" s="191">
        <f>E36</f>
        <v>73780</v>
      </c>
      <c r="F35" s="191">
        <f aca="true" t="shared" si="4" ref="F35:O35">F36</f>
        <v>73780</v>
      </c>
      <c r="G35" s="191">
        <f t="shared" si="4"/>
        <v>0</v>
      </c>
      <c r="H35" s="191">
        <f t="shared" si="4"/>
        <v>0</v>
      </c>
      <c r="I35" s="191">
        <f t="shared" si="4"/>
        <v>0</v>
      </c>
      <c r="J35" s="191">
        <f t="shared" si="4"/>
        <v>0</v>
      </c>
      <c r="K35" s="191">
        <f t="shared" si="4"/>
        <v>0</v>
      </c>
      <c r="L35" s="191">
        <f t="shared" si="4"/>
        <v>0</v>
      </c>
      <c r="M35" s="191">
        <f t="shared" si="4"/>
        <v>0</v>
      </c>
      <c r="N35" s="191">
        <f t="shared" si="4"/>
        <v>0</v>
      </c>
      <c r="O35" s="191">
        <f t="shared" si="4"/>
        <v>0</v>
      </c>
      <c r="P35" s="191">
        <f t="shared" si="3"/>
        <v>73780</v>
      </c>
      <c r="Q35" s="173"/>
      <c r="R35" s="173"/>
      <c r="X35" s="83"/>
      <c r="Y35" s="83"/>
    </row>
    <row r="36" spans="1:25" s="54" customFormat="1" ht="34.5" customHeight="1">
      <c r="A36" s="52"/>
      <c r="B36" s="51" t="s">
        <v>268</v>
      </c>
      <c r="C36" s="51" t="s">
        <v>264</v>
      </c>
      <c r="D36" s="62" t="s">
        <v>207</v>
      </c>
      <c r="E36" s="141">
        <f>'дод. 2'!F91</f>
        <v>73780</v>
      </c>
      <c r="F36" s="141">
        <f>'дод. 2'!G91</f>
        <v>73780</v>
      </c>
      <c r="G36" s="141">
        <f>'дод. 2'!H91</f>
        <v>0</v>
      </c>
      <c r="H36" s="141">
        <f>'дод. 2'!I91</f>
        <v>0</v>
      </c>
      <c r="I36" s="141">
        <f>'дод. 2'!J91</f>
        <v>0</v>
      </c>
      <c r="J36" s="141">
        <f>'дод. 2'!K91</f>
        <v>0</v>
      </c>
      <c r="K36" s="141">
        <f>'дод. 2'!L91</f>
        <v>0</v>
      </c>
      <c r="L36" s="141">
        <f>'дод. 2'!M91</f>
        <v>0</v>
      </c>
      <c r="M36" s="141">
        <f>'дод. 2'!N91</f>
        <v>0</v>
      </c>
      <c r="N36" s="141">
        <f>'дод. 2'!O91</f>
        <v>0</v>
      </c>
      <c r="O36" s="141">
        <f>'дод. 2'!P91</f>
        <v>0</v>
      </c>
      <c r="P36" s="141">
        <f t="shared" si="3"/>
        <v>73780</v>
      </c>
      <c r="Q36" s="173"/>
      <c r="R36" s="173"/>
      <c r="X36" s="130"/>
      <c r="Y36" s="130"/>
    </row>
    <row r="37" spans="2:25" ht="31.5">
      <c r="B37" s="47" t="s">
        <v>269</v>
      </c>
      <c r="C37" s="47" t="s">
        <v>264</v>
      </c>
      <c r="D37" s="61" t="s">
        <v>86</v>
      </c>
      <c r="E37" s="191">
        <f>'дод. 2'!F92</f>
        <v>57920</v>
      </c>
      <c r="F37" s="191">
        <f>'дод. 2'!G92</f>
        <v>57920</v>
      </c>
      <c r="G37" s="191">
        <f>'дод. 2'!H92</f>
        <v>0</v>
      </c>
      <c r="H37" s="191">
        <f>'дод. 2'!I92</f>
        <v>0</v>
      </c>
      <c r="I37" s="191">
        <f>'дод. 2'!J92</f>
        <v>0</v>
      </c>
      <c r="J37" s="191">
        <f>'дод. 2'!K92</f>
        <v>0</v>
      </c>
      <c r="K37" s="191">
        <f>'дод. 2'!L92</f>
        <v>0</v>
      </c>
      <c r="L37" s="191">
        <f>'дод. 2'!M92</f>
        <v>0</v>
      </c>
      <c r="M37" s="191">
        <f>'дод. 2'!N92</f>
        <v>0</v>
      </c>
      <c r="N37" s="191">
        <f>'дод. 2'!O92</f>
        <v>0</v>
      </c>
      <c r="O37" s="191">
        <f>'дод. 2'!P92</f>
        <v>0</v>
      </c>
      <c r="P37" s="191">
        <f t="shared" si="3"/>
        <v>57920</v>
      </c>
      <c r="Q37" s="173"/>
      <c r="R37" s="173"/>
      <c r="X37" s="83"/>
      <c r="Y37" s="83"/>
    </row>
    <row r="38" spans="1:25" s="88" customFormat="1" ht="23.25" customHeight="1">
      <c r="A38" s="87"/>
      <c r="B38" s="89" t="s">
        <v>270</v>
      </c>
      <c r="C38" s="58"/>
      <c r="D38" s="92" t="s">
        <v>271</v>
      </c>
      <c r="E38" s="190">
        <f>E40+E42+E44+E46+E48+E50+E56+E52</f>
        <v>331556098</v>
      </c>
      <c r="F38" s="190">
        <f aca="true" t="shared" si="5" ref="F38:P38">F40+F42+F44+F46+F48+F50+F56+F52</f>
        <v>331556098</v>
      </c>
      <c r="G38" s="190">
        <f t="shared" si="5"/>
        <v>0</v>
      </c>
      <c r="H38" s="190">
        <f t="shared" si="5"/>
        <v>0</v>
      </c>
      <c r="I38" s="190">
        <f t="shared" si="5"/>
        <v>0</v>
      </c>
      <c r="J38" s="190">
        <f t="shared" si="5"/>
        <v>54189841</v>
      </c>
      <c r="K38" s="190">
        <f t="shared" si="5"/>
        <v>12622623</v>
      </c>
      <c r="L38" s="190">
        <f t="shared" si="5"/>
        <v>0</v>
      </c>
      <c r="M38" s="190">
        <f t="shared" si="5"/>
        <v>0</v>
      </c>
      <c r="N38" s="190">
        <f t="shared" si="5"/>
        <v>41567218</v>
      </c>
      <c r="O38" s="190">
        <f t="shared" si="5"/>
        <v>41375408</v>
      </c>
      <c r="P38" s="190">
        <f t="shared" si="5"/>
        <v>385745939</v>
      </c>
      <c r="Q38" s="173"/>
      <c r="R38" s="173"/>
      <c r="X38" s="86"/>
      <c r="Y38" s="86"/>
    </row>
    <row r="39" spans="1:25" s="88" customFormat="1" ht="19.5" customHeight="1">
      <c r="A39" s="87"/>
      <c r="B39" s="89"/>
      <c r="C39" s="58"/>
      <c r="D39" s="92" t="s">
        <v>512</v>
      </c>
      <c r="E39" s="190">
        <f>E43+E41+E45+E47+E49+E51+E57+E53</f>
        <v>246866056</v>
      </c>
      <c r="F39" s="190">
        <f aca="true" t="shared" si="6" ref="F39:P39">F43+F41+F45+F47+F49+F51+F57+F53</f>
        <v>246866056</v>
      </c>
      <c r="G39" s="190">
        <f t="shared" si="6"/>
        <v>0</v>
      </c>
      <c r="H39" s="190">
        <f t="shared" si="6"/>
        <v>0</v>
      </c>
      <c r="I39" s="190">
        <f t="shared" si="6"/>
        <v>0</v>
      </c>
      <c r="J39" s="190">
        <f t="shared" si="6"/>
        <v>0</v>
      </c>
      <c r="K39" s="190">
        <f t="shared" si="6"/>
        <v>0</v>
      </c>
      <c r="L39" s="190">
        <f t="shared" si="6"/>
        <v>0</v>
      </c>
      <c r="M39" s="190">
        <f t="shared" si="6"/>
        <v>0</v>
      </c>
      <c r="N39" s="190">
        <f t="shared" si="6"/>
        <v>0</v>
      </c>
      <c r="O39" s="190">
        <f t="shared" si="6"/>
        <v>0</v>
      </c>
      <c r="P39" s="190">
        <f t="shared" si="6"/>
        <v>246866056</v>
      </c>
      <c r="Q39" s="173"/>
      <c r="R39" s="173"/>
      <c r="X39" s="86"/>
      <c r="Y39" s="86"/>
    </row>
    <row r="40" spans="2:25" ht="20.25" customHeight="1">
      <c r="B40" s="47" t="s">
        <v>272</v>
      </c>
      <c r="C40" s="47" t="s">
        <v>273</v>
      </c>
      <c r="D40" s="61" t="s">
        <v>92</v>
      </c>
      <c r="E40" s="191">
        <f>'дод. 2'!F104+'дод. 2'!F273</f>
        <v>264929974</v>
      </c>
      <c r="F40" s="191">
        <f>'дод. 2'!G104+'дод. 2'!G273</f>
        <v>264929974</v>
      </c>
      <c r="G40" s="191">
        <f>'дод. 2'!H104+'дод. 2'!H273</f>
        <v>0</v>
      </c>
      <c r="H40" s="191">
        <f>'дод. 2'!I104+'дод. 2'!I273</f>
        <v>0</v>
      </c>
      <c r="I40" s="191">
        <f>'дод. 2'!J104+'дод. 2'!J273</f>
        <v>0</v>
      </c>
      <c r="J40" s="191">
        <f>'дод. 2'!K104+'дод. 2'!K273</f>
        <v>43882933</v>
      </c>
      <c r="K40" s="191">
        <f>'дод. 2'!L104+'дод. 2'!L273</f>
        <v>8677823</v>
      </c>
      <c r="L40" s="191">
        <f>'дод. 2'!M104+'дод. 2'!M273</f>
        <v>0</v>
      </c>
      <c r="M40" s="191">
        <f>'дод. 2'!N104+'дод. 2'!N273</f>
        <v>0</v>
      </c>
      <c r="N40" s="191">
        <f>'дод. 2'!O104+'дод. 2'!O273</f>
        <v>35205110</v>
      </c>
      <c r="O40" s="191">
        <f>'дод. 2'!P104+'дод. 2'!P273</f>
        <v>35013300</v>
      </c>
      <c r="P40" s="191">
        <f t="shared" si="3"/>
        <v>308812907</v>
      </c>
      <c r="Q40" s="173"/>
      <c r="R40" s="173"/>
      <c r="X40" s="83"/>
      <c r="Y40" s="83"/>
    </row>
    <row r="41" spans="3:25" ht="22.5" customHeight="1">
      <c r="C41" s="47"/>
      <c r="D41" s="61" t="s">
        <v>512</v>
      </c>
      <c r="E41" s="191">
        <f>'дод. 2'!F105</f>
        <v>199179187</v>
      </c>
      <c r="F41" s="191">
        <f>'дод. 2'!G105</f>
        <v>199179187</v>
      </c>
      <c r="G41" s="191">
        <f>'дод. 2'!H105</f>
        <v>0</v>
      </c>
      <c r="H41" s="191">
        <f>'дод. 2'!I105</f>
        <v>0</v>
      </c>
      <c r="I41" s="191">
        <f>'дод. 2'!J105</f>
        <v>0</v>
      </c>
      <c r="J41" s="191">
        <f>'дод. 2'!K105</f>
        <v>0</v>
      </c>
      <c r="K41" s="191">
        <f>'дод. 2'!L105</f>
        <v>0</v>
      </c>
      <c r="L41" s="191">
        <f>'дод. 2'!M105</f>
        <v>0</v>
      </c>
      <c r="M41" s="191">
        <f>'дод. 2'!N105</f>
        <v>0</v>
      </c>
      <c r="N41" s="191">
        <f>'дод. 2'!O105</f>
        <v>0</v>
      </c>
      <c r="O41" s="191">
        <f>'дод. 2'!P105</f>
        <v>0</v>
      </c>
      <c r="P41" s="191">
        <f t="shared" si="3"/>
        <v>199179187</v>
      </c>
      <c r="Q41" s="173"/>
      <c r="R41" s="173"/>
      <c r="X41" s="83"/>
      <c r="Y41" s="83"/>
    </row>
    <row r="42" spans="2:25" ht="31.5">
      <c r="B42" s="47" t="s">
        <v>274</v>
      </c>
      <c r="C42" s="47" t="s">
        <v>275</v>
      </c>
      <c r="D42" s="61" t="s">
        <v>94</v>
      </c>
      <c r="E42" s="191">
        <f>'дод. 2'!F106</f>
        <v>29992760</v>
      </c>
      <c r="F42" s="191">
        <f>'дод. 2'!G106</f>
        <v>29992760</v>
      </c>
      <c r="G42" s="191">
        <f>'дод. 2'!H106</f>
        <v>0</v>
      </c>
      <c r="H42" s="191">
        <f>'дод. 2'!I106</f>
        <v>0</v>
      </c>
      <c r="I42" s="191">
        <f>'дод. 2'!J106</f>
        <v>0</v>
      </c>
      <c r="J42" s="191">
        <f>'дод. 2'!K106</f>
        <v>3524000</v>
      </c>
      <c r="K42" s="191">
        <f>'дод. 2'!L106</f>
        <v>24000</v>
      </c>
      <c r="L42" s="191">
        <f>'дод. 2'!M106</f>
        <v>0</v>
      </c>
      <c r="M42" s="191">
        <f>'дод. 2'!N106</f>
        <v>0</v>
      </c>
      <c r="N42" s="191">
        <f>'дод. 2'!O106</f>
        <v>3500000</v>
      </c>
      <c r="O42" s="191">
        <f>'дод. 2'!P106</f>
        <v>3500000</v>
      </c>
      <c r="P42" s="191">
        <f t="shared" si="3"/>
        <v>33516760</v>
      </c>
      <c r="Q42" s="173"/>
      <c r="R42" s="173"/>
      <c r="X42" s="83"/>
      <c r="Y42" s="83"/>
    </row>
    <row r="43" spans="3:25" ht="17.25" customHeight="1">
      <c r="C43" s="47"/>
      <c r="D43" s="61" t="s">
        <v>513</v>
      </c>
      <c r="E43" s="191">
        <f>'дод. 2'!F107</f>
        <v>20152092</v>
      </c>
      <c r="F43" s="191">
        <f>'дод. 2'!G107</f>
        <v>20152092</v>
      </c>
      <c r="G43" s="191">
        <f>'дод. 2'!H107</f>
        <v>0</v>
      </c>
      <c r="H43" s="191">
        <f>'дод. 2'!I107</f>
        <v>0</v>
      </c>
      <c r="I43" s="191">
        <f>'дод. 2'!J107</f>
        <v>0</v>
      </c>
      <c r="J43" s="191">
        <f>'дод. 2'!K107</f>
        <v>0</v>
      </c>
      <c r="K43" s="191">
        <f>'дод. 2'!L107</f>
        <v>0</v>
      </c>
      <c r="L43" s="191">
        <f>'дод. 2'!M107</f>
        <v>0</v>
      </c>
      <c r="M43" s="191">
        <f>'дод. 2'!N107</f>
        <v>0</v>
      </c>
      <c r="N43" s="191">
        <f>'дод. 2'!O107</f>
        <v>0</v>
      </c>
      <c r="O43" s="191">
        <f>'дод. 2'!P107</f>
        <v>0</v>
      </c>
      <c r="P43" s="191">
        <f t="shared" si="3"/>
        <v>20152092</v>
      </c>
      <c r="Q43" s="173"/>
      <c r="R43" s="173"/>
      <c r="X43" s="83"/>
      <c r="Y43" s="83"/>
    </row>
    <row r="44" spans="2:25" ht="27" customHeight="1">
      <c r="B44" s="47" t="s">
        <v>276</v>
      </c>
      <c r="C44" s="47" t="s">
        <v>277</v>
      </c>
      <c r="D44" s="61" t="s">
        <v>409</v>
      </c>
      <c r="E44" s="191">
        <f>'дод. 2'!F108</f>
        <v>2282045</v>
      </c>
      <c r="F44" s="191">
        <f>'дод. 2'!G108</f>
        <v>2282045</v>
      </c>
      <c r="G44" s="191">
        <f>'дод. 2'!H108</f>
        <v>0</v>
      </c>
      <c r="H44" s="191">
        <f>'дод. 2'!I108</f>
        <v>0</v>
      </c>
      <c r="I44" s="191">
        <f>'дод. 2'!J108</f>
        <v>0</v>
      </c>
      <c r="J44" s="191">
        <f>'дод. 2'!K108</f>
        <v>412100</v>
      </c>
      <c r="K44" s="191">
        <f>'дод. 2'!L108</f>
        <v>412100</v>
      </c>
      <c r="L44" s="191">
        <f>'дод. 2'!M108</f>
        <v>0</v>
      </c>
      <c r="M44" s="191">
        <f>'дод. 2'!N108</f>
        <v>0</v>
      </c>
      <c r="N44" s="191">
        <f>'дод. 2'!O108</f>
        <v>0</v>
      </c>
      <c r="O44" s="191">
        <f>'дод. 2'!P108</f>
        <v>0</v>
      </c>
      <c r="P44" s="191">
        <f t="shared" si="3"/>
        <v>2694145</v>
      </c>
      <c r="Q44" s="173"/>
      <c r="R44" s="173"/>
      <c r="X44" s="83"/>
      <c r="Y44" s="83"/>
    </row>
    <row r="45" spans="3:25" ht="17.25" customHeight="1">
      <c r="C45" s="47"/>
      <c r="D45" s="61" t="s">
        <v>513</v>
      </c>
      <c r="E45" s="191">
        <f>'дод. 2'!F109</f>
        <v>1744691</v>
      </c>
      <c r="F45" s="191">
        <f>'дод. 2'!G109</f>
        <v>1744691</v>
      </c>
      <c r="G45" s="191">
        <f>'дод. 2'!H109</f>
        <v>0</v>
      </c>
      <c r="H45" s="191">
        <f>'дод. 2'!I109</f>
        <v>0</v>
      </c>
      <c r="I45" s="191">
        <f>'дод. 2'!J109</f>
        <v>0</v>
      </c>
      <c r="J45" s="191">
        <f>'дод. 2'!K109</f>
        <v>0</v>
      </c>
      <c r="K45" s="191">
        <f>'дод. 2'!L109</f>
        <v>0</v>
      </c>
      <c r="L45" s="191">
        <f>'дод. 2'!M109</f>
        <v>0</v>
      </c>
      <c r="M45" s="191">
        <f>'дод. 2'!N109</f>
        <v>0</v>
      </c>
      <c r="N45" s="191">
        <f>'дод. 2'!O109</f>
        <v>0</v>
      </c>
      <c r="O45" s="191">
        <f>'дод. 2'!P109</f>
        <v>0</v>
      </c>
      <c r="P45" s="191">
        <f t="shared" si="3"/>
        <v>1744691</v>
      </c>
      <c r="Q45" s="173"/>
      <c r="R45" s="173"/>
      <c r="X45" s="83"/>
      <c r="Y45" s="83"/>
    </row>
    <row r="46" spans="2:25" ht="20.25" customHeight="1">
      <c r="B46" s="47" t="s">
        <v>278</v>
      </c>
      <c r="C46" s="47" t="s">
        <v>279</v>
      </c>
      <c r="D46" s="61" t="s">
        <v>96</v>
      </c>
      <c r="E46" s="191">
        <f>'дод. 2'!F110</f>
        <v>7238632</v>
      </c>
      <c r="F46" s="191">
        <f>'дод. 2'!G110</f>
        <v>7238632</v>
      </c>
      <c r="G46" s="191">
        <f>'дод. 2'!H110</f>
        <v>0</v>
      </c>
      <c r="H46" s="191">
        <f>'дод. 2'!I110</f>
        <v>0</v>
      </c>
      <c r="I46" s="191">
        <f>'дод. 2'!J110</f>
        <v>0</v>
      </c>
      <c r="J46" s="191">
        <f>'дод. 2'!K110</f>
        <v>4352000</v>
      </c>
      <c r="K46" s="191">
        <f>'дод. 2'!L110</f>
        <v>3352000</v>
      </c>
      <c r="L46" s="191">
        <f>'дод. 2'!M110</f>
        <v>0</v>
      </c>
      <c r="M46" s="191">
        <f>'дод. 2'!N110</f>
        <v>0</v>
      </c>
      <c r="N46" s="191">
        <f>'дод. 2'!O110</f>
        <v>1000000</v>
      </c>
      <c r="O46" s="191">
        <f>'дод. 2'!P110</f>
        <v>1000000</v>
      </c>
      <c r="P46" s="191">
        <f t="shared" si="3"/>
        <v>11590632</v>
      </c>
      <c r="Q46" s="173"/>
      <c r="R46" s="173"/>
      <c r="X46" s="83"/>
      <c r="Y46" s="83"/>
    </row>
    <row r="47" spans="3:25" ht="15" customHeight="1">
      <c r="C47" s="47"/>
      <c r="D47" s="61" t="s">
        <v>513</v>
      </c>
      <c r="E47" s="191">
        <f>'дод. 2'!F111</f>
        <v>5156330</v>
      </c>
      <c r="F47" s="191">
        <f>'дод. 2'!G111</f>
        <v>5156330</v>
      </c>
      <c r="G47" s="191">
        <f>'дод. 2'!H111</f>
        <v>0</v>
      </c>
      <c r="H47" s="191">
        <f>'дод. 2'!I111</f>
        <v>0</v>
      </c>
      <c r="I47" s="191">
        <f>'дод. 2'!J111</f>
        <v>0</v>
      </c>
      <c r="J47" s="191">
        <f>'дод. 2'!K111</f>
        <v>0</v>
      </c>
      <c r="K47" s="191">
        <f>'дод. 2'!L111</f>
        <v>0</v>
      </c>
      <c r="L47" s="191">
        <f>'дод. 2'!M111</f>
        <v>0</v>
      </c>
      <c r="M47" s="191">
        <f>'дод. 2'!N111</f>
        <v>0</v>
      </c>
      <c r="N47" s="191">
        <f>'дод. 2'!O111</f>
        <v>0</v>
      </c>
      <c r="O47" s="191">
        <f>'дод. 2'!P111</f>
        <v>0</v>
      </c>
      <c r="P47" s="191">
        <f t="shared" si="3"/>
        <v>5156330</v>
      </c>
      <c r="Q47" s="173"/>
      <c r="R47" s="173"/>
      <c r="X47" s="83"/>
      <c r="Y47" s="83"/>
    </row>
    <row r="48" spans="2:25" ht="27" customHeight="1">
      <c r="B48" s="47" t="s">
        <v>280</v>
      </c>
      <c r="C48" s="47" t="s">
        <v>281</v>
      </c>
      <c r="D48" s="61" t="s">
        <v>98</v>
      </c>
      <c r="E48" s="191">
        <f>'дод. 2'!F112</f>
        <v>14884811</v>
      </c>
      <c r="F48" s="191">
        <f>'дод. 2'!G112</f>
        <v>14884811</v>
      </c>
      <c r="G48" s="191">
        <f>'дод. 2'!H112</f>
        <v>0</v>
      </c>
      <c r="H48" s="191">
        <f>'дод. 2'!I112</f>
        <v>0</v>
      </c>
      <c r="I48" s="191">
        <f>'дод. 2'!J112</f>
        <v>0</v>
      </c>
      <c r="J48" s="191">
        <f>'дод. 2'!K112</f>
        <v>2018808</v>
      </c>
      <c r="K48" s="191">
        <f>'дод. 2'!L112</f>
        <v>156700</v>
      </c>
      <c r="L48" s="191">
        <f>'дод. 2'!M112</f>
        <v>0</v>
      </c>
      <c r="M48" s="191">
        <f>'дод. 2'!N112</f>
        <v>0</v>
      </c>
      <c r="N48" s="191">
        <f>'дод. 2'!O112</f>
        <v>1862108</v>
      </c>
      <c r="O48" s="191">
        <f>'дод. 2'!P112</f>
        <v>1862108</v>
      </c>
      <c r="P48" s="191">
        <f t="shared" si="3"/>
        <v>16903619</v>
      </c>
      <c r="Q48" s="173"/>
      <c r="R48" s="173"/>
      <c r="X48" s="83"/>
      <c r="Y48" s="83"/>
    </row>
    <row r="49" spans="3:25" ht="19.5" customHeight="1">
      <c r="C49" s="47"/>
      <c r="D49" s="61" t="s">
        <v>513</v>
      </c>
      <c r="E49" s="191">
        <f>'дод. 2'!F113</f>
        <v>10538125</v>
      </c>
      <c r="F49" s="191">
        <f>'дод. 2'!G113</f>
        <v>10538125</v>
      </c>
      <c r="G49" s="191">
        <f>'дод. 2'!H113</f>
        <v>0</v>
      </c>
      <c r="H49" s="191">
        <f>'дод. 2'!I113</f>
        <v>0</v>
      </c>
      <c r="I49" s="191">
        <f>'дод. 2'!J113</f>
        <v>0</v>
      </c>
      <c r="J49" s="191">
        <f>'дод. 2'!K113</f>
        <v>0</v>
      </c>
      <c r="K49" s="191">
        <f>'дод. 2'!L113</f>
        <v>0</v>
      </c>
      <c r="L49" s="191">
        <f>'дод. 2'!M113</f>
        <v>0</v>
      </c>
      <c r="M49" s="191">
        <f>'дод. 2'!N113</f>
        <v>0</v>
      </c>
      <c r="N49" s="191">
        <f>'дод. 2'!O113</f>
        <v>0</v>
      </c>
      <c r="O49" s="191">
        <f>'дод. 2'!P113</f>
        <v>0</v>
      </c>
      <c r="P49" s="191">
        <f t="shared" si="3"/>
        <v>10538125</v>
      </c>
      <c r="Q49" s="173"/>
      <c r="R49" s="173"/>
      <c r="X49" s="83"/>
      <c r="Y49" s="83"/>
    </row>
    <row r="50" spans="2:25" ht="52.5" customHeight="1">
      <c r="B50" s="47" t="s">
        <v>282</v>
      </c>
      <c r="C50" s="47" t="s">
        <v>283</v>
      </c>
      <c r="D50" s="61" t="s">
        <v>20</v>
      </c>
      <c r="E50" s="191">
        <f>'дод. 2'!F114</f>
        <v>898410</v>
      </c>
      <c r="F50" s="191">
        <f>'дод. 2'!G114</f>
        <v>898410</v>
      </c>
      <c r="G50" s="191">
        <f>'дод. 2'!H114</f>
        <v>0</v>
      </c>
      <c r="H50" s="191">
        <f>'дод. 2'!I114</f>
        <v>0</v>
      </c>
      <c r="I50" s="191">
        <f>'дод. 2'!J114</f>
        <v>0</v>
      </c>
      <c r="J50" s="191">
        <f>'дод. 2'!K114</f>
        <v>0</v>
      </c>
      <c r="K50" s="191">
        <f>'дод. 2'!L114</f>
        <v>0</v>
      </c>
      <c r="L50" s="191">
        <f>'дод. 2'!M114</f>
        <v>0</v>
      </c>
      <c r="M50" s="191">
        <f>'дод. 2'!N114</f>
        <v>0</v>
      </c>
      <c r="N50" s="191">
        <f>'дод. 2'!O114</f>
        <v>0</v>
      </c>
      <c r="O50" s="191">
        <f>'дод. 2'!P114</f>
        <v>0</v>
      </c>
      <c r="P50" s="191">
        <f t="shared" si="3"/>
        <v>898410</v>
      </c>
      <c r="Q50" s="173"/>
      <c r="R50" s="173"/>
      <c r="X50" s="83"/>
      <c r="Y50" s="83"/>
    </row>
    <row r="51" spans="3:25" ht="15.75">
      <c r="C51" s="47"/>
      <c r="D51" s="61" t="s">
        <v>513</v>
      </c>
      <c r="E51" s="191">
        <f>'дод. 2'!F115</f>
        <v>727608</v>
      </c>
      <c r="F51" s="191">
        <f>'дод. 2'!G115</f>
        <v>727608</v>
      </c>
      <c r="G51" s="191">
        <f>'дод. 2'!H115</f>
        <v>0</v>
      </c>
      <c r="H51" s="191">
        <f>'дод. 2'!I115</f>
        <v>0</v>
      </c>
      <c r="I51" s="191">
        <f>'дод. 2'!J115</f>
        <v>0</v>
      </c>
      <c r="J51" s="191">
        <f>'дод. 2'!K115</f>
        <v>0</v>
      </c>
      <c r="K51" s="191">
        <f>'дод. 2'!L115</f>
        <v>0</v>
      </c>
      <c r="L51" s="191">
        <f>'дод. 2'!M115</f>
        <v>0</v>
      </c>
      <c r="M51" s="191">
        <f>'дод. 2'!N115</f>
        <v>0</v>
      </c>
      <c r="N51" s="191">
        <f>'дод. 2'!O115</f>
        <v>0</v>
      </c>
      <c r="O51" s="191">
        <f>'дод. 2'!P115</f>
        <v>0</v>
      </c>
      <c r="P51" s="191">
        <f t="shared" si="3"/>
        <v>727608</v>
      </c>
      <c r="Q51" s="173"/>
      <c r="R51" s="173"/>
      <c r="X51" s="83"/>
      <c r="Y51" s="83"/>
    </row>
    <row r="52" spans="2:25" ht="26.25" customHeight="1">
      <c r="B52" s="128">
        <v>2210</v>
      </c>
      <c r="C52" s="128"/>
      <c r="D52" s="61" t="s">
        <v>435</v>
      </c>
      <c r="E52" s="191">
        <f>'дод. 2'!F116</f>
        <v>5312308</v>
      </c>
      <c r="F52" s="191">
        <f>'дод. 2'!G116</f>
        <v>5312308</v>
      </c>
      <c r="G52" s="191">
        <f>'дод. 2'!H116</f>
        <v>0</v>
      </c>
      <c r="H52" s="191">
        <f>'дод. 2'!I116</f>
        <v>0</v>
      </c>
      <c r="I52" s="191">
        <f>'дод. 2'!J116</f>
        <v>0</v>
      </c>
      <c r="J52" s="191">
        <f>'дод. 2'!K116</f>
        <v>0</v>
      </c>
      <c r="K52" s="191">
        <f>'дод. 2'!L116</f>
        <v>0</v>
      </c>
      <c r="L52" s="191">
        <f>'дод. 2'!M116</f>
        <v>0</v>
      </c>
      <c r="M52" s="191">
        <f>'дод. 2'!N116</f>
        <v>0</v>
      </c>
      <c r="N52" s="191">
        <f>'дод. 2'!O116</f>
        <v>0</v>
      </c>
      <c r="O52" s="191">
        <f>'дод. 2'!P116</f>
        <v>0</v>
      </c>
      <c r="P52" s="191">
        <f>'дод. 2'!Q116</f>
        <v>5312308</v>
      </c>
      <c r="Q52" s="173"/>
      <c r="R52" s="173"/>
      <c r="X52" s="83"/>
      <c r="Y52" s="83"/>
    </row>
    <row r="53" spans="2:25" ht="15.75">
      <c r="B53" s="128"/>
      <c r="C53" s="128"/>
      <c r="D53" s="61" t="s">
        <v>513</v>
      </c>
      <c r="E53" s="191">
        <f>'дод. 2'!F117</f>
        <v>5312308</v>
      </c>
      <c r="F53" s="191">
        <f>'дод. 2'!G117</f>
        <v>5312308</v>
      </c>
      <c r="G53" s="191">
        <f>'дод. 2'!H117</f>
        <v>0</v>
      </c>
      <c r="H53" s="191">
        <f>'дод. 2'!I117</f>
        <v>0</v>
      </c>
      <c r="I53" s="191">
        <f>'дод. 2'!J117</f>
        <v>0</v>
      </c>
      <c r="J53" s="191">
        <f>'дод. 2'!K117</f>
        <v>0</v>
      </c>
      <c r="K53" s="191">
        <f>'дод. 2'!L117</f>
        <v>0</v>
      </c>
      <c r="L53" s="191">
        <f>'дод. 2'!M117</f>
        <v>0</v>
      </c>
      <c r="M53" s="191">
        <f>'дод. 2'!N117</f>
        <v>0</v>
      </c>
      <c r="N53" s="191">
        <f>'дод. 2'!O117</f>
        <v>0</v>
      </c>
      <c r="O53" s="191">
        <f>'дод. 2'!P117</f>
        <v>0</v>
      </c>
      <c r="P53" s="191">
        <f>'дод. 2'!Q117</f>
        <v>5312308</v>
      </c>
      <c r="Q53" s="173"/>
      <c r="R53" s="173"/>
      <c r="X53" s="83"/>
      <c r="Y53" s="83"/>
    </row>
    <row r="54" spans="1:25" s="54" customFormat="1" ht="36.75" customHeight="1">
      <c r="A54" s="52"/>
      <c r="B54" s="129">
        <v>2214</v>
      </c>
      <c r="C54" s="51" t="s">
        <v>283</v>
      </c>
      <c r="D54" s="62" t="s">
        <v>436</v>
      </c>
      <c r="E54" s="141">
        <f>'дод. 2'!F118</f>
        <v>5312308</v>
      </c>
      <c r="F54" s="141">
        <f>'дод. 2'!G118</f>
        <v>5312308</v>
      </c>
      <c r="G54" s="141">
        <f>'дод. 2'!H118</f>
        <v>0</v>
      </c>
      <c r="H54" s="141">
        <f>'дод. 2'!I118</f>
        <v>0</v>
      </c>
      <c r="I54" s="141">
        <f>'дод. 2'!J118</f>
        <v>0</v>
      </c>
      <c r="J54" s="141">
        <f>'дод. 2'!K118</f>
        <v>0</v>
      </c>
      <c r="K54" s="141">
        <f>'дод. 2'!L118</f>
        <v>0</v>
      </c>
      <c r="L54" s="141">
        <f>'дод. 2'!M118</f>
        <v>0</v>
      </c>
      <c r="M54" s="141">
        <f>'дод. 2'!N118</f>
        <v>0</v>
      </c>
      <c r="N54" s="141">
        <f>'дод. 2'!O118</f>
        <v>0</v>
      </c>
      <c r="O54" s="141">
        <f>'дод. 2'!P118</f>
        <v>0</v>
      </c>
      <c r="P54" s="141">
        <f>'дод. 2'!Q118</f>
        <v>5312308</v>
      </c>
      <c r="Q54" s="173"/>
      <c r="R54" s="173"/>
      <c r="X54" s="130"/>
      <c r="Y54" s="130"/>
    </row>
    <row r="55" spans="1:25" s="54" customFormat="1" ht="18" customHeight="1">
      <c r="A55" s="52"/>
      <c r="B55" s="129"/>
      <c r="C55" s="51"/>
      <c r="D55" s="62" t="s">
        <v>513</v>
      </c>
      <c r="E55" s="141">
        <f>'дод. 2'!F119</f>
        <v>5312308</v>
      </c>
      <c r="F55" s="141">
        <f>'дод. 2'!G119</f>
        <v>5312308</v>
      </c>
      <c r="G55" s="141">
        <f>'дод. 2'!H119</f>
        <v>0</v>
      </c>
      <c r="H55" s="141">
        <f>'дод. 2'!I119</f>
        <v>0</v>
      </c>
      <c r="I55" s="141">
        <f>'дод. 2'!J119</f>
        <v>0</v>
      </c>
      <c r="J55" s="141">
        <f>'дод. 2'!K119</f>
        <v>0</v>
      </c>
      <c r="K55" s="141">
        <f>'дод. 2'!L119</f>
        <v>0</v>
      </c>
      <c r="L55" s="141">
        <f>'дод. 2'!M119</f>
        <v>0</v>
      </c>
      <c r="M55" s="141">
        <f>'дод. 2'!N119</f>
        <v>0</v>
      </c>
      <c r="N55" s="141">
        <f>'дод. 2'!O119</f>
        <v>0</v>
      </c>
      <c r="O55" s="141">
        <f>'дод. 2'!P119</f>
        <v>0</v>
      </c>
      <c r="P55" s="141">
        <f>'дод. 2'!Q119</f>
        <v>5312308</v>
      </c>
      <c r="Q55" s="173"/>
      <c r="R55" s="173"/>
      <c r="X55" s="130"/>
      <c r="Y55" s="130"/>
    </row>
    <row r="56" spans="2:25" ht="15.75">
      <c r="B56" s="47" t="s">
        <v>284</v>
      </c>
      <c r="C56" s="47" t="s">
        <v>283</v>
      </c>
      <c r="D56" s="61" t="s">
        <v>100</v>
      </c>
      <c r="E56" s="191">
        <f>E58+E60</f>
        <v>6017158</v>
      </c>
      <c r="F56" s="191">
        <f aca="true" t="shared" si="7" ref="F56:O56">F58+F60</f>
        <v>6017158</v>
      </c>
      <c r="G56" s="191">
        <f t="shared" si="7"/>
        <v>0</v>
      </c>
      <c r="H56" s="191">
        <f t="shared" si="7"/>
        <v>0</v>
      </c>
      <c r="I56" s="191">
        <f t="shared" si="7"/>
        <v>0</v>
      </c>
      <c r="J56" s="191">
        <f t="shared" si="7"/>
        <v>0</v>
      </c>
      <c r="K56" s="191">
        <f t="shared" si="7"/>
        <v>0</v>
      </c>
      <c r="L56" s="191">
        <f t="shared" si="7"/>
        <v>0</v>
      </c>
      <c r="M56" s="191">
        <f t="shared" si="7"/>
        <v>0</v>
      </c>
      <c r="N56" s="191">
        <f t="shared" si="7"/>
        <v>0</v>
      </c>
      <c r="O56" s="191">
        <f t="shared" si="7"/>
        <v>0</v>
      </c>
      <c r="P56" s="191">
        <f t="shared" si="3"/>
        <v>6017158</v>
      </c>
      <c r="Q56" s="173"/>
      <c r="R56" s="173"/>
      <c r="X56" s="83"/>
      <c r="Y56" s="83"/>
    </row>
    <row r="57" spans="3:25" ht="15.75">
      <c r="C57" s="47"/>
      <c r="D57" s="61" t="s">
        <v>513</v>
      </c>
      <c r="E57" s="191">
        <f>F57</f>
        <v>4055715</v>
      </c>
      <c r="F57" s="191">
        <f>F59+F61</f>
        <v>4055715</v>
      </c>
      <c r="G57" s="191">
        <f aca="true" t="shared" si="8" ref="G57:O57">G59</f>
        <v>0</v>
      </c>
      <c r="H57" s="191">
        <f t="shared" si="8"/>
        <v>0</v>
      </c>
      <c r="I57" s="191">
        <f t="shared" si="8"/>
        <v>0</v>
      </c>
      <c r="J57" s="191">
        <f t="shared" si="8"/>
        <v>0</v>
      </c>
      <c r="K57" s="191">
        <f t="shared" si="8"/>
        <v>0</v>
      </c>
      <c r="L57" s="191">
        <f t="shared" si="8"/>
        <v>0</v>
      </c>
      <c r="M57" s="191">
        <f t="shared" si="8"/>
        <v>0</v>
      </c>
      <c r="N57" s="191">
        <f t="shared" si="8"/>
        <v>0</v>
      </c>
      <c r="O57" s="191">
        <f t="shared" si="8"/>
        <v>0</v>
      </c>
      <c r="P57" s="191">
        <f>P59+P61</f>
        <v>4055715</v>
      </c>
      <c r="Q57" s="173"/>
      <c r="R57" s="173"/>
      <c r="X57" s="83"/>
      <c r="Y57" s="83"/>
    </row>
    <row r="58" spans="1:25" s="54" customFormat="1" ht="31.5">
      <c r="A58" s="52"/>
      <c r="B58" s="51" t="s">
        <v>284</v>
      </c>
      <c r="C58" s="51" t="s">
        <v>283</v>
      </c>
      <c r="D58" s="62" t="s">
        <v>102</v>
      </c>
      <c r="E58" s="141">
        <f>'дод. 2'!F122</f>
        <v>826395</v>
      </c>
      <c r="F58" s="141">
        <f>'дод. 2'!G122</f>
        <v>826395</v>
      </c>
      <c r="G58" s="141">
        <f>'дод. 2'!H122</f>
        <v>0</v>
      </c>
      <c r="H58" s="141">
        <f>'дод. 2'!I122</f>
        <v>0</v>
      </c>
      <c r="I58" s="141">
        <f>'дод. 2'!J122</f>
        <v>0</v>
      </c>
      <c r="J58" s="141">
        <f>'дод. 2'!K122</f>
        <v>0</v>
      </c>
      <c r="K58" s="141">
        <f>'дод. 2'!L122</f>
        <v>0</v>
      </c>
      <c r="L58" s="141">
        <f>'дод. 2'!M122</f>
        <v>0</v>
      </c>
      <c r="M58" s="141">
        <f>'дод. 2'!N122</f>
        <v>0</v>
      </c>
      <c r="N58" s="141">
        <f>'дод. 2'!O122</f>
        <v>0</v>
      </c>
      <c r="O58" s="141">
        <f>'дод. 2'!P122</f>
        <v>0</v>
      </c>
      <c r="P58" s="141">
        <f t="shared" si="3"/>
        <v>826395</v>
      </c>
      <c r="Q58" s="173"/>
      <c r="R58" s="173"/>
      <c r="X58" s="130"/>
      <c r="Y58" s="130"/>
    </row>
    <row r="59" spans="1:25" s="54" customFormat="1" ht="18.75" customHeight="1">
      <c r="A59" s="52"/>
      <c r="B59" s="51"/>
      <c r="C59" s="51"/>
      <c r="D59" s="62" t="s">
        <v>513</v>
      </c>
      <c r="E59" s="141">
        <f>'дод. 2'!F123</f>
        <v>695315</v>
      </c>
      <c r="F59" s="141">
        <f>'дод. 2'!G123</f>
        <v>695315</v>
      </c>
      <c r="G59" s="141">
        <f>'дод. 2'!H123</f>
        <v>0</v>
      </c>
      <c r="H59" s="141">
        <f>'дод. 2'!I123</f>
        <v>0</v>
      </c>
      <c r="I59" s="141">
        <f>'дод. 2'!J123</f>
        <v>0</v>
      </c>
      <c r="J59" s="141">
        <f>'дод. 2'!K123</f>
        <v>0</v>
      </c>
      <c r="K59" s="141">
        <f>'дод. 2'!L123</f>
        <v>0</v>
      </c>
      <c r="L59" s="141">
        <f>'дод. 2'!M123</f>
        <v>0</v>
      </c>
      <c r="M59" s="141">
        <f>'дод. 2'!N123</f>
        <v>0</v>
      </c>
      <c r="N59" s="141">
        <f>'дод. 2'!O123</f>
        <v>0</v>
      </c>
      <c r="O59" s="141">
        <f>'дод. 2'!P123</f>
        <v>0</v>
      </c>
      <c r="P59" s="141">
        <f t="shared" si="3"/>
        <v>695315</v>
      </c>
      <c r="Q59" s="173"/>
      <c r="R59" s="173"/>
      <c r="X59" s="130"/>
      <c r="Y59" s="130"/>
    </row>
    <row r="60" spans="1:25" s="54" customFormat="1" ht="15.75">
      <c r="A60" s="52"/>
      <c r="B60" s="51" t="s">
        <v>284</v>
      </c>
      <c r="C60" s="51" t="s">
        <v>283</v>
      </c>
      <c r="D60" s="62" t="s">
        <v>103</v>
      </c>
      <c r="E60" s="141">
        <f>'дод. 2'!F124</f>
        <v>5190763</v>
      </c>
      <c r="F60" s="141">
        <f>'дод. 2'!G124</f>
        <v>5190763</v>
      </c>
      <c r="G60" s="141">
        <f>'дод. 2'!H124</f>
        <v>0</v>
      </c>
      <c r="H60" s="141">
        <f>'дод. 2'!I124</f>
        <v>0</v>
      </c>
      <c r="I60" s="141">
        <f>'дод. 2'!J124</f>
        <v>0</v>
      </c>
      <c r="J60" s="141">
        <f>'дод. 2'!K124</f>
        <v>0</v>
      </c>
      <c r="K60" s="141">
        <f>'дод. 2'!L124</f>
        <v>0</v>
      </c>
      <c r="L60" s="141">
        <f>'дод. 2'!M124</f>
        <v>0</v>
      </c>
      <c r="M60" s="141">
        <f>'дод. 2'!N124</f>
        <v>0</v>
      </c>
      <c r="N60" s="141">
        <f>'дод. 2'!O124</f>
        <v>0</v>
      </c>
      <c r="O60" s="141">
        <f>'дод. 2'!P124</f>
        <v>0</v>
      </c>
      <c r="P60" s="141">
        <f t="shared" si="3"/>
        <v>5190763</v>
      </c>
      <c r="Q60" s="173"/>
      <c r="R60" s="173"/>
      <c r="X60" s="130"/>
      <c r="Y60" s="130"/>
    </row>
    <row r="61" spans="1:25" s="54" customFormat="1" ht="15.75">
      <c r="A61" s="52"/>
      <c r="B61" s="51"/>
      <c r="C61" s="51"/>
      <c r="D61" s="62" t="s">
        <v>513</v>
      </c>
      <c r="E61" s="141">
        <f>'дод. 2'!F125</f>
        <v>3360400</v>
      </c>
      <c r="F61" s="141">
        <f>'дод. 2'!G125</f>
        <v>3360400</v>
      </c>
      <c r="G61" s="141">
        <f>'дод. 2'!H125</f>
        <v>0</v>
      </c>
      <c r="H61" s="141">
        <f>'дод. 2'!I125</f>
        <v>0</v>
      </c>
      <c r="I61" s="141">
        <f>'дод. 2'!J125</f>
        <v>0</v>
      </c>
      <c r="J61" s="141">
        <f>'дод. 2'!K125</f>
        <v>0</v>
      </c>
      <c r="K61" s="141">
        <f>'дод. 2'!L125</f>
        <v>0</v>
      </c>
      <c r="L61" s="141">
        <f>'дод. 2'!M125</f>
        <v>0</v>
      </c>
      <c r="M61" s="141">
        <f>'дод. 2'!N125</f>
        <v>0</v>
      </c>
      <c r="N61" s="141">
        <f>'дод. 2'!O125</f>
        <v>0</v>
      </c>
      <c r="O61" s="141">
        <f>'дод. 2'!P125</f>
        <v>0</v>
      </c>
      <c r="P61" s="141">
        <f>'дод. 2'!Q125</f>
        <v>3360400</v>
      </c>
      <c r="Q61" s="173"/>
      <c r="R61" s="173"/>
      <c r="X61" s="130"/>
      <c r="Y61" s="130"/>
    </row>
    <row r="62" spans="1:25" s="88" customFormat="1" ht="25.5" customHeight="1">
      <c r="A62" s="87"/>
      <c r="B62" s="89" t="s">
        <v>285</v>
      </c>
      <c r="C62" s="58"/>
      <c r="D62" s="92" t="s">
        <v>286</v>
      </c>
      <c r="E62" s="190">
        <f>E87+E114+E118+E120+E128+E132+E133+E136+E137+E138+E141+E145+E122+E125+E127+E64+E79+E94+E115+E117</f>
        <v>904161272.2</v>
      </c>
      <c r="F62" s="190">
        <f aca="true" t="shared" si="9" ref="F62:P62">F87+F114+F118+F120+F128+F132+F133+F136+F137+F138+F141+F145+F122+F125+F127+F64+F79+F94+F115+F117</f>
        <v>904161272.2</v>
      </c>
      <c r="G62" s="190">
        <f t="shared" si="9"/>
        <v>10554571</v>
      </c>
      <c r="H62" s="190">
        <f t="shared" si="9"/>
        <v>1127600</v>
      </c>
      <c r="I62" s="190">
        <f t="shared" si="9"/>
        <v>0</v>
      </c>
      <c r="J62" s="190">
        <f t="shared" si="9"/>
        <v>1082915</v>
      </c>
      <c r="K62" s="190">
        <f t="shared" si="9"/>
        <v>48900</v>
      </c>
      <c r="L62" s="190">
        <f t="shared" si="9"/>
        <v>39000</v>
      </c>
      <c r="M62" s="190">
        <f t="shared" si="9"/>
        <v>0</v>
      </c>
      <c r="N62" s="190">
        <f t="shared" si="9"/>
        <v>1034015</v>
      </c>
      <c r="O62" s="190">
        <f t="shared" si="9"/>
        <v>1034015</v>
      </c>
      <c r="P62" s="190">
        <f t="shared" si="9"/>
        <v>905244187.2</v>
      </c>
      <c r="Q62" s="173"/>
      <c r="R62" s="173"/>
      <c r="X62" s="86"/>
      <c r="Y62" s="86"/>
    </row>
    <row r="63" spans="1:25" s="88" customFormat="1" ht="17.25" customHeight="1">
      <c r="A63" s="87"/>
      <c r="B63" s="89"/>
      <c r="C63" s="58"/>
      <c r="D63" s="92" t="s">
        <v>512</v>
      </c>
      <c r="E63" s="190">
        <f>E65+E80+E95+E116</f>
        <v>803918500</v>
      </c>
      <c r="F63" s="190">
        <f aca="true" t="shared" si="10" ref="F63:P63">F65+F80+F95+F116</f>
        <v>803918500</v>
      </c>
      <c r="G63" s="190">
        <f t="shared" si="10"/>
        <v>0</v>
      </c>
      <c r="H63" s="190">
        <f t="shared" si="10"/>
        <v>0</v>
      </c>
      <c r="I63" s="190">
        <f t="shared" si="10"/>
        <v>0</v>
      </c>
      <c r="J63" s="190">
        <f t="shared" si="10"/>
        <v>0</v>
      </c>
      <c r="K63" s="190">
        <f t="shared" si="10"/>
        <v>0</v>
      </c>
      <c r="L63" s="190">
        <f t="shared" si="10"/>
        <v>0</v>
      </c>
      <c r="M63" s="190">
        <f t="shared" si="10"/>
        <v>0</v>
      </c>
      <c r="N63" s="190">
        <f t="shared" si="10"/>
        <v>0</v>
      </c>
      <c r="O63" s="190">
        <f t="shared" si="10"/>
        <v>0</v>
      </c>
      <c r="P63" s="190">
        <f t="shared" si="10"/>
        <v>803918500</v>
      </c>
      <c r="Q63" s="173"/>
      <c r="R63" s="173"/>
      <c r="X63" s="86"/>
      <c r="Y63" s="86"/>
    </row>
    <row r="64" spans="1:25" s="88" customFormat="1" ht="72.75" customHeight="1">
      <c r="A64" s="87"/>
      <c r="B64" s="131" t="s">
        <v>439</v>
      </c>
      <c r="C64" s="131"/>
      <c r="D64" s="67" t="s">
        <v>440</v>
      </c>
      <c r="E64" s="191">
        <f>'дод. 2'!F134</f>
        <v>486900900</v>
      </c>
      <c r="F64" s="191">
        <f>'дод. 2'!G134</f>
        <v>486900900</v>
      </c>
      <c r="G64" s="191">
        <f>'дод. 2'!H134</f>
        <v>0</v>
      </c>
      <c r="H64" s="191">
        <f>'дод. 2'!I134</f>
        <v>0</v>
      </c>
      <c r="I64" s="191">
        <f>'дод. 2'!J134</f>
        <v>0</v>
      </c>
      <c r="J64" s="191">
        <f>'дод. 2'!K134</f>
        <v>0</v>
      </c>
      <c r="K64" s="191">
        <f>'дод. 2'!L134</f>
        <v>0</v>
      </c>
      <c r="L64" s="191">
        <f>'дод. 2'!M134</f>
        <v>0</v>
      </c>
      <c r="M64" s="191">
        <f>'дод. 2'!N134</f>
        <v>0</v>
      </c>
      <c r="N64" s="191">
        <f>'дод. 2'!O134</f>
        <v>0</v>
      </c>
      <c r="O64" s="191">
        <f>'дод. 2'!P134</f>
        <v>0</v>
      </c>
      <c r="P64" s="191">
        <f>'дод. 2'!Q134</f>
        <v>486900900</v>
      </c>
      <c r="Q64" s="173"/>
      <c r="R64" s="173"/>
      <c r="X64" s="86"/>
      <c r="Y64" s="86"/>
    </row>
    <row r="65" spans="1:25" s="88" customFormat="1" ht="25.5" customHeight="1">
      <c r="A65" s="87"/>
      <c r="B65" s="131"/>
      <c r="C65" s="131"/>
      <c r="D65" s="61" t="s">
        <v>513</v>
      </c>
      <c r="E65" s="191">
        <f>'дод. 2'!F135</f>
        <v>486900900</v>
      </c>
      <c r="F65" s="191">
        <f>'дод. 2'!G135</f>
        <v>486900900</v>
      </c>
      <c r="G65" s="191">
        <f>'дод. 2'!H135</f>
        <v>0</v>
      </c>
      <c r="H65" s="191">
        <f>'дод. 2'!I135</f>
        <v>0</v>
      </c>
      <c r="I65" s="191">
        <f>'дод. 2'!J135</f>
        <v>0</v>
      </c>
      <c r="J65" s="191">
        <f>'дод. 2'!K135</f>
        <v>0</v>
      </c>
      <c r="K65" s="191">
        <f>'дод. 2'!L135</f>
        <v>0</v>
      </c>
      <c r="L65" s="191">
        <f>'дод. 2'!M135</f>
        <v>0</v>
      </c>
      <c r="M65" s="191">
        <f>'дод. 2'!N135</f>
        <v>0</v>
      </c>
      <c r="N65" s="191">
        <f>'дод. 2'!O135</f>
        <v>0</v>
      </c>
      <c r="O65" s="191">
        <f>'дод. 2'!P135</f>
        <v>0</v>
      </c>
      <c r="P65" s="191">
        <f>'дод. 2'!Q135</f>
        <v>486900900</v>
      </c>
      <c r="Q65" s="173"/>
      <c r="R65" s="173"/>
      <c r="X65" s="86"/>
      <c r="Y65" s="86"/>
    </row>
    <row r="66" spans="1:25" s="138" customFormat="1" ht="214.5" customHeight="1">
      <c r="A66" s="136"/>
      <c r="B66" s="133" t="s">
        <v>442</v>
      </c>
      <c r="C66" s="133" t="s">
        <v>255</v>
      </c>
      <c r="D66" s="68" t="s">
        <v>443</v>
      </c>
      <c r="E66" s="141">
        <f>'дод. 2'!F136</f>
        <v>16054500</v>
      </c>
      <c r="F66" s="141">
        <f>'дод. 2'!G136</f>
        <v>16054500</v>
      </c>
      <c r="G66" s="141">
        <f>'дод. 2'!H136</f>
        <v>0</v>
      </c>
      <c r="H66" s="141">
        <f>'дод. 2'!I136</f>
        <v>0</v>
      </c>
      <c r="I66" s="141">
        <f>'дод. 2'!J136</f>
        <v>0</v>
      </c>
      <c r="J66" s="141">
        <f>'дод. 2'!K136</f>
        <v>0</v>
      </c>
      <c r="K66" s="141">
        <f>'дод. 2'!L136</f>
        <v>0</v>
      </c>
      <c r="L66" s="141">
        <f>'дод. 2'!M136</f>
        <v>0</v>
      </c>
      <c r="M66" s="141">
        <f>'дод. 2'!N136</f>
        <v>0</v>
      </c>
      <c r="N66" s="141">
        <f>'дод. 2'!O136</f>
        <v>0</v>
      </c>
      <c r="O66" s="141">
        <f>'дод. 2'!P136</f>
        <v>0</v>
      </c>
      <c r="P66" s="141">
        <f>'дод. 2'!Q136</f>
        <v>16054500</v>
      </c>
      <c r="Q66" s="173"/>
      <c r="R66" s="173"/>
      <c r="X66" s="137"/>
      <c r="Y66" s="137"/>
    </row>
    <row r="67" spans="1:25" s="138" customFormat="1" ht="25.5" customHeight="1">
      <c r="A67" s="136"/>
      <c r="B67" s="133"/>
      <c r="C67" s="133"/>
      <c r="D67" s="62" t="s">
        <v>513</v>
      </c>
      <c r="E67" s="192">
        <f>'дод. 2'!F137</f>
        <v>16054500</v>
      </c>
      <c r="F67" s="192">
        <f>'дод. 2'!G137</f>
        <v>16054500</v>
      </c>
      <c r="G67" s="192">
        <f>'дод. 2'!H137</f>
        <v>0</v>
      </c>
      <c r="H67" s="192">
        <f>'дод. 2'!I137</f>
        <v>0</v>
      </c>
      <c r="I67" s="192">
        <f>'дод. 2'!J137</f>
        <v>0</v>
      </c>
      <c r="J67" s="192">
        <f>'дод. 2'!K137</f>
        <v>0</v>
      </c>
      <c r="K67" s="192">
        <f>'дод. 2'!L137</f>
        <v>0</v>
      </c>
      <c r="L67" s="192">
        <f>'дод. 2'!M137</f>
        <v>0</v>
      </c>
      <c r="M67" s="192">
        <f>'дод. 2'!N137</f>
        <v>0</v>
      </c>
      <c r="N67" s="192">
        <f>'дод. 2'!O137</f>
        <v>0</v>
      </c>
      <c r="O67" s="192">
        <f>'дод. 2'!P137</f>
        <v>0</v>
      </c>
      <c r="P67" s="192">
        <f>'дод. 2'!Q137</f>
        <v>16054500</v>
      </c>
      <c r="Q67" s="173"/>
      <c r="R67" s="173"/>
      <c r="X67" s="137"/>
      <c r="Y67" s="137"/>
    </row>
    <row r="68" spans="1:25" s="138" customFormat="1" ht="293.25" customHeight="1">
      <c r="A68" s="136"/>
      <c r="B68" s="238" t="s">
        <v>445</v>
      </c>
      <c r="C68" s="240" t="s">
        <v>255</v>
      </c>
      <c r="D68" s="145" t="s">
        <v>498</v>
      </c>
      <c r="E68" s="193">
        <f>'дод. 2'!F138</f>
        <v>2463400</v>
      </c>
      <c r="F68" s="193">
        <f>'дод. 2'!G138</f>
        <v>2463400</v>
      </c>
      <c r="G68" s="193">
        <f>'дод. 2'!H138</f>
        <v>0</v>
      </c>
      <c r="H68" s="193">
        <f>'дод. 2'!I138</f>
        <v>0</v>
      </c>
      <c r="I68" s="193">
        <f>'дод. 2'!J138</f>
        <v>0</v>
      </c>
      <c r="J68" s="193">
        <f>'дод. 2'!K138</f>
        <v>0</v>
      </c>
      <c r="K68" s="193">
        <f>'дод. 2'!L138</f>
        <v>0</v>
      </c>
      <c r="L68" s="193">
        <f>'дод. 2'!M138</f>
        <v>0</v>
      </c>
      <c r="M68" s="193">
        <f>'дод. 2'!N138</f>
        <v>0</v>
      </c>
      <c r="N68" s="193">
        <f>'дод. 2'!O138</f>
        <v>0</v>
      </c>
      <c r="O68" s="193">
        <f>'дод. 2'!P138</f>
        <v>0</v>
      </c>
      <c r="P68" s="193">
        <f>'дод. 2'!Q138</f>
        <v>2463400</v>
      </c>
      <c r="Q68" s="173"/>
      <c r="R68" s="173"/>
      <c r="X68" s="137"/>
      <c r="Y68" s="137"/>
    </row>
    <row r="69" spans="1:25" s="138" customFormat="1" ht="199.5" customHeight="1">
      <c r="A69" s="136"/>
      <c r="B69" s="239"/>
      <c r="C69" s="241"/>
      <c r="D69" s="53" t="s">
        <v>446</v>
      </c>
      <c r="E69" s="194">
        <f>'дод. 2'!F139</f>
        <v>0</v>
      </c>
      <c r="F69" s="194">
        <f>'дод. 2'!G139</f>
        <v>0</v>
      </c>
      <c r="G69" s="194">
        <f>'дод. 2'!H139</f>
        <v>0</v>
      </c>
      <c r="H69" s="194">
        <f>'дод. 2'!I139</f>
        <v>0</v>
      </c>
      <c r="I69" s="194">
        <f>'дод. 2'!J139</f>
        <v>0</v>
      </c>
      <c r="J69" s="194">
        <f>'дод. 2'!K139</f>
        <v>0</v>
      </c>
      <c r="K69" s="194">
        <f>'дод. 2'!L139</f>
        <v>0</v>
      </c>
      <c r="L69" s="194">
        <f>'дод. 2'!M139</f>
        <v>0</v>
      </c>
      <c r="M69" s="194">
        <f>'дод. 2'!N139</f>
        <v>0</v>
      </c>
      <c r="N69" s="194">
        <f>'дод. 2'!O139</f>
        <v>0</v>
      </c>
      <c r="O69" s="194">
        <f>'дод. 2'!P139</f>
        <v>0</v>
      </c>
      <c r="P69" s="194">
        <f>'дод. 2'!Q139</f>
        <v>0</v>
      </c>
      <c r="Q69" s="173"/>
      <c r="R69" s="173"/>
      <c r="X69" s="137"/>
      <c r="Y69" s="137"/>
    </row>
    <row r="70" spans="1:25" s="138" customFormat="1" ht="25.5" customHeight="1">
      <c r="A70" s="136"/>
      <c r="B70" s="133"/>
      <c r="C70" s="133"/>
      <c r="D70" s="62" t="s">
        <v>513</v>
      </c>
      <c r="E70" s="194">
        <f>'дод. 2'!F140</f>
        <v>2463400</v>
      </c>
      <c r="F70" s="194">
        <f>'дод. 2'!G140</f>
        <v>2463400</v>
      </c>
      <c r="G70" s="194">
        <f>'дод. 2'!H140</f>
        <v>0</v>
      </c>
      <c r="H70" s="194">
        <f>'дод. 2'!I140</f>
        <v>0</v>
      </c>
      <c r="I70" s="194">
        <f>'дод. 2'!J140</f>
        <v>0</v>
      </c>
      <c r="J70" s="194">
        <f>'дод. 2'!K140</f>
        <v>0</v>
      </c>
      <c r="K70" s="194">
        <f>'дод. 2'!L140</f>
        <v>0</v>
      </c>
      <c r="L70" s="194">
        <f>'дод. 2'!M140</f>
        <v>0</v>
      </c>
      <c r="M70" s="194">
        <f>'дод. 2'!N140</f>
        <v>0</v>
      </c>
      <c r="N70" s="194">
        <f>'дод. 2'!O140</f>
        <v>0</v>
      </c>
      <c r="O70" s="194">
        <f>'дод. 2'!P140</f>
        <v>0</v>
      </c>
      <c r="P70" s="194">
        <f>'дод. 2'!Q140</f>
        <v>2463400</v>
      </c>
      <c r="Q70" s="173"/>
      <c r="R70" s="173"/>
      <c r="X70" s="137"/>
      <c r="Y70" s="137"/>
    </row>
    <row r="71" spans="1:25" s="138" customFormat="1" ht="107.25" customHeight="1">
      <c r="A71" s="136"/>
      <c r="B71" s="133" t="s">
        <v>448</v>
      </c>
      <c r="C71" s="133" t="s">
        <v>257</v>
      </c>
      <c r="D71" s="68" t="s">
        <v>449</v>
      </c>
      <c r="E71" s="141">
        <f>'дод. 2'!F141</f>
        <v>1634400</v>
      </c>
      <c r="F71" s="141">
        <f>'дод. 2'!G141</f>
        <v>1634400</v>
      </c>
      <c r="G71" s="141">
        <f>'дод. 2'!H141</f>
        <v>0</v>
      </c>
      <c r="H71" s="141">
        <f>'дод. 2'!I141</f>
        <v>0</v>
      </c>
      <c r="I71" s="141">
        <f>'дод. 2'!J141</f>
        <v>0</v>
      </c>
      <c r="J71" s="141">
        <f>'дод. 2'!K141</f>
        <v>0</v>
      </c>
      <c r="K71" s="141">
        <f>'дод. 2'!L141</f>
        <v>0</v>
      </c>
      <c r="L71" s="141">
        <f>'дод. 2'!M141</f>
        <v>0</v>
      </c>
      <c r="M71" s="141">
        <f>'дод. 2'!N141</f>
        <v>0</v>
      </c>
      <c r="N71" s="141">
        <f>'дод. 2'!O141</f>
        <v>0</v>
      </c>
      <c r="O71" s="141">
        <f>'дод. 2'!P141</f>
        <v>0</v>
      </c>
      <c r="P71" s="141">
        <f>'дод. 2'!Q141</f>
        <v>1634400</v>
      </c>
      <c r="Q71" s="173"/>
      <c r="R71" s="173"/>
      <c r="X71" s="137"/>
      <c r="Y71" s="137"/>
    </row>
    <row r="72" spans="1:25" s="138" customFormat="1" ht="25.5" customHeight="1">
      <c r="A72" s="136"/>
      <c r="B72" s="133"/>
      <c r="C72" s="133"/>
      <c r="D72" s="62" t="s">
        <v>513</v>
      </c>
      <c r="E72" s="141">
        <f>'дод. 2'!F142</f>
        <v>1634400</v>
      </c>
      <c r="F72" s="141">
        <f>'дод. 2'!G142</f>
        <v>1634400</v>
      </c>
      <c r="G72" s="141">
        <f>'дод. 2'!H142</f>
        <v>0</v>
      </c>
      <c r="H72" s="141">
        <f>'дод. 2'!I142</f>
        <v>0</v>
      </c>
      <c r="I72" s="141">
        <f>'дод. 2'!J142</f>
        <v>0</v>
      </c>
      <c r="J72" s="141">
        <f>'дод. 2'!K142</f>
        <v>0</v>
      </c>
      <c r="K72" s="141">
        <f>'дод. 2'!L142</f>
        <v>0</v>
      </c>
      <c r="L72" s="141">
        <f>'дод. 2'!M142</f>
        <v>0</v>
      </c>
      <c r="M72" s="141">
        <f>'дод. 2'!N142</f>
        <v>0</v>
      </c>
      <c r="N72" s="141">
        <f>'дод. 2'!O142</f>
        <v>0</v>
      </c>
      <c r="O72" s="141">
        <f>'дод. 2'!P142</f>
        <v>0</v>
      </c>
      <c r="P72" s="141">
        <f>'дод. 2'!Q142</f>
        <v>1634400</v>
      </c>
      <c r="Q72" s="173"/>
      <c r="R72" s="173"/>
      <c r="X72" s="137"/>
      <c r="Y72" s="137"/>
    </row>
    <row r="73" spans="1:25" s="138" customFormat="1" ht="177" customHeight="1">
      <c r="A73" s="136"/>
      <c r="B73" s="133" t="s">
        <v>451</v>
      </c>
      <c r="C73" s="133" t="s">
        <v>257</v>
      </c>
      <c r="D73" s="68" t="s">
        <v>452</v>
      </c>
      <c r="E73" s="141">
        <f>'дод. 2'!F143</f>
        <v>64700</v>
      </c>
      <c r="F73" s="141">
        <f>'дод. 2'!G143</f>
        <v>64700</v>
      </c>
      <c r="G73" s="141">
        <f>'дод. 2'!H143</f>
        <v>0</v>
      </c>
      <c r="H73" s="141">
        <f>'дод. 2'!I143</f>
        <v>0</v>
      </c>
      <c r="I73" s="141">
        <f>'дод. 2'!J143</f>
        <v>0</v>
      </c>
      <c r="J73" s="141">
        <f>'дод. 2'!K143</f>
        <v>0</v>
      </c>
      <c r="K73" s="141">
        <f>'дод. 2'!L143</f>
        <v>0</v>
      </c>
      <c r="L73" s="141">
        <f>'дод. 2'!M143</f>
        <v>0</v>
      </c>
      <c r="M73" s="141">
        <f>'дод. 2'!N143</f>
        <v>0</v>
      </c>
      <c r="N73" s="141">
        <f>'дод. 2'!O143</f>
        <v>0</v>
      </c>
      <c r="O73" s="141">
        <f>'дод. 2'!P143</f>
        <v>0</v>
      </c>
      <c r="P73" s="141">
        <f>'дод. 2'!Q143</f>
        <v>64700</v>
      </c>
      <c r="Q73" s="173"/>
      <c r="R73" s="173"/>
      <c r="X73" s="137"/>
      <c r="Y73" s="137"/>
    </row>
    <row r="74" spans="1:25" s="138" customFormat="1" ht="25.5" customHeight="1">
      <c r="A74" s="136"/>
      <c r="B74" s="133"/>
      <c r="C74" s="133"/>
      <c r="D74" s="62" t="s">
        <v>513</v>
      </c>
      <c r="E74" s="141">
        <f>'дод. 2'!F144</f>
        <v>64700</v>
      </c>
      <c r="F74" s="141">
        <f>'дод. 2'!G144</f>
        <v>64700</v>
      </c>
      <c r="G74" s="141">
        <f>'дод. 2'!H144</f>
        <v>0</v>
      </c>
      <c r="H74" s="141">
        <f>'дод. 2'!I144</f>
        <v>0</v>
      </c>
      <c r="I74" s="141">
        <f>'дод. 2'!J144</f>
        <v>0</v>
      </c>
      <c r="J74" s="141">
        <f>'дод. 2'!K144</f>
        <v>0</v>
      </c>
      <c r="K74" s="141">
        <f>'дод. 2'!L144</f>
        <v>0</v>
      </c>
      <c r="L74" s="141">
        <f>'дод. 2'!M144</f>
        <v>0</v>
      </c>
      <c r="M74" s="141">
        <f>'дод. 2'!N144</f>
        <v>0</v>
      </c>
      <c r="N74" s="141">
        <f>'дод. 2'!O144</f>
        <v>0</v>
      </c>
      <c r="O74" s="141">
        <f>'дод. 2'!P144</f>
        <v>0</v>
      </c>
      <c r="P74" s="141">
        <f>'дод. 2'!Q144</f>
        <v>64700</v>
      </c>
      <c r="Q74" s="173"/>
      <c r="R74" s="173"/>
      <c r="X74" s="137"/>
      <c r="Y74" s="137"/>
    </row>
    <row r="75" spans="1:25" s="138" customFormat="1" ht="43.5" customHeight="1">
      <c r="A75" s="136"/>
      <c r="B75" s="133" t="s">
        <v>454</v>
      </c>
      <c r="C75" s="133" t="s">
        <v>257</v>
      </c>
      <c r="D75" s="68" t="s">
        <v>455</v>
      </c>
      <c r="E75" s="141">
        <f>'дод. 2'!F145</f>
        <v>724400</v>
      </c>
      <c r="F75" s="141">
        <f>'дод. 2'!G145</f>
        <v>724400</v>
      </c>
      <c r="G75" s="141">
        <f>'дод. 2'!H145</f>
        <v>0</v>
      </c>
      <c r="H75" s="141">
        <f>'дод. 2'!I145</f>
        <v>0</v>
      </c>
      <c r="I75" s="141">
        <f>'дод. 2'!J145</f>
        <v>0</v>
      </c>
      <c r="J75" s="141">
        <f>'дод. 2'!K145</f>
        <v>0</v>
      </c>
      <c r="K75" s="141">
        <f>'дод. 2'!L145</f>
        <v>0</v>
      </c>
      <c r="L75" s="141">
        <f>'дод. 2'!M145</f>
        <v>0</v>
      </c>
      <c r="M75" s="141">
        <f>'дод. 2'!N145</f>
        <v>0</v>
      </c>
      <c r="N75" s="141">
        <f>'дод. 2'!O145</f>
        <v>0</v>
      </c>
      <c r="O75" s="141">
        <f>'дод. 2'!P145</f>
        <v>0</v>
      </c>
      <c r="P75" s="141">
        <f>'дод. 2'!Q145</f>
        <v>724400</v>
      </c>
      <c r="Q75" s="173"/>
      <c r="R75" s="173"/>
      <c r="X75" s="137"/>
      <c r="Y75" s="137"/>
    </row>
    <row r="76" spans="1:25" s="138" customFormat="1" ht="25.5" customHeight="1">
      <c r="A76" s="136"/>
      <c r="B76" s="133"/>
      <c r="C76" s="133"/>
      <c r="D76" s="62" t="s">
        <v>513</v>
      </c>
      <c r="E76" s="141">
        <f>'дод. 2'!F146</f>
        <v>724400</v>
      </c>
      <c r="F76" s="141">
        <f>'дод. 2'!G146</f>
        <v>724400</v>
      </c>
      <c r="G76" s="141">
        <f>'дод. 2'!H146</f>
        <v>0</v>
      </c>
      <c r="H76" s="141">
        <f>'дод. 2'!I146</f>
        <v>0</v>
      </c>
      <c r="I76" s="141">
        <f>'дод. 2'!J146</f>
        <v>0</v>
      </c>
      <c r="J76" s="141">
        <f>'дод. 2'!K146</f>
        <v>0</v>
      </c>
      <c r="K76" s="141">
        <f>'дод. 2'!L146</f>
        <v>0</v>
      </c>
      <c r="L76" s="141">
        <f>'дод. 2'!M146</f>
        <v>0</v>
      </c>
      <c r="M76" s="141">
        <f>'дод. 2'!N146</f>
        <v>0</v>
      </c>
      <c r="N76" s="141">
        <f>'дод. 2'!O146</f>
        <v>0</v>
      </c>
      <c r="O76" s="141">
        <f>'дод. 2'!P146</f>
        <v>0</v>
      </c>
      <c r="P76" s="141">
        <f>'дод. 2'!Q146</f>
        <v>724400</v>
      </c>
      <c r="Q76" s="173"/>
      <c r="R76" s="173"/>
      <c r="X76" s="137"/>
      <c r="Y76" s="137"/>
    </row>
    <row r="77" spans="1:25" s="138" customFormat="1" ht="53.25" customHeight="1">
      <c r="A77" s="136"/>
      <c r="B77" s="133" t="s">
        <v>457</v>
      </c>
      <c r="C77" s="133" t="s">
        <v>256</v>
      </c>
      <c r="D77" s="68" t="s">
        <v>458</v>
      </c>
      <c r="E77" s="141">
        <f>'дод. 2'!F147</f>
        <v>465959500</v>
      </c>
      <c r="F77" s="141">
        <f>'дод. 2'!G147</f>
        <v>465959500</v>
      </c>
      <c r="G77" s="141">
        <f>'дод. 2'!H147</f>
        <v>0</v>
      </c>
      <c r="H77" s="141">
        <f>'дод. 2'!I147</f>
        <v>0</v>
      </c>
      <c r="I77" s="141">
        <f>'дод. 2'!J147</f>
        <v>0</v>
      </c>
      <c r="J77" s="141">
        <f>'дод. 2'!K147</f>
        <v>0</v>
      </c>
      <c r="K77" s="141">
        <f>'дод. 2'!L147</f>
        <v>0</v>
      </c>
      <c r="L77" s="141">
        <f>'дод. 2'!M147</f>
        <v>0</v>
      </c>
      <c r="M77" s="141">
        <f>'дод. 2'!N147</f>
        <v>0</v>
      </c>
      <c r="N77" s="141">
        <f>'дод. 2'!O147</f>
        <v>0</v>
      </c>
      <c r="O77" s="141">
        <f>'дод. 2'!P147</f>
        <v>0</v>
      </c>
      <c r="P77" s="141">
        <f>'дод. 2'!Q147</f>
        <v>465959500</v>
      </c>
      <c r="Q77" s="173"/>
      <c r="R77" s="173"/>
      <c r="X77" s="137"/>
      <c r="Y77" s="137"/>
    </row>
    <row r="78" spans="1:25" s="138" customFormat="1" ht="25.5" customHeight="1">
      <c r="A78" s="136"/>
      <c r="B78" s="133"/>
      <c r="C78" s="133"/>
      <c r="D78" s="62" t="s">
        <v>513</v>
      </c>
      <c r="E78" s="141">
        <f>'дод. 2'!F148</f>
        <v>465959500</v>
      </c>
      <c r="F78" s="141">
        <f>'дод. 2'!G148</f>
        <v>465959500</v>
      </c>
      <c r="G78" s="141">
        <f>'дод. 2'!H148</f>
        <v>0</v>
      </c>
      <c r="H78" s="141">
        <f>'дод. 2'!I148</f>
        <v>0</v>
      </c>
      <c r="I78" s="141">
        <f>'дод. 2'!J148</f>
        <v>0</v>
      </c>
      <c r="J78" s="141">
        <f>'дод. 2'!K148</f>
        <v>0</v>
      </c>
      <c r="K78" s="141">
        <f>'дод. 2'!L148</f>
        <v>0</v>
      </c>
      <c r="L78" s="141">
        <f>'дод. 2'!M148</f>
        <v>0</v>
      </c>
      <c r="M78" s="141">
        <f>'дод. 2'!N148</f>
        <v>0</v>
      </c>
      <c r="N78" s="141">
        <f>'дод. 2'!O148</f>
        <v>0</v>
      </c>
      <c r="O78" s="141">
        <f>'дод. 2'!P148</f>
        <v>0</v>
      </c>
      <c r="P78" s="141">
        <f>'дод. 2'!Q148</f>
        <v>465959500</v>
      </c>
      <c r="Q78" s="173"/>
      <c r="R78" s="173"/>
      <c r="X78" s="137"/>
      <c r="Y78" s="137"/>
    </row>
    <row r="79" spans="1:25" s="88" customFormat="1" ht="58.5" customHeight="1">
      <c r="A79" s="87"/>
      <c r="B79" s="131" t="s">
        <v>460</v>
      </c>
      <c r="C79" s="131"/>
      <c r="D79" s="67" t="s">
        <v>461</v>
      </c>
      <c r="E79" s="191">
        <f>'дод. 2'!F149</f>
        <v>313500</v>
      </c>
      <c r="F79" s="191">
        <f>'дод. 2'!G149</f>
        <v>313500</v>
      </c>
      <c r="G79" s="191">
        <f>'дод. 2'!H149</f>
        <v>0</v>
      </c>
      <c r="H79" s="191">
        <f>'дод. 2'!I149</f>
        <v>0</v>
      </c>
      <c r="I79" s="191">
        <f>'дод. 2'!J149</f>
        <v>0</v>
      </c>
      <c r="J79" s="191">
        <f>'дод. 2'!K149</f>
        <v>0</v>
      </c>
      <c r="K79" s="191">
        <f>'дод. 2'!L149</f>
        <v>0</v>
      </c>
      <c r="L79" s="191">
        <f>'дод. 2'!M149</f>
        <v>0</v>
      </c>
      <c r="M79" s="191">
        <f>'дод. 2'!N149</f>
        <v>0</v>
      </c>
      <c r="N79" s="191">
        <f>'дод. 2'!O149</f>
        <v>0</v>
      </c>
      <c r="O79" s="191">
        <f>'дод. 2'!P149</f>
        <v>0</v>
      </c>
      <c r="P79" s="191">
        <f>'дод. 2'!Q149</f>
        <v>313500</v>
      </c>
      <c r="Q79" s="173"/>
      <c r="R79" s="173"/>
      <c r="X79" s="86"/>
      <c r="Y79" s="86"/>
    </row>
    <row r="80" spans="1:25" s="88" customFormat="1" ht="25.5" customHeight="1">
      <c r="A80" s="87"/>
      <c r="B80" s="131"/>
      <c r="C80" s="131"/>
      <c r="D80" s="61" t="s">
        <v>513</v>
      </c>
      <c r="E80" s="191">
        <f>'дод. 2'!F150</f>
        <v>313500</v>
      </c>
      <c r="F80" s="191">
        <f>'дод. 2'!G150</f>
        <v>313500</v>
      </c>
      <c r="G80" s="191">
        <f>'дод. 2'!H150</f>
        <v>0</v>
      </c>
      <c r="H80" s="191">
        <f>'дод. 2'!I150</f>
        <v>0</v>
      </c>
      <c r="I80" s="191">
        <f>'дод. 2'!J150</f>
        <v>0</v>
      </c>
      <c r="J80" s="191">
        <f>'дод. 2'!K150</f>
        <v>0</v>
      </c>
      <c r="K80" s="191">
        <f>'дод. 2'!L150</f>
        <v>0</v>
      </c>
      <c r="L80" s="191">
        <f>'дод. 2'!M150</f>
        <v>0</v>
      </c>
      <c r="M80" s="191">
        <f>'дод. 2'!N150</f>
        <v>0</v>
      </c>
      <c r="N80" s="191">
        <f>'дод. 2'!O150</f>
        <v>0</v>
      </c>
      <c r="O80" s="191">
        <f>'дод. 2'!P150</f>
        <v>0</v>
      </c>
      <c r="P80" s="191">
        <f>'дод. 2'!Q150</f>
        <v>313500</v>
      </c>
      <c r="Q80" s="173"/>
      <c r="R80" s="173"/>
      <c r="X80" s="86"/>
      <c r="Y80" s="86"/>
    </row>
    <row r="81" spans="1:25" s="138" customFormat="1" ht="195" customHeight="1">
      <c r="A81" s="136"/>
      <c r="B81" s="133" t="s">
        <v>463</v>
      </c>
      <c r="C81" s="133" t="s">
        <v>255</v>
      </c>
      <c r="D81" s="68" t="s">
        <v>464</v>
      </c>
      <c r="E81" s="141">
        <f>'дод. 2'!F151</f>
        <v>36189.020000000004</v>
      </c>
      <c r="F81" s="141">
        <f>'дод. 2'!G151</f>
        <v>36189.020000000004</v>
      </c>
      <c r="G81" s="141">
        <f>'дод. 2'!H151</f>
        <v>0</v>
      </c>
      <c r="H81" s="141">
        <f>'дод. 2'!I151</f>
        <v>0</v>
      </c>
      <c r="I81" s="141">
        <f>'дод. 2'!J151</f>
        <v>0</v>
      </c>
      <c r="J81" s="141">
        <f>'дод. 2'!K151</f>
        <v>0</v>
      </c>
      <c r="K81" s="141">
        <f>'дод. 2'!L151</f>
        <v>0</v>
      </c>
      <c r="L81" s="141">
        <f>'дод. 2'!M151</f>
        <v>0</v>
      </c>
      <c r="M81" s="141">
        <f>'дод. 2'!N151</f>
        <v>0</v>
      </c>
      <c r="N81" s="141">
        <f>'дод. 2'!O151</f>
        <v>0</v>
      </c>
      <c r="O81" s="141">
        <f>'дод. 2'!P151</f>
        <v>0</v>
      </c>
      <c r="P81" s="141">
        <f>'дод. 2'!Q151</f>
        <v>36189.020000000004</v>
      </c>
      <c r="Q81" s="173"/>
      <c r="R81" s="173"/>
      <c r="X81" s="137"/>
      <c r="Y81" s="137"/>
    </row>
    <row r="82" spans="1:25" s="138" customFormat="1" ht="25.5" customHeight="1">
      <c r="A82" s="136"/>
      <c r="B82" s="133"/>
      <c r="C82" s="133"/>
      <c r="D82" s="62" t="s">
        <v>513</v>
      </c>
      <c r="E82" s="141">
        <f>'дод. 2'!F152</f>
        <v>36189.020000000004</v>
      </c>
      <c r="F82" s="141">
        <f>'дод. 2'!G152</f>
        <v>36189.020000000004</v>
      </c>
      <c r="G82" s="141">
        <f>'дод. 2'!H152</f>
        <v>0</v>
      </c>
      <c r="H82" s="141">
        <f>'дод. 2'!I152</f>
        <v>0</v>
      </c>
      <c r="I82" s="141">
        <f>'дод. 2'!J152</f>
        <v>0</v>
      </c>
      <c r="J82" s="141">
        <f>'дод. 2'!K152</f>
        <v>0</v>
      </c>
      <c r="K82" s="141">
        <f>'дод. 2'!L152</f>
        <v>0</v>
      </c>
      <c r="L82" s="141">
        <f>'дод. 2'!M152</f>
        <v>0</v>
      </c>
      <c r="M82" s="141">
        <f>'дод. 2'!N152</f>
        <v>0</v>
      </c>
      <c r="N82" s="141">
        <f>'дод. 2'!O152</f>
        <v>0</v>
      </c>
      <c r="O82" s="141">
        <f>'дод. 2'!P152</f>
        <v>0</v>
      </c>
      <c r="P82" s="141">
        <f>'дод. 2'!Q152</f>
        <v>36189.020000000004</v>
      </c>
      <c r="Q82" s="173"/>
      <c r="R82" s="173"/>
      <c r="X82" s="137"/>
      <c r="Y82" s="137"/>
    </row>
    <row r="83" spans="1:25" s="138" customFormat="1" ht="40.5" customHeight="1">
      <c r="A83" s="136"/>
      <c r="B83" s="133" t="s">
        <v>466</v>
      </c>
      <c r="C83" s="133" t="s">
        <v>257</v>
      </c>
      <c r="D83" s="134" t="s">
        <v>467</v>
      </c>
      <c r="E83" s="141">
        <f>'дод. 2'!F153</f>
        <v>8035.26</v>
      </c>
      <c r="F83" s="141">
        <f>'дод. 2'!G153</f>
        <v>8035.26</v>
      </c>
      <c r="G83" s="141">
        <f>'дод. 2'!H153</f>
        <v>0</v>
      </c>
      <c r="H83" s="141">
        <f>'дод. 2'!I153</f>
        <v>0</v>
      </c>
      <c r="I83" s="141">
        <f>'дод. 2'!J153</f>
        <v>0</v>
      </c>
      <c r="J83" s="141">
        <f>'дод. 2'!K153</f>
        <v>0</v>
      </c>
      <c r="K83" s="141">
        <f>'дод. 2'!L153</f>
        <v>0</v>
      </c>
      <c r="L83" s="141">
        <f>'дод. 2'!M153</f>
        <v>0</v>
      </c>
      <c r="M83" s="141">
        <f>'дод. 2'!N153</f>
        <v>0</v>
      </c>
      <c r="N83" s="141">
        <f>'дод. 2'!O153</f>
        <v>0</v>
      </c>
      <c r="O83" s="141">
        <f>'дод. 2'!P153</f>
        <v>0</v>
      </c>
      <c r="P83" s="141">
        <f>'дод. 2'!Q153</f>
        <v>8035.26</v>
      </c>
      <c r="Q83" s="173"/>
      <c r="R83" s="173"/>
      <c r="X83" s="137"/>
      <c r="Y83" s="137"/>
    </row>
    <row r="84" spans="1:25" s="138" customFormat="1" ht="25.5" customHeight="1">
      <c r="A84" s="136"/>
      <c r="B84" s="133"/>
      <c r="C84" s="133"/>
      <c r="D84" s="62" t="s">
        <v>513</v>
      </c>
      <c r="E84" s="141">
        <f>'дод. 2'!F154</f>
        <v>8035.26</v>
      </c>
      <c r="F84" s="141">
        <f>'дод. 2'!G154</f>
        <v>8035.26</v>
      </c>
      <c r="G84" s="141">
        <f>'дод. 2'!H154</f>
        <v>0</v>
      </c>
      <c r="H84" s="141">
        <f>'дод. 2'!I154</f>
        <v>0</v>
      </c>
      <c r="I84" s="141">
        <f>'дод. 2'!J154</f>
        <v>0</v>
      </c>
      <c r="J84" s="141">
        <f>'дод. 2'!K154</f>
        <v>0</v>
      </c>
      <c r="K84" s="141">
        <f>'дод. 2'!L154</f>
        <v>0</v>
      </c>
      <c r="L84" s="141">
        <f>'дод. 2'!M154</f>
        <v>0</v>
      </c>
      <c r="M84" s="141">
        <f>'дод. 2'!N154</f>
        <v>0</v>
      </c>
      <c r="N84" s="141">
        <f>'дод. 2'!O154</f>
        <v>0</v>
      </c>
      <c r="O84" s="141">
        <f>'дод. 2'!P154</f>
        <v>0</v>
      </c>
      <c r="P84" s="141">
        <f>'дод. 2'!Q154</f>
        <v>8035.26</v>
      </c>
      <c r="Q84" s="173"/>
      <c r="R84" s="173"/>
      <c r="X84" s="137"/>
      <c r="Y84" s="137"/>
    </row>
    <row r="85" spans="1:25" s="138" customFormat="1" ht="47.25" customHeight="1">
      <c r="A85" s="136"/>
      <c r="B85" s="133" t="s">
        <v>469</v>
      </c>
      <c r="C85" s="133" t="s">
        <v>256</v>
      </c>
      <c r="D85" s="68" t="s">
        <v>470</v>
      </c>
      <c r="E85" s="141">
        <f>'дод. 2'!F155</f>
        <v>269275.72</v>
      </c>
      <c r="F85" s="141">
        <f>'дод. 2'!G155</f>
        <v>269275.72</v>
      </c>
      <c r="G85" s="141">
        <f>'дод. 2'!H155</f>
        <v>0</v>
      </c>
      <c r="H85" s="141">
        <f>'дод. 2'!I155</f>
        <v>0</v>
      </c>
      <c r="I85" s="141">
        <f>'дод. 2'!J155</f>
        <v>0</v>
      </c>
      <c r="J85" s="141">
        <f>'дод. 2'!K155</f>
        <v>0</v>
      </c>
      <c r="K85" s="141">
        <f>'дод. 2'!L155</f>
        <v>0</v>
      </c>
      <c r="L85" s="141">
        <f>'дод. 2'!M155</f>
        <v>0</v>
      </c>
      <c r="M85" s="141">
        <f>'дод. 2'!N155</f>
        <v>0</v>
      </c>
      <c r="N85" s="141">
        <f>'дод. 2'!O155</f>
        <v>0</v>
      </c>
      <c r="O85" s="141">
        <f>'дод. 2'!P155</f>
        <v>0</v>
      </c>
      <c r="P85" s="141">
        <f>'дод. 2'!Q155</f>
        <v>269275.72</v>
      </c>
      <c r="Q85" s="173"/>
      <c r="R85" s="173"/>
      <c r="X85" s="137"/>
      <c r="Y85" s="137"/>
    </row>
    <row r="86" spans="1:25" s="138" customFormat="1" ht="25.5" customHeight="1">
      <c r="A86" s="136"/>
      <c r="B86" s="133"/>
      <c r="C86" s="133"/>
      <c r="D86" s="62" t="s">
        <v>513</v>
      </c>
      <c r="E86" s="141">
        <f>'дод. 2'!F156</f>
        <v>269275.72</v>
      </c>
      <c r="F86" s="141">
        <f>'дод. 2'!G156</f>
        <v>269275.72</v>
      </c>
      <c r="G86" s="141">
        <f>'дод. 2'!H156</f>
        <v>0</v>
      </c>
      <c r="H86" s="141">
        <f>'дод. 2'!I156</f>
        <v>0</v>
      </c>
      <c r="I86" s="141">
        <f>'дод. 2'!J156</f>
        <v>0</v>
      </c>
      <c r="J86" s="141">
        <f>'дод. 2'!K156</f>
        <v>0</v>
      </c>
      <c r="K86" s="141">
        <f>'дод. 2'!L156</f>
        <v>0</v>
      </c>
      <c r="L86" s="141">
        <f>'дод. 2'!M156</f>
        <v>0</v>
      </c>
      <c r="M86" s="141">
        <f>'дод. 2'!N156</f>
        <v>0</v>
      </c>
      <c r="N86" s="141">
        <f>'дод. 2'!O156</f>
        <v>0</v>
      </c>
      <c r="O86" s="141">
        <f>'дод. 2'!P156</f>
        <v>0</v>
      </c>
      <c r="P86" s="141">
        <f>'дод. 2'!Q156</f>
        <v>269275.72</v>
      </c>
      <c r="Q86" s="173"/>
      <c r="R86" s="173"/>
      <c r="X86" s="137"/>
      <c r="Y86" s="137"/>
    </row>
    <row r="87" spans="2:25" ht="159.75" customHeight="1">
      <c r="B87" s="47" t="s">
        <v>383</v>
      </c>
      <c r="C87" s="69"/>
      <c r="D87" s="67" t="s">
        <v>108</v>
      </c>
      <c r="E87" s="191">
        <f>E88+E89+E90+E91+E93+E92</f>
        <v>38601040.2</v>
      </c>
      <c r="F87" s="191">
        <f>F88+F89+F90+F91+F93+F92</f>
        <v>38601040.2</v>
      </c>
      <c r="G87" s="191">
        <f aca="true" t="shared" si="11" ref="G87:O87">G88+G89+G90+G91+G93</f>
        <v>0</v>
      </c>
      <c r="H87" s="191">
        <f t="shared" si="11"/>
        <v>0</v>
      </c>
      <c r="I87" s="191">
        <f t="shared" si="11"/>
        <v>0</v>
      </c>
      <c r="J87" s="191">
        <f t="shared" si="11"/>
        <v>154612</v>
      </c>
      <c r="K87" s="191">
        <f t="shared" si="11"/>
        <v>0</v>
      </c>
      <c r="L87" s="191">
        <f t="shared" si="11"/>
        <v>0</v>
      </c>
      <c r="M87" s="191">
        <f t="shared" si="11"/>
        <v>0</v>
      </c>
      <c r="N87" s="191">
        <f t="shared" si="11"/>
        <v>154612</v>
      </c>
      <c r="O87" s="191">
        <f t="shared" si="11"/>
        <v>154612</v>
      </c>
      <c r="P87" s="191">
        <f aca="true" t="shared" si="12" ref="P87:P93">E87+J87</f>
        <v>38755652.2</v>
      </c>
      <c r="Q87" s="173"/>
      <c r="R87" s="173"/>
      <c r="X87" s="83"/>
      <c r="Y87" s="83"/>
    </row>
    <row r="88" spans="1:25" s="54" customFormat="1" ht="248.25" customHeight="1">
      <c r="A88" s="52"/>
      <c r="B88" s="51" t="s">
        <v>384</v>
      </c>
      <c r="C88" s="51" t="s">
        <v>255</v>
      </c>
      <c r="D88" s="68" t="s">
        <v>235</v>
      </c>
      <c r="E88" s="141">
        <f>'дод. 2'!F158</f>
        <v>270200</v>
      </c>
      <c r="F88" s="141">
        <f>'дод. 2'!G158</f>
        <v>270200</v>
      </c>
      <c r="G88" s="141">
        <f>'дод. 2'!H158</f>
        <v>0</v>
      </c>
      <c r="H88" s="141">
        <f>'дод. 2'!I158</f>
        <v>0</v>
      </c>
      <c r="I88" s="141">
        <f>'дод. 2'!J158</f>
        <v>0</v>
      </c>
      <c r="J88" s="141">
        <f>'дод. 2'!K158</f>
        <v>154612</v>
      </c>
      <c r="K88" s="141">
        <f>'дод. 2'!L158</f>
        <v>0</v>
      </c>
      <c r="L88" s="141">
        <f>'дод. 2'!M158</f>
        <v>0</v>
      </c>
      <c r="M88" s="141">
        <f>'дод. 2'!N158</f>
        <v>0</v>
      </c>
      <c r="N88" s="141">
        <f>'дод. 2'!O158</f>
        <v>154612</v>
      </c>
      <c r="O88" s="141">
        <f>'дод. 2'!P158</f>
        <v>154612</v>
      </c>
      <c r="P88" s="141">
        <f t="shared" si="12"/>
        <v>424812</v>
      </c>
      <c r="Q88" s="173"/>
      <c r="R88" s="173"/>
      <c r="X88" s="130"/>
      <c r="Y88" s="130"/>
    </row>
    <row r="89" spans="1:25" s="54" customFormat="1" ht="87" customHeight="1">
      <c r="A89" s="52"/>
      <c r="B89" s="51" t="s">
        <v>385</v>
      </c>
      <c r="C89" s="51" t="s">
        <v>257</v>
      </c>
      <c r="D89" s="68" t="s">
        <v>236</v>
      </c>
      <c r="E89" s="141">
        <f>'дод. 2'!F159</f>
        <v>74666</v>
      </c>
      <c r="F89" s="141">
        <f>'дод. 2'!G159</f>
        <v>74666</v>
      </c>
      <c r="G89" s="141">
        <f>'дод. 2'!H159</f>
        <v>0</v>
      </c>
      <c r="H89" s="141">
        <f>'дод. 2'!I159</f>
        <v>0</v>
      </c>
      <c r="I89" s="141">
        <f>'дод. 2'!J159</f>
        <v>0</v>
      </c>
      <c r="J89" s="141">
        <f>'дод. 2'!K159</f>
        <v>0</v>
      </c>
      <c r="K89" s="141">
        <f>'дод. 2'!L159</f>
        <v>0</v>
      </c>
      <c r="L89" s="141">
        <f>'дод. 2'!M159</f>
        <v>0</v>
      </c>
      <c r="M89" s="141">
        <f>'дод. 2'!N159</f>
        <v>0</v>
      </c>
      <c r="N89" s="141">
        <f>'дод. 2'!O159</f>
        <v>0</v>
      </c>
      <c r="O89" s="141">
        <f>'дод. 2'!P159</f>
        <v>0</v>
      </c>
      <c r="P89" s="141">
        <f t="shared" si="12"/>
        <v>74666</v>
      </c>
      <c r="Q89" s="173"/>
      <c r="R89" s="173"/>
      <c r="X89" s="130"/>
      <c r="Y89" s="130"/>
    </row>
    <row r="90" spans="1:25" s="54" customFormat="1" ht="38.25" customHeight="1">
      <c r="A90" s="52"/>
      <c r="B90" s="51" t="s">
        <v>386</v>
      </c>
      <c r="C90" s="51" t="s">
        <v>257</v>
      </c>
      <c r="D90" s="68" t="s">
        <v>228</v>
      </c>
      <c r="E90" s="141">
        <f>'дод. 2'!F160</f>
        <v>1577457</v>
      </c>
      <c r="F90" s="141">
        <f>'дод. 2'!G160</f>
        <v>1577457</v>
      </c>
      <c r="G90" s="141">
        <f>'дод. 2'!H160</f>
        <v>0</v>
      </c>
      <c r="H90" s="141">
        <f>'дод. 2'!I160</f>
        <v>0</v>
      </c>
      <c r="I90" s="141">
        <f>'дод. 2'!J160</f>
        <v>0</v>
      </c>
      <c r="J90" s="141">
        <f>'дод. 2'!K160</f>
        <v>0</v>
      </c>
      <c r="K90" s="141">
        <f>'дод. 2'!L160</f>
        <v>0</v>
      </c>
      <c r="L90" s="141">
        <f>'дод. 2'!M160</f>
        <v>0</v>
      </c>
      <c r="M90" s="141">
        <f>'дод. 2'!N160</f>
        <v>0</v>
      </c>
      <c r="N90" s="141">
        <f>'дод. 2'!O160</f>
        <v>0</v>
      </c>
      <c r="O90" s="141">
        <f>'дод. 2'!P160</f>
        <v>0</v>
      </c>
      <c r="P90" s="141">
        <f t="shared" si="12"/>
        <v>1577457</v>
      </c>
      <c r="Q90" s="173"/>
      <c r="R90" s="173"/>
      <c r="X90" s="130"/>
      <c r="Y90" s="130"/>
    </row>
    <row r="91" spans="1:25" s="54" customFormat="1" ht="39.75" customHeight="1">
      <c r="A91" s="52"/>
      <c r="B91" s="51" t="s">
        <v>333</v>
      </c>
      <c r="C91" s="51" t="s">
        <v>257</v>
      </c>
      <c r="D91" s="62" t="s">
        <v>237</v>
      </c>
      <c r="E91" s="141">
        <f>'дод. 2'!F161</f>
        <v>9946204.2</v>
      </c>
      <c r="F91" s="141">
        <f>'дод. 2'!G161</f>
        <v>9946204.2</v>
      </c>
      <c r="G91" s="141">
        <f>'дод. 2'!H161</f>
        <v>0</v>
      </c>
      <c r="H91" s="141">
        <f>'дод. 2'!I161</f>
        <v>0</v>
      </c>
      <c r="I91" s="141">
        <f>'дод. 2'!J161</f>
        <v>0</v>
      </c>
      <c r="J91" s="141">
        <f>'дод. 2'!K161</f>
        <v>0</v>
      </c>
      <c r="K91" s="141">
        <f>'дод. 2'!L161</f>
        <v>0</v>
      </c>
      <c r="L91" s="141">
        <f>'дод. 2'!M161</f>
        <v>0</v>
      </c>
      <c r="M91" s="141">
        <f>'дод. 2'!N161</f>
        <v>0</v>
      </c>
      <c r="N91" s="141">
        <f>'дод. 2'!O161</f>
        <v>0</v>
      </c>
      <c r="O91" s="141">
        <f>'дод. 2'!P161</f>
        <v>0</v>
      </c>
      <c r="P91" s="141">
        <f t="shared" si="12"/>
        <v>9946204.2</v>
      </c>
      <c r="Q91" s="173"/>
      <c r="R91" s="173"/>
      <c r="X91" s="130"/>
      <c r="Y91" s="130"/>
    </row>
    <row r="92" spans="1:25" s="54" customFormat="1" ht="44.25" customHeight="1">
      <c r="A92" s="52"/>
      <c r="B92" s="51" t="s">
        <v>531</v>
      </c>
      <c r="C92" s="51" t="s">
        <v>257</v>
      </c>
      <c r="D92" s="62" t="s">
        <v>530</v>
      </c>
      <c r="E92" s="141">
        <f>'дод. 2'!F162</f>
        <v>1500000</v>
      </c>
      <c r="F92" s="141">
        <f>'дод. 2'!G162</f>
        <v>1500000</v>
      </c>
      <c r="G92" s="141"/>
      <c r="H92" s="141"/>
      <c r="I92" s="141"/>
      <c r="J92" s="141"/>
      <c r="K92" s="141"/>
      <c r="L92" s="141"/>
      <c r="M92" s="141"/>
      <c r="N92" s="141"/>
      <c r="O92" s="141"/>
      <c r="P92" s="141">
        <f t="shared" si="12"/>
        <v>1500000</v>
      </c>
      <c r="Q92" s="173"/>
      <c r="R92" s="173"/>
      <c r="X92" s="130"/>
      <c r="Y92" s="130"/>
    </row>
    <row r="93" spans="1:25" s="54" customFormat="1" ht="35.25" customHeight="1">
      <c r="A93" s="52"/>
      <c r="B93" s="51" t="s">
        <v>336</v>
      </c>
      <c r="C93" s="51" t="s">
        <v>257</v>
      </c>
      <c r="D93" s="62" t="s">
        <v>23</v>
      </c>
      <c r="E93" s="141">
        <f>'дод. 2'!F163+'дод. 2'!F17</f>
        <v>25232513</v>
      </c>
      <c r="F93" s="141">
        <f>'дод. 2'!G163+'дод. 2'!G17</f>
        <v>25232513</v>
      </c>
      <c r="G93" s="141">
        <f>'дод. 2'!H163+'дод. 2'!H17</f>
        <v>0</v>
      </c>
      <c r="H93" s="141">
        <f>'дод. 2'!I163+'дод. 2'!I17</f>
        <v>0</v>
      </c>
      <c r="I93" s="141">
        <f>'дод. 2'!J163+'дод. 2'!J17</f>
        <v>0</v>
      </c>
      <c r="J93" s="141">
        <f>'дод. 2'!K163+'дод. 2'!K17</f>
        <v>0</v>
      </c>
      <c r="K93" s="141">
        <f>'дод. 2'!L163+'дод. 2'!L17</f>
        <v>0</v>
      </c>
      <c r="L93" s="141">
        <f>'дод. 2'!M163+'дод. 2'!M17</f>
        <v>0</v>
      </c>
      <c r="M93" s="141">
        <f>'дод. 2'!N163+'дод. 2'!N17</f>
        <v>0</v>
      </c>
      <c r="N93" s="141">
        <f>'дод. 2'!O163+'дод. 2'!O17</f>
        <v>0</v>
      </c>
      <c r="O93" s="141">
        <f>'дод. 2'!P163+'дод. 2'!P17</f>
        <v>0</v>
      </c>
      <c r="P93" s="141">
        <f t="shared" si="12"/>
        <v>25232513</v>
      </c>
      <c r="Q93" s="173"/>
      <c r="R93" s="173"/>
      <c r="X93" s="130"/>
      <c r="Y93" s="130"/>
    </row>
    <row r="94" spans="2:25" ht="47.25" customHeight="1">
      <c r="B94" s="128">
        <v>3040</v>
      </c>
      <c r="C94" s="128"/>
      <c r="D94" s="67" t="s">
        <v>471</v>
      </c>
      <c r="E94" s="191">
        <f>'дод. 2'!F164</f>
        <v>307126600</v>
      </c>
      <c r="F94" s="191">
        <f>'дод. 2'!G164</f>
        <v>307126600</v>
      </c>
      <c r="G94" s="191">
        <f>'дод. 2'!H164</f>
        <v>0</v>
      </c>
      <c r="H94" s="191">
        <f>'дод. 2'!I164</f>
        <v>0</v>
      </c>
      <c r="I94" s="191">
        <f>'дод. 2'!J164</f>
        <v>0</v>
      </c>
      <c r="J94" s="191">
        <f>'дод. 2'!K164</f>
        <v>0</v>
      </c>
      <c r="K94" s="191">
        <f>'дод. 2'!L164</f>
        <v>0</v>
      </c>
      <c r="L94" s="191">
        <f>'дод. 2'!M164</f>
        <v>0</v>
      </c>
      <c r="M94" s="191">
        <f>'дод. 2'!N164</f>
        <v>0</v>
      </c>
      <c r="N94" s="191">
        <f>'дод. 2'!O164</f>
        <v>0</v>
      </c>
      <c r="O94" s="191">
        <f>'дод. 2'!P164</f>
        <v>0</v>
      </c>
      <c r="P94" s="191">
        <f>'дод. 2'!Q164</f>
        <v>307126600</v>
      </c>
      <c r="Q94" s="173"/>
      <c r="R94" s="173"/>
      <c r="X94" s="83"/>
      <c r="Y94" s="83"/>
    </row>
    <row r="95" spans="2:25" ht="23.25" customHeight="1">
      <c r="B95" s="128"/>
      <c r="C95" s="128"/>
      <c r="D95" s="61" t="s">
        <v>513</v>
      </c>
      <c r="E95" s="191">
        <f>'дод. 2'!F165</f>
        <v>307126600</v>
      </c>
      <c r="F95" s="191">
        <f>'дод. 2'!G165</f>
        <v>307126600</v>
      </c>
      <c r="G95" s="191">
        <f>'дод. 2'!H165</f>
        <v>0</v>
      </c>
      <c r="H95" s="191">
        <f>'дод. 2'!I165</f>
        <v>0</v>
      </c>
      <c r="I95" s="191">
        <f>'дод. 2'!J165</f>
        <v>0</v>
      </c>
      <c r="J95" s="191">
        <f>'дод. 2'!K165</f>
        <v>0</v>
      </c>
      <c r="K95" s="191">
        <f>'дод. 2'!L165</f>
        <v>0</v>
      </c>
      <c r="L95" s="191">
        <f>'дод. 2'!M165</f>
        <v>0</v>
      </c>
      <c r="M95" s="191">
        <f>'дод. 2'!N165</f>
        <v>0</v>
      </c>
      <c r="N95" s="191">
        <f>'дод. 2'!O165</f>
        <v>0</v>
      </c>
      <c r="O95" s="191">
        <f>'дод. 2'!P165</f>
        <v>0</v>
      </c>
      <c r="P95" s="191">
        <f>'дод. 2'!Q165</f>
        <v>307126600</v>
      </c>
      <c r="Q95" s="173"/>
      <c r="R95" s="173"/>
      <c r="X95" s="83"/>
      <c r="Y95" s="83"/>
    </row>
    <row r="96" spans="1:25" s="54" customFormat="1" ht="20.25" customHeight="1">
      <c r="A96" s="52"/>
      <c r="B96" s="129">
        <v>3041</v>
      </c>
      <c r="C96" s="129">
        <v>1040</v>
      </c>
      <c r="D96" s="68" t="s">
        <v>472</v>
      </c>
      <c r="E96" s="141">
        <f>'дод. 2'!F166</f>
        <v>3435800</v>
      </c>
      <c r="F96" s="141">
        <f>'дод. 2'!G166</f>
        <v>3435800</v>
      </c>
      <c r="G96" s="141">
        <f>'дод. 2'!H166</f>
        <v>0</v>
      </c>
      <c r="H96" s="141">
        <f>'дод. 2'!I166</f>
        <v>0</v>
      </c>
      <c r="I96" s="141">
        <f>'дод. 2'!J166</f>
        <v>0</v>
      </c>
      <c r="J96" s="141">
        <f>'дод. 2'!K166</f>
        <v>0</v>
      </c>
      <c r="K96" s="141">
        <f>'дод. 2'!L166</f>
        <v>0</v>
      </c>
      <c r="L96" s="141">
        <f>'дод. 2'!M166</f>
        <v>0</v>
      </c>
      <c r="M96" s="141">
        <f>'дод. 2'!N166</f>
        <v>0</v>
      </c>
      <c r="N96" s="141">
        <f>'дод. 2'!O166</f>
        <v>0</v>
      </c>
      <c r="O96" s="141">
        <f>'дод. 2'!P166</f>
        <v>0</v>
      </c>
      <c r="P96" s="141">
        <f>'дод. 2'!Q166</f>
        <v>3435800</v>
      </c>
      <c r="Q96" s="173"/>
      <c r="R96" s="173"/>
      <c r="X96" s="130"/>
      <c r="Y96" s="130"/>
    </row>
    <row r="97" spans="1:25" s="54" customFormat="1" ht="20.25" customHeight="1">
      <c r="A97" s="52"/>
      <c r="B97" s="129"/>
      <c r="C97" s="129"/>
      <c r="D97" s="62" t="s">
        <v>513</v>
      </c>
      <c r="E97" s="141">
        <f>'дод. 2'!F167</f>
        <v>3435800</v>
      </c>
      <c r="F97" s="141">
        <f>'дод. 2'!G167</f>
        <v>3435800</v>
      </c>
      <c r="G97" s="141">
        <f>'дод. 2'!H167</f>
        <v>0</v>
      </c>
      <c r="H97" s="141">
        <f>'дод. 2'!I167</f>
        <v>0</v>
      </c>
      <c r="I97" s="141">
        <f>'дод. 2'!J167</f>
        <v>0</v>
      </c>
      <c r="J97" s="141">
        <f>'дод. 2'!K167</f>
        <v>0</v>
      </c>
      <c r="K97" s="141">
        <f>'дод. 2'!L167</f>
        <v>0</v>
      </c>
      <c r="L97" s="141">
        <f>'дод. 2'!M167</f>
        <v>0</v>
      </c>
      <c r="M97" s="141">
        <f>'дод. 2'!N167</f>
        <v>0</v>
      </c>
      <c r="N97" s="141">
        <f>'дод. 2'!O167</f>
        <v>0</v>
      </c>
      <c r="O97" s="141">
        <f>'дод. 2'!P167</f>
        <v>0</v>
      </c>
      <c r="P97" s="141">
        <f>'дод. 2'!Q167</f>
        <v>3435800</v>
      </c>
      <c r="Q97" s="173"/>
      <c r="R97" s="173"/>
      <c r="X97" s="130"/>
      <c r="Y97" s="130"/>
    </row>
    <row r="98" spans="1:25" s="54" customFormat="1" ht="25.5" customHeight="1">
      <c r="A98" s="52"/>
      <c r="B98" s="129">
        <v>3042</v>
      </c>
      <c r="C98" s="129">
        <v>1040</v>
      </c>
      <c r="D98" s="68" t="s">
        <v>523</v>
      </c>
      <c r="E98" s="141">
        <f>'дод. 2'!F168</f>
        <v>468000</v>
      </c>
      <c r="F98" s="141">
        <f>'дод. 2'!G168</f>
        <v>468000</v>
      </c>
      <c r="G98" s="141">
        <f>'дод. 2'!H168</f>
        <v>0</v>
      </c>
      <c r="H98" s="141">
        <f>'дод. 2'!I168</f>
        <v>0</v>
      </c>
      <c r="I98" s="141">
        <f>'дод. 2'!J168</f>
        <v>0</v>
      </c>
      <c r="J98" s="141">
        <f>'дод. 2'!K168</f>
        <v>0</v>
      </c>
      <c r="K98" s="141">
        <f>'дод. 2'!L168</f>
        <v>0</v>
      </c>
      <c r="L98" s="141">
        <f>'дод. 2'!M168</f>
        <v>0</v>
      </c>
      <c r="M98" s="141">
        <f>'дод. 2'!N168</f>
        <v>0</v>
      </c>
      <c r="N98" s="141">
        <f>'дод. 2'!O168</f>
        <v>0</v>
      </c>
      <c r="O98" s="141">
        <f>'дод. 2'!P168</f>
        <v>0</v>
      </c>
      <c r="P98" s="141">
        <f>'дод. 2'!Q168</f>
        <v>468000</v>
      </c>
      <c r="Q98" s="173"/>
      <c r="R98" s="173"/>
      <c r="X98" s="130"/>
      <c r="Y98" s="130"/>
    </row>
    <row r="99" spans="1:25" s="54" customFormat="1" ht="16.5" customHeight="1">
      <c r="A99" s="52"/>
      <c r="B99" s="129"/>
      <c r="C99" s="129"/>
      <c r="D99" s="62" t="s">
        <v>513</v>
      </c>
      <c r="E99" s="141">
        <f>'дод. 2'!F169</f>
        <v>468000</v>
      </c>
      <c r="F99" s="141">
        <f>'дод. 2'!G169</f>
        <v>468000</v>
      </c>
      <c r="G99" s="141">
        <f>'дод. 2'!H169</f>
        <v>0</v>
      </c>
      <c r="H99" s="141">
        <f>'дод. 2'!I169</f>
        <v>0</v>
      </c>
      <c r="I99" s="141">
        <f>'дод. 2'!J169</f>
        <v>0</v>
      </c>
      <c r="J99" s="141">
        <f>'дод. 2'!K169</f>
        <v>0</v>
      </c>
      <c r="K99" s="141">
        <f>'дод. 2'!L169</f>
        <v>0</v>
      </c>
      <c r="L99" s="141">
        <f>'дод. 2'!M169</f>
        <v>0</v>
      </c>
      <c r="M99" s="141">
        <f>'дод. 2'!N169</f>
        <v>0</v>
      </c>
      <c r="N99" s="141">
        <f>'дод. 2'!O169</f>
        <v>0</v>
      </c>
      <c r="O99" s="141">
        <f>'дод. 2'!P169</f>
        <v>0</v>
      </c>
      <c r="P99" s="141">
        <f>'дод. 2'!Q169</f>
        <v>468000</v>
      </c>
      <c r="Q99" s="173"/>
      <c r="R99" s="173"/>
      <c r="X99" s="130"/>
      <c r="Y99" s="130"/>
    </row>
    <row r="100" spans="1:25" s="54" customFormat="1" ht="24" customHeight="1">
      <c r="A100" s="52"/>
      <c r="B100" s="129">
        <v>3043</v>
      </c>
      <c r="C100" s="129">
        <v>1040</v>
      </c>
      <c r="D100" s="68" t="s">
        <v>473</v>
      </c>
      <c r="E100" s="141">
        <f>'дод. 2'!F170</f>
        <v>144214000</v>
      </c>
      <c r="F100" s="141">
        <f>'дод. 2'!G170</f>
        <v>144214000</v>
      </c>
      <c r="G100" s="141">
        <f>'дод. 2'!H170</f>
        <v>0</v>
      </c>
      <c r="H100" s="141">
        <f>'дод. 2'!I170</f>
        <v>0</v>
      </c>
      <c r="I100" s="141">
        <f>'дод. 2'!J170</f>
        <v>0</v>
      </c>
      <c r="J100" s="141">
        <f>'дод. 2'!K170</f>
        <v>0</v>
      </c>
      <c r="K100" s="141">
        <f>'дод. 2'!L170</f>
        <v>0</v>
      </c>
      <c r="L100" s="141">
        <f>'дод. 2'!M170</f>
        <v>0</v>
      </c>
      <c r="M100" s="141">
        <f>'дод. 2'!N170</f>
        <v>0</v>
      </c>
      <c r="N100" s="141">
        <f>'дод. 2'!O170</f>
        <v>0</v>
      </c>
      <c r="O100" s="141">
        <f>'дод. 2'!P170</f>
        <v>0</v>
      </c>
      <c r="P100" s="141">
        <f>'дод. 2'!Q170</f>
        <v>144214000</v>
      </c>
      <c r="Q100" s="173"/>
      <c r="R100" s="173"/>
      <c r="X100" s="130"/>
      <c r="Y100" s="130"/>
    </row>
    <row r="101" spans="1:25" s="54" customFormat="1" ht="18.75" customHeight="1">
      <c r="A101" s="52"/>
      <c r="B101" s="129"/>
      <c r="C101" s="129"/>
      <c r="D101" s="62" t="s">
        <v>513</v>
      </c>
      <c r="E101" s="141">
        <f>'дод. 2'!F171</f>
        <v>144214000</v>
      </c>
      <c r="F101" s="141">
        <f>'дод. 2'!G171</f>
        <v>144214000</v>
      </c>
      <c r="G101" s="141">
        <f>'дод. 2'!H171</f>
        <v>0</v>
      </c>
      <c r="H101" s="141">
        <f>'дод. 2'!I171</f>
        <v>0</v>
      </c>
      <c r="I101" s="141">
        <f>'дод. 2'!J171</f>
        <v>0</v>
      </c>
      <c r="J101" s="141">
        <f>'дод. 2'!K171</f>
        <v>0</v>
      </c>
      <c r="K101" s="141">
        <f>'дод. 2'!L171</f>
        <v>0</v>
      </c>
      <c r="L101" s="141">
        <f>'дод. 2'!M171</f>
        <v>0</v>
      </c>
      <c r="M101" s="141">
        <f>'дод. 2'!N171</f>
        <v>0</v>
      </c>
      <c r="N101" s="141">
        <f>'дод. 2'!O171</f>
        <v>0</v>
      </c>
      <c r="O101" s="141">
        <f>'дод. 2'!P171</f>
        <v>0</v>
      </c>
      <c r="P101" s="141">
        <f>'дод. 2'!Q171</f>
        <v>144214000</v>
      </c>
      <c r="Q101" s="173"/>
      <c r="R101" s="173"/>
      <c r="X101" s="130"/>
      <c r="Y101" s="130"/>
    </row>
    <row r="102" spans="1:25" s="54" customFormat="1" ht="35.25" customHeight="1">
      <c r="A102" s="52"/>
      <c r="B102" s="129">
        <v>3044</v>
      </c>
      <c r="C102" s="129">
        <v>1040</v>
      </c>
      <c r="D102" s="68" t="s">
        <v>474</v>
      </c>
      <c r="E102" s="141">
        <f>'дод. 2'!F172</f>
        <v>9856700</v>
      </c>
      <c r="F102" s="141">
        <f>'дод. 2'!G172</f>
        <v>9856700</v>
      </c>
      <c r="G102" s="141">
        <f>'дод. 2'!H172</f>
        <v>0</v>
      </c>
      <c r="H102" s="141">
        <f>'дод. 2'!I172</f>
        <v>0</v>
      </c>
      <c r="I102" s="141">
        <f>'дод. 2'!J172</f>
        <v>0</v>
      </c>
      <c r="J102" s="141">
        <f>'дод. 2'!K172</f>
        <v>0</v>
      </c>
      <c r="K102" s="141">
        <f>'дод. 2'!L172</f>
        <v>0</v>
      </c>
      <c r="L102" s="141">
        <f>'дод. 2'!M172</f>
        <v>0</v>
      </c>
      <c r="M102" s="141">
        <f>'дод. 2'!N172</f>
        <v>0</v>
      </c>
      <c r="N102" s="141">
        <f>'дод. 2'!O172</f>
        <v>0</v>
      </c>
      <c r="O102" s="141">
        <f>'дод. 2'!P172</f>
        <v>0</v>
      </c>
      <c r="P102" s="141">
        <f>'дод. 2'!Q172</f>
        <v>9856700</v>
      </c>
      <c r="Q102" s="173"/>
      <c r="R102" s="173"/>
      <c r="X102" s="130"/>
      <c r="Y102" s="130"/>
    </row>
    <row r="103" spans="1:25" s="54" customFormat="1" ht="16.5" customHeight="1">
      <c r="A103" s="52"/>
      <c r="B103" s="129"/>
      <c r="C103" s="129"/>
      <c r="D103" s="62" t="s">
        <v>513</v>
      </c>
      <c r="E103" s="141">
        <f>'дод. 2'!F173</f>
        <v>9856700</v>
      </c>
      <c r="F103" s="141">
        <f>'дод. 2'!G173</f>
        <v>9856700</v>
      </c>
      <c r="G103" s="141">
        <f>'дод. 2'!H173</f>
        <v>0</v>
      </c>
      <c r="H103" s="141">
        <f>'дод. 2'!I173</f>
        <v>0</v>
      </c>
      <c r="I103" s="141">
        <f>'дод. 2'!J173</f>
        <v>0</v>
      </c>
      <c r="J103" s="141">
        <f>'дод. 2'!K173</f>
        <v>0</v>
      </c>
      <c r="K103" s="141">
        <f>'дод. 2'!L173</f>
        <v>0</v>
      </c>
      <c r="L103" s="141">
        <f>'дод. 2'!M173</f>
        <v>0</v>
      </c>
      <c r="M103" s="141">
        <f>'дод. 2'!N173</f>
        <v>0</v>
      </c>
      <c r="N103" s="141">
        <f>'дод. 2'!O173</f>
        <v>0</v>
      </c>
      <c r="O103" s="141">
        <f>'дод. 2'!P173</f>
        <v>0</v>
      </c>
      <c r="P103" s="141">
        <f>'дод. 2'!Q173</f>
        <v>9856700</v>
      </c>
      <c r="Q103" s="173"/>
      <c r="R103" s="173"/>
      <c r="X103" s="130"/>
      <c r="Y103" s="130"/>
    </row>
    <row r="104" spans="1:25" s="54" customFormat="1" ht="25.5" customHeight="1">
      <c r="A104" s="52"/>
      <c r="B104" s="129">
        <v>3045</v>
      </c>
      <c r="C104" s="129">
        <v>1040</v>
      </c>
      <c r="D104" s="68" t="s">
        <v>475</v>
      </c>
      <c r="E104" s="141">
        <f>'дод. 2'!F174</f>
        <v>47203000</v>
      </c>
      <c r="F104" s="141">
        <f>'дод. 2'!G174</f>
        <v>47203000</v>
      </c>
      <c r="G104" s="141">
        <f>'дод. 2'!H174</f>
        <v>0</v>
      </c>
      <c r="H104" s="141">
        <f>'дод. 2'!I174</f>
        <v>0</v>
      </c>
      <c r="I104" s="141">
        <f>'дод. 2'!J174</f>
        <v>0</v>
      </c>
      <c r="J104" s="141">
        <f>'дод. 2'!K174</f>
        <v>0</v>
      </c>
      <c r="K104" s="141">
        <f>'дод. 2'!L174</f>
        <v>0</v>
      </c>
      <c r="L104" s="141">
        <f>'дод. 2'!M174</f>
        <v>0</v>
      </c>
      <c r="M104" s="141">
        <f>'дод. 2'!N174</f>
        <v>0</v>
      </c>
      <c r="N104" s="141">
        <f>'дод. 2'!O174</f>
        <v>0</v>
      </c>
      <c r="O104" s="141">
        <f>'дод. 2'!P174</f>
        <v>0</v>
      </c>
      <c r="P104" s="141">
        <f>'дод. 2'!Q174</f>
        <v>47203000</v>
      </c>
      <c r="Q104" s="173"/>
      <c r="R104" s="173"/>
      <c r="X104" s="130"/>
      <c r="Y104" s="130"/>
    </row>
    <row r="105" spans="1:25" s="54" customFormat="1" ht="17.25" customHeight="1">
      <c r="A105" s="52"/>
      <c r="B105" s="129"/>
      <c r="C105" s="129"/>
      <c r="D105" s="62" t="s">
        <v>513</v>
      </c>
      <c r="E105" s="141">
        <f>'дод. 2'!F175</f>
        <v>47203000</v>
      </c>
      <c r="F105" s="141">
        <f>'дод. 2'!G175</f>
        <v>47203000</v>
      </c>
      <c r="G105" s="141">
        <f>'дод. 2'!H175</f>
        <v>0</v>
      </c>
      <c r="H105" s="141">
        <f>'дод. 2'!I175</f>
        <v>0</v>
      </c>
      <c r="I105" s="141">
        <f>'дод. 2'!J175</f>
        <v>0</v>
      </c>
      <c r="J105" s="141">
        <f>'дод. 2'!K175</f>
        <v>0</v>
      </c>
      <c r="K105" s="141">
        <f>'дод. 2'!L175</f>
        <v>0</v>
      </c>
      <c r="L105" s="141">
        <f>'дод. 2'!M175</f>
        <v>0</v>
      </c>
      <c r="M105" s="141">
        <f>'дод. 2'!N175</f>
        <v>0</v>
      </c>
      <c r="N105" s="141">
        <f>'дод. 2'!O175</f>
        <v>0</v>
      </c>
      <c r="O105" s="141">
        <f>'дод. 2'!P175</f>
        <v>0</v>
      </c>
      <c r="P105" s="141">
        <f>'дод. 2'!Q175</f>
        <v>47203000</v>
      </c>
      <c r="Q105" s="173"/>
      <c r="R105" s="173"/>
      <c r="X105" s="130"/>
      <c r="Y105" s="130"/>
    </row>
    <row r="106" spans="1:25" s="54" customFormat="1" ht="25.5" customHeight="1">
      <c r="A106" s="52"/>
      <c r="B106" s="129">
        <v>3046</v>
      </c>
      <c r="C106" s="129">
        <v>1040</v>
      </c>
      <c r="D106" s="68" t="s">
        <v>476</v>
      </c>
      <c r="E106" s="141">
        <f>'дод. 2'!F176</f>
        <v>2590200</v>
      </c>
      <c r="F106" s="141">
        <f>'дод. 2'!G176</f>
        <v>2590200</v>
      </c>
      <c r="G106" s="141">
        <f>'дод. 2'!H176</f>
        <v>0</v>
      </c>
      <c r="H106" s="141">
        <f>'дод. 2'!I176</f>
        <v>0</v>
      </c>
      <c r="I106" s="141">
        <f>'дод. 2'!J176</f>
        <v>0</v>
      </c>
      <c r="J106" s="141">
        <f>'дод. 2'!K176</f>
        <v>0</v>
      </c>
      <c r="K106" s="141">
        <f>'дод. 2'!L176</f>
        <v>0</v>
      </c>
      <c r="L106" s="141">
        <f>'дод. 2'!M176</f>
        <v>0</v>
      </c>
      <c r="M106" s="141">
        <f>'дод. 2'!N176</f>
        <v>0</v>
      </c>
      <c r="N106" s="141">
        <f>'дод. 2'!O176</f>
        <v>0</v>
      </c>
      <c r="O106" s="141">
        <f>'дод. 2'!P176</f>
        <v>0</v>
      </c>
      <c r="P106" s="141">
        <f>'дод. 2'!Q176</f>
        <v>2590200</v>
      </c>
      <c r="Q106" s="173"/>
      <c r="R106" s="173"/>
      <c r="X106" s="130"/>
      <c r="Y106" s="130"/>
    </row>
    <row r="107" spans="1:25" s="54" customFormat="1" ht="13.5" customHeight="1">
      <c r="A107" s="52"/>
      <c r="B107" s="129"/>
      <c r="C107" s="129"/>
      <c r="D107" s="62" t="s">
        <v>513</v>
      </c>
      <c r="E107" s="141">
        <f>'дод. 2'!F177</f>
        <v>2590200</v>
      </c>
      <c r="F107" s="141">
        <f>'дод. 2'!G177</f>
        <v>2590200</v>
      </c>
      <c r="G107" s="141">
        <f>'дод. 2'!H177</f>
        <v>0</v>
      </c>
      <c r="H107" s="141">
        <f>'дод. 2'!I177</f>
        <v>0</v>
      </c>
      <c r="I107" s="141">
        <f>'дод. 2'!J177</f>
        <v>0</v>
      </c>
      <c r="J107" s="141">
        <f>'дод. 2'!K177</f>
        <v>0</v>
      </c>
      <c r="K107" s="141">
        <f>'дод. 2'!L177</f>
        <v>0</v>
      </c>
      <c r="L107" s="141">
        <f>'дод. 2'!M177</f>
        <v>0</v>
      </c>
      <c r="M107" s="141">
        <f>'дод. 2'!N177</f>
        <v>0</v>
      </c>
      <c r="N107" s="141">
        <f>'дод. 2'!O177</f>
        <v>0</v>
      </c>
      <c r="O107" s="141">
        <f>'дод. 2'!P177</f>
        <v>0</v>
      </c>
      <c r="P107" s="141">
        <f>'дод. 2'!Q177</f>
        <v>2590200</v>
      </c>
      <c r="Q107" s="173"/>
      <c r="R107" s="173"/>
      <c r="X107" s="130"/>
      <c r="Y107" s="130"/>
    </row>
    <row r="108" spans="1:25" s="54" customFormat="1" ht="18.75" customHeight="1">
      <c r="A108" s="52"/>
      <c r="B108" s="129">
        <v>3047</v>
      </c>
      <c r="C108" s="129">
        <v>1040</v>
      </c>
      <c r="D108" s="68" t="s">
        <v>477</v>
      </c>
      <c r="E108" s="141">
        <f>'дод. 2'!F178</f>
        <v>354300</v>
      </c>
      <c r="F108" s="141">
        <f>'дод. 2'!G178</f>
        <v>354300</v>
      </c>
      <c r="G108" s="141">
        <f>'дод. 2'!H178</f>
        <v>0</v>
      </c>
      <c r="H108" s="141">
        <f>'дод. 2'!I178</f>
        <v>0</v>
      </c>
      <c r="I108" s="141">
        <f>'дод. 2'!J178</f>
        <v>0</v>
      </c>
      <c r="J108" s="141">
        <f>'дод. 2'!K178</f>
        <v>0</v>
      </c>
      <c r="K108" s="141">
        <f>'дод. 2'!L178</f>
        <v>0</v>
      </c>
      <c r="L108" s="141">
        <f>'дод. 2'!M178</f>
        <v>0</v>
      </c>
      <c r="M108" s="141">
        <f>'дод. 2'!N178</f>
        <v>0</v>
      </c>
      <c r="N108" s="141">
        <f>'дод. 2'!O178</f>
        <v>0</v>
      </c>
      <c r="O108" s="141">
        <f>'дод. 2'!P178</f>
        <v>0</v>
      </c>
      <c r="P108" s="141">
        <f>'дод. 2'!Q178</f>
        <v>354300</v>
      </c>
      <c r="Q108" s="173"/>
      <c r="R108" s="173"/>
      <c r="X108" s="130"/>
      <c r="Y108" s="130"/>
    </row>
    <row r="109" spans="1:25" s="54" customFormat="1" ht="18" customHeight="1">
      <c r="A109" s="52"/>
      <c r="B109" s="129"/>
      <c r="C109" s="129"/>
      <c r="D109" s="62" t="s">
        <v>513</v>
      </c>
      <c r="E109" s="141">
        <f>'дод. 2'!F179</f>
        <v>354300</v>
      </c>
      <c r="F109" s="141">
        <f>'дод. 2'!G179</f>
        <v>354300</v>
      </c>
      <c r="G109" s="141">
        <f>'дод. 2'!H179</f>
        <v>0</v>
      </c>
      <c r="H109" s="141">
        <f>'дод. 2'!I179</f>
        <v>0</v>
      </c>
      <c r="I109" s="141">
        <f>'дод. 2'!J179</f>
        <v>0</v>
      </c>
      <c r="J109" s="141">
        <f>'дод. 2'!K179</f>
        <v>0</v>
      </c>
      <c r="K109" s="141">
        <f>'дод. 2'!L179</f>
        <v>0</v>
      </c>
      <c r="L109" s="141">
        <f>'дод. 2'!M179</f>
        <v>0</v>
      </c>
      <c r="M109" s="141">
        <f>'дод. 2'!N179</f>
        <v>0</v>
      </c>
      <c r="N109" s="141">
        <f>'дод. 2'!O179</f>
        <v>0</v>
      </c>
      <c r="O109" s="141">
        <f>'дод. 2'!P179</f>
        <v>0</v>
      </c>
      <c r="P109" s="141">
        <f>'дод. 2'!Q179</f>
        <v>354300</v>
      </c>
      <c r="Q109" s="173"/>
      <c r="R109" s="173"/>
      <c r="X109" s="130"/>
      <c r="Y109" s="130"/>
    </row>
    <row r="110" spans="1:25" s="54" customFormat="1" ht="36.75" customHeight="1">
      <c r="A110" s="52"/>
      <c r="B110" s="129">
        <v>3048</v>
      </c>
      <c r="C110" s="129">
        <v>1040</v>
      </c>
      <c r="D110" s="68" t="s">
        <v>478</v>
      </c>
      <c r="E110" s="141">
        <f>'дод. 2'!F180</f>
        <v>48309400</v>
      </c>
      <c r="F110" s="141">
        <f>'дод. 2'!G180</f>
        <v>48309400</v>
      </c>
      <c r="G110" s="141">
        <f>'дод. 2'!H180</f>
        <v>0</v>
      </c>
      <c r="H110" s="141">
        <f>'дод. 2'!I180</f>
        <v>0</v>
      </c>
      <c r="I110" s="141">
        <f>'дод. 2'!J180</f>
        <v>0</v>
      </c>
      <c r="J110" s="141">
        <f>'дод. 2'!K180</f>
        <v>0</v>
      </c>
      <c r="K110" s="141">
        <f>'дод. 2'!L180</f>
        <v>0</v>
      </c>
      <c r="L110" s="141">
        <f>'дод. 2'!M180</f>
        <v>0</v>
      </c>
      <c r="M110" s="141">
        <f>'дод. 2'!N180</f>
        <v>0</v>
      </c>
      <c r="N110" s="141">
        <f>'дод. 2'!O180</f>
        <v>0</v>
      </c>
      <c r="O110" s="141">
        <f>'дод. 2'!P180</f>
        <v>0</v>
      </c>
      <c r="P110" s="141">
        <f>'дод. 2'!Q180</f>
        <v>48309400</v>
      </c>
      <c r="Q110" s="173"/>
      <c r="R110" s="173"/>
      <c r="X110" s="130"/>
      <c r="Y110" s="130"/>
    </row>
    <row r="111" spans="1:25" s="54" customFormat="1" ht="18" customHeight="1">
      <c r="A111" s="52"/>
      <c r="B111" s="129"/>
      <c r="C111" s="129"/>
      <c r="D111" s="62" t="s">
        <v>513</v>
      </c>
      <c r="E111" s="141">
        <f>'дод. 2'!F181</f>
        <v>48309400</v>
      </c>
      <c r="F111" s="141">
        <f>'дод. 2'!G181</f>
        <v>48309400</v>
      </c>
      <c r="G111" s="141">
        <f>'дод. 2'!H181</f>
        <v>0</v>
      </c>
      <c r="H111" s="141">
        <f>'дод. 2'!I181</f>
        <v>0</v>
      </c>
      <c r="I111" s="141">
        <f>'дод. 2'!J181</f>
        <v>0</v>
      </c>
      <c r="J111" s="141">
        <f>'дод. 2'!K181</f>
        <v>0</v>
      </c>
      <c r="K111" s="141">
        <f>'дод. 2'!L181</f>
        <v>0</v>
      </c>
      <c r="L111" s="141">
        <f>'дод. 2'!M181</f>
        <v>0</v>
      </c>
      <c r="M111" s="141">
        <f>'дод. 2'!N181</f>
        <v>0</v>
      </c>
      <c r="N111" s="141">
        <f>'дод. 2'!O181</f>
        <v>0</v>
      </c>
      <c r="O111" s="141">
        <f>'дод. 2'!P181</f>
        <v>0</v>
      </c>
      <c r="P111" s="141">
        <f>'дод. 2'!Q181</f>
        <v>48309400</v>
      </c>
      <c r="Q111" s="173"/>
      <c r="R111" s="173"/>
      <c r="X111" s="130"/>
      <c r="Y111" s="130"/>
    </row>
    <row r="112" spans="1:25" s="54" customFormat="1" ht="32.25" customHeight="1">
      <c r="A112" s="52"/>
      <c r="B112" s="129">
        <v>3049</v>
      </c>
      <c r="C112" s="129">
        <v>1010</v>
      </c>
      <c r="D112" s="68" t="s">
        <v>479</v>
      </c>
      <c r="E112" s="141">
        <f>'дод. 2'!F182</f>
        <v>50695200</v>
      </c>
      <c r="F112" s="141">
        <f>'дод. 2'!G182</f>
        <v>50695200</v>
      </c>
      <c r="G112" s="141">
        <f>'дод. 2'!H182</f>
        <v>0</v>
      </c>
      <c r="H112" s="141">
        <f>'дод. 2'!I182</f>
        <v>0</v>
      </c>
      <c r="I112" s="141">
        <f>'дод. 2'!J182</f>
        <v>0</v>
      </c>
      <c r="J112" s="141">
        <f>'дод. 2'!K182</f>
        <v>0</v>
      </c>
      <c r="K112" s="141">
        <f>'дод. 2'!L182</f>
        <v>0</v>
      </c>
      <c r="L112" s="141">
        <f>'дод. 2'!M182</f>
        <v>0</v>
      </c>
      <c r="M112" s="141">
        <f>'дод. 2'!N182</f>
        <v>0</v>
      </c>
      <c r="N112" s="141">
        <f>'дод. 2'!O182</f>
        <v>0</v>
      </c>
      <c r="O112" s="141">
        <f>'дод. 2'!P182</f>
        <v>0</v>
      </c>
      <c r="P112" s="141">
        <f>'дод. 2'!Q182</f>
        <v>50695200</v>
      </c>
      <c r="Q112" s="173"/>
      <c r="R112" s="173"/>
      <c r="X112" s="130"/>
      <c r="Y112" s="130"/>
    </row>
    <row r="113" spans="1:25" s="54" customFormat="1" ht="18.75" customHeight="1">
      <c r="A113" s="52"/>
      <c r="B113" s="129"/>
      <c r="C113" s="129"/>
      <c r="D113" s="62" t="s">
        <v>513</v>
      </c>
      <c r="E113" s="141">
        <f>'дод. 2'!F183</f>
        <v>50695200</v>
      </c>
      <c r="F113" s="141">
        <f>'дод. 2'!G183</f>
        <v>50695200</v>
      </c>
      <c r="G113" s="141">
        <f>'дод. 2'!H183</f>
        <v>0</v>
      </c>
      <c r="H113" s="141">
        <f>'дод. 2'!I183</f>
        <v>0</v>
      </c>
      <c r="I113" s="141">
        <f>'дод. 2'!J183</f>
        <v>0</v>
      </c>
      <c r="J113" s="141">
        <f>'дод. 2'!K183</f>
        <v>0</v>
      </c>
      <c r="K113" s="141">
        <f>'дод. 2'!L183</f>
        <v>0</v>
      </c>
      <c r="L113" s="141">
        <f>'дод. 2'!M183</f>
        <v>0</v>
      </c>
      <c r="M113" s="141">
        <f>'дод. 2'!N183</f>
        <v>0</v>
      </c>
      <c r="N113" s="141">
        <f>'дод. 2'!O183</f>
        <v>0</v>
      </c>
      <c r="O113" s="141">
        <f>'дод. 2'!P183</f>
        <v>0</v>
      </c>
      <c r="P113" s="141">
        <f>'дод. 2'!Q183</f>
        <v>50695200</v>
      </c>
      <c r="Q113" s="173"/>
      <c r="R113" s="173"/>
      <c r="X113" s="130"/>
      <c r="Y113" s="130"/>
    </row>
    <row r="114" spans="2:25" ht="38.25" customHeight="1">
      <c r="B114" s="47" t="s">
        <v>388</v>
      </c>
      <c r="C114" s="47" t="s">
        <v>257</v>
      </c>
      <c r="D114" s="67" t="s">
        <v>109</v>
      </c>
      <c r="E114" s="191">
        <f>'дод. 2'!F184</f>
        <v>930500</v>
      </c>
      <c r="F114" s="191">
        <f>'дод. 2'!G184</f>
        <v>930500</v>
      </c>
      <c r="G114" s="191">
        <f>'дод. 2'!H184</f>
        <v>0</v>
      </c>
      <c r="H114" s="191">
        <f>'дод. 2'!I184</f>
        <v>0</v>
      </c>
      <c r="I114" s="191">
        <f>'дод. 2'!J184</f>
        <v>0</v>
      </c>
      <c r="J114" s="191">
        <f>'дод. 2'!K184</f>
        <v>0</v>
      </c>
      <c r="K114" s="191">
        <f>'дод. 2'!L184</f>
        <v>0</v>
      </c>
      <c r="L114" s="191">
        <f>'дод. 2'!M184</f>
        <v>0</v>
      </c>
      <c r="M114" s="191">
        <f>'дод. 2'!N184</f>
        <v>0</v>
      </c>
      <c r="N114" s="191">
        <f>'дод. 2'!O184</f>
        <v>0</v>
      </c>
      <c r="O114" s="191">
        <f>'дод. 2'!P184</f>
        <v>0</v>
      </c>
      <c r="P114" s="191">
        <f>E114+J114</f>
        <v>930500</v>
      </c>
      <c r="Q114" s="173"/>
      <c r="R114" s="173"/>
      <c r="X114" s="83"/>
      <c r="Y114" s="83"/>
    </row>
    <row r="115" spans="2:25" ht="41.25" customHeight="1">
      <c r="B115" s="128">
        <v>3080</v>
      </c>
      <c r="C115" s="128">
        <v>1010</v>
      </c>
      <c r="D115" s="67" t="s">
        <v>524</v>
      </c>
      <c r="E115" s="191">
        <f>'дод. 2'!F185</f>
        <v>9577500</v>
      </c>
      <c r="F115" s="191">
        <f>'дод. 2'!G185</f>
        <v>9577500</v>
      </c>
      <c r="G115" s="191">
        <f>'дод. 2'!H185</f>
        <v>0</v>
      </c>
      <c r="H115" s="191">
        <f>'дод. 2'!I185</f>
        <v>0</v>
      </c>
      <c r="I115" s="191">
        <f>'дод. 2'!J185</f>
        <v>0</v>
      </c>
      <c r="J115" s="191">
        <f>'дод. 2'!K185</f>
        <v>0</v>
      </c>
      <c r="K115" s="191">
        <f>'дод. 2'!L185</f>
        <v>0</v>
      </c>
      <c r="L115" s="191">
        <f>'дод. 2'!M185</f>
        <v>0</v>
      </c>
      <c r="M115" s="191">
        <f>'дод. 2'!N185</f>
        <v>0</v>
      </c>
      <c r="N115" s="191">
        <f>'дод. 2'!O185</f>
        <v>0</v>
      </c>
      <c r="O115" s="191">
        <f>'дод. 2'!P185</f>
        <v>0</v>
      </c>
      <c r="P115" s="191">
        <f>'дод. 2'!Q185</f>
        <v>9577500</v>
      </c>
      <c r="Q115" s="173"/>
      <c r="R115" s="173"/>
      <c r="X115" s="83"/>
      <c r="Y115" s="83"/>
    </row>
    <row r="116" spans="2:25" ht="23.25" customHeight="1">
      <c r="B116" s="128"/>
      <c r="C116" s="128"/>
      <c r="D116" s="61" t="s">
        <v>513</v>
      </c>
      <c r="E116" s="191">
        <f>'дод. 2'!F186</f>
        <v>9577500</v>
      </c>
      <c r="F116" s="191">
        <f>'дод. 2'!G186</f>
        <v>9577500</v>
      </c>
      <c r="G116" s="191">
        <f>'дод. 2'!H186</f>
        <v>0</v>
      </c>
      <c r="H116" s="191">
        <f>'дод. 2'!I186</f>
        <v>0</v>
      </c>
      <c r="I116" s="191">
        <f>'дод. 2'!J186</f>
        <v>0</v>
      </c>
      <c r="J116" s="191">
        <f>'дод. 2'!K186</f>
        <v>0</v>
      </c>
      <c r="K116" s="191">
        <f>'дод. 2'!L186</f>
        <v>0</v>
      </c>
      <c r="L116" s="191">
        <f>'дод. 2'!M186</f>
        <v>0</v>
      </c>
      <c r="M116" s="191">
        <f>'дод. 2'!N186</f>
        <v>0</v>
      </c>
      <c r="N116" s="191">
        <f>'дод. 2'!O186</f>
        <v>0</v>
      </c>
      <c r="O116" s="191">
        <f>'дод. 2'!P186</f>
        <v>0</v>
      </c>
      <c r="P116" s="191">
        <f>'дод. 2'!Q186</f>
        <v>9577500</v>
      </c>
      <c r="Q116" s="173"/>
      <c r="R116" s="173"/>
      <c r="X116" s="83"/>
      <c r="Y116" s="83"/>
    </row>
    <row r="117" spans="2:25" ht="39.75" customHeight="1">
      <c r="B117" s="128">
        <v>3090</v>
      </c>
      <c r="C117" s="128">
        <v>1030</v>
      </c>
      <c r="D117" s="135" t="s">
        <v>480</v>
      </c>
      <c r="E117" s="191">
        <f>'дод. 2'!F187</f>
        <v>196100</v>
      </c>
      <c r="F117" s="191">
        <f>'дод. 2'!G187</f>
        <v>196100</v>
      </c>
      <c r="G117" s="191">
        <f>'дод. 2'!H187</f>
        <v>0</v>
      </c>
      <c r="H117" s="191">
        <f>'дод. 2'!I187</f>
        <v>0</v>
      </c>
      <c r="I117" s="191">
        <f>'дод. 2'!J187</f>
        <v>0</v>
      </c>
      <c r="J117" s="191">
        <f>'дод. 2'!K187</f>
        <v>0</v>
      </c>
      <c r="K117" s="191">
        <f>'дод. 2'!L187</f>
        <v>0</v>
      </c>
      <c r="L117" s="191">
        <f>'дод. 2'!M187</f>
        <v>0</v>
      </c>
      <c r="M117" s="191">
        <f>'дод. 2'!N187</f>
        <v>0</v>
      </c>
      <c r="N117" s="191">
        <f>'дод. 2'!O187</f>
        <v>0</v>
      </c>
      <c r="O117" s="191">
        <f>'дод. 2'!P187</f>
        <v>0</v>
      </c>
      <c r="P117" s="191">
        <f>'дод. 2'!Q187</f>
        <v>196100</v>
      </c>
      <c r="Q117" s="173"/>
      <c r="R117" s="173"/>
      <c r="X117" s="83"/>
      <c r="Y117" s="83"/>
    </row>
    <row r="118" spans="2:25" ht="59.25" customHeight="1">
      <c r="B118" s="47" t="s">
        <v>389</v>
      </c>
      <c r="C118" s="69"/>
      <c r="D118" s="67" t="s">
        <v>110</v>
      </c>
      <c r="E118" s="191">
        <f>E119</f>
        <v>8342482</v>
      </c>
      <c r="F118" s="191">
        <f aca="true" t="shared" si="13" ref="F118:O118">F119</f>
        <v>8342482</v>
      </c>
      <c r="G118" s="191">
        <f t="shared" si="13"/>
        <v>6253700</v>
      </c>
      <c r="H118" s="191">
        <f t="shared" si="13"/>
        <v>195000</v>
      </c>
      <c r="I118" s="191">
        <f t="shared" si="13"/>
        <v>0</v>
      </c>
      <c r="J118" s="191">
        <f t="shared" si="13"/>
        <v>66803</v>
      </c>
      <c r="K118" s="191">
        <f t="shared" si="13"/>
        <v>48900</v>
      </c>
      <c r="L118" s="191">
        <f t="shared" si="13"/>
        <v>39000</v>
      </c>
      <c r="M118" s="191">
        <f t="shared" si="13"/>
        <v>0</v>
      </c>
      <c r="N118" s="191">
        <f t="shared" si="13"/>
        <v>17903</v>
      </c>
      <c r="O118" s="191">
        <f t="shared" si="13"/>
        <v>17903</v>
      </c>
      <c r="P118" s="191">
        <f aca="true" t="shared" si="14" ref="P118:P127">E118+J118</f>
        <v>8409285</v>
      </c>
      <c r="Q118" s="173"/>
      <c r="R118" s="173"/>
      <c r="X118" s="83"/>
      <c r="Y118" s="83"/>
    </row>
    <row r="119" spans="1:25" s="54" customFormat="1" ht="64.5" customHeight="1">
      <c r="A119" s="52"/>
      <c r="B119" s="51" t="s">
        <v>390</v>
      </c>
      <c r="C119" s="51" t="s">
        <v>253</v>
      </c>
      <c r="D119" s="68" t="s">
        <v>111</v>
      </c>
      <c r="E119" s="141">
        <f>'дод. 2'!F189</f>
        <v>8342482</v>
      </c>
      <c r="F119" s="141">
        <f>'дод. 2'!G189</f>
        <v>8342482</v>
      </c>
      <c r="G119" s="141">
        <f>'дод. 2'!H189</f>
        <v>6253700</v>
      </c>
      <c r="H119" s="141">
        <f>'дод. 2'!I189</f>
        <v>195000</v>
      </c>
      <c r="I119" s="141">
        <f>'дод. 2'!J189</f>
        <v>0</v>
      </c>
      <c r="J119" s="141">
        <f>'дод. 2'!K189</f>
        <v>66803</v>
      </c>
      <c r="K119" s="141">
        <f>'дод. 2'!L189</f>
        <v>48900</v>
      </c>
      <c r="L119" s="141">
        <f>'дод. 2'!M189</f>
        <v>39000</v>
      </c>
      <c r="M119" s="141">
        <f>'дод. 2'!N189</f>
        <v>0</v>
      </c>
      <c r="N119" s="141">
        <f>'дод. 2'!O189</f>
        <v>17903</v>
      </c>
      <c r="O119" s="141">
        <f>'дод. 2'!P189</f>
        <v>17903</v>
      </c>
      <c r="P119" s="141">
        <f t="shared" si="14"/>
        <v>8409285</v>
      </c>
      <c r="Q119" s="173"/>
      <c r="R119" s="173"/>
      <c r="X119" s="130"/>
      <c r="Y119" s="130"/>
    </row>
    <row r="120" spans="2:25" ht="27.75" customHeight="1">
      <c r="B120" s="47" t="s">
        <v>410</v>
      </c>
      <c r="C120" s="47"/>
      <c r="D120" s="67" t="s">
        <v>125</v>
      </c>
      <c r="E120" s="191">
        <f>E121</f>
        <v>63000</v>
      </c>
      <c r="F120" s="191">
        <f aca="true" t="shared" si="15" ref="F120:O120">F121</f>
        <v>63000</v>
      </c>
      <c r="G120" s="191">
        <f t="shared" si="15"/>
        <v>0</v>
      </c>
      <c r="H120" s="191">
        <f t="shared" si="15"/>
        <v>0</v>
      </c>
      <c r="I120" s="191">
        <f t="shared" si="15"/>
        <v>0</v>
      </c>
      <c r="J120" s="191">
        <f t="shared" si="15"/>
        <v>0</v>
      </c>
      <c r="K120" s="191">
        <f t="shared" si="15"/>
        <v>0</v>
      </c>
      <c r="L120" s="191">
        <f t="shared" si="15"/>
        <v>0</v>
      </c>
      <c r="M120" s="191">
        <f t="shared" si="15"/>
        <v>0</v>
      </c>
      <c r="N120" s="191">
        <f t="shared" si="15"/>
        <v>0</v>
      </c>
      <c r="O120" s="191">
        <f t="shared" si="15"/>
        <v>0</v>
      </c>
      <c r="P120" s="191">
        <f t="shared" si="14"/>
        <v>63000</v>
      </c>
      <c r="X120" s="83"/>
      <c r="Y120" s="83"/>
    </row>
    <row r="121" spans="1:25" s="54" customFormat="1" ht="41.25" customHeight="1">
      <c r="A121" s="52"/>
      <c r="B121" s="51" t="s">
        <v>391</v>
      </c>
      <c r="C121" s="51" t="s">
        <v>387</v>
      </c>
      <c r="D121" s="68" t="s">
        <v>122</v>
      </c>
      <c r="E121" s="141">
        <f>'дод. 2'!F213</f>
        <v>63000</v>
      </c>
      <c r="F121" s="141">
        <f>'дод. 2'!G213</f>
        <v>63000</v>
      </c>
      <c r="G121" s="141">
        <f>'дод. 2'!H213</f>
        <v>0</v>
      </c>
      <c r="H121" s="141">
        <f>'дод. 2'!I213</f>
        <v>0</v>
      </c>
      <c r="I121" s="141">
        <f>'дод. 2'!J213</f>
        <v>0</v>
      </c>
      <c r="J121" s="141">
        <f>'дод. 2'!K213</f>
        <v>0</v>
      </c>
      <c r="K121" s="141">
        <f>'дод. 2'!L213</f>
        <v>0</v>
      </c>
      <c r="L121" s="141">
        <f>'дод. 2'!M213</f>
        <v>0</v>
      </c>
      <c r="M121" s="141">
        <f>'дод. 2'!N213</f>
        <v>0</v>
      </c>
      <c r="N121" s="141">
        <f>'дод. 2'!O213</f>
        <v>0</v>
      </c>
      <c r="O121" s="141">
        <f>'дод. 2'!P213</f>
        <v>0</v>
      </c>
      <c r="P121" s="141">
        <f t="shared" si="14"/>
        <v>63000</v>
      </c>
      <c r="X121" s="130"/>
      <c r="Y121" s="130"/>
    </row>
    <row r="122" spans="2:25" ht="31.5">
      <c r="B122" s="47" t="s">
        <v>403</v>
      </c>
      <c r="C122" s="47"/>
      <c r="D122" s="67" t="s">
        <v>32</v>
      </c>
      <c r="E122" s="191">
        <f>E123+E124</f>
        <v>1507800</v>
      </c>
      <c r="F122" s="191">
        <f aca="true" t="shared" si="16" ref="F122:O122">F123+F124</f>
        <v>1507800</v>
      </c>
      <c r="G122" s="191">
        <f t="shared" si="16"/>
        <v>1114600</v>
      </c>
      <c r="H122" s="191">
        <f t="shared" si="16"/>
        <v>62600</v>
      </c>
      <c r="I122" s="191">
        <f t="shared" si="16"/>
        <v>0</v>
      </c>
      <c r="J122" s="191">
        <f t="shared" si="16"/>
        <v>0</v>
      </c>
      <c r="K122" s="191">
        <f t="shared" si="16"/>
        <v>0</v>
      </c>
      <c r="L122" s="191">
        <f t="shared" si="16"/>
        <v>0</v>
      </c>
      <c r="M122" s="191">
        <f t="shared" si="16"/>
        <v>0</v>
      </c>
      <c r="N122" s="191">
        <f t="shared" si="16"/>
        <v>0</v>
      </c>
      <c r="O122" s="191">
        <f t="shared" si="16"/>
        <v>0</v>
      </c>
      <c r="P122" s="191">
        <f t="shared" si="14"/>
        <v>1507800</v>
      </c>
      <c r="X122" s="83"/>
      <c r="Y122" s="83"/>
    </row>
    <row r="123" spans="1:25" s="54" customFormat="1" ht="27" customHeight="1">
      <c r="A123" s="52"/>
      <c r="B123" s="51" t="s">
        <v>404</v>
      </c>
      <c r="C123" s="51" t="s">
        <v>387</v>
      </c>
      <c r="D123" s="68" t="s">
        <v>36</v>
      </c>
      <c r="E123" s="141">
        <f>'дод. 2'!F19</f>
        <v>1459800</v>
      </c>
      <c r="F123" s="141">
        <f>'дод. 2'!G19</f>
        <v>1459800</v>
      </c>
      <c r="G123" s="141">
        <f>'дод. 2'!H19</f>
        <v>1114600</v>
      </c>
      <c r="H123" s="141">
        <f>'дод. 2'!I19</f>
        <v>62600</v>
      </c>
      <c r="I123" s="141">
        <f>'дод. 2'!J19</f>
        <v>0</v>
      </c>
      <c r="J123" s="141">
        <f>'дод. 2'!K19</f>
        <v>0</v>
      </c>
      <c r="K123" s="141">
        <f>'дод. 2'!L19</f>
        <v>0</v>
      </c>
      <c r="L123" s="141">
        <f>'дод. 2'!M19</f>
        <v>0</v>
      </c>
      <c r="M123" s="141">
        <f>'дод. 2'!N19</f>
        <v>0</v>
      </c>
      <c r="N123" s="141">
        <f>'дод. 2'!O19</f>
        <v>0</v>
      </c>
      <c r="O123" s="141">
        <f>'дод. 2'!P19</f>
        <v>0</v>
      </c>
      <c r="P123" s="141">
        <f t="shared" si="14"/>
        <v>1459800</v>
      </c>
      <c r="X123" s="130"/>
      <c r="Y123" s="130"/>
    </row>
    <row r="124" spans="1:25" s="54" customFormat="1" ht="35.25" customHeight="1">
      <c r="A124" s="52"/>
      <c r="B124" s="51" t="s">
        <v>405</v>
      </c>
      <c r="C124" s="51" t="s">
        <v>387</v>
      </c>
      <c r="D124" s="68" t="s">
        <v>37</v>
      </c>
      <c r="E124" s="141">
        <f>'дод. 2'!F20</f>
        <v>48000</v>
      </c>
      <c r="F124" s="141">
        <f>'дод. 2'!G20</f>
        <v>48000</v>
      </c>
      <c r="G124" s="141">
        <f>'дод. 2'!H20</f>
        <v>0</v>
      </c>
      <c r="H124" s="141">
        <f>'дод. 2'!I20</f>
        <v>0</v>
      </c>
      <c r="I124" s="141">
        <f>'дод. 2'!J20</f>
        <v>0</v>
      </c>
      <c r="J124" s="141">
        <f>'дод. 2'!K20</f>
        <v>0</v>
      </c>
      <c r="K124" s="141">
        <f>'дод. 2'!L20</f>
        <v>0</v>
      </c>
      <c r="L124" s="141">
        <f>'дод. 2'!M20</f>
        <v>0</v>
      </c>
      <c r="M124" s="141">
        <f>'дод. 2'!N20</f>
        <v>0</v>
      </c>
      <c r="N124" s="141">
        <f>'дод. 2'!O20</f>
        <v>0</v>
      </c>
      <c r="O124" s="141">
        <f>'дод. 2'!P20</f>
        <v>0</v>
      </c>
      <c r="P124" s="141">
        <f t="shared" si="14"/>
        <v>48000</v>
      </c>
      <c r="X124" s="130"/>
      <c r="Y124" s="130"/>
    </row>
    <row r="125" spans="2:25" ht="25.5" customHeight="1">
      <c r="B125" s="47" t="s">
        <v>406</v>
      </c>
      <c r="C125" s="47" t="s">
        <v>387</v>
      </c>
      <c r="D125" s="67" t="s">
        <v>485</v>
      </c>
      <c r="E125" s="191">
        <f>'дод. 2'!F21</f>
        <v>744135</v>
      </c>
      <c r="F125" s="191">
        <f>'дод. 2'!G21</f>
        <v>744135</v>
      </c>
      <c r="G125" s="191">
        <f>'дод. 2'!H21</f>
        <v>0</v>
      </c>
      <c r="H125" s="191">
        <f>'дод. 2'!I21</f>
        <v>0</v>
      </c>
      <c r="I125" s="191">
        <f>'дод. 2'!J21</f>
        <v>0</v>
      </c>
      <c r="J125" s="191">
        <f>'дод. 2'!K21</f>
        <v>0</v>
      </c>
      <c r="K125" s="191">
        <f>'дод. 2'!L21</f>
        <v>0</v>
      </c>
      <c r="L125" s="191">
        <f>'дод. 2'!M21</f>
        <v>0</v>
      </c>
      <c r="M125" s="191">
        <f>'дод. 2'!N21</f>
        <v>0</v>
      </c>
      <c r="N125" s="191">
        <f>'дод. 2'!O21</f>
        <v>0</v>
      </c>
      <c r="O125" s="191">
        <f>'дод. 2'!P21</f>
        <v>0</v>
      </c>
      <c r="P125" s="191">
        <f t="shared" si="14"/>
        <v>744135</v>
      </c>
      <c r="X125" s="83"/>
      <c r="Y125" s="83"/>
    </row>
    <row r="126" spans="2:25" ht="59.25" customHeight="1">
      <c r="B126" s="133" t="s">
        <v>515</v>
      </c>
      <c r="C126" s="133" t="s">
        <v>387</v>
      </c>
      <c r="D126" s="68" t="s">
        <v>516</v>
      </c>
      <c r="E126" s="191">
        <f>'дод. 2'!F22</f>
        <v>744135</v>
      </c>
      <c r="F126" s="191">
        <f>'дод. 2'!G22</f>
        <v>744135</v>
      </c>
      <c r="G126" s="191">
        <f>'дод. 2'!H22</f>
        <v>0</v>
      </c>
      <c r="H126" s="191">
        <f>'дод. 2'!I22</f>
        <v>0</v>
      </c>
      <c r="I126" s="191">
        <f>'дод. 2'!J22</f>
        <v>0</v>
      </c>
      <c r="J126" s="191">
        <f>'дод. 2'!K22</f>
        <v>0</v>
      </c>
      <c r="K126" s="191">
        <f>'дод. 2'!L22</f>
        <v>0</v>
      </c>
      <c r="L126" s="191">
        <f>'дод. 2'!M22</f>
        <v>0</v>
      </c>
      <c r="M126" s="191">
        <f>'дод. 2'!N22</f>
        <v>0</v>
      </c>
      <c r="N126" s="191">
        <f>'дод. 2'!O22</f>
        <v>0</v>
      </c>
      <c r="O126" s="191">
        <f>'дод. 2'!P22</f>
        <v>0</v>
      </c>
      <c r="P126" s="108">
        <f t="shared" si="14"/>
        <v>744135</v>
      </c>
      <c r="X126" s="83"/>
      <c r="Y126" s="83"/>
    </row>
    <row r="127" spans="2:25" ht="66" customHeight="1">
      <c r="B127" s="47" t="s">
        <v>408</v>
      </c>
      <c r="C127" s="47" t="s">
        <v>387</v>
      </c>
      <c r="D127" s="75" t="s">
        <v>39</v>
      </c>
      <c r="E127" s="191">
        <f>'дод. 2'!F23+'дод. 2'!F93</f>
        <v>7438280</v>
      </c>
      <c r="F127" s="191">
        <f>'дод. 2'!G23+'дод. 2'!G93</f>
        <v>7438280</v>
      </c>
      <c r="G127" s="191">
        <f>'дод. 2'!H23+'дод. 2'!H93</f>
        <v>0</v>
      </c>
      <c r="H127" s="191">
        <f>'дод. 2'!I23+'дод. 2'!I93</f>
        <v>0</v>
      </c>
      <c r="I127" s="191">
        <f>'дод. 2'!J23+'дод. 2'!J93</f>
        <v>0</v>
      </c>
      <c r="J127" s="191">
        <f>'дод. 2'!K23+'дод. 2'!K93</f>
        <v>0</v>
      </c>
      <c r="K127" s="191">
        <f>'дод. 2'!L23+'дод. 2'!L93</f>
        <v>0</v>
      </c>
      <c r="L127" s="191">
        <f>'дод. 2'!M23+'дод. 2'!M93</f>
        <v>0</v>
      </c>
      <c r="M127" s="191">
        <f>'дод. 2'!N23+'дод. 2'!N93</f>
        <v>0</v>
      </c>
      <c r="N127" s="191">
        <f>'дод. 2'!O23+'дод. 2'!O93</f>
        <v>0</v>
      </c>
      <c r="O127" s="191">
        <f>'дод. 2'!P23+'дод. 2'!P93</f>
        <v>0</v>
      </c>
      <c r="P127" s="191">
        <f t="shared" si="14"/>
        <v>7438280</v>
      </c>
      <c r="X127" s="83"/>
      <c r="Y127" s="83"/>
    </row>
    <row r="128" spans="2:25" ht="62.25" customHeight="1">
      <c r="B128" s="47" t="s">
        <v>392</v>
      </c>
      <c r="C128" s="69"/>
      <c r="D128" s="67" t="s">
        <v>112</v>
      </c>
      <c r="E128" s="191">
        <f>E129+E130+E131</f>
        <v>1715937</v>
      </c>
      <c r="F128" s="191">
        <f aca="true" t="shared" si="17" ref="F128:P128">F129+F130+F131</f>
        <v>1715937</v>
      </c>
      <c r="G128" s="191">
        <f t="shared" si="17"/>
        <v>0</v>
      </c>
      <c r="H128" s="191">
        <f t="shared" si="17"/>
        <v>0</v>
      </c>
      <c r="I128" s="191">
        <f t="shared" si="17"/>
        <v>0</v>
      </c>
      <c r="J128" s="191">
        <f t="shared" si="17"/>
        <v>0</v>
      </c>
      <c r="K128" s="191">
        <f t="shared" si="17"/>
        <v>0</v>
      </c>
      <c r="L128" s="191">
        <f t="shared" si="17"/>
        <v>0</v>
      </c>
      <c r="M128" s="191">
        <f t="shared" si="17"/>
        <v>0</v>
      </c>
      <c r="N128" s="191">
        <f t="shared" si="17"/>
        <v>0</v>
      </c>
      <c r="O128" s="191">
        <f t="shared" si="17"/>
        <v>0</v>
      </c>
      <c r="P128" s="191">
        <f t="shared" si="17"/>
        <v>1715937</v>
      </c>
      <c r="X128" s="83"/>
      <c r="Y128" s="83"/>
    </row>
    <row r="129" spans="1:25" s="54" customFormat="1" ht="66.75" customHeight="1">
      <c r="A129" s="52"/>
      <c r="B129" s="51" t="s">
        <v>393</v>
      </c>
      <c r="C129" s="51" t="s">
        <v>251</v>
      </c>
      <c r="D129" s="68" t="s">
        <v>113</v>
      </c>
      <c r="E129" s="141">
        <f>'дод. 2'!F191</f>
        <v>1534100</v>
      </c>
      <c r="F129" s="141">
        <f>'дод. 2'!G191</f>
        <v>1534100</v>
      </c>
      <c r="G129" s="141">
        <f>'дод. 2'!H191</f>
        <v>0</v>
      </c>
      <c r="H129" s="141">
        <f>'дод. 2'!I191</f>
        <v>0</v>
      </c>
      <c r="I129" s="141">
        <f>'дод. 2'!J191</f>
        <v>0</v>
      </c>
      <c r="J129" s="141">
        <f>'дод. 2'!K191</f>
        <v>0</v>
      </c>
      <c r="K129" s="141">
        <f>'дод. 2'!L191</f>
        <v>0</v>
      </c>
      <c r="L129" s="141">
        <f>'дод. 2'!M191</f>
        <v>0</v>
      </c>
      <c r="M129" s="141">
        <f>'дод. 2'!N191</f>
        <v>0</v>
      </c>
      <c r="N129" s="141">
        <f>'дод. 2'!O191</f>
        <v>0</v>
      </c>
      <c r="O129" s="141">
        <f>'дод. 2'!P191</f>
        <v>0</v>
      </c>
      <c r="P129" s="141">
        <f>E129+J129</f>
        <v>1534100</v>
      </c>
      <c r="X129" s="130"/>
      <c r="Y129" s="130"/>
    </row>
    <row r="130" spans="1:25" s="54" customFormat="1" ht="54.75" customHeight="1">
      <c r="A130" s="52"/>
      <c r="B130" s="129">
        <v>3182</v>
      </c>
      <c r="C130" s="129">
        <v>1010</v>
      </c>
      <c r="D130" s="68" t="s">
        <v>481</v>
      </c>
      <c r="E130" s="141">
        <f>'дод. 2'!F192</f>
        <v>176637</v>
      </c>
      <c r="F130" s="141">
        <f>'дод. 2'!G192</f>
        <v>176637</v>
      </c>
      <c r="G130" s="141">
        <f>'дод. 2'!H192</f>
        <v>0</v>
      </c>
      <c r="H130" s="141">
        <f>'дод. 2'!I192</f>
        <v>0</v>
      </c>
      <c r="I130" s="141">
        <f>'дод. 2'!J192</f>
        <v>0</v>
      </c>
      <c r="J130" s="141">
        <f>'дод. 2'!K192</f>
        <v>0</v>
      </c>
      <c r="K130" s="141">
        <f>'дод. 2'!L192</f>
        <v>0</v>
      </c>
      <c r="L130" s="141">
        <f>'дод. 2'!M192</f>
        <v>0</v>
      </c>
      <c r="M130" s="141">
        <f>'дод. 2'!N192</f>
        <v>0</v>
      </c>
      <c r="N130" s="141">
        <f>'дод. 2'!O192</f>
        <v>0</v>
      </c>
      <c r="O130" s="141">
        <f>'дод. 2'!P192</f>
        <v>0</v>
      </c>
      <c r="P130" s="141">
        <f>'дод. 2'!Q192</f>
        <v>176637</v>
      </c>
      <c r="X130" s="130"/>
      <c r="Y130" s="130"/>
    </row>
    <row r="131" spans="1:25" s="54" customFormat="1" ht="23.25" customHeight="1">
      <c r="A131" s="52"/>
      <c r="B131" s="129">
        <v>3183</v>
      </c>
      <c r="C131" s="129">
        <v>1010</v>
      </c>
      <c r="D131" s="68" t="s">
        <v>482</v>
      </c>
      <c r="E131" s="141">
        <f>'дод. 2'!F193</f>
        <v>5200</v>
      </c>
      <c r="F131" s="141">
        <f>'дод. 2'!G193</f>
        <v>5200</v>
      </c>
      <c r="G131" s="141">
        <f>'дод. 2'!H193</f>
        <v>0</v>
      </c>
      <c r="H131" s="141">
        <f>'дод. 2'!I193</f>
        <v>0</v>
      </c>
      <c r="I131" s="141">
        <f>'дод. 2'!J193</f>
        <v>0</v>
      </c>
      <c r="J131" s="141">
        <f>'дод. 2'!K193</f>
        <v>0</v>
      </c>
      <c r="K131" s="141">
        <f>'дод. 2'!L193</f>
        <v>0</v>
      </c>
      <c r="L131" s="141">
        <f>'дод. 2'!M193</f>
        <v>0</v>
      </c>
      <c r="M131" s="141">
        <f>'дод. 2'!N193</f>
        <v>0</v>
      </c>
      <c r="N131" s="141">
        <f>'дод. 2'!O193</f>
        <v>0</v>
      </c>
      <c r="O131" s="141">
        <f>'дод. 2'!P193</f>
        <v>0</v>
      </c>
      <c r="P131" s="141">
        <f>'дод. 2'!Q193</f>
        <v>5200</v>
      </c>
      <c r="X131" s="130"/>
      <c r="Y131" s="130"/>
    </row>
    <row r="132" spans="2:25" ht="71.25" customHeight="1">
      <c r="B132" s="47" t="s">
        <v>394</v>
      </c>
      <c r="C132" s="47" t="s">
        <v>256</v>
      </c>
      <c r="D132" s="67" t="s">
        <v>114</v>
      </c>
      <c r="E132" s="191">
        <f>'дод. 2'!F194</f>
        <v>1832454</v>
      </c>
      <c r="F132" s="191">
        <f>'дод. 2'!G194</f>
        <v>1832454</v>
      </c>
      <c r="G132" s="191">
        <f>'дод. 2'!H194</f>
        <v>0</v>
      </c>
      <c r="H132" s="191">
        <f>'дод. 2'!I194</f>
        <v>0</v>
      </c>
      <c r="I132" s="191">
        <f>'дод. 2'!J194</f>
        <v>0</v>
      </c>
      <c r="J132" s="191">
        <f>'дод. 2'!K194</f>
        <v>0</v>
      </c>
      <c r="K132" s="191">
        <f>'дод. 2'!L194</f>
        <v>0</v>
      </c>
      <c r="L132" s="191">
        <f>'дод. 2'!M194</f>
        <v>0</v>
      </c>
      <c r="M132" s="191">
        <f>'дод. 2'!N194</f>
        <v>0</v>
      </c>
      <c r="N132" s="191">
        <f>'дод. 2'!O194</f>
        <v>0</v>
      </c>
      <c r="O132" s="191">
        <f>'дод. 2'!P194</f>
        <v>0</v>
      </c>
      <c r="P132" s="191">
        <f aca="true" t="shared" si="18" ref="P132:P140">E132+J132</f>
        <v>1832454</v>
      </c>
      <c r="X132" s="83"/>
      <c r="Y132" s="83"/>
    </row>
    <row r="133" spans="2:25" ht="15.75">
      <c r="B133" s="47" t="s">
        <v>395</v>
      </c>
      <c r="C133" s="69"/>
      <c r="D133" s="67" t="s">
        <v>115</v>
      </c>
      <c r="E133" s="191">
        <f>E134+E135</f>
        <v>2493045</v>
      </c>
      <c r="F133" s="191">
        <f aca="true" t="shared" si="19" ref="F133:O133">F134+F135</f>
        <v>2493045</v>
      </c>
      <c r="G133" s="191">
        <f t="shared" si="19"/>
        <v>0</v>
      </c>
      <c r="H133" s="191">
        <f t="shared" si="19"/>
        <v>0</v>
      </c>
      <c r="I133" s="191">
        <f t="shared" si="19"/>
        <v>0</v>
      </c>
      <c r="J133" s="191">
        <f t="shared" si="19"/>
        <v>0</v>
      </c>
      <c r="K133" s="191">
        <f t="shared" si="19"/>
        <v>0</v>
      </c>
      <c r="L133" s="191">
        <f t="shared" si="19"/>
        <v>0</v>
      </c>
      <c r="M133" s="191">
        <f t="shared" si="19"/>
        <v>0</v>
      </c>
      <c r="N133" s="191">
        <f t="shared" si="19"/>
        <v>0</v>
      </c>
      <c r="O133" s="191">
        <f t="shared" si="19"/>
        <v>0</v>
      </c>
      <c r="P133" s="191">
        <f t="shared" si="18"/>
        <v>2493045</v>
      </c>
      <c r="X133" s="83"/>
      <c r="Y133" s="83"/>
    </row>
    <row r="134" spans="1:25" s="54" customFormat="1" ht="33.75" customHeight="1">
      <c r="A134" s="52"/>
      <c r="B134" s="51" t="s">
        <v>396</v>
      </c>
      <c r="C134" s="51" t="s">
        <v>255</v>
      </c>
      <c r="D134" s="68" t="s">
        <v>21</v>
      </c>
      <c r="E134" s="141">
        <f>'дод. 2'!F196</f>
        <v>1379035</v>
      </c>
      <c r="F134" s="141">
        <f>'дод. 2'!G196</f>
        <v>1379035</v>
      </c>
      <c r="G134" s="141">
        <f>'дод. 2'!H196</f>
        <v>0</v>
      </c>
      <c r="H134" s="141">
        <f>'дод. 2'!I196</f>
        <v>0</v>
      </c>
      <c r="I134" s="141">
        <f>'дод. 2'!J196</f>
        <v>0</v>
      </c>
      <c r="J134" s="141">
        <f>'дод. 2'!K196</f>
        <v>0</v>
      </c>
      <c r="K134" s="141">
        <f>'дод. 2'!L196</f>
        <v>0</v>
      </c>
      <c r="L134" s="141">
        <f>'дод. 2'!M196</f>
        <v>0</v>
      </c>
      <c r="M134" s="141">
        <f>'дод. 2'!N196</f>
        <v>0</v>
      </c>
      <c r="N134" s="141">
        <f>'дод. 2'!O196</f>
        <v>0</v>
      </c>
      <c r="O134" s="141">
        <f>'дод. 2'!P196</f>
        <v>0</v>
      </c>
      <c r="P134" s="141">
        <f t="shared" si="18"/>
        <v>1379035</v>
      </c>
      <c r="X134" s="130"/>
      <c r="Y134" s="130"/>
    </row>
    <row r="135" spans="1:25" s="54" customFormat="1" ht="47.25">
      <c r="A135" s="52"/>
      <c r="B135" s="51" t="s">
        <v>397</v>
      </c>
      <c r="C135" s="51" t="s">
        <v>255</v>
      </c>
      <c r="D135" s="68" t="s">
        <v>116</v>
      </c>
      <c r="E135" s="141">
        <f>'дод. 2'!F197</f>
        <v>1114010</v>
      </c>
      <c r="F135" s="141">
        <f>'дод. 2'!G197</f>
        <v>1114010</v>
      </c>
      <c r="G135" s="141">
        <f>'дод. 2'!H197</f>
        <v>0</v>
      </c>
      <c r="H135" s="141">
        <f>'дод. 2'!I197</f>
        <v>0</v>
      </c>
      <c r="I135" s="141">
        <f>'дод. 2'!J197</f>
        <v>0</v>
      </c>
      <c r="J135" s="141">
        <f>'дод. 2'!K197</f>
        <v>0</v>
      </c>
      <c r="K135" s="141">
        <f>'дод. 2'!L197</f>
        <v>0</v>
      </c>
      <c r="L135" s="141">
        <f>'дод. 2'!M197</f>
        <v>0</v>
      </c>
      <c r="M135" s="141">
        <f>'дод. 2'!N197</f>
        <v>0</v>
      </c>
      <c r="N135" s="141">
        <f>'дод. 2'!O197</f>
        <v>0</v>
      </c>
      <c r="O135" s="141">
        <f>'дод. 2'!P197</f>
        <v>0</v>
      </c>
      <c r="P135" s="141">
        <f t="shared" si="18"/>
        <v>1114010</v>
      </c>
      <c r="X135" s="130"/>
      <c r="Y135" s="130"/>
    </row>
    <row r="136" spans="2:25" ht="31.5">
      <c r="B136" s="47" t="s">
        <v>398</v>
      </c>
      <c r="C136" s="47" t="s">
        <v>259</v>
      </c>
      <c r="D136" s="67" t="s">
        <v>211</v>
      </c>
      <c r="E136" s="191">
        <f>'дод. 2'!F198</f>
        <v>160000</v>
      </c>
      <c r="F136" s="191">
        <f>'дод. 2'!G198</f>
        <v>160000</v>
      </c>
      <c r="G136" s="191">
        <f>'дод. 2'!H198</f>
        <v>0</v>
      </c>
      <c r="H136" s="191">
        <f>'дод. 2'!I198</f>
        <v>0</v>
      </c>
      <c r="I136" s="191">
        <f>'дод. 2'!J198</f>
        <v>0</v>
      </c>
      <c r="J136" s="191">
        <f>'дод. 2'!K198</f>
        <v>0</v>
      </c>
      <c r="K136" s="191">
        <f>'дод. 2'!L198</f>
        <v>0</v>
      </c>
      <c r="L136" s="191">
        <f>'дод. 2'!M198</f>
        <v>0</v>
      </c>
      <c r="M136" s="191">
        <f>'дод. 2'!N198</f>
        <v>0</v>
      </c>
      <c r="N136" s="191">
        <f>'дод. 2'!O198</f>
        <v>0</v>
      </c>
      <c r="O136" s="191">
        <f>'дод. 2'!P198</f>
        <v>0</v>
      </c>
      <c r="P136" s="191">
        <f t="shared" si="18"/>
        <v>160000</v>
      </c>
      <c r="X136" s="83"/>
      <c r="Y136" s="83"/>
    </row>
    <row r="137" spans="2:25" ht="22.5" customHeight="1">
      <c r="B137" s="47" t="s">
        <v>399</v>
      </c>
      <c r="C137" s="47" t="s">
        <v>400</v>
      </c>
      <c r="D137" s="67" t="s">
        <v>206</v>
      </c>
      <c r="E137" s="191">
        <f>'дод. 2'!F227+'дод. 2'!F199</f>
        <v>950000</v>
      </c>
      <c r="F137" s="191">
        <f>'дод. 2'!G227+'дод. 2'!G199</f>
        <v>950000</v>
      </c>
      <c r="G137" s="191">
        <f>'дод. 2'!H227+'дод. 2'!H199</f>
        <v>327965</v>
      </c>
      <c r="H137" s="191">
        <f>'дод. 2'!I227+'дод. 2'!I199</f>
        <v>0</v>
      </c>
      <c r="I137" s="191">
        <f>'дод. 2'!J227+'дод. 2'!J199</f>
        <v>0</v>
      </c>
      <c r="J137" s="191">
        <f>'дод. 2'!K227+'дод. 2'!K199</f>
        <v>0</v>
      </c>
      <c r="K137" s="191">
        <f>'дод. 2'!L227+'дод. 2'!L199</f>
        <v>0</v>
      </c>
      <c r="L137" s="191">
        <f>'дод. 2'!M227+'дод. 2'!M199</f>
        <v>0</v>
      </c>
      <c r="M137" s="191">
        <f>'дод. 2'!N227+'дод. 2'!N199</f>
        <v>0</v>
      </c>
      <c r="N137" s="191">
        <f>'дод. 2'!O227+'дод. 2'!O199</f>
        <v>0</v>
      </c>
      <c r="O137" s="191">
        <f>'дод. 2'!P227+'дод. 2'!P199</f>
        <v>0</v>
      </c>
      <c r="P137" s="191">
        <f t="shared" si="18"/>
        <v>950000</v>
      </c>
      <c r="X137" s="83"/>
      <c r="Y137" s="83"/>
    </row>
    <row r="138" spans="2:25" ht="29.25" customHeight="1">
      <c r="B138" s="47" t="s">
        <v>401</v>
      </c>
      <c r="C138" s="47" t="s">
        <v>259</v>
      </c>
      <c r="D138" s="67" t="s">
        <v>22</v>
      </c>
      <c r="E138" s="191">
        <f>E139+E140</f>
        <v>4072100</v>
      </c>
      <c r="F138" s="191">
        <f aca="true" t="shared" si="20" ref="F138:O138">F139+F140</f>
        <v>4072100</v>
      </c>
      <c r="G138" s="191">
        <f t="shared" si="20"/>
        <v>2374100</v>
      </c>
      <c r="H138" s="191">
        <f t="shared" si="20"/>
        <v>760100</v>
      </c>
      <c r="I138" s="191">
        <f t="shared" si="20"/>
        <v>0</v>
      </c>
      <c r="J138" s="191">
        <f t="shared" si="20"/>
        <v>851500</v>
      </c>
      <c r="K138" s="191">
        <f t="shared" si="20"/>
        <v>0</v>
      </c>
      <c r="L138" s="191">
        <f t="shared" si="20"/>
        <v>0</v>
      </c>
      <c r="M138" s="191">
        <f t="shared" si="20"/>
        <v>0</v>
      </c>
      <c r="N138" s="191">
        <f t="shared" si="20"/>
        <v>851500</v>
      </c>
      <c r="O138" s="191">
        <f t="shared" si="20"/>
        <v>851500</v>
      </c>
      <c r="P138" s="191">
        <f t="shared" si="18"/>
        <v>4923600</v>
      </c>
      <c r="X138" s="83"/>
      <c r="Y138" s="83"/>
    </row>
    <row r="139" spans="1:25" s="54" customFormat="1" ht="39.75" customHeight="1">
      <c r="A139" s="52"/>
      <c r="B139" s="51" t="s">
        <v>401</v>
      </c>
      <c r="C139" s="51" t="s">
        <v>259</v>
      </c>
      <c r="D139" s="68" t="s">
        <v>212</v>
      </c>
      <c r="E139" s="141">
        <f>'дод. 2'!F201</f>
        <v>1610100</v>
      </c>
      <c r="F139" s="141">
        <f>'дод. 2'!G201</f>
        <v>1610100</v>
      </c>
      <c r="G139" s="141">
        <f>'дод. 2'!H201</f>
        <v>992200</v>
      </c>
      <c r="H139" s="141">
        <f>'дод. 2'!I201</f>
        <v>178100</v>
      </c>
      <c r="I139" s="141">
        <f>'дод. 2'!J201</f>
        <v>0</v>
      </c>
      <c r="J139" s="141">
        <f>'дод. 2'!K201</f>
        <v>251500</v>
      </c>
      <c r="K139" s="141">
        <f>'дод. 2'!L201</f>
        <v>0</v>
      </c>
      <c r="L139" s="141">
        <f>'дод. 2'!M201</f>
        <v>0</v>
      </c>
      <c r="M139" s="141">
        <f>'дод. 2'!N201</f>
        <v>0</v>
      </c>
      <c r="N139" s="141">
        <f>'дод. 2'!O201</f>
        <v>251500</v>
      </c>
      <c r="O139" s="141">
        <f>'дод. 2'!P201</f>
        <v>251500</v>
      </c>
      <c r="P139" s="141">
        <f t="shared" si="18"/>
        <v>1861600</v>
      </c>
      <c r="X139" s="130"/>
      <c r="Y139" s="130"/>
    </row>
    <row r="140" spans="1:25" s="54" customFormat="1" ht="63" customHeight="1">
      <c r="A140" s="52"/>
      <c r="B140" s="51" t="s">
        <v>401</v>
      </c>
      <c r="C140" s="51" t="s">
        <v>259</v>
      </c>
      <c r="D140" s="68" t="s">
        <v>240</v>
      </c>
      <c r="E140" s="141">
        <f>'дод. 2'!F202</f>
        <v>2462000</v>
      </c>
      <c r="F140" s="141">
        <f>'дод. 2'!G202</f>
        <v>2462000</v>
      </c>
      <c r="G140" s="141">
        <f>'дод. 2'!H202</f>
        <v>1381900</v>
      </c>
      <c r="H140" s="141">
        <f>'дод. 2'!I202</f>
        <v>582000</v>
      </c>
      <c r="I140" s="141">
        <f>'дод. 2'!J202</f>
        <v>0</v>
      </c>
      <c r="J140" s="141">
        <f>'дод. 2'!K202</f>
        <v>600000</v>
      </c>
      <c r="K140" s="141">
        <f>'дод. 2'!L202</f>
        <v>0</v>
      </c>
      <c r="L140" s="141">
        <f>'дод. 2'!M202</f>
        <v>0</v>
      </c>
      <c r="M140" s="141">
        <f>'дод. 2'!N202</f>
        <v>0</v>
      </c>
      <c r="N140" s="141">
        <f>'дод. 2'!O202</f>
        <v>600000</v>
      </c>
      <c r="O140" s="141">
        <f>'дод. 2'!P202</f>
        <v>600000</v>
      </c>
      <c r="P140" s="141">
        <f t="shared" si="18"/>
        <v>3062000</v>
      </c>
      <c r="X140" s="130"/>
      <c r="Y140" s="130"/>
    </row>
    <row r="141" spans="2:25" ht="28.5" customHeight="1">
      <c r="B141" s="47" t="s">
        <v>402</v>
      </c>
      <c r="C141" s="47" t="s">
        <v>259</v>
      </c>
      <c r="D141" s="67" t="s">
        <v>11</v>
      </c>
      <c r="E141" s="191">
        <f>E142+E143+E144</f>
        <v>30467294</v>
      </c>
      <c r="F141" s="191">
        <f aca="true" t="shared" si="21" ref="F141:P141">F142+F143+F144</f>
        <v>30467294</v>
      </c>
      <c r="G141" s="191">
        <f t="shared" si="21"/>
        <v>0</v>
      </c>
      <c r="H141" s="191">
        <f t="shared" si="21"/>
        <v>0</v>
      </c>
      <c r="I141" s="191">
        <f t="shared" si="21"/>
        <v>0</v>
      </c>
      <c r="J141" s="191">
        <f t="shared" si="21"/>
        <v>0</v>
      </c>
      <c r="K141" s="191">
        <f t="shared" si="21"/>
        <v>0</v>
      </c>
      <c r="L141" s="191">
        <f t="shared" si="21"/>
        <v>0</v>
      </c>
      <c r="M141" s="191">
        <f t="shared" si="21"/>
        <v>0</v>
      </c>
      <c r="N141" s="191">
        <f t="shared" si="21"/>
        <v>0</v>
      </c>
      <c r="O141" s="191">
        <f t="shared" si="21"/>
        <v>0</v>
      </c>
      <c r="P141" s="191">
        <f t="shared" si="21"/>
        <v>30467294</v>
      </c>
      <c r="X141" s="83"/>
      <c r="Y141" s="83"/>
    </row>
    <row r="142" spans="1:25" s="54" customFormat="1" ht="36.75" customHeight="1">
      <c r="A142" s="52"/>
      <c r="B142" s="51" t="s">
        <v>402</v>
      </c>
      <c r="C142" s="51" t="s">
        <v>259</v>
      </c>
      <c r="D142" s="68" t="s">
        <v>416</v>
      </c>
      <c r="E142" s="141">
        <f>'дод. 2'!F25+'дод. 2'!F204</f>
        <v>5345590</v>
      </c>
      <c r="F142" s="141">
        <f>'дод. 2'!G25+'дод. 2'!G204</f>
        <v>5345590</v>
      </c>
      <c r="G142" s="141">
        <f>'дод. 2'!H25+'дод. 2'!H204</f>
        <v>0</v>
      </c>
      <c r="H142" s="141">
        <f>'дод. 2'!I25+'дод. 2'!I204</f>
        <v>0</v>
      </c>
      <c r="I142" s="141">
        <f>'дод. 2'!J25+'дод. 2'!J204</f>
        <v>0</v>
      </c>
      <c r="J142" s="141">
        <f>'дод. 2'!K25+'дод. 2'!K204</f>
        <v>0</v>
      </c>
      <c r="K142" s="141">
        <f>'дод. 2'!L25+'дод. 2'!L204</f>
        <v>0</v>
      </c>
      <c r="L142" s="141">
        <f>'дод. 2'!M25+'дод. 2'!M204</f>
        <v>0</v>
      </c>
      <c r="M142" s="141">
        <f>'дод. 2'!N25+'дод. 2'!N204</f>
        <v>0</v>
      </c>
      <c r="N142" s="141">
        <f>'дод. 2'!O25+'дод. 2'!O204</f>
        <v>0</v>
      </c>
      <c r="O142" s="141">
        <f>'дод. 2'!P25+'дод. 2'!P204</f>
        <v>0</v>
      </c>
      <c r="P142" s="141">
        <f>E142+J142</f>
        <v>5345590</v>
      </c>
      <c r="X142" s="130"/>
      <c r="Y142" s="130"/>
    </row>
    <row r="143" spans="1:25" s="54" customFormat="1" ht="48.75" customHeight="1">
      <c r="A143" s="52"/>
      <c r="B143" s="51" t="s">
        <v>402</v>
      </c>
      <c r="C143" s="51" t="s">
        <v>259</v>
      </c>
      <c r="D143" s="68" t="s">
        <v>549</v>
      </c>
      <c r="E143" s="141">
        <f>'дод. 2'!F26+'дод. 2'!F205</f>
        <v>24798704</v>
      </c>
      <c r="F143" s="141">
        <f>'дод. 2'!G26+'дод. 2'!G205</f>
        <v>24798704</v>
      </c>
      <c r="G143" s="141">
        <f>'дод. 2'!H26+'дод. 2'!H205</f>
        <v>0</v>
      </c>
      <c r="H143" s="141">
        <f>'дод. 2'!I26+'дод. 2'!I205</f>
        <v>0</v>
      </c>
      <c r="I143" s="141">
        <f>'дод. 2'!J26+'дод. 2'!J205</f>
        <v>0</v>
      </c>
      <c r="J143" s="141">
        <f>'дод. 2'!K26+'дод. 2'!K205</f>
        <v>0</v>
      </c>
      <c r="K143" s="141">
        <f>'дод. 2'!L26+'дод. 2'!L205</f>
        <v>0</v>
      </c>
      <c r="L143" s="141">
        <f>'дод. 2'!M26+'дод. 2'!M205</f>
        <v>0</v>
      </c>
      <c r="M143" s="141">
        <f>'дод. 2'!N26+'дод. 2'!N205</f>
        <v>0</v>
      </c>
      <c r="N143" s="141">
        <f>'дод. 2'!O26+'дод. 2'!O205</f>
        <v>0</v>
      </c>
      <c r="O143" s="141">
        <f>'дод. 2'!P26+'дод. 2'!P205</f>
        <v>0</v>
      </c>
      <c r="P143" s="141">
        <f>E143+J143</f>
        <v>24798704</v>
      </c>
      <c r="X143" s="130"/>
      <c r="Y143" s="130"/>
    </row>
    <row r="144" spans="1:25" s="54" customFormat="1" ht="30" customHeight="1">
      <c r="A144" s="52"/>
      <c r="B144" s="51" t="s">
        <v>402</v>
      </c>
      <c r="C144" s="51" t="s">
        <v>259</v>
      </c>
      <c r="D144" s="68" t="s">
        <v>483</v>
      </c>
      <c r="E144" s="141">
        <f>'дод. 2'!F206</f>
        <v>323000</v>
      </c>
      <c r="F144" s="141">
        <f>'дод. 2'!G206</f>
        <v>323000</v>
      </c>
      <c r="G144" s="141">
        <f>'дод. 2'!H206</f>
        <v>0</v>
      </c>
      <c r="H144" s="141">
        <f>'дод. 2'!I206</f>
        <v>0</v>
      </c>
      <c r="I144" s="141">
        <f>'дод. 2'!J206</f>
        <v>0</v>
      </c>
      <c r="J144" s="141">
        <f>'дод. 2'!K206</f>
        <v>0</v>
      </c>
      <c r="K144" s="141">
        <f>'дод. 2'!L206</f>
        <v>0</v>
      </c>
      <c r="L144" s="141">
        <f>'дод. 2'!M206</f>
        <v>0</v>
      </c>
      <c r="M144" s="141">
        <f>'дод. 2'!N206</f>
        <v>0</v>
      </c>
      <c r="N144" s="141">
        <f>'дод. 2'!O206</f>
        <v>0</v>
      </c>
      <c r="O144" s="141">
        <f>'дод. 2'!P206</f>
        <v>0</v>
      </c>
      <c r="P144" s="141">
        <f>'дод. 2'!Q206</f>
        <v>323000</v>
      </c>
      <c r="X144" s="130"/>
      <c r="Y144" s="130"/>
    </row>
    <row r="145" spans="2:25" ht="20.25" customHeight="1">
      <c r="B145" s="47" t="s">
        <v>407</v>
      </c>
      <c r="C145" s="47" t="s">
        <v>387</v>
      </c>
      <c r="D145" s="67" t="s">
        <v>12</v>
      </c>
      <c r="E145" s="191">
        <f>E146</f>
        <v>728605</v>
      </c>
      <c r="F145" s="191">
        <f aca="true" t="shared" si="22" ref="F145:O145">F146</f>
        <v>728605</v>
      </c>
      <c r="G145" s="191">
        <f t="shared" si="22"/>
        <v>484206</v>
      </c>
      <c r="H145" s="191">
        <f t="shared" si="22"/>
        <v>109900</v>
      </c>
      <c r="I145" s="191">
        <f t="shared" si="22"/>
        <v>0</v>
      </c>
      <c r="J145" s="191">
        <f t="shared" si="22"/>
        <v>10000</v>
      </c>
      <c r="K145" s="191">
        <f t="shared" si="22"/>
        <v>0</v>
      </c>
      <c r="L145" s="191">
        <f t="shared" si="22"/>
        <v>0</v>
      </c>
      <c r="M145" s="191">
        <f t="shared" si="22"/>
        <v>0</v>
      </c>
      <c r="N145" s="191">
        <f t="shared" si="22"/>
        <v>10000</v>
      </c>
      <c r="O145" s="191">
        <f t="shared" si="22"/>
        <v>10000</v>
      </c>
      <c r="P145" s="191">
        <f>E145+J145</f>
        <v>738605</v>
      </c>
      <c r="X145" s="83"/>
      <c r="Y145" s="83"/>
    </row>
    <row r="146" spans="2:25" ht="35.25" customHeight="1">
      <c r="B146" s="51" t="s">
        <v>407</v>
      </c>
      <c r="C146" s="51" t="s">
        <v>387</v>
      </c>
      <c r="D146" s="68" t="s">
        <v>505</v>
      </c>
      <c r="E146" s="191">
        <f>'дод. 2'!F28</f>
        <v>728605</v>
      </c>
      <c r="F146" s="191">
        <f>'дод. 2'!G28</f>
        <v>728605</v>
      </c>
      <c r="G146" s="191">
        <f>'дод. 2'!H28</f>
        <v>484206</v>
      </c>
      <c r="H146" s="191">
        <f>'дод. 2'!I28</f>
        <v>109900</v>
      </c>
      <c r="I146" s="191">
        <f>'дод. 2'!J28</f>
        <v>0</v>
      </c>
      <c r="J146" s="191">
        <f>'дод. 2'!K28</f>
        <v>10000</v>
      </c>
      <c r="K146" s="191">
        <f>'дод. 2'!L28</f>
        <v>0</v>
      </c>
      <c r="L146" s="191">
        <f>'дод. 2'!M28</f>
        <v>0</v>
      </c>
      <c r="M146" s="191">
        <f>'дод. 2'!N28</f>
        <v>0</v>
      </c>
      <c r="N146" s="191">
        <f>'дод. 2'!O28</f>
        <v>10000</v>
      </c>
      <c r="O146" s="191">
        <f>'дод. 2'!P28</f>
        <v>10000</v>
      </c>
      <c r="P146" s="191">
        <f>E146+J146</f>
        <v>738605</v>
      </c>
      <c r="X146" s="83"/>
      <c r="Y146" s="83"/>
    </row>
    <row r="147" spans="1:25" s="88" customFormat="1" ht="19.5" customHeight="1">
      <c r="A147" s="87"/>
      <c r="B147" s="89" t="s">
        <v>300</v>
      </c>
      <c r="C147" s="58"/>
      <c r="D147" s="92" t="s">
        <v>301</v>
      </c>
      <c r="E147" s="190">
        <f>E148+E149+E150+E151</f>
        <v>46187758</v>
      </c>
      <c r="F147" s="190">
        <f>F148+F149+F150+F151</f>
        <v>46187758</v>
      </c>
      <c r="G147" s="190">
        <f>G148+G149+G150+G151</f>
        <v>32767100</v>
      </c>
      <c r="H147" s="190">
        <f>H148+H149+H150+H151</f>
        <v>2358530</v>
      </c>
      <c r="I147" s="190">
        <f aca="true" t="shared" si="23" ref="I147:P147">I148+I149+I150+I151</f>
        <v>0</v>
      </c>
      <c r="J147" s="190">
        <f t="shared" si="23"/>
        <v>4323507</v>
      </c>
      <c r="K147" s="190">
        <f t="shared" si="23"/>
        <v>1411980</v>
      </c>
      <c r="L147" s="190">
        <f t="shared" si="23"/>
        <v>1136786</v>
      </c>
      <c r="M147" s="190">
        <f t="shared" si="23"/>
        <v>0</v>
      </c>
      <c r="N147" s="190">
        <f t="shared" si="23"/>
        <v>2911527</v>
      </c>
      <c r="O147" s="190">
        <f t="shared" si="23"/>
        <v>2906927</v>
      </c>
      <c r="P147" s="190">
        <f t="shared" si="23"/>
        <v>50511265</v>
      </c>
      <c r="Q147" s="86"/>
      <c r="X147" s="86"/>
      <c r="Y147" s="86"/>
    </row>
    <row r="148" spans="2:25" ht="31.5">
      <c r="B148" s="47" t="s">
        <v>302</v>
      </c>
      <c r="C148" s="47" t="s">
        <v>303</v>
      </c>
      <c r="D148" s="61" t="s">
        <v>130</v>
      </c>
      <c r="E148" s="191">
        <f>'дод. 2'!F217</f>
        <v>1498500</v>
      </c>
      <c r="F148" s="191">
        <f>'дод. 2'!G217</f>
        <v>1498500</v>
      </c>
      <c r="G148" s="191">
        <f>'дод. 2'!H217</f>
        <v>0</v>
      </c>
      <c r="H148" s="191">
        <f>'дод. 2'!I217</f>
        <v>0</v>
      </c>
      <c r="I148" s="191">
        <f>'дод. 2'!J217</f>
        <v>0</v>
      </c>
      <c r="J148" s="191">
        <f>'дод. 2'!K217</f>
        <v>0</v>
      </c>
      <c r="K148" s="191">
        <f>'дод. 2'!L217</f>
        <v>0</v>
      </c>
      <c r="L148" s="191">
        <f>'дод. 2'!M217</f>
        <v>0</v>
      </c>
      <c r="M148" s="191">
        <f>'дод. 2'!N217</f>
        <v>0</v>
      </c>
      <c r="N148" s="191">
        <f>'дод. 2'!O217</f>
        <v>0</v>
      </c>
      <c r="O148" s="191">
        <f>'дод. 2'!P217</f>
        <v>0</v>
      </c>
      <c r="P148" s="191">
        <f aca="true" t="shared" si="24" ref="P148:P154">E148+J148</f>
        <v>1498500</v>
      </c>
      <c r="X148" s="83"/>
      <c r="Y148" s="83"/>
    </row>
    <row r="149" spans="2:25" ht="15.75">
      <c r="B149" s="47" t="s">
        <v>304</v>
      </c>
      <c r="C149" s="47" t="s">
        <v>305</v>
      </c>
      <c r="D149" s="61" t="s">
        <v>132</v>
      </c>
      <c r="E149" s="191">
        <f>'дод. 2'!F218</f>
        <v>14696050</v>
      </c>
      <c r="F149" s="191">
        <f>'дод. 2'!G218</f>
        <v>14696050</v>
      </c>
      <c r="G149" s="191">
        <f>'дод. 2'!H218</f>
        <v>10249200</v>
      </c>
      <c r="H149" s="191">
        <f>'дод. 2'!I218</f>
        <v>1307040</v>
      </c>
      <c r="I149" s="191">
        <f>'дод. 2'!J218</f>
        <v>0</v>
      </c>
      <c r="J149" s="191">
        <f>'дод. 2'!K218</f>
        <v>2093000</v>
      </c>
      <c r="K149" s="191">
        <f>'дод. 2'!L218</f>
        <v>25000</v>
      </c>
      <c r="L149" s="191">
        <f>'дод. 2'!M218</f>
        <v>5000</v>
      </c>
      <c r="M149" s="191">
        <f>'дод. 2'!N218</f>
        <v>0</v>
      </c>
      <c r="N149" s="191">
        <f>'дод. 2'!O218</f>
        <v>2068000</v>
      </c>
      <c r="O149" s="191">
        <f>'дод. 2'!P218</f>
        <v>2068000</v>
      </c>
      <c r="P149" s="191">
        <f t="shared" si="24"/>
        <v>16789050</v>
      </c>
      <c r="X149" s="83"/>
      <c r="Y149" s="83"/>
    </row>
    <row r="150" spans="2:25" ht="15.75">
      <c r="B150" s="47" t="s">
        <v>306</v>
      </c>
      <c r="C150" s="47" t="s">
        <v>260</v>
      </c>
      <c r="D150" s="61" t="s">
        <v>134</v>
      </c>
      <c r="E150" s="191">
        <f>'дод. 2'!F219</f>
        <v>26091853</v>
      </c>
      <c r="F150" s="191">
        <f>'дод. 2'!G219</f>
        <v>26091853</v>
      </c>
      <c r="G150" s="191">
        <f>'дод. 2'!H219</f>
        <v>20300700</v>
      </c>
      <c r="H150" s="191">
        <f>'дод. 2'!I219</f>
        <v>891310</v>
      </c>
      <c r="I150" s="191">
        <f>'дод. 2'!J219</f>
        <v>0</v>
      </c>
      <c r="J150" s="191">
        <f>'дод. 2'!K219</f>
        <v>1799007</v>
      </c>
      <c r="K150" s="191">
        <f>'дод. 2'!L219</f>
        <v>1386980</v>
      </c>
      <c r="L150" s="191">
        <f>'дод. 2'!M219</f>
        <v>1131786</v>
      </c>
      <c r="M150" s="191">
        <f>'дод. 2'!N219</f>
        <v>0</v>
      </c>
      <c r="N150" s="191">
        <f>'дод. 2'!O219</f>
        <v>412027</v>
      </c>
      <c r="O150" s="191">
        <f>'дод. 2'!P219</f>
        <v>407427</v>
      </c>
      <c r="P150" s="191">
        <f t="shared" si="24"/>
        <v>27890860</v>
      </c>
      <c r="X150" s="83"/>
      <c r="Y150" s="83"/>
    </row>
    <row r="151" spans="2:25" ht="15.75">
      <c r="B151" s="47" t="s">
        <v>307</v>
      </c>
      <c r="C151" s="47" t="s">
        <v>308</v>
      </c>
      <c r="D151" s="61" t="s">
        <v>42</v>
      </c>
      <c r="E151" s="191">
        <f>E152+E153+E154</f>
        <v>3901355</v>
      </c>
      <c r="F151" s="191">
        <f aca="true" t="shared" si="25" ref="F151:O151">F152+F153+F154</f>
        <v>3901355</v>
      </c>
      <c r="G151" s="191">
        <f t="shared" si="25"/>
        <v>2217200</v>
      </c>
      <c r="H151" s="191">
        <f t="shared" si="25"/>
        <v>160180</v>
      </c>
      <c r="I151" s="191">
        <f t="shared" si="25"/>
        <v>0</v>
      </c>
      <c r="J151" s="191">
        <f t="shared" si="25"/>
        <v>431500</v>
      </c>
      <c r="K151" s="191">
        <f t="shared" si="25"/>
        <v>0</v>
      </c>
      <c r="L151" s="191">
        <f t="shared" si="25"/>
        <v>0</v>
      </c>
      <c r="M151" s="191">
        <f t="shared" si="25"/>
        <v>0</v>
      </c>
      <c r="N151" s="191">
        <f t="shared" si="25"/>
        <v>431500</v>
      </c>
      <c r="O151" s="191">
        <f t="shared" si="25"/>
        <v>431500</v>
      </c>
      <c r="P151" s="191">
        <f t="shared" si="24"/>
        <v>4332855</v>
      </c>
      <c r="X151" s="83"/>
      <c r="Y151" s="83"/>
    </row>
    <row r="152" spans="2:25" ht="41.25" customHeight="1">
      <c r="B152" s="51" t="s">
        <v>307</v>
      </c>
      <c r="C152" s="56" t="s">
        <v>308</v>
      </c>
      <c r="D152" s="62" t="s">
        <v>137</v>
      </c>
      <c r="E152" s="141">
        <f>'дод. 2'!F221</f>
        <v>1031424</v>
      </c>
      <c r="F152" s="141">
        <f>'дод. 2'!G221</f>
        <v>1031424</v>
      </c>
      <c r="G152" s="141">
        <f>'дод. 2'!H221</f>
        <v>760300</v>
      </c>
      <c r="H152" s="141">
        <f>'дод. 2'!I221</f>
        <v>22870</v>
      </c>
      <c r="I152" s="141">
        <f>'дод. 2'!J221</f>
        <v>0</v>
      </c>
      <c r="J152" s="141">
        <f>'дод. 2'!K221</f>
        <v>309500</v>
      </c>
      <c r="K152" s="141">
        <f>'дод. 2'!L221</f>
        <v>0</v>
      </c>
      <c r="L152" s="141">
        <f>'дод. 2'!M221</f>
        <v>0</v>
      </c>
      <c r="M152" s="141">
        <f>'дод. 2'!N221</f>
        <v>0</v>
      </c>
      <c r="N152" s="141">
        <f>'дод. 2'!O221</f>
        <v>309500</v>
      </c>
      <c r="O152" s="141">
        <f>'дод. 2'!P221</f>
        <v>309500</v>
      </c>
      <c r="P152" s="141">
        <f t="shared" si="24"/>
        <v>1340924</v>
      </c>
      <c r="X152" s="83"/>
      <c r="Y152" s="83"/>
    </row>
    <row r="153" spans="2:25" ht="39" customHeight="1">
      <c r="B153" s="51" t="s">
        <v>307</v>
      </c>
      <c r="C153" s="56" t="s">
        <v>308</v>
      </c>
      <c r="D153" s="211" t="s">
        <v>548</v>
      </c>
      <c r="E153" s="141">
        <f>'дод. 2'!F30</f>
        <v>1288295</v>
      </c>
      <c r="F153" s="141">
        <f>'дод. 2'!G30</f>
        <v>1288295</v>
      </c>
      <c r="G153" s="141">
        <f>'дод. 2'!H30</f>
        <v>580400</v>
      </c>
      <c r="H153" s="141">
        <f>'дод. 2'!I30</f>
        <v>44940</v>
      </c>
      <c r="I153" s="141">
        <f>'дод. 2'!J30</f>
        <v>0</v>
      </c>
      <c r="J153" s="141">
        <f>'дод. 2'!K30</f>
        <v>102000</v>
      </c>
      <c r="K153" s="141">
        <f>'дод. 2'!L30</f>
        <v>0</v>
      </c>
      <c r="L153" s="141">
        <f>'дод. 2'!M30</f>
        <v>0</v>
      </c>
      <c r="M153" s="141">
        <f>'дод. 2'!N30</f>
        <v>0</v>
      </c>
      <c r="N153" s="141">
        <f>'дод. 2'!O30</f>
        <v>102000</v>
      </c>
      <c r="O153" s="141">
        <f>'дод. 2'!P30</f>
        <v>102000</v>
      </c>
      <c r="P153" s="141">
        <f t="shared" si="24"/>
        <v>1390295</v>
      </c>
      <c r="X153" s="83"/>
      <c r="Y153" s="83"/>
    </row>
    <row r="154" spans="2:25" ht="41.25" customHeight="1">
      <c r="B154" s="51" t="s">
        <v>307</v>
      </c>
      <c r="C154" s="56" t="s">
        <v>308</v>
      </c>
      <c r="D154" s="211" t="s">
        <v>428</v>
      </c>
      <c r="E154" s="141">
        <f>'дод. 2'!F31</f>
        <v>1581636</v>
      </c>
      <c r="F154" s="141">
        <f>'дод. 2'!G31</f>
        <v>1581636</v>
      </c>
      <c r="G154" s="141">
        <f>'дод. 2'!H31</f>
        <v>876500</v>
      </c>
      <c r="H154" s="141">
        <f>'дод. 2'!I31</f>
        <v>92370</v>
      </c>
      <c r="I154" s="141">
        <f>'дод. 2'!J31</f>
        <v>0</v>
      </c>
      <c r="J154" s="141">
        <f>'дод. 2'!K31</f>
        <v>20000</v>
      </c>
      <c r="K154" s="141">
        <f>'дод. 2'!L31</f>
        <v>0</v>
      </c>
      <c r="L154" s="141">
        <f>'дод. 2'!M31</f>
        <v>0</v>
      </c>
      <c r="M154" s="141">
        <f>'дод. 2'!N31</f>
        <v>0</v>
      </c>
      <c r="N154" s="141">
        <f>'дод. 2'!O31</f>
        <v>20000</v>
      </c>
      <c r="O154" s="141">
        <f>'дод. 2'!P31</f>
        <v>20000</v>
      </c>
      <c r="P154" s="141">
        <f t="shared" si="24"/>
        <v>1601636</v>
      </c>
      <c r="X154" s="83"/>
      <c r="Y154" s="83"/>
    </row>
    <row r="155" spans="1:25" s="88" customFormat="1" ht="21.75" customHeight="1">
      <c r="A155" s="87"/>
      <c r="B155" s="89" t="s">
        <v>314</v>
      </c>
      <c r="C155" s="58"/>
      <c r="D155" s="92" t="s">
        <v>315</v>
      </c>
      <c r="E155" s="190">
        <f>E156+E159+E162</f>
        <v>24591431</v>
      </c>
      <c r="F155" s="190">
        <f aca="true" t="shared" si="26" ref="F155:P155">F156+F159+F162</f>
        <v>24591431</v>
      </c>
      <c r="G155" s="190">
        <f t="shared" si="26"/>
        <v>9071830</v>
      </c>
      <c r="H155" s="190">
        <f t="shared" si="26"/>
        <v>1372150</v>
      </c>
      <c r="I155" s="190">
        <f t="shared" si="26"/>
        <v>0</v>
      </c>
      <c r="J155" s="190">
        <f t="shared" si="26"/>
        <v>703700</v>
      </c>
      <c r="K155" s="190">
        <f t="shared" si="26"/>
        <v>415700</v>
      </c>
      <c r="L155" s="190">
        <f t="shared" si="26"/>
        <v>242690</v>
      </c>
      <c r="M155" s="190">
        <f t="shared" si="26"/>
        <v>99128</v>
      </c>
      <c r="N155" s="190">
        <f t="shared" si="26"/>
        <v>288000</v>
      </c>
      <c r="O155" s="190">
        <f t="shared" si="26"/>
        <v>288000</v>
      </c>
      <c r="P155" s="190">
        <f t="shared" si="26"/>
        <v>25295131</v>
      </c>
      <c r="Q155" s="86"/>
      <c r="X155" s="86"/>
      <c r="Y155" s="86"/>
    </row>
    <row r="156" spans="2:25" ht="24" customHeight="1">
      <c r="B156" s="47" t="s">
        <v>316</v>
      </c>
      <c r="C156" s="59"/>
      <c r="D156" s="63" t="s">
        <v>45</v>
      </c>
      <c r="E156" s="191">
        <f>E157+E158</f>
        <v>1856600</v>
      </c>
      <c r="F156" s="191">
        <f aca="true" t="shared" si="27" ref="F156:O156">F157+F158</f>
        <v>1856600</v>
      </c>
      <c r="G156" s="191">
        <f t="shared" si="27"/>
        <v>0</v>
      </c>
      <c r="H156" s="191">
        <f t="shared" si="27"/>
        <v>0</v>
      </c>
      <c r="I156" s="191">
        <f t="shared" si="27"/>
        <v>0</v>
      </c>
      <c r="J156" s="191">
        <f t="shared" si="27"/>
        <v>0</v>
      </c>
      <c r="K156" s="191">
        <f t="shared" si="27"/>
        <v>0</v>
      </c>
      <c r="L156" s="191">
        <f t="shared" si="27"/>
        <v>0</v>
      </c>
      <c r="M156" s="191">
        <f t="shared" si="27"/>
        <v>0</v>
      </c>
      <c r="N156" s="191">
        <f t="shared" si="27"/>
        <v>0</v>
      </c>
      <c r="O156" s="191">
        <f t="shared" si="27"/>
        <v>0</v>
      </c>
      <c r="P156" s="191">
        <f aca="true" t="shared" si="28" ref="P156:P161">E156+J156</f>
        <v>1856600</v>
      </c>
      <c r="X156" s="83"/>
      <c r="Y156" s="83"/>
    </row>
    <row r="157" spans="1:25" s="54" customFormat="1" ht="31.5">
      <c r="A157" s="52"/>
      <c r="B157" s="51" t="s">
        <v>317</v>
      </c>
      <c r="C157" s="51" t="s">
        <v>318</v>
      </c>
      <c r="D157" s="53" t="s">
        <v>48</v>
      </c>
      <c r="E157" s="141">
        <f>'дод. 2'!F33</f>
        <v>973600</v>
      </c>
      <c r="F157" s="141">
        <f>'дод. 2'!G33</f>
        <v>973600</v>
      </c>
      <c r="G157" s="141">
        <f>'дод. 2'!H33</f>
        <v>0</v>
      </c>
      <c r="H157" s="141">
        <f>'дод. 2'!I33</f>
        <v>0</v>
      </c>
      <c r="I157" s="141">
        <f>'дод. 2'!J33</f>
        <v>0</v>
      </c>
      <c r="J157" s="141">
        <f>'дод. 2'!K33</f>
        <v>0</v>
      </c>
      <c r="K157" s="141">
        <f>'дод. 2'!L33</f>
        <v>0</v>
      </c>
      <c r="L157" s="141">
        <f>'дод. 2'!M33</f>
        <v>0</v>
      </c>
      <c r="M157" s="141">
        <f>'дод. 2'!N33</f>
        <v>0</v>
      </c>
      <c r="N157" s="141">
        <f>'дод. 2'!O33</f>
        <v>0</v>
      </c>
      <c r="O157" s="141">
        <f>'дод. 2'!P33</f>
        <v>0</v>
      </c>
      <c r="P157" s="141">
        <f t="shared" si="28"/>
        <v>973600</v>
      </c>
      <c r="X157" s="130"/>
      <c r="Y157" s="130"/>
    </row>
    <row r="158" spans="1:25" s="54" customFormat="1" ht="31.5">
      <c r="A158" s="52"/>
      <c r="B158" s="51" t="s">
        <v>319</v>
      </c>
      <c r="C158" s="51" t="s">
        <v>318</v>
      </c>
      <c r="D158" s="62" t="s">
        <v>14</v>
      </c>
      <c r="E158" s="141">
        <f>'дод. 2'!F34</f>
        <v>883000</v>
      </c>
      <c r="F158" s="141">
        <f>'дод. 2'!G34</f>
        <v>883000</v>
      </c>
      <c r="G158" s="141">
        <f>'дод. 2'!H34</f>
        <v>0</v>
      </c>
      <c r="H158" s="141">
        <f>'дод. 2'!I34</f>
        <v>0</v>
      </c>
      <c r="I158" s="141">
        <f>'дод. 2'!J34</f>
        <v>0</v>
      </c>
      <c r="J158" s="141">
        <f>'дод. 2'!K34</f>
        <v>0</v>
      </c>
      <c r="K158" s="141">
        <f>'дод. 2'!L34</f>
        <v>0</v>
      </c>
      <c r="L158" s="141">
        <f>'дод. 2'!M34</f>
        <v>0</v>
      </c>
      <c r="M158" s="141">
        <f>'дод. 2'!N34</f>
        <v>0</v>
      </c>
      <c r="N158" s="141">
        <f>'дод. 2'!O34</f>
        <v>0</v>
      </c>
      <c r="O158" s="141">
        <f>'дод. 2'!P34</f>
        <v>0</v>
      </c>
      <c r="P158" s="141">
        <f t="shared" si="28"/>
        <v>883000</v>
      </c>
      <c r="X158" s="130"/>
      <c r="Y158" s="130"/>
    </row>
    <row r="159" spans="2:25" ht="26.25" customHeight="1">
      <c r="B159" s="47" t="s">
        <v>492</v>
      </c>
      <c r="C159" s="47"/>
      <c r="D159" s="63" t="s">
        <v>500</v>
      </c>
      <c r="E159" s="191">
        <f>E160+E161</f>
        <v>16860394</v>
      </c>
      <c r="F159" s="191">
        <f aca="true" t="shared" si="29" ref="F159:O159">F160+F161</f>
        <v>16860394</v>
      </c>
      <c r="G159" s="191">
        <f t="shared" si="29"/>
        <v>7694871</v>
      </c>
      <c r="H159" s="191">
        <f t="shared" si="29"/>
        <v>859660</v>
      </c>
      <c r="I159" s="191">
        <f t="shared" si="29"/>
        <v>0</v>
      </c>
      <c r="J159" s="191">
        <f t="shared" si="29"/>
        <v>249000</v>
      </c>
      <c r="K159" s="191">
        <f t="shared" si="29"/>
        <v>0</v>
      </c>
      <c r="L159" s="191">
        <f t="shared" si="29"/>
        <v>0</v>
      </c>
      <c r="M159" s="191">
        <f t="shared" si="29"/>
        <v>0</v>
      </c>
      <c r="N159" s="191">
        <f t="shared" si="29"/>
        <v>249000</v>
      </c>
      <c r="O159" s="191">
        <f t="shared" si="29"/>
        <v>249000</v>
      </c>
      <c r="P159" s="191">
        <f t="shared" si="28"/>
        <v>17109394</v>
      </c>
      <c r="X159" s="83"/>
      <c r="Y159" s="83"/>
    </row>
    <row r="160" spans="1:25" s="54" customFormat="1" ht="38.25" customHeight="1">
      <c r="A160" s="52"/>
      <c r="B160" s="51" t="s">
        <v>494</v>
      </c>
      <c r="C160" s="51" t="s">
        <v>318</v>
      </c>
      <c r="D160" s="53" t="s">
        <v>49</v>
      </c>
      <c r="E160" s="141">
        <f>'дод. 2'!F36+'дод. 2'!F95</f>
        <v>10932611</v>
      </c>
      <c r="F160" s="141">
        <f>'дод. 2'!G36+'дод. 2'!G95</f>
        <v>10932611</v>
      </c>
      <c r="G160" s="141">
        <f>'дод. 2'!H36+'дод. 2'!H95</f>
        <v>7694871</v>
      </c>
      <c r="H160" s="141">
        <f>'дод. 2'!I36+'дод. 2'!I95</f>
        <v>859660</v>
      </c>
      <c r="I160" s="141">
        <f>'дод. 2'!J36+'дод. 2'!J95</f>
        <v>0</v>
      </c>
      <c r="J160" s="141">
        <f>'дод. 2'!K36+'дод. 2'!K95</f>
        <v>249000</v>
      </c>
      <c r="K160" s="141">
        <f>'дод. 2'!L36+'дод. 2'!L95</f>
        <v>0</v>
      </c>
      <c r="L160" s="141">
        <f>'дод. 2'!M36+'дод. 2'!M95</f>
        <v>0</v>
      </c>
      <c r="M160" s="141">
        <f>'дод. 2'!N36+'дод. 2'!N95</f>
        <v>0</v>
      </c>
      <c r="N160" s="141">
        <f>'дод. 2'!O36+'дод. 2'!O95</f>
        <v>249000</v>
      </c>
      <c r="O160" s="141">
        <f>'дод. 2'!P36+'дод. 2'!P95</f>
        <v>249000</v>
      </c>
      <c r="P160" s="141">
        <f t="shared" si="28"/>
        <v>11181611</v>
      </c>
      <c r="X160" s="130"/>
      <c r="Y160" s="130"/>
    </row>
    <row r="161" spans="1:25" s="54" customFormat="1" ht="39.75" customHeight="1">
      <c r="A161" s="52"/>
      <c r="B161" s="51" t="s">
        <v>495</v>
      </c>
      <c r="C161" s="51" t="s">
        <v>318</v>
      </c>
      <c r="D161" s="62" t="s">
        <v>50</v>
      </c>
      <c r="E161" s="141">
        <f>'дод. 2'!F37</f>
        <v>5927783</v>
      </c>
      <c r="F161" s="141">
        <f>'дод. 2'!G37</f>
        <v>5927783</v>
      </c>
      <c r="G161" s="141">
        <f>'дод. 2'!H37</f>
        <v>0</v>
      </c>
      <c r="H161" s="141">
        <f>'дод. 2'!I37</f>
        <v>0</v>
      </c>
      <c r="I161" s="141">
        <f>'дод. 2'!J37</f>
        <v>0</v>
      </c>
      <c r="J161" s="141">
        <f>'дод. 2'!K37</f>
        <v>0</v>
      </c>
      <c r="K161" s="141">
        <f>'дод. 2'!L37</f>
        <v>0</v>
      </c>
      <c r="L161" s="141">
        <f>'дод. 2'!M37</f>
        <v>0</v>
      </c>
      <c r="M161" s="141">
        <f>'дод. 2'!N37</f>
        <v>0</v>
      </c>
      <c r="N161" s="141">
        <f>'дод. 2'!O37</f>
        <v>0</v>
      </c>
      <c r="O161" s="141">
        <f>'дод. 2'!P37</f>
        <v>0</v>
      </c>
      <c r="P161" s="141">
        <f t="shared" si="28"/>
        <v>5927783</v>
      </c>
      <c r="X161" s="130"/>
      <c r="Y161" s="130"/>
    </row>
    <row r="162" spans="2:25" ht="31.5" customHeight="1">
      <c r="B162" s="139" t="s">
        <v>320</v>
      </c>
      <c r="C162" s="139" t="s">
        <v>318</v>
      </c>
      <c r="D162" s="63" t="s">
        <v>486</v>
      </c>
      <c r="E162" s="191">
        <f>E163+E164</f>
        <v>5874437</v>
      </c>
      <c r="F162" s="191">
        <f aca="true" t="shared" si="30" ref="F162:P162">F163+F164</f>
        <v>5874437</v>
      </c>
      <c r="G162" s="191">
        <f t="shared" si="30"/>
        <v>1376959</v>
      </c>
      <c r="H162" s="191">
        <f t="shared" si="30"/>
        <v>512490</v>
      </c>
      <c r="I162" s="191">
        <f t="shared" si="30"/>
        <v>0</v>
      </c>
      <c r="J162" s="191">
        <f t="shared" si="30"/>
        <v>454700</v>
      </c>
      <c r="K162" s="191">
        <f t="shared" si="30"/>
        <v>415700</v>
      </c>
      <c r="L162" s="191">
        <f t="shared" si="30"/>
        <v>242690</v>
      </c>
      <c r="M162" s="191">
        <f t="shared" si="30"/>
        <v>99128</v>
      </c>
      <c r="N162" s="191">
        <f t="shared" si="30"/>
        <v>39000</v>
      </c>
      <c r="O162" s="191">
        <f t="shared" si="30"/>
        <v>39000</v>
      </c>
      <c r="P162" s="191">
        <f t="shared" si="30"/>
        <v>6329137</v>
      </c>
      <c r="X162" s="83"/>
      <c r="Y162" s="83"/>
    </row>
    <row r="163" spans="1:25" s="54" customFormat="1" ht="48.75" customHeight="1">
      <c r="A163" s="52"/>
      <c r="B163" s="146" t="s">
        <v>488</v>
      </c>
      <c r="C163" s="146" t="s">
        <v>318</v>
      </c>
      <c r="D163" s="53" t="s">
        <v>489</v>
      </c>
      <c r="E163" s="141">
        <f>'дод. 2'!F39</f>
        <v>2724290</v>
      </c>
      <c r="F163" s="141">
        <f>'дод. 2'!G39</f>
        <v>2724290</v>
      </c>
      <c r="G163" s="141">
        <f>'дод. 2'!H39</f>
        <v>1376959</v>
      </c>
      <c r="H163" s="141">
        <f>'дод. 2'!I39</f>
        <v>512490</v>
      </c>
      <c r="I163" s="141">
        <f>'дод. 2'!J39</f>
        <v>0</v>
      </c>
      <c r="J163" s="141">
        <f>'дод. 2'!K39</f>
        <v>454700</v>
      </c>
      <c r="K163" s="141">
        <f>'дод. 2'!L39</f>
        <v>415700</v>
      </c>
      <c r="L163" s="141">
        <f>'дод. 2'!M39</f>
        <v>242690</v>
      </c>
      <c r="M163" s="141">
        <f>'дод. 2'!N39</f>
        <v>99128</v>
      </c>
      <c r="N163" s="141">
        <f>'дод. 2'!O39</f>
        <v>39000</v>
      </c>
      <c r="O163" s="141">
        <f>'дод. 2'!P39</f>
        <v>39000</v>
      </c>
      <c r="P163" s="141">
        <f>'дод. 2'!Q39</f>
        <v>3178990</v>
      </c>
      <c r="X163" s="130"/>
      <c r="Y163" s="130"/>
    </row>
    <row r="164" spans="1:25" s="54" customFormat="1" ht="52.5" customHeight="1">
      <c r="A164" s="52"/>
      <c r="B164" s="51" t="s">
        <v>491</v>
      </c>
      <c r="C164" s="51" t="s">
        <v>318</v>
      </c>
      <c r="D164" s="62" t="s">
        <v>490</v>
      </c>
      <c r="E164" s="141">
        <f>'дод. 2'!F40</f>
        <v>3150147</v>
      </c>
      <c r="F164" s="141">
        <f>'дод. 2'!G40</f>
        <v>3150147</v>
      </c>
      <c r="G164" s="141">
        <f>'дод. 2'!H40</f>
        <v>0</v>
      </c>
      <c r="H164" s="141">
        <f>'дод. 2'!I40</f>
        <v>0</v>
      </c>
      <c r="I164" s="141">
        <f>'дод. 2'!J40</f>
        <v>0</v>
      </c>
      <c r="J164" s="141">
        <f>'дод. 2'!K40</f>
        <v>0</v>
      </c>
      <c r="K164" s="141">
        <f>'дод. 2'!L40</f>
        <v>0</v>
      </c>
      <c r="L164" s="141">
        <f>'дод. 2'!M40</f>
        <v>0</v>
      </c>
      <c r="M164" s="141">
        <f>'дод. 2'!N40</f>
        <v>0</v>
      </c>
      <c r="N164" s="141">
        <f>'дод. 2'!O40</f>
        <v>0</v>
      </c>
      <c r="O164" s="141">
        <f>'дод. 2'!P40</f>
        <v>0</v>
      </c>
      <c r="P164" s="141">
        <f>E164+J164</f>
        <v>3150147</v>
      </c>
      <c r="X164" s="130"/>
      <c r="Y164" s="130"/>
    </row>
    <row r="165" spans="1:25" s="88" customFormat="1" ht="20.25" customHeight="1">
      <c r="A165" s="87"/>
      <c r="B165" s="89" t="s">
        <v>287</v>
      </c>
      <c r="C165" s="58"/>
      <c r="D165" s="92" t="s">
        <v>289</v>
      </c>
      <c r="E165" s="190">
        <f>E167+E168+E173+E175+E176+E177+E178</f>
        <v>163401933.85999998</v>
      </c>
      <c r="F165" s="190">
        <f aca="true" t="shared" si="31" ref="F165:P165">F167+F168+F173+F175+F176+F177+F178</f>
        <v>104830366.02</v>
      </c>
      <c r="G165" s="190">
        <f t="shared" si="31"/>
        <v>0</v>
      </c>
      <c r="H165" s="190">
        <f t="shared" si="31"/>
        <v>18525000</v>
      </c>
      <c r="I165" s="190">
        <f t="shared" si="31"/>
        <v>58571567.84</v>
      </c>
      <c r="J165" s="190">
        <f t="shared" si="31"/>
        <v>255782129.03</v>
      </c>
      <c r="K165" s="190">
        <f t="shared" si="31"/>
        <v>0</v>
      </c>
      <c r="L165" s="190">
        <f t="shared" si="31"/>
        <v>0</v>
      </c>
      <c r="M165" s="190">
        <f t="shared" si="31"/>
        <v>0</v>
      </c>
      <c r="N165" s="190">
        <f t="shared" si="31"/>
        <v>255782129.03</v>
      </c>
      <c r="O165" s="190">
        <f t="shared" si="31"/>
        <v>230754784</v>
      </c>
      <c r="P165" s="190">
        <f t="shared" si="31"/>
        <v>419184062.89</v>
      </c>
      <c r="Q165" s="86"/>
      <c r="X165" s="86"/>
      <c r="Y165" s="86"/>
    </row>
    <row r="166" spans="1:25" s="88" customFormat="1" ht="20.25" customHeight="1">
      <c r="A166" s="87"/>
      <c r="B166" s="89"/>
      <c r="C166" s="58"/>
      <c r="D166" s="92" t="s">
        <v>512</v>
      </c>
      <c r="E166" s="190">
        <f>E169+E179</f>
        <v>23863473.35</v>
      </c>
      <c r="F166" s="190">
        <f aca="true" t="shared" si="32" ref="F166:P166">F169+F179</f>
        <v>0</v>
      </c>
      <c r="G166" s="190">
        <f t="shared" si="32"/>
        <v>0</v>
      </c>
      <c r="H166" s="190">
        <f t="shared" si="32"/>
        <v>0</v>
      </c>
      <c r="I166" s="190">
        <f t="shared" si="32"/>
        <v>23863473.35</v>
      </c>
      <c r="J166" s="190">
        <f t="shared" si="32"/>
        <v>25177345.03</v>
      </c>
      <c r="K166" s="190">
        <f t="shared" si="32"/>
        <v>0</v>
      </c>
      <c r="L166" s="190">
        <f t="shared" si="32"/>
        <v>0</v>
      </c>
      <c r="M166" s="190">
        <f t="shared" si="32"/>
        <v>0</v>
      </c>
      <c r="N166" s="190">
        <f t="shared" si="32"/>
        <v>25177345.03</v>
      </c>
      <c r="O166" s="190">
        <f t="shared" si="32"/>
        <v>150000</v>
      </c>
      <c r="P166" s="190">
        <f t="shared" si="32"/>
        <v>49040818.38</v>
      </c>
      <c r="Q166" s="86"/>
      <c r="X166" s="86"/>
      <c r="Y166" s="86"/>
    </row>
    <row r="167" spans="2:25" ht="32.25" customHeight="1">
      <c r="B167" s="47" t="s">
        <v>290</v>
      </c>
      <c r="C167" s="47" t="s">
        <v>291</v>
      </c>
      <c r="D167" s="61" t="s">
        <v>209</v>
      </c>
      <c r="E167" s="191">
        <f>'дод. 2'!F228</f>
        <v>1572000</v>
      </c>
      <c r="F167" s="191">
        <f>'дод. 2'!G228</f>
        <v>1572000</v>
      </c>
      <c r="G167" s="191">
        <f>'дод. 2'!H228</f>
        <v>0</v>
      </c>
      <c r="H167" s="191">
        <f>'дод. 2'!I228</f>
        <v>0</v>
      </c>
      <c r="I167" s="191">
        <f>'дод. 2'!J228</f>
        <v>0</v>
      </c>
      <c r="J167" s="191">
        <f>'дод. 2'!K228</f>
        <v>0</v>
      </c>
      <c r="K167" s="191">
        <f>'дод. 2'!L228</f>
        <v>0</v>
      </c>
      <c r="L167" s="191">
        <f>'дод. 2'!M228</f>
        <v>0</v>
      </c>
      <c r="M167" s="191">
        <f>'дод. 2'!N228</f>
        <v>0</v>
      </c>
      <c r="N167" s="191">
        <f>'дод. 2'!O228</f>
        <v>0</v>
      </c>
      <c r="O167" s="191">
        <f>'дод. 2'!P228</f>
        <v>0</v>
      </c>
      <c r="P167" s="191">
        <f>E167+J167</f>
        <v>1572000</v>
      </c>
      <c r="X167" s="83"/>
      <c r="Y167" s="83"/>
    </row>
    <row r="168" spans="2:25" ht="15.75">
      <c r="B168" s="47" t="s">
        <v>292</v>
      </c>
      <c r="C168" s="47"/>
      <c r="D168" s="61" t="s">
        <v>142</v>
      </c>
      <c r="E168" s="191">
        <f>E170+E172</f>
        <v>480000</v>
      </c>
      <c r="F168" s="191">
        <f aca="true" t="shared" si="33" ref="F168:O168">F170+F172</f>
        <v>480000</v>
      </c>
      <c r="G168" s="191">
        <f t="shared" si="33"/>
        <v>0</v>
      </c>
      <c r="H168" s="191">
        <f t="shared" si="33"/>
        <v>0</v>
      </c>
      <c r="I168" s="191">
        <f t="shared" si="33"/>
        <v>0</v>
      </c>
      <c r="J168" s="191">
        <f t="shared" si="33"/>
        <v>64568527</v>
      </c>
      <c r="K168" s="191">
        <f t="shared" si="33"/>
        <v>0</v>
      </c>
      <c r="L168" s="191">
        <f t="shared" si="33"/>
        <v>0</v>
      </c>
      <c r="M168" s="191">
        <f t="shared" si="33"/>
        <v>0</v>
      </c>
      <c r="N168" s="191">
        <f t="shared" si="33"/>
        <v>64568527</v>
      </c>
      <c r="O168" s="191">
        <f t="shared" si="33"/>
        <v>64568527</v>
      </c>
      <c r="P168" s="191">
        <f>E168+J168</f>
        <v>65048527</v>
      </c>
      <c r="X168" s="83"/>
      <c r="Y168" s="83"/>
    </row>
    <row r="169" spans="3:25" ht="15.75">
      <c r="C169" s="47"/>
      <c r="D169" s="61" t="s">
        <v>512</v>
      </c>
      <c r="E169" s="191">
        <f>'дод. 2'!F230</f>
        <v>0</v>
      </c>
      <c r="F169" s="191">
        <f>'дод. 2'!G230</f>
        <v>0</v>
      </c>
      <c r="G169" s="191">
        <f>'дод. 2'!H230</f>
        <v>0</v>
      </c>
      <c r="H169" s="191">
        <f>'дод. 2'!I230</f>
        <v>0</v>
      </c>
      <c r="I169" s="191">
        <f>'дод. 2'!J230</f>
        <v>0</v>
      </c>
      <c r="J169" s="191">
        <f>'дод. 2'!K230</f>
        <v>150000</v>
      </c>
      <c r="K169" s="191">
        <f>'дод. 2'!L230</f>
        <v>0</v>
      </c>
      <c r="L169" s="191">
        <f>'дод. 2'!M230</f>
        <v>0</v>
      </c>
      <c r="M169" s="191">
        <f>'дод. 2'!N230</f>
        <v>0</v>
      </c>
      <c r="N169" s="191">
        <f>'дод. 2'!O230</f>
        <v>150000</v>
      </c>
      <c r="O169" s="191">
        <f>'дод. 2'!P230</f>
        <v>150000</v>
      </c>
      <c r="P169" s="191">
        <f>'дод. 2'!Q230</f>
        <v>150000</v>
      </c>
      <c r="X169" s="83"/>
      <c r="Y169" s="83"/>
    </row>
    <row r="170" spans="1:25" s="54" customFormat="1" ht="22.5" customHeight="1">
      <c r="A170" s="52"/>
      <c r="B170" s="47" t="s">
        <v>293</v>
      </c>
      <c r="C170" s="51" t="s">
        <v>291</v>
      </c>
      <c r="D170" s="62" t="s">
        <v>144</v>
      </c>
      <c r="E170" s="141">
        <f>'дод. 2'!F231</f>
        <v>400000</v>
      </c>
      <c r="F170" s="141">
        <f>'дод. 2'!G231</f>
        <v>400000</v>
      </c>
      <c r="G170" s="141">
        <f>'дод. 2'!H231</f>
        <v>0</v>
      </c>
      <c r="H170" s="141">
        <f>'дод. 2'!I231</f>
        <v>0</v>
      </c>
      <c r="I170" s="141">
        <f>'дод. 2'!J231</f>
        <v>0</v>
      </c>
      <c r="J170" s="141">
        <f>'дод. 2'!K231</f>
        <v>48068527</v>
      </c>
      <c r="K170" s="141">
        <f>'дод. 2'!L231</f>
        <v>0</v>
      </c>
      <c r="L170" s="141">
        <f>'дод. 2'!M231</f>
        <v>0</v>
      </c>
      <c r="M170" s="141">
        <f>'дод. 2'!N231</f>
        <v>0</v>
      </c>
      <c r="N170" s="141">
        <f>'дод. 2'!O231</f>
        <v>48068527</v>
      </c>
      <c r="O170" s="141">
        <f>'дод. 2'!P231</f>
        <v>48068527</v>
      </c>
      <c r="P170" s="141">
        <f>E170+J170</f>
        <v>48468527</v>
      </c>
      <c r="X170" s="83"/>
      <c r="Y170" s="83"/>
    </row>
    <row r="171" spans="1:25" s="54" customFormat="1" ht="18" customHeight="1">
      <c r="A171" s="52"/>
      <c r="B171" s="47"/>
      <c r="C171" s="51"/>
      <c r="D171" s="62" t="s">
        <v>512</v>
      </c>
      <c r="E171" s="141">
        <f>'дод. 2'!F232</f>
        <v>0</v>
      </c>
      <c r="F171" s="141">
        <f>'дод. 2'!G232</f>
        <v>0</v>
      </c>
      <c r="G171" s="141">
        <f>'дод. 2'!H232</f>
        <v>0</v>
      </c>
      <c r="H171" s="141">
        <f>'дод. 2'!I232</f>
        <v>0</v>
      </c>
      <c r="I171" s="141">
        <f>'дод. 2'!J232</f>
        <v>0</v>
      </c>
      <c r="J171" s="141">
        <f>'дод. 2'!K232</f>
        <v>150000</v>
      </c>
      <c r="K171" s="141">
        <f>'дод. 2'!L232</f>
        <v>0</v>
      </c>
      <c r="L171" s="141">
        <f>'дод. 2'!M232</f>
        <v>0</v>
      </c>
      <c r="M171" s="141">
        <f>'дод. 2'!N232</f>
        <v>0</v>
      </c>
      <c r="N171" s="141">
        <f>'дод. 2'!O232</f>
        <v>150000</v>
      </c>
      <c r="O171" s="141">
        <f>'дод. 2'!P232</f>
        <v>150000</v>
      </c>
      <c r="P171" s="141">
        <f>'дод. 2'!Q232</f>
        <v>150000</v>
      </c>
      <c r="X171" s="83"/>
      <c r="Y171" s="83"/>
    </row>
    <row r="172" spans="1:25" s="54" customFormat="1" ht="31.5">
      <c r="A172" s="52"/>
      <c r="B172" s="47" t="s">
        <v>294</v>
      </c>
      <c r="C172" s="51" t="s">
        <v>291</v>
      </c>
      <c r="D172" s="62" t="s">
        <v>146</v>
      </c>
      <c r="E172" s="141">
        <f>'дод. 2'!F233</f>
        <v>80000</v>
      </c>
      <c r="F172" s="141">
        <f>'дод. 2'!G233</f>
        <v>80000</v>
      </c>
      <c r="G172" s="141">
        <f>'дод. 2'!H233</f>
        <v>0</v>
      </c>
      <c r="H172" s="141">
        <f>'дод. 2'!I233</f>
        <v>0</v>
      </c>
      <c r="I172" s="141">
        <f>'дод. 2'!J233</f>
        <v>0</v>
      </c>
      <c r="J172" s="141">
        <f>'дод. 2'!K233</f>
        <v>16500000</v>
      </c>
      <c r="K172" s="141">
        <f>'дод. 2'!L233</f>
        <v>0</v>
      </c>
      <c r="L172" s="141">
        <f>'дод. 2'!M233</f>
        <v>0</v>
      </c>
      <c r="M172" s="141">
        <f>'дод. 2'!N233</f>
        <v>0</v>
      </c>
      <c r="N172" s="141">
        <f>'дод. 2'!O233</f>
        <v>16500000</v>
      </c>
      <c r="O172" s="141">
        <f>'дод. 2'!P233</f>
        <v>16500000</v>
      </c>
      <c r="P172" s="141">
        <f>E172+J172</f>
        <v>16580000</v>
      </c>
      <c r="X172" s="83"/>
      <c r="Y172" s="83"/>
    </row>
    <row r="173" spans="1:25" s="54" customFormat="1" ht="27" customHeight="1">
      <c r="A173" s="52"/>
      <c r="B173" s="47" t="s">
        <v>295</v>
      </c>
      <c r="C173" s="51"/>
      <c r="D173" s="61" t="s">
        <v>149</v>
      </c>
      <c r="E173" s="141">
        <f>E174</f>
        <v>5194597.49</v>
      </c>
      <c r="F173" s="141">
        <f aca="true" t="shared" si="34" ref="F173:O173">F174</f>
        <v>0</v>
      </c>
      <c r="G173" s="141">
        <f t="shared" si="34"/>
        <v>0</v>
      </c>
      <c r="H173" s="141">
        <f t="shared" si="34"/>
        <v>0</v>
      </c>
      <c r="I173" s="141">
        <f t="shared" si="34"/>
        <v>5194597.49</v>
      </c>
      <c r="J173" s="141">
        <f t="shared" si="34"/>
        <v>0</v>
      </c>
      <c r="K173" s="141">
        <f t="shared" si="34"/>
        <v>0</v>
      </c>
      <c r="L173" s="141">
        <f t="shared" si="34"/>
        <v>0</v>
      </c>
      <c r="M173" s="141">
        <f t="shared" si="34"/>
        <v>0</v>
      </c>
      <c r="N173" s="141">
        <f t="shared" si="34"/>
        <v>0</v>
      </c>
      <c r="O173" s="141">
        <f t="shared" si="34"/>
        <v>0</v>
      </c>
      <c r="P173" s="141">
        <f>E173+J173</f>
        <v>5194597.49</v>
      </c>
      <c r="X173" s="83"/>
      <c r="Y173" s="83"/>
    </row>
    <row r="174" spans="1:25" s="54" customFormat="1" ht="43.5" customHeight="1">
      <c r="A174" s="52"/>
      <c r="B174" s="47" t="s">
        <v>296</v>
      </c>
      <c r="C174" s="51" t="s">
        <v>297</v>
      </c>
      <c r="D174" s="62" t="s">
        <v>148</v>
      </c>
      <c r="E174" s="141">
        <f>'дод. 2'!F235</f>
        <v>5194597.49</v>
      </c>
      <c r="F174" s="141">
        <f>'дод. 2'!G235</f>
        <v>0</v>
      </c>
      <c r="G174" s="141">
        <f>'дод. 2'!H235</f>
        <v>0</v>
      </c>
      <c r="H174" s="141">
        <f>'дод. 2'!I235</f>
        <v>0</v>
      </c>
      <c r="I174" s="141">
        <f>'дод. 2'!J235</f>
        <v>5194597.49</v>
      </c>
      <c r="J174" s="141">
        <f>'дод. 2'!K235</f>
        <v>0</v>
      </c>
      <c r="K174" s="141">
        <f>'дод. 2'!L235</f>
        <v>0</v>
      </c>
      <c r="L174" s="141">
        <f>'дод. 2'!M235</f>
        <v>0</v>
      </c>
      <c r="M174" s="141">
        <f>'дод. 2'!N235</f>
        <v>0</v>
      </c>
      <c r="N174" s="141">
        <f>'дод. 2'!O235</f>
        <v>0</v>
      </c>
      <c r="O174" s="141">
        <f>'дод. 2'!P235</f>
        <v>0</v>
      </c>
      <c r="P174" s="141">
        <f>E174+J174</f>
        <v>5194597.49</v>
      </c>
      <c r="X174" s="83"/>
      <c r="Y174" s="83"/>
    </row>
    <row r="175" spans="2:25" ht="28.5" customHeight="1">
      <c r="B175" s="47" t="s">
        <v>298</v>
      </c>
      <c r="C175" s="47" t="s">
        <v>297</v>
      </c>
      <c r="D175" s="61" t="s">
        <v>52</v>
      </c>
      <c r="E175" s="191">
        <f>'дод. 2'!F236+'дод. 2'!F274</f>
        <v>132094497.02</v>
      </c>
      <c r="F175" s="191">
        <f>'дод. 2'!G236+'дод. 2'!G274</f>
        <v>102778366.02</v>
      </c>
      <c r="G175" s="191">
        <f>'дод. 2'!H236+'дод. 2'!H274</f>
        <v>0</v>
      </c>
      <c r="H175" s="191">
        <f>'дод. 2'!I236+'дод. 2'!I274</f>
        <v>18525000</v>
      </c>
      <c r="I175" s="191">
        <f>'дод. 2'!J236+'дод. 2'!J274</f>
        <v>29316131</v>
      </c>
      <c r="J175" s="191">
        <f>'дод. 2'!K236+'дод. 2'!K274</f>
        <v>165186257</v>
      </c>
      <c r="K175" s="191">
        <f>'дод. 2'!L236+'дод. 2'!L274</f>
        <v>0</v>
      </c>
      <c r="L175" s="191">
        <f>'дод. 2'!M236+'дод. 2'!M274</f>
        <v>0</v>
      </c>
      <c r="M175" s="191">
        <f>'дод. 2'!N236+'дод. 2'!N274</f>
        <v>0</v>
      </c>
      <c r="N175" s="191">
        <f>'дод. 2'!O236+'дод. 2'!O274</f>
        <v>165186257</v>
      </c>
      <c r="O175" s="191">
        <f>'дод. 2'!P236+'дод. 2'!P274</f>
        <v>165186257</v>
      </c>
      <c r="P175" s="191">
        <f>'дод. 2'!Q236+'дод. 2'!Q274</f>
        <v>297280754.02</v>
      </c>
      <c r="X175" s="83"/>
      <c r="Y175" s="83"/>
    </row>
    <row r="176" spans="2:25" ht="46.5" customHeight="1">
      <c r="B176" s="47" t="s">
        <v>299</v>
      </c>
      <c r="C176" s="47" t="s">
        <v>297</v>
      </c>
      <c r="D176" s="61" t="s">
        <v>219</v>
      </c>
      <c r="E176" s="191">
        <f>'дод. 2'!F237</f>
        <v>0</v>
      </c>
      <c r="F176" s="191">
        <f>'дод. 2'!G237</f>
        <v>0</v>
      </c>
      <c r="G176" s="191">
        <f>'дод. 2'!H237</f>
        <v>0</v>
      </c>
      <c r="H176" s="191">
        <f>'дод. 2'!I237</f>
        <v>0</v>
      </c>
      <c r="I176" s="191">
        <f>'дод. 2'!J237</f>
        <v>0</v>
      </c>
      <c r="J176" s="191">
        <f>'дод. 2'!K237</f>
        <v>1000000</v>
      </c>
      <c r="K176" s="191">
        <f>'дод. 2'!L237</f>
        <v>0</v>
      </c>
      <c r="L176" s="191">
        <f>'дод. 2'!M237</f>
        <v>0</v>
      </c>
      <c r="M176" s="191">
        <f>'дод. 2'!N237</f>
        <v>0</v>
      </c>
      <c r="N176" s="191">
        <f>'дод. 2'!O237</f>
        <v>1000000</v>
      </c>
      <c r="O176" s="191">
        <f>'дод. 2'!P237</f>
        <v>1000000</v>
      </c>
      <c r="P176" s="191">
        <f>E176+J176</f>
        <v>1000000</v>
      </c>
      <c r="X176" s="83"/>
      <c r="Y176" s="83"/>
    </row>
    <row r="177" spans="2:25" ht="75" customHeight="1">
      <c r="B177" s="47" t="s">
        <v>554</v>
      </c>
      <c r="C177" s="47" t="s">
        <v>297</v>
      </c>
      <c r="D177" s="61" t="s">
        <v>553</v>
      </c>
      <c r="E177" s="191">
        <f>'дод. 2'!F238</f>
        <v>197366</v>
      </c>
      <c r="F177" s="191">
        <f>'дод. 2'!G238</f>
        <v>0</v>
      </c>
      <c r="G177" s="191">
        <f>'дод. 2'!H238</f>
        <v>0</v>
      </c>
      <c r="H177" s="191">
        <f>'дод. 2'!I238</f>
        <v>0</v>
      </c>
      <c r="I177" s="191">
        <f>'дод. 2'!J238</f>
        <v>197366</v>
      </c>
      <c r="J177" s="191">
        <f>'дод. 2'!K238</f>
        <v>0</v>
      </c>
      <c r="K177" s="191">
        <f>'дод. 2'!L238</f>
        <v>0</v>
      </c>
      <c r="L177" s="191">
        <f>'дод. 2'!M238</f>
        <v>0</v>
      </c>
      <c r="M177" s="191">
        <f>'дод. 2'!N238</f>
        <v>0</v>
      </c>
      <c r="N177" s="191">
        <f>'дод. 2'!O238</f>
        <v>0</v>
      </c>
      <c r="O177" s="191">
        <f>'дод. 2'!P238</f>
        <v>0</v>
      </c>
      <c r="P177" s="191">
        <f>'дод. 2'!Q238</f>
        <v>197366</v>
      </c>
      <c r="X177" s="83"/>
      <c r="Y177" s="83"/>
    </row>
    <row r="178" spans="2:25" ht="196.5" customHeight="1">
      <c r="B178" s="47" t="s">
        <v>571</v>
      </c>
      <c r="C178" s="47" t="s">
        <v>572</v>
      </c>
      <c r="D178" s="61" t="s">
        <v>573</v>
      </c>
      <c r="E178" s="191">
        <f>'дод. 2'!F239</f>
        <v>23863473.35</v>
      </c>
      <c r="F178" s="191">
        <f>'дод. 2'!G239</f>
        <v>0</v>
      </c>
      <c r="G178" s="191">
        <f>'дод. 2'!H239</f>
        <v>0</v>
      </c>
      <c r="H178" s="191">
        <f>'дод. 2'!I239</f>
        <v>0</v>
      </c>
      <c r="I178" s="191">
        <f>'дод. 2'!J239</f>
        <v>23863473.35</v>
      </c>
      <c r="J178" s="191">
        <f>'дод. 2'!K239</f>
        <v>25027345.03</v>
      </c>
      <c r="K178" s="191">
        <f>'дод. 2'!L239</f>
        <v>0</v>
      </c>
      <c r="L178" s="191">
        <f>'дод. 2'!M239</f>
        <v>0</v>
      </c>
      <c r="M178" s="191">
        <f>'дод. 2'!N239</f>
        <v>0</v>
      </c>
      <c r="N178" s="191">
        <f>'дод. 2'!O239</f>
        <v>25027345.03</v>
      </c>
      <c r="O178" s="191">
        <f>'дод. 2'!P239</f>
        <v>0</v>
      </c>
      <c r="P178" s="191">
        <f>'дод. 2'!Q239</f>
        <v>48890818.38</v>
      </c>
      <c r="X178" s="83"/>
      <c r="Y178" s="83"/>
    </row>
    <row r="179" spans="3:25" ht="15.75">
      <c r="C179" s="47"/>
      <c r="D179" s="61" t="s">
        <v>512</v>
      </c>
      <c r="E179" s="191">
        <f>'дод. 2'!F240</f>
        <v>23863473.35</v>
      </c>
      <c r="F179" s="191">
        <f>'дод. 2'!G240</f>
        <v>0</v>
      </c>
      <c r="G179" s="191">
        <f>'дод. 2'!H240</f>
        <v>0</v>
      </c>
      <c r="H179" s="191">
        <f>'дод. 2'!I240</f>
        <v>0</v>
      </c>
      <c r="I179" s="191">
        <f>'дод. 2'!J240</f>
        <v>23863473.35</v>
      </c>
      <c r="J179" s="191">
        <f>'дод. 2'!K240</f>
        <v>25027345.03</v>
      </c>
      <c r="K179" s="191">
        <f>'дод. 2'!L240</f>
        <v>0</v>
      </c>
      <c r="L179" s="191">
        <f>'дод. 2'!M240</f>
        <v>0</v>
      </c>
      <c r="M179" s="191">
        <f>'дод. 2'!N240</f>
        <v>0</v>
      </c>
      <c r="N179" s="191">
        <f>'дод. 2'!O240</f>
        <v>25027345.03</v>
      </c>
      <c r="O179" s="191">
        <f>'дод. 2'!P240</f>
        <v>0</v>
      </c>
      <c r="P179" s="191">
        <f>'дод. 2'!Q240</f>
        <v>48890818.38</v>
      </c>
      <c r="X179" s="83"/>
      <c r="Y179" s="83"/>
    </row>
    <row r="180" spans="1:25" s="88" customFormat="1" ht="18.75" customHeight="1">
      <c r="A180" s="87"/>
      <c r="B180" s="89" t="s">
        <v>321</v>
      </c>
      <c r="C180" s="58"/>
      <c r="D180" s="92" t="s">
        <v>322</v>
      </c>
      <c r="E180" s="190">
        <f>E182</f>
        <v>0</v>
      </c>
      <c r="F180" s="190">
        <f aca="true" t="shared" si="35" ref="F180:P181">F182</f>
        <v>0</v>
      </c>
      <c r="G180" s="190">
        <f t="shared" si="35"/>
        <v>0</v>
      </c>
      <c r="H180" s="190">
        <f t="shared" si="35"/>
        <v>0</v>
      </c>
      <c r="I180" s="190">
        <f t="shared" si="35"/>
        <v>0</v>
      </c>
      <c r="J180" s="190">
        <f t="shared" si="35"/>
        <v>133346400</v>
      </c>
      <c r="K180" s="190">
        <f t="shared" si="35"/>
        <v>0</v>
      </c>
      <c r="L180" s="190">
        <f t="shared" si="35"/>
        <v>0</v>
      </c>
      <c r="M180" s="190">
        <f t="shared" si="35"/>
        <v>0</v>
      </c>
      <c r="N180" s="190">
        <f t="shared" si="35"/>
        <v>133346400</v>
      </c>
      <c r="O180" s="190">
        <f t="shared" si="35"/>
        <v>133346400</v>
      </c>
      <c r="P180" s="190">
        <f t="shared" si="35"/>
        <v>133346400</v>
      </c>
      <c r="Q180" s="86"/>
      <c r="X180" s="86"/>
      <c r="Y180" s="86"/>
    </row>
    <row r="181" spans="1:25" s="88" customFormat="1" ht="18.75" customHeight="1">
      <c r="A181" s="87"/>
      <c r="B181" s="89"/>
      <c r="C181" s="58"/>
      <c r="D181" s="92" t="s">
        <v>512</v>
      </c>
      <c r="E181" s="190">
        <f>E183</f>
        <v>0</v>
      </c>
      <c r="F181" s="190">
        <f t="shared" si="35"/>
        <v>0</v>
      </c>
      <c r="G181" s="190">
        <f t="shared" si="35"/>
        <v>0</v>
      </c>
      <c r="H181" s="190">
        <f t="shared" si="35"/>
        <v>0</v>
      </c>
      <c r="I181" s="190">
        <f t="shared" si="35"/>
        <v>0</v>
      </c>
      <c r="J181" s="190">
        <f t="shared" si="35"/>
        <v>4839000</v>
      </c>
      <c r="K181" s="190">
        <f t="shared" si="35"/>
        <v>0</v>
      </c>
      <c r="L181" s="190">
        <f t="shared" si="35"/>
        <v>0</v>
      </c>
      <c r="M181" s="190">
        <f t="shared" si="35"/>
        <v>0</v>
      </c>
      <c r="N181" s="190">
        <f t="shared" si="35"/>
        <v>4839000</v>
      </c>
      <c r="O181" s="190">
        <f t="shared" si="35"/>
        <v>4839000</v>
      </c>
      <c r="P181" s="190">
        <f t="shared" si="35"/>
        <v>4839000</v>
      </c>
      <c r="Q181" s="86"/>
      <c r="X181" s="86"/>
      <c r="Y181" s="86"/>
    </row>
    <row r="182" spans="2:25" ht="19.5" customHeight="1">
      <c r="B182" s="47" t="s">
        <v>323</v>
      </c>
      <c r="C182" s="47" t="s">
        <v>324</v>
      </c>
      <c r="D182" s="61" t="s">
        <v>163</v>
      </c>
      <c r="E182" s="191">
        <f>'дод. 2'!F275+'дод. 2'!F241</f>
        <v>0</v>
      </c>
      <c r="F182" s="191">
        <f>'дод. 2'!G275+'дод. 2'!G241</f>
        <v>0</v>
      </c>
      <c r="G182" s="191">
        <f>'дод. 2'!H275+'дод. 2'!H241</f>
        <v>0</v>
      </c>
      <c r="H182" s="191">
        <f>'дод. 2'!I275+'дод. 2'!I241</f>
        <v>0</v>
      </c>
      <c r="I182" s="191">
        <f>'дод. 2'!J275+'дод. 2'!J241</f>
        <v>0</v>
      </c>
      <c r="J182" s="191">
        <f>'дод. 2'!K275+'дод. 2'!K241</f>
        <v>133346400</v>
      </c>
      <c r="K182" s="191">
        <f>'дод. 2'!L275+'дод. 2'!L241</f>
        <v>0</v>
      </c>
      <c r="L182" s="191">
        <f>'дод. 2'!M275+'дод. 2'!M241</f>
        <v>0</v>
      </c>
      <c r="M182" s="191">
        <f>'дод. 2'!N275+'дод. 2'!N241</f>
        <v>0</v>
      </c>
      <c r="N182" s="191">
        <f>'дод. 2'!O275+'дод. 2'!O241</f>
        <v>133346400</v>
      </c>
      <c r="O182" s="191">
        <f>'дод. 2'!P275+'дод. 2'!P241</f>
        <v>133346400</v>
      </c>
      <c r="P182" s="191">
        <f>'дод. 2'!Q275+'дод. 2'!Q241</f>
        <v>133346400</v>
      </c>
      <c r="X182" s="83"/>
      <c r="Y182" s="83"/>
    </row>
    <row r="183" spans="3:25" ht="18.75" customHeight="1">
      <c r="C183" s="47"/>
      <c r="D183" s="61" t="s">
        <v>512</v>
      </c>
      <c r="E183" s="191">
        <f>'дод. 2'!F276+'дод. 2'!F242</f>
        <v>0</v>
      </c>
      <c r="F183" s="191">
        <f>'дод. 2'!G276+'дод. 2'!G242</f>
        <v>0</v>
      </c>
      <c r="G183" s="191">
        <f>'дод. 2'!H276+'дод. 2'!H242</f>
        <v>0</v>
      </c>
      <c r="H183" s="191">
        <f>'дод. 2'!I276+'дод. 2'!I242</f>
        <v>0</v>
      </c>
      <c r="I183" s="191">
        <f>'дод. 2'!J276+'дод. 2'!J242</f>
        <v>0</v>
      </c>
      <c r="J183" s="191">
        <f>'дод. 2'!K276+'дод. 2'!K242</f>
        <v>4839000</v>
      </c>
      <c r="K183" s="191">
        <f>'дод. 2'!L276+'дод. 2'!L242</f>
        <v>0</v>
      </c>
      <c r="L183" s="191">
        <f>'дод. 2'!M276+'дод. 2'!M242</f>
        <v>0</v>
      </c>
      <c r="M183" s="191">
        <f>'дод. 2'!N276+'дод. 2'!N242</f>
        <v>0</v>
      </c>
      <c r="N183" s="191">
        <f>'дод. 2'!O276+'дод. 2'!O242</f>
        <v>4839000</v>
      </c>
      <c r="O183" s="191">
        <f>'дод. 2'!P276+'дод. 2'!P242</f>
        <v>4839000</v>
      </c>
      <c r="P183" s="191">
        <f>'дод. 2'!Q276+'дод. 2'!Q242</f>
        <v>4839000</v>
      </c>
      <c r="X183" s="83"/>
      <c r="Y183" s="83"/>
    </row>
    <row r="184" spans="1:25" s="88" customFormat="1" ht="21" customHeight="1">
      <c r="A184" s="87"/>
      <c r="B184" s="89" t="s">
        <v>325</v>
      </c>
      <c r="C184" s="89"/>
      <c r="D184" s="92" t="s">
        <v>230</v>
      </c>
      <c r="E184" s="190">
        <f>E185</f>
        <v>0</v>
      </c>
      <c r="F184" s="190">
        <f aca="true" t="shared" si="36" ref="F184:P184">F185</f>
        <v>0</v>
      </c>
      <c r="G184" s="190">
        <f t="shared" si="36"/>
        <v>0</v>
      </c>
      <c r="H184" s="190">
        <f t="shared" si="36"/>
        <v>0</v>
      </c>
      <c r="I184" s="190">
        <f t="shared" si="36"/>
        <v>0</v>
      </c>
      <c r="J184" s="190">
        <f t="shared" si="36"/>
        <v>3143100</v>
      </c>
      <c r="K184" s="190">
        <f t="shared" si="36"/>
        <v>0</v>
      </c>
      <c r="L184" s="190">
        <f t="shared" si="36"/>
        <v>0</v>
      </c>
      <c r="M184" s="190">
        <f t="shared" si="36"/>
        <v>0</v>
      </c>
      <c r="N184" s="190">
        <f t="shared" si="36"/>
        <v>3143100</v>
      </c>
      <c r="O184" s="190">
        <f t="shared" si="36"/>
        <v>3143100</v>
      </c>
      <c r="P184" s="190">
        <f t="shared" si="36"/>
        <v>3143100</v>
      </c>
      <c r="X184" s="86"/>
      <c r="Y184" s="86"/>
    </row>
    <row r="185" spans="2:25" ht="24" customHeight="1">
      <c r="B185" s="47" t="s">
        <v>325</v>
      </c>
      <c r="C185" s="47"/>
      <c r="D185" s="61" t="s">
        <v>230</v>
      </c>
      <c r="E185" s="191">
        <f>E186</f>
        <v>0</v>
      </c>
      <c r="F185" s="191">
        <f aca="true" t="shared" si="37" ref="F185:P185">F186</f>
        <v>0</v>
      </c>
      <c r="G185" s="191">
        <f t="shared" si="37"/>
        <v>0</v>
      </c>
      <c r="H185" s="191">
        <f t="shared" si="37"/>
        <v>0</v>
      </c>
      <c r="I185" s="191">
        <f t="shared" si="37"/>
        <v>0</v>
      </c>
      <c r="J185" s="191">
        <f t="shared" si="37"/>
        <v>3143100</v>
      </c>
      <c r="K185" s="191">
        <f t="shared" si="37"/>
        <v>0</v>
      </c>
      <c r="L185" s="191">
        <f t="shared" si="37"/>
        <v>0</v>
      </c>
      <c r="M185" s="191">
        <f t="shared" si="37"/>
        <v>0</v>
      </c>
      <c r="N185" s="191">
        <f t="shared" si="37"/>
        <v>3143100</v>
      </c>
      <c r="O185" s="191">
        <f t="shared" si="37"/>
        <v>3143100</v>
      </c>
      <c r="P185" s="191">
        <f t="shared" si="37"/>
        <v>3143100</v>
      </c>
      <c r="X185" s="83"/>
      <c r="Y185" s="83"/>
    </row>
    <row r="186" spans="1:25" s="54" customFormat="1" ht="34.5" customHeight="1">
      <c r="A186" s="52"/>
      <c r="B186" s="51" t="s">
        <v>326</v>
      </c>
      <c r="C186" s="51" t="s">
        <v>308</v>
      </c>
      <c r="D186" s="62" t="s">
        <v>234</v>
      </c>
      <c r="E186" s="141">
        <f>'дод. 2'!F278+'дод. 2'!F244</f>
        <v>0</v>
      </c>
      <c r="F186" s="141">
        <f>'дод. 2'!G278+'дод. 2'!G244</f>
        <v>0</v>
      </c>
      <c r="G186" s="141">
        <f>'дод. 2'!H278+'дод. 2'!H244</f>
        <v>0</v>
      </c>
      <c r="H186" s="141">
        <f>'дод. 2'!I278+'дод. 2'!I244</f>
        <v>0</v>
      </c>
      <c r="I186" s="141">
        <f>'дод. 2'!J278+'дод. 2'!J244</f>
        <v>0</v>
      </c>
      <c r="J186" s="141">
        <f>'дод. 2'!K278+'дод. 2'!K244</f>
        <v>3143100</v>
      </c>
      <c r="K186" s="141">
        <f>'дод. 2'!L278+'дод. 2'!L244</f>
        <v>0</v>
      </c>
      <c r="L186" s="141">
        <f>'дод. 2'!M278+'дод. 2'!M244</f>
        <v>0</v>
      </c>
      <c r="M186" s="141">
        <f>'дод. 2'!N278+'дод. 2'!N244</f>
        <v>0</v>
      </c>
      <c r="N186" s="141">
        <f>'дод. 2'!O278+'дод. 2'!O244</f>
        <v>3143100</v>
      </c>
      <c r="O186" s="141">
        <f>'дод. 2'!P278+'дод. 2'!P244</f>
        <v>3143100</v>
      </c>
      <c r="P186" s="141">
        <f>'дод. 2'!Q278+'дод. 2'!Q244</f>
        <v>3143100</v>
      </c>
      <c r="X186" s="83"/>
      <c r="Y186" s="83"/>
    </row>
    <row r="187" spans="1:25" s="88" customFormat="1" ht="34.5" customHeight="1">
      <c r="A187" s="87"/>
      <c r="B187" s="89" t="s">
        <v>432</v>
      </c>
      <c r="C187" s="89"/>
      <c r="D187" s="92" t="s">
        <v>433</v>
      </c>
      <c r="E187" s="190">
        <f>E188</f>
        <v>650000</v>
      </c>
      <c r="F187" s="190">
        <f aca="true" t="shared" si="38" ref="F187:O187">F188</f>
        <v>0</v>
      </c>
      <c r="G187" s="190">
        <f t="shared" si="38"/>
        <v>0</v>
      </c>
      <c r="H187" s="190">
        <f t="shared" si="38"/>
        <v>0</v>
      </c>
      <c r="I187" s="190">
        <f t="shared" si="38"/>
        <v>650000</v>
      </c>
      <c r="J187" s="190">
        <f t="shared" si="38"/>
        <v>87216</v>
      </c>
      <c r="K187" s="190">
        <f t="shared" si="38"/>
        <v>0</v>
      </c>
      <c r="L187" s="190">
        <f t="shared" si="38"/>
        <v>0</v>
      </c>
      <c r="M187" s="190">
        <f t="shared" si="38"/>
        <v>0</v>
      </c>
      <c r="N187" s="190">
        <f t="shared" si="38"/>
        <v>87216</v>
      </c>
      <c r="O187" s="190">
        <f t="shared" si="38"/>
        <v>87216</v>
      </c>
      <c r="P187" s="190">
        <f>E187+J187</f>
        <v>737216</v>
      </c>
      <c r="X187" s="86"/>
      <c r="Y187" s="86"/>
    </row>
    <row r="188" spans="2:25" ht="34.5" customHeight="1">
      <c r="B188" s="47" t="s">
        <v>432</v>
      </c>
      <c r="C188" s="47" t="s">
        <v>431</v>
      </c>
      <c r="D188" s="61" t="s">
        <v>433</v>
      </c>
      <c r="E188" s="191">
        <f>'дод. 2'!F245</f>
        <v>650000</v>
      </c>
      <c r="F188" s="191">
        <f>'дод. 2'!G245</f>
        <v>0</v>
      </c>
      <c r="G188" s="191">
        <f>'дод. 2'!H245</f>
        <v>0</v>
      </c>
      <c r="H188" s="191">
        <f>'дод. 2'!I245</f>
        <v>0</v>
      </c>
      <c r="I188" s="191">
        <f>'дод. 2'!J245</f>
        <v>650000</v>
      </c>
      <c r="J188" s="191">
        <f>'дод. 2'!K245</f>
        <v>87216</v>
      </c>
      <c r="K188" s="191">
        <f>'дод. 2'!L245</f>
        <v>0</v>
      </c>
      <c r="L188" s="191">
        <f>'дод. 2'!M245</f>
        <v>0</v>
      </c>
      <c r="M188" s="191">
        <f>'дод. 2'!N245</f>
        <v>0</v>
      </c>
      <c r="N188" s="191">
        <f>'дод. 2'!O245</f>
        <v>87216</v>
      </c>
      <c r="O188" s="191">
        <f>'дод. 2'!P245</f>
        <v>87216</v>
      </c>
      <c r="P188" s="141">
        <f>E188+J188</f>
        <v>737216</v>
      </c>
      <c r="X188" s="83"/>
      <c r="Y188" s="83"/>
    </row>
    <row r="189" spans="1:25" s="88" customFormat="1" ht="39.75" customHeight="1">
      <c r="A189" s="87"/>
      <c r="B189" s="89" t="s">
        <v>329</v>
      </c>
      <c r="C189" s="58"/>
      <c r="D189" s="92" t="s">
        <v>330</v>
      </c>
      <c r="E189" s="190">
        <f>E190+E193+E191+E194</f>
        <v>9158836</v>
      </c>
      <c r="F189" s="190">
        <f aca="true" t="shared" si="39" ref="F189:P189">F190+F193+F191+F194</f>
        <v>0</v>
      </c>
      <c r="G189" s="190">
        <f t="shared" si="39"/>
        <v>0</v>
      </c>
      <c r="H189" s="190">
        <f t="shared" si="39"/>
        <v>0</v>
      </c>
      <c r="I189" s="190">
        <f t="shared" si="39"/>
        <v>9158836</v>
      </c>
      <c r="J189" s="190">
        <f t="shared" si="39"/>
        <v>1504211.6</v>
      </c>
      <c r="K189" s="190">
        <f t="shared" si="39"/>
        <v>0</v>
      </c>
      <c r="L189" s="190">
        <f t="shared" si="39"/>
        <v>0</v>
      </c>
      <c r="M189" s="190">
        <f t="shared" si="39"/>
        <v>0</v>
      </c>
      <c r="N189" s="190">
        <f t="shared" si="39"/>
        <v>1504211.6</v>
      </c>
      <c r="O189" s="190">
        <f t="shared" si="39"/>
        <v>1434400</v>
      </c>
      <c r="P189" s="190">
        <f t="shared" si="39"/>
        <v>10663047.6</v>
      </c>
      <c r="Q189" s="86"/>
      <c r="X189" s="86"/>
      <c r="Y189" s="86"/>
    </row>
    <row r="190" spans="2:25" ht="25.5" customHeight="1">
      <c r="B190" s="47" t="s">
        <v>331</v>
      </c>
      <c r="C190" s="47" t="s">
        <v>332</v>
      </c>
      <c r="D190" s="61" t="s">
        <v>193</v>
      </c>
      <c r="E190" s="191">
        <f>'дод. 2'!F41</f>
        <v>1604000</v>
      </c>
      <c r="F190" s="191">
        <f>'дод. 2'!G41</f>
        <v>0</v>
      </c>
      <c r="G190" s="191">
        <f>'дод. 2'!H41</f>
        <v>0</v>
      </c>
      <c r="H190" s="191">
        <f>'дод. 2'!I41</f>
        <v>0</v>
      </c>
      <c r="I190" s="191">
        <f>'дод. 2'!J41</f>
        <v>1604000</v>
      </c>
      <c r="J190" s="191">
        <f>'дод. 2'!K41</f>
        <v>0</v>
      </c>
      <c r="K190" s="191">
        <f>'дод. 2'!L41</f>
        <v>0</v>
      </c>
      <c r="L190" s="191">
        <f>'дод. 2'!M41</f>
        <v>0</v>
      </c>
      <c r="M190" s="191">
        <f>'дод. 2'!N41</f>
        <v>0</v>
      </c>
      <c r="N190" s="191">
        <f>'дод. 2'!O41</f>
        <v>0</v>
      </c>
      <c r="O190" s="191">
        <f>'дод. 2'!P41</f>
        <v>0</v>
      </c>
      <c r="P190" s="191">
        <f>E190+J190</f>
        <v>1604000</v>
      </c>
      <c r="X190" s="83"/>
      <c r="Y190" s="83"/>
    </row>
    <row r="191" spans="2:25" ht="31.5">
      <c r="B191" s="47" t="s">
        <v>412</v>
      </c>
      <c r="C191" s="51"/>
      <c r="D191" s="61" t="s">
        <v>195</v>
      </c>
      <c r="E191" s="191">
        <f>E192</f>
        <v>4844336</v>
      </c>
      <c r="F191" s="191">
        <f aca="true" t="shared" si="40" ref="F191:O191">F192</f>
        <v>0</v>
      </c>
      <c r="G191" s="191">
        <f t="shared" si="40"/>
        <v>0</v>
      </c>
      <c r="H191" s="191">
        <f t="shared" si="40"/>
        <v>0</v>
      </c>
      <c r="I191" s="191">
        <f t="shared" si="40"/>
        <v>4844336</v>
      </c>
      <c r="J191" s="191">
        <f t="shared" si="40"/>
        <v>0</v>
      </c>
      <c r="K191" s="191">
        <f t="shared" si="40"/>
        <v>0</v>
      </c>
      <c r="L191" s="191">
        <f t="shared" si="40"/>
        <v>0</v>
      </c>
      <c r="M191" s="191">
        <f t="shared" si="40"/>
        <v>0</v>
      </c>
      <c r="N191" s="191">
        <f t="shared" si="40"/>
        <v>0</v>
      </c>
      <c r="O191" s="191">
        <f t="shared" si="40"/>
        <v>0</v>
      </c>
      <c r="P191" s="191">
        <f>E191+J191</f>
        <v>4844336</v>
      </c>
      <c r="X191" s="83"/>
      <c r="Y191" s="83"/>
    </row>
    <row r="192" spans="1:25" s="54" customFormat="1" ht="22.5" customHeight="1">
      <c r="A192" s="52"/>
      <c r="B192" s="51" t="s">
        <v>334</v>
      </c>
      <c r="C192" s="51" t="s">
        <v>335</v>
      </c>
      <c r="D192" s="62" t="s">
        <v>198</v>
      </c>
      <c r="E192" s="141">
        <f>'дод. 2'!F43</f>
        <v>4844336</v>
      </c>
      <c r="F192" s="141">
        <f>'дод. 2'!G43</f>
        <v>0</v>
      </c>
      <c r="G192" s="141">
        <f>'дод. 2'!H43</f>
        <v>0</v>
      </c>
      <c r="H192" s="141">
        <f>'дод. 2'!I43</f>
        <v>0</v>
      </c>
      <c r="I192" s="141">
        <f>'дод. 2'!J43</f>
        <v>4844336</v>
      </c>
      <c r="J192" s="141">
        <f>'дод. 2'!K43</f>
        <v>0</v>
      </c>
      <c r="K192" s="141">
        <f>'дод. 2'!L43</f>
        <v>0</v>
      </c>
      <c r="L192" s="141">
        <f>'дод. 2'!M43</f>
        <v>0</v>
      </c>
      <c r="M192" s="141">
        <f>'дод. 2'!N43</f>
        <v>0</v>
      </c>
      <c r="N192" s="141">
        <f>'дод. 2'!O43</f>
        <v>0</v>
      </c>
      <c r="O192" s="141">
        <f>'дод. 2'!P43</f>
        <v>0</v>
      </c>
      <c r="P192" s="141">
        <f>E192+J192</f>
        <v>4844336</v>
      </c>
      <c r="X192" s="130"/>
      <c r="Y192" s="130"/>
    </row>
    <row r="193" spans="2:25" ht="24" customHeight="1">
      <c r="B193" s="47" t="s">
        <v>337</v>
      </c>
      <c r="C193" s="47" t="s">
        <v>338</v>
      </c>
      <c r="D193" s="61" t="s">
        <v>15</v>
      </c>
      <c r="E193" s="191">
        <f>'дод. 2'!F44</f>
        <v>2710500</v>
      </c>
      <c r="F193" s="191">
        <f>'дод. 2'!G44</f>
        <v>0</v>
      </c>
      <c r="G193" s="191">
        <f>'дод. 2'!H44</f>
        <v>0</v>
      </c>
      <c r="H193" s="191">
        <f>'дод. 2'!I44</f>
        <v>0</v>
      </c>
      <c r="I193" s="191">
        <f>'дод. 2'!J44</f>
        <v>2710500</v>
      </c>
      <c r="J193" s="191">
        <f>'дод. 2'!K44</f>
        <v>1434400</v>
      </c>
      <c r="K193" s="191">
        <f>'дод. 2'!L44</f>
        <v>0</v>
      </c>
      <c r="L193" s="191">
        <f>'дод. 2'!M44</f>
        <v>0</v>
      </c>
      <c r="M193" s="191">
        <f>'дод. 2'!N44</f>
        <v>0</v>
      </c>
      <c r="N193" s="191">
        <f>'дод. 2'!O44</f>
        <v>1434400</v>
      </c>
      <c r="O193" s="191">
        <f>'дод. 2'!P44</f>
        <v>1434400</v>
      </c>
      <c r="P193" s="191">
        <f>E193+J193</f>
        <v>4144900</v>
      </c>
      <c r="X193" s="83"/>
      <c r="Y193" s="83"/>
    </row>
    <row r="194" spans="2:25" ht="21" customHeight="1">
      <c r="B194" s="131" t="s">
        <v>536</v>
      </c>
      <c r="C194" s="131" t="s">
        <v>538</v>
      </c>
      <c r="D194" s="67" t="s">
        <v>537</v>
      </c>
      <c r="E194" s="191">
        <f>'дод. 2'!F279</f>
        <v>0</v>
      </c>
      <c r="F194" s="191">
        <f>'дод. 2'!G279</f>
        <v>0</v>
      </c>
      <c r="G194" s="191">
        <f>'дод. 2'!H279</f>
        <v>0</v>
      </c>
      <c r="H194" s="191">
        <f>'дод. 2'!I279</f>
        <v>0</v>
      </c>
      <c r="I194" s="191">
        <f>'дод. 2'!J279</f>
        <v>0</v>
      </c>
      <c r="J194" s="191">
        <f>'дод. 2'!K279</f>
        <v>69811.6</v>
      </c>
      <c r="K194" s="191">
        <f>'дод. 2'!L279</f>
        <v>0</v>
      </c>
      <c r="L194" s="191">
        <f>'дод. 2'!M279</f>
        <v>0</v>
      </c>
      <c r="M194" s="191">
        <f>'дод. 2'!N279</f>
        <v>0</v>
      </c>
      <c r="N194" s="191">
        <f>'дод. 2'!O279</f>
        <v>69811.6</v>
      </c>
      <c r="O194" s="191">
        <f>'дод. 2'!P279</f>
        <v>0</v>
      </c>
      <c r="P194" s="191">
        <f>'дод. 2'!Q279</f>
        <v>69811.6</v>
      </c>
      <c r="X194" s="83"/>
      <c r="Y194" s="83"/>
    </row>
    <row r="195" spans="1:25" s="88" customFormat="1" ht="21" customHeight="1">
      <c r="A195" s="87"/>
      <c r="B195" s="210" t="s">
        <v>563</v>
      </c>
      <c r="C195" s="210" t="s">
        <v>332</v>
      </c>
      <c r="D195" s="92" t="s">
        <v>564</v>
      </c>
      <c r="E195" s="190">
        <f>E196</f>
        <v>33000</v>
      </c>
      <c r="F195" s="190">
        <f aca="true" t="shared" si="41" ref="F195:P196">F196</f>
        <v>0</v>
      </c>
      <c r="G195" s="190">
        <f t="shared" si="41"/>
        <v>0</v>
      </c>
      <c r="H195" s="190">
        <f t="shared" si="41"/>
        <v>0</v>
      </c>
      <c r="I195" s="190">
        <f t="shared" si="41"/>
        <v>33000</v>
      </c>
      <c r="J195" s="190">
        <f t="shared" si="41"/>
        <v>0</v>
      </c>
      <c r="K195" s="190">
        <f t="shared" si="41"/>
        <v>0</v>
      </c>
      <c r="L195" s="190">
        <f t="shared" si="41"/>
        <v>0</v>
      </c>
      <c r="M195" s="190">
        <f t="shared" si="41"/>
        <v>0</v>
      </c>
      <c r="N195" s="190">
        <f t="shared" si="41"/>
        <v>0</v>
      </c>
      <c r="O195" s="190">
        <f t="shared" si="41"/>
        <v>0</v>
      </c>
      <c r="P195" s="190">
        <f t="shared" si="41"/>
        <v>33000</v>
      </c>
      <c r="X195" s="86"/>
      <c r="Y195" s="86"/>
    </row>
    <row r="196" spans="2:25" ht="25.5" customHeight="1">
      <c r="B196" s="131" t="s">
        <v>563</v>
      </c>
      <c r="C196" s="131" t="s">
        <v>332</v>
      </c>
      <c r="D196" s="61" t="s">
        <v>564</v>
      </c>
      <c r="E196" s="191">
        <f>E197</f>
        <v>33000</v>
      </c>
      <c r="F196" s="191">
        <f t="shared" si="41"/>
        <v>0</v>
      </c>
      <c r="G196" s="191">
        <f t="shared" si="41"/>
        <v>0</v>
      </c>
      <c r="H196" s="191">
        <f t="shared" si="41"/>
        <v>0</v>
      </c>
      <c r="I196" s="191">
        <f t="shared" si="41"/>
        <v>33000</v>
      </c>
      <c r="J196" s="191">
        <f t="shared" si="41"/>
        <v>0</v>
      </c>
      <c r="K196" s="191">
        <f t="shared" si="41"/>
        <v>0</v>
      </c>
      <c r="L196" s="191">
        <f t="shared" si="41"/>
        <v>0</v>
      </c>
      <c r="M196" s="191">
        <f t="shared" si="41"/>
        <v>0</v>
      </c>
      <c r="N196" s="191">
        <f t="shared" si="41"/>
        <v>0</v>
      </c>
      <c r="O196" s="191">
        <f t="shared" si="41"/>
        <v>0</v>
      </c>
      <c r="P196" s="191">
        <f t="shared" si="41"/>
        <v>33000</v>
      </c>
      <c r="X196" s="83"/>
      <c r="Y196" s="83"/>
    </row>
    <row r="197" spans="1:25" s="54" customFormat="1" ht="47.25">
      <c r="A197" s="52"/>
      <c r="B197" s="133" t="s">
        <v>563</v>
      </c>
      <c r="C197" s="133" t="s">
        <v>332</v>
      </c>
      <c r="D197" s="62" t="s">
        <v>565</v>
      </c>
      <c r="E197" s="141">
        <f>'дод. 2'!F45</f>
        <v>33000</v>
      </c>
      <c r="F197" s="141">
        <f>'дод. 2'!G45</f>
        <v>0</v>
      </c>
      <c r="G197" s="141">
        <f>'дод. 2'!H45</f>
        <v>0</v>
      </c>
      <c r="H197" s="141">
        <f>'дод. 2'!I45</f>
        <v>0</v>
      </c>
      <c r="I197" s="141">
        <f>'дод. 2'!J45</f>
        <v>33000</v>
      </c>
      <c r="J197" s="141">
        <f>'дод. 2'!K45</f>
        <v>0</v>
      </c>
      <c r="K197" s="141">
        <f>'дод. 2'!L45</f>
        <v>0</v>
      </c>
      <c r="L197" s="141">
        <f>'дод. 2'!M45</f>
        <v>0</v>
      </c>
      <c r="M197" s="141">
        <f>'дод. 2'!N45</f>
        <v>0</v>
      </c>
      <c r="N197" s="141">
        <f>'дод. 2'!O45</f>
        <v>0</v>
      </c>
      <c r="O197" s="141">
        <f>'дод. 2'!P45</f>
        <v>0</v>
      </c>
      <c r="P197" s="141">
        <f>'дод. 2'!Q45</f>
        <v>33000</v>
      </c>
      <c r="X197" s="130"/>
      <c r="Y197" s="130"/>
    </row>
    <row r="198" spans="1:25" s="88" customFormat="1" ht="32.25" customHeight="1">
      <c r="A198" s="87"/>
      <c r="B198" s="89" t="s">
        <v>309</v>
      </c>
      <c r="C198" s="58"/>
      <c r="D198" s="92" t="s">
        <v>310</v>
      </c>
      <c r="E198" s="190">
        <f>E199</f>
        <v>198000</v>
      </c>
      <c r="F198" s="190">
        <f aca="true" t="shared" si="42" ref="F198:P199">F199</f>
        <v>198000</v>
      </c>
      <c r="G198" s="190">
        <f t="shared" si="42"/>
        <v>0</v>
      </c>
      <c r="H198" s="190">
        <f t="shared" si="42"/>
        <v>0</v>
      </c>
      <c r="I198" s="190">
        <f t="shared" si="42"/>
        <v>0</v>
      </c>
      <c r="J198" s="190">
        <f t="shared" si="42"/>
        <v>0</v>
      </c>
      <c r="K198" s="190">
        <f t="shared" si="42"/>
        <v>0</v>
      </c>
      <c r="L198" s="190">
        <f t="shared" si="42"/>
        <v>0</v>
      </c>
      <c r="M198" s="190">
        <f t="shared" si="42"/>
        <v>0</v>
      </c>
      <c r="N198" s="190">
        <f t="shared" si="42"/>
        <v>0</v>
      </c>
      <c r="O198" s="190">
        <f t="shared" si="42"/>
        <v>0</v>
      </c>
      <c r="P198" s="190">
        <f t="shared" si="42"/>
        <v>198000</v>
      </c>
      <c r="Q198" s="86"/>
      <c r="X198" s="86"/>
      <c r="Y198" s="86"/>
    </row>
    <row r="199" spans="2:25" ht="27" customHeight="1">
      <c r="B199" s="47" t="s">
        <v>311</v>
      </c>
      <c r="C199" s="58"/>
      <c r="D199" s="61" t="s">
        <v>187</v>
      </c>
      <c r="E199" s="191">
        <f>E200</f>
        <v>198000</v>
      </c>
      <c r="F199" s="191">
        <f t="shared" si="42"/>
        <v>198000</v>
      </c>
      <c r="G199" s="191">
        <f t="shared" si="42"/>
        <v>0</v>
      </c>
      <c r="H199" s="191">
        <f t="shared" si="42"/>
        <v>0</v>
      </c>
      <c r="I199" s="191">
        <f t="shared" si="42"/>
        <v>0</v>
      </c>
      <c r="J199" s="191">
        <f t="shared" si="42"/>
        <v>0</v>
      </c>
      <c r="K199" s="191">
        <f t="shared" si="42"/>
        <v>0</v>
      </c>
      <c r="L199" s="191">
        <f t="shared" si="42"/>
        <v>0</v>
      </c>
      <c r="M199" s="191">
        <f t="shared" si="42"/>
        <v>0</v>
      </c>
      <c r="N199" s="191">
        <f t="shared" si="42"/>
        <v>0</v>
      </c>
      <c r="O199" s="191">
        <f t="shared" si="42"/>
        <v>0</v>
      </c>
      <c r="P199" s="191">
        <f>E199+J199</f>
        <v>198000</v>
      </c>
      <c r="X199" s="83"/>
      <c r="Y199" s="83"/>
    </row>
    <row r="200" spans="1:25" s="54" customFormat="1" ht="21.75" customHeight="1">
      <c r="A200" s="52"/>
      <c r="B200" s="51" t="s">
        <v>312</v>
      </c>
      <c r="C200" s="51" t="s">
        <v>313</v>
      </c>
      <c r="D200" s="62" t="s">
        <v>189</v>
      </c>
      <c r="E200" s="141">
        <f>'дод. 2'!F48</f>
        <v>198000</v>
      </c>
      <c r="F200" s="141">
        <f>'дод. 2'!G48</f>
        <v>198000</v>
      </c>
      <c r="G200" s="141">
        <f>'дод. 2'!H48</f>
        <v>0</v>
      </c>
      <c r="H200" s="141">
        <f>'дод. 2'!I48</f>
        <v>0</v>
      </c>
      <c r="I200" s="141">
        <f>'дод. 2'!J48</f>
        <v>0</v>
      </c>
      <c r="J200" s="141">
        <f>'дод. 2'!K48</f>
        <v>0</v>
      </c>
      <c r="K200" s="141">
        <f>'дод. 2'!L48</f>
        <v>0</v>
      </c>
      <c r="L200" s="141">
        <f>'дод. 2'!M48</f>
        <v>0</v>
      </c>
      <c r="M200" s="141">
        <f>'дод. 2'!N48</f>
        <v>0</v>
      </c>
      <c r="N200" s="141">
        <f>'дод. 2'!O48</f>
        <v>0</v>
      </c>
      <c r="O200" s="141">
        <f>'дод. 2'!P48</f>
        <v>0</v>
      </c>
      <c r="P200" s="141">
        <f>E200+J200</f>
        <v>198000</v>
      </c>
      <c r="X200" s="130"/>
      <c r="Y200" s="130"/>
    </row>
    <row r="201" spans="1:25" s="88" customFormat="1" ht="31.5">
      <c r="A201" s="87"/>
      <c r="B201" s="89" t="s">
        <v>379</v>
      </c>
      <c r="C201" s="58"/>
      <c r="D201" s="92" t="s">
        <v>327</v>
      </c>
      <c r="E201" s="190">
        <f>E202</f>
        <v>1891764.67</v>
      </c>
      <c r="F201" s="190">
        <f aca="true" t="shared" si="43" ref="F201:P201">F202</f>
        <v>1891764.67</v>
      </c>
      <c r="G201" s="190">
        <f t="shared" si="43"/>
        <v>0</v>
      </c>
      <c r="H201" s="190">
        <f t="shared" si="43"/>
        <v>0</v>
      </c>
      <c r="I201" s="190">
        <f t="shared" si="43"/>
        <v>0</v>
      </c>
      <c r="J201" s="190">
        <f t="shared" si="43"/>
        <v>64343.33</v>
      </c>
      <c r="K201" s="190">
        <f t="shared" si="43"/>
        <v>14343.33</v>
      </c>
      <c r="L201" s="190">
        <f t="shared" si="43"/>
        <v>0</v>
      </c>
      <c r="M201" s="190">
        <f t="shared" si="43"/>
        <v>0</v>
      </c>
      <c r="N201" s="190">
        <f t="shared" si="43"/>
        <v>50000</v>
      </c>
      <c r="O201" s="190">
        <f t="shared" si="43"/>
        <v>50000</v>
      </c>
      <c r="P201" s="190">
        <f t="shared" si="43"/>
        <v>1956108</v>
      </c>
      <c r="Q201" s="86"/>
      <c r="X201" s="86"/>
      <c r="Y201" s="86"/>
    </row>
    <row r="202" spans="2:25" ht="15.75">
      <c r="B202" s="47" t="s">
        <v>411</v>
      </c>
      <c r="C202" s="47" t="s">
        <v>328</v>
      </c>
      <c r="D202" s="61" t="s">
        <v>153</v>
      </c>
      <c r="E202" s="191">
        <f>'дод. 2'!F246+'дод. 2'!F262</f>
        <v>1891764.67</v>
      </c>
      <c r="F202" s="191">
        <f>'дод. 2'!G246+'дод. 2'!G262</f>
        <v>1891764.67</v>
      </c>
      <c r="G202" s="191">
        <f>'дод. 2'!H246+'дод. 2'!H262</f>
        <v>0</v>
      </c>
      <c r="H202" s="191">
        <f>'дод. 2'!I246+'дод. 2'!I262</f>
        <v>0</v>
      </c>
      <c r="I202" s="191">
        <f>'дод. 2'!J246+'дод. 2'!J262</f>
        <v>0</v>
      </c>
      <c r="J202" s="191">
        <f>'дод. 2'!K246+'дод. 2'!K262</f>
        <v>64343.33</v>
      </c>
      <c r="K202" s="191">
        <f>'дод. 2'!L246+'дод. 2'!L262</f>
        <v>14343.33</v>
      </c>
      <c r="L202" s="191">
        <f>'дод. 2'!M246+'дод. 2'!M262</f>
        <v>0</v>
      </c>
      <c r="M202" s="191">
        <f>'дод. 2'!N246+'дод. 2'!N262</f>
        <v>0</v>
      </c>
      <c r="N202" s="191">
        <f>'дод. 2'!O246+'дод. 2'!O262</f>
        <v>50000</v>
      </c>
      <c r="O202" s="191">
        <f>'дод. 2'!P246+'дод. 2'!P262</f>
        <v>50000</v>
      </c>
      <c r="P202" s="191">
        <f>'дод. 2'!Q246+'дод. 2'!Q262</f>
        <v>1956108</v>
      </c>
      <c r="X202" s="83"/>
      <c r="Y202" s="83"/>
    </row>
    <row r="203" spans="1:25" s="88" customFormat="1" ht="24" customHeight="1">
      <c r="A203" s="87"/>
      <c r="B203" s="89" t="s">
        <v>339</v>
      </c>
      <c r="C203" s="58"/>
      <c r="D203" s="92" t="s">
        <v>340</v>
      </c>
      <c r="E203" s="190">
        <f aca="true" t="shared" si="44" ref="E203:P203">E205+E207+E208</f>
        <v>3222770</v>
      </c>
      <c r="F203" s="190">
        <f t="shared" si="44"/>
        <v>2022770</v>
      </c>
      <c r="G203" s="190">
        <f t="shared" si="44"/>
        <v>0</v>
      </c>
      <c r="H203" s="190">
        <f t="shared" si="44"/>
        <v>0</v>
      </c>
      <c r="I203" s="190">
        <f t="shared" si="44"/>
        <v>1200000</v>
      </c>
      <c r="J203" s="190">
        <f t="shared" si="44"/>
        <v>128925933</v>
      </c>
      <c r="K203" s="190">
        <f t="shared" si="44"/>
        <v>0</v>
      </c>
      <c r="L203" s="190">
        <f t="shared" si="44"/>
        <v>0</v>
      </c>
      <c r="M203" s="190">
        <f t="shared" si="44"/>
        <v>0</v>
      </c>
      <c r="N203" s="190">
        <f t="shared" si="44"/>
        <v>128925933</v>
      </c>
      <c r="O203" s="190">
        <f t="shared" si="44"/>
        <v>128925933</v>
      </c>
      <c r="P203" s="190">
        <f t="shared" si="44"/>
        <v>132148703</v>
      </c>
      <c r="Q203" s="86"/>
      <c r="X203" s="86"/>
      <c r="Y203" s="86"/>
    </row>
    <row r="204" spans="1:25" s="88" customFormat="1" ht="24" customHeight="1">
      <c r="A204" s="87"/>
      <c r="B204" s="89"/>
      <c r="C204" s="58"/>
      <c r="D204" s="92" t="s">
        <v>512</v>
      </c>
      <c r="E204" s="190">
        <f>E206</f>
        <v>0</v>
      </c>
      <c r="F204" s="190">
        <f aca="true" t="shared" si="45" ref="F204:P204">F206</f>
        <v>0</v>
      </c>
      <c r="G204" s="190">
        <f t="shared" si="45"/>
        <v>0</v>
      </c>
      <c r="H204" s="190">
        <f t="shared" si="45"/>
        <v>0</v>
      </c>
      <c r="I204" s="190">
        <f t="shared" si="45"/>
        <v>0</v>
      </c>
      <c r="J204" s="190">
        <f t="shared" si="45"/>
        <v>2000000</v>
      </c>
      <c r="K204" s="190">
        <f t="shared" si="45"/>
        <v>0</v>
      </c>
      <c r="L204" s="190">
        <f t="shared" si="45"/>
        <v>0</v>
      </c>
      <c r="M204" s="190">
        <f t="shared" si="45"/>
        <v>0</v>
      </c>
      <c r="N204" s="190">
        <f t="shared" si="45"/>
        <v>2000000</v>
      </c>
      <c r="O204" s="190">
        <f t="shared" si="45"/>
        <v>2000000</v>
      </c>
      <c r="P204" s="190">
        <f t="shared" si="45"/>
        <v>2000000</v>
      </c>
      <c r="Q204" s="86"/>
      <c r="X204" s="86"/>
      <c r="Y204" s="86"/>
    </row>
    <row r="205" spans="2:25" ht="29.25" customHeight="1">
      <c r="B205" s="47" t="s">
        <v>341</v>
      </c>
      <c r="C205" s="47" t="s">
        <v>342</v>
      </c>
      <c r="D205" s="61" t="s">
        <v>154</v>
      </c>
      <c r="E205" s="191">
        <f>'дод. 2'!F96+'дод. 2'!F207+'дод. 2'!F126+'дод. 2'!F222+'дод. 2'!F247+'дод. 2'!F280</f>
        <v>1913570</v>
      </c>
      <c r="F205" s="191">
        <f>'дод. 2'!G96+'дод. 2'!G207+'дод. 2'!G126+'дод. 2'!G222+'дод. 2'!G247+'дод. 2'!G280</f>
        <v>1713570</v>
      </c>
      <c r="G205" s="191">
        <f>'дод. 2'!H96+'дод. 2'!H207+'дод. 2'!H126+'дод. 2'!H222+'дод. 2'!H247+'дод. 2'!H280</f>
        <v>0</v>
      </c>
      <c r="H205" s="191">
        <f>'дод. 2'!I96+'дод. 2'!I207+'дод. 2'!I126+'дод. 2'!I222+'дод. 2'!I247+'дод. 2'!I280</f>
        <v>0</v>
      </c>
      <c r="I205" s="191">
        <f>'дод. 2'!J96+'дод. 2'!J207+'дод. 2'!J126+'дод. 2'!J222+'дод. 2'!J247+'дод. 2'!J280</f>
        <v>200000</v>
      </c>
      <c r="J205" s="191">
        <f>'дод. 2'!K96+'дод. 2'!K207+'дод. 2'!K126+'дод. 2'!K222+'дод. 2'!K247+'дод. 2'!K280</f>
        <v>25680460</v>
      </c>
      <c r="K205" s="191">
        <f>'дод. 2'!L96+'дод. 2'!L207+'дод. 2'!L126+'дод. 2'!L222+'дод. 2'!L247+'дод. 2'!L280</f>
        <v>0</v>
      </c>
      <c r="L205" s="191">
        <f>'дод. 2'!M96+'дод. 2'!M207+'дод. 2'!M126+'дод. 2'!M222+'дод. 2'!M247+'дод. 2'!M280</f>
        <v>0</v>
      </c>
      <c r="M205" s="191">
        <f>'дод. 2'!N96+'дод. 2'!N207+'дод. 2'!N126+'дод. 2'!N222+'дод. 2'!N247+'дод. 2'!N280</f>
        <v>0</v>
      </c>
      <c r="N205" s="191">
        <f>'дод. 2'!O96+'дод. 2'!O207+'дод. 2'!O126+'дод. 2'!O222+'дод. 2'!O247+'дод. 2'!O280</f>
        <v>25680460</v>
      </c>
      <c r="O205" s="191">
        <f>'дод. 2'!P96+'дод. 2'!P207+'дод. 2'!P126+'дод. 2'!P222+'дод. 2'!P247+'дод. 2'!P280</f>
        <v>25680460</v>
      </c>
      <c r="P205" s="191">
        <f>E205+J205</f>
        <v>27594030</v>
      </c>
      <c r="X205" s="83"/>
      <c r="Y205" s="83"/>
    </row>
    <row r="206" spans="3:25" ht="29.25" customHeight="1">
      <c r="C206" s="47"/>
      <c r="D206" s="61" t="s">
        <v>512</v>
      </c>
      <c r="E206" s="191">
        <f>'дод. 2'!F127+'дод. 2'!F97</f>
        <v>0</v>
      </c>
      <c r="F206" s="191">
        <f>'дод. 2'!G127+'дод. 2'!G97</f>
        <v>0</v>
      </c>
      <c r="G206" s="191">
        <f>'дод. 2'!H127+'дод. 2'!H97</f>
        <v>0</v>
      </c>
      <c r="H206" s="191">
        <f>'дод. 2'!I127+'дод. 2'!I97</f>
        <v>0</v>
      </c>
      <c r="I206" s="191">
        <f>'дод. 2'!J127+'дод. 2'!J97</f>
        <v>0</v>
      </c>
      <c r="J206" s="191">
        <f>'дод. 2'!K127+'дод. 2'!K97</f>
        <v>2000000</v>
      </c>
      <c r="K206" s="191">
        <f>'дод. 2'!L127+'дод. 2'!L97</f>
        <v>0</v>
      </c>
      <c r="L206" s="191">
        <f>'дод. 2'!M127+'дод. 2'!M97</f>
        <v>0</v>
      </c>
      <c r="M206" s="191">
        <f>'дод. 2'!N127+'дод. 2'!N97</f>
        <v>0</v>
      </c>
      <c r="N206" s="191">
        <f>'дод. 2'!O127+'дод. 2'!O97</f>
        <v>2000000</v>
      </c>
      <c r="O206" s="191">
        <f>'дод. 2'!P127+'дод. 2'!P97</f>
        <v>2000000</v>
      </c>
      <c r="P206" s="191">
        <f>'дод. 2'!Q127+'дод. 2'!Q97</f>
        <v>2000000</v>
      </c>
      <c r="X206" s="83"/>
      <c r="Y206" s="83"/>
    </row>
    <row r="207" spans="2:25" ht="29.25" customHeight="1">
      <c r="B207" s="47" t="s">
        <v>343</v>
      </c>
      <c r="C207" s="47" t="s">
        <v>344</v>
      </c>
      <c r="D207" s="61" t="s">
        <v>54</v>
      </c>
      <c r="E207" s="191">
        <f>'дод. 2'!F49+'дод. 2'!F263</f>
        <v>1309200</v>
      </c>
      <c r="F207" s="191">
        <f>'дод. 2'!G49+'дод. 2'!G263</f>
        <v>309200</v>
      </c>
      <c r="G207" s="191">
        <f>'дод. 2'!H49+'дод. 2'!H263</f>
        <v>0</v>
      </c>
      <c r="H207" s="191">
        <f>'дод. 2'!I49+'дод. 2'!I263</f>
        <v>0</v>
      </c>
      <c r="I207" s="191">
        <f>'дод. 2'!J49+'дод. 2'!J263</f>
        <v>1000000</v>
      </c>
      <c r="J207" s="191">
        <f>'дод. 2'!K49+'дод. 2'!K263</f>
        <v>32000</v>
      </c>
      <c r="K207" s="191">
        <f>'дод. 2'!L49+'дод. 2'!L263</f>
        <v>0</v>
      </c>
      <c r="L207" s="191">
        <f>'дод. 2'!M49+'дод. 2'!M263</f>
        <v>0</v>
      </c>
      <c r="M207" s="191">
        <f>'дод. 2'!N49+'дод. 2'!N263</f>
        <v>0</v>
      </c>
      <c r="N207" s="191">
        <f>'дод. 2'!O49+'дод. 2'!O263</f>
        <v>32000</v>
      </c>
      <c r="O207" s="191">
        <f>'дод. 2'!P49+'дод. 2'!P263</f>
        <v>32000</v>
      </c>
      <c r="P207" s="191">
        <f>E207+J207</f>
        <v>1341200</v>
      </c>
      <c r="X207" s="83"/>
      <c r="Y207" s="83"/>
    </row>
    <row r="208" spans="2:25" ht="29.25" customHeight="1">
      <c r="B208" s="47" t="s">
        <v>345</v>
      </c>
      <c r="C208" s="47" t="s">
        <v>324</v>
      </c>
      <c r="D208" s="61" t="s">
        <v>56</v>
      </c>
      <c r="E208" s="191">
        <f>'дод. 2'!F281+'дод. 2'!F248+'дод. 2'!F50+'дод. 2'!F293</f>
        <v>0</v>
      </c>
      <c r="F208" s="191">
        <f>'дод. 2'!G281+'дод. 2'!G248+'дод. 2'!G50+'дод. 2'!G293</f>
        <v>0</v>
      </c>
      <c r="G208" s="191">
        <f>'дод. 2'!H281+'дод. 2'!H248+'дод. 2'!H50+'дод. 2'!H293</f>
        <v>0</v>
      </c>
      <c r="H208" s="191">
        <f>'дод. 2'!I281+'дод. 2'!I248+'дод. 2'!I50+'дод. 2'!I293</f>
        <v>0</v>
      </c>
      <c r="I208" s="191">
        <f>'дод. 2'!J281+'дод. 2'!J248+'дод. 2'!J50+'дод. 2'!J293</f>
        <v>0</v>
      </c>
      <c r="J208" s="191">
        <f>'дод. 2'!K281+'дод. 2'!K248+'дод. 2'!K50+'дод. 2'!K293</f>
        <v>103213473</v>
      </c>
      <c r="K208" s="191">
        <f>'дод. 2'!L281+'дод. 2'!L248+'дод. 2'!L50+'дод. 2'!L293</f>
        <v>0</v>
      </c>
      <c r="L208" s="191">
        <f>'дод. 2'!M281+'дод. 2'!M248+'дод. 2'!M50+'дод. 2'!M293</f>
        <v>0</v>
      </c>
      <c r="M208" s="191">
        <f>'дод. 2'!N281+'дод. 2'!N248+'дод. 2'!N50+'дод. 2'!N293</f>
        <v>0</v>
      </c>
      <c r="N208" s="191">
        <f>'дод. 2'!O281+'дод. 2'!O248+'дод. 2'!O50+'дод. 2'!O293</f>
        <v>103213473</v>
      </c>
      <c r="O208" s="191">
        <f>'дод. 2'!P281+'дод. 2'!P248+'дод. 2'!P50+'дод. 2'!P293</f>
        <v>103213473</v>
      </c>
      <c r="P208" s="191">
        <f>'дод. 2'!Q281+'дод. 2'!Q248+'дод. 2'!Q50+'дод. 2'!Q293</f>
        <v>103213473</v>
      </c>
      <c r="X208" s="83"/>
      <c r="Y208" s="83"/>
    </row>
    <row r="209" spans="1:25" s="88" customFormat="1" ht="32.25" customHeight="1">
      <c r="A209" s="87"/>
      <c r="B209" s="89" t="s">
        <v>346</v>
      </c>
      <c r="C209" s="89"/>
      <c r="D209" s="92" t="s">
        <v>16</v>
      </c>
      <c r="E209" s="190">
        <f>E210</f>
        <v>719800</v>
      </c>
      <c r="F209" s="190">
        <f aca="true" t="shared" si="46" ref="F209:P209">F210</f>
        <v>719800</v>
      </c>
      <c r="G209" s="190">
        <f t="shared" si="46"/>
        <v>0</v>
      </c>
      <c r="H209" s="190">
        <f t="shared" si="46"/>
        <v>0</v>
      </c>
      <c r="I209" s="190">
        <f t="shared" si="46"/>
        <v>0</v>
      </c>
      <c r="J209" s="190">
        <f t="shared" si="46"/>
        <v>0</v>
      </c>
      <c r="K209" s="190">
        <f t="shared" si="46"/>
        <v>0</v>
      </c>
      <c r="L209" s="190">
        <f t="shared" si="46"/>
        <v>0</v>
      </c>
      <c r="M209" s="190">
        <f t="shared" si="46"/>
        <v>0</v>
      </c>
      <c r="N209" s="190">
        <f t="shared" si="46"/>
        <v>0</v>
      </c>
      <c r="O209" s="190">
        <f t="shared" si="46"/>
        <v>0</v>
      </c>
      <c r="P209" s="190">
        <f t="shared" si="46"/>
        <v>719800</v>
      </c>
      <c r="X209" s="86"/>
      <c r="Y209" s="86"/>
    </row>
    <row r="210" spans="2:25" ht="32.25" customHeight="1">
      <c r="B210" s="47" t="s">
        <v>346</v>
      </c>
      <c r="C210" s="47" t="s">
        <v>344</v>
      </c>
      <c r="D210" s="61" t="s">
        <v>16</v>
      </c>
      <c r="E210" s="191">
        <f>E211</f>
        <v>719800</v>
      </c>
      <c r="F210" s="191">
        <f aca="true" t="shared" si="47" ref="F210:P210">F211</f>
        <v>719800</v>
      </c>
      <c r="G210" s="191">
        <f t="shared" si="47"/>
        <v>0</v>
      </c>
      <c r="H210" s="191">
        <f t="shared" si="47"/>
        <v>0</v>
      </c>
      <c r="I210" s="191">
        <f t="shared" si="47"/>
        <v>0</v>
      </c>
      <c r="J210" s="191">
        <f t="shared" si="47"/>
        <v>0</v>
      </c>
      <c r="K210" s="191">
        <f t="shared" si="47"/>
        <v>0</v>
      </c>
      <c r="L210" s="191">
        <f t="shared" si="47"/>
        <v>0</v>
      </c>
      <c r="M210" s="191">
        <f t="shared" si="47"/>
        <v>0</v>
      </c>
      <c r="N210" s="191">
        <f t="shared" si="47"/>
        <v>0</v>
      </c>
      <c r="O210" s="191">
        <f t="shared" si="47"/>
        <v>0</v>
      </c>
      <c r="P210" s="191">
        <f t="shared" si="47"/>
        <v>719800</v>
      </c>
      <c r="X210" s="83"/>
      <c r="Y210" s="83"/>
    </row>
    <row r="211" spans="1:25" s="54" customFormat="1" ht="38.25" customHeight="1">
      <c r="A211" s="52"/>
      <c r="B211" s="51" t="s">
        <v>346</v>
      </c>
      <c r="C211" s="51" t="s">
        <v>344</v>
      </c>
      <c r="D211" s="62" t="s">
        <v>201</v>
      </c>
      <c r="E211" s="141">
        <f>'дод. 2'!F52</f>
        <v>719800</v>
      </c>
      <c r="F211" s="141">
        <f>'дод. 2'!G52</f>
        <v>719800</v>
      </c>
      <c r="G211" s="141">
        <f>'дод. 2'!H52</f>
        <v>0</v>
      </c>
      <c r="H211" s="141">
        <f>'дод. 2'!I52</f>
        <v>0</v>
      </c>
      <c r="I211" s="141">
        <f>'дод. 2'!J52</f>
        <v>0</v>
      </c>
      <c r="J211" s="141">
        <f>'дод. 2'!K52</f>
        <v>0</v>
      </c>
      <c r="K211" s="141">
        <f>'дод. 2'!L52</f>
        <v>0</v>
      </c>
      <c r="L211" s="141">
        <f>'дод. 2'!M52</f>
        <v>0</v>
      </c>
      <c r="M211" s="141">
        <f>'дод. 2'!N52</f>
        <v>0</v>
      </c>
      <c r="N211" s="141">
        <f>'дод. 2'!O52</f>
        <v>0</v>
      </c>
      <c r="O211" s="141">
        <f>'дод. 2'!P52</f>
        <v>0</v>
      </c>
      <c r="P211" s="141">
        <f>E211+J211</f>
        <v>719800</v>
      </c>
      <c r="X211" s="83"/>
      <c r="Y211" s="83"/>
    </row>
    <row r="212" spans="1:25" s="88" customFormat="1" ht="31.5">
      <c r="A212" s="87"/>
      <c r="B212" s="89" t="s">
        <v>347</v>
      </c>
      <c r="C212" s="89"/>
      <c r="D212" s="92" t="s">
        <v>348</v>
      </c>
      <c r="E212" s="190">
        <f>E213</f>
        <v>199733</v>
      </c>
      <c r="F212" s="190">
        <f aca="true" t="shared" si="48" ref="F212:P212">F213</f>
        <v>199733</v>
      </c>
      <c r="G212" s="190">
        <f t="shared" si="48"/>
        <v>0</v>
      </c>
      <c r="H212" s="190">
        <f t="shared" si="48"/>
        <v>0</v>
      </c>
      <c r="I212" s="190">
        <f t="shared" si="48"/>
        <v>0</v>
      </c>
      <c r="J212" s="190">
        <f t="shared" si="48"/>
        <v>0</v>
      </c>
      <c r="K212" s="190">
        <f t="shared" si="48"/>
        <v>0</v>
      </c>
      <c r="L212" s="190">
        <f t="shared" si="48"/>
        <v>0</v>
      </c>
      <c r="M212" s="190">
        <f t="shared" si="48"/>
        <v>0</v>
      </c>
      <c r="N212" s="190">
        <f t="shared" si="48"/>
        <v>0</v>
      </c>
      <c r="O212" s="190">
        <f t="shared" si="48"/>
        <v>0</v>
      </c>
      <c r="P212" s="190">
        <f t="shared" si="48"/>
        <v>199733</v>
      </c>
      <c r="Q212" s="86"/>
      <c r="X212" s="86"/>
      <c r="Y212" s="86"/>
    </row>
    <row r="213" spans="2:25" ht="29.25" customHeight="1">
      <c r="B213" s="47" t="s">
        <v>349</v>
      </c>
      <c r="C213" s="47" t="s">
        <v>350</v>
      </c>
      <c r="D213" s="61" t="s">
        <v>19</v>
      </c>
      <c r="E213" s="191">
        <f>'дод. 2'!F249</f>
        <v>199733</v>
      </c>
      <c r="F213" s="191">
        <f>'дод. 2'!G249</f>
        <v>199733</v>
      </c>
      <c r="G213" s="191">
        <f>'дод. 2'!H249</f>
        <v>0</v>
      </c>
      <c r="H213" s="191">
        <f>'дод. 2'!I249</f>
        <v>0</v>
      </c>
      <c r="I213" s="191">
        <f>'дод. 2'!J249</f>
        <v>0</v>
      </c>
      <c r="J213" s="191">
        <f>'дод. 2'!K249</f>
        <v>0</v>
      </c>
      <c r="K213" s="191">
        <f>'дод. 2'!L249</f>
        <v>0</v>
      </c>
      <c r="L213" s="191">
        <f>'дод. 2'!M249</f>
        <v>0</v>
      </c>
      <c r="M213" s="191">
        <f>'дод. 2'!N249</f>
        <v>0</v>
      </c>
      <c r="N213" s="191">
        <f>'дод. 2'!O249</f>
        <v>0</v>
      </c>
      <c r="O213" s="191">
        <f>'дод. 2'!P249</f>
        <v>0</v>
      </c>
      <c r="P213" s="191">
        <f>E213+J213</f>
        <v>199733</v>
      </c>
      <c r="X213" s="83"/>
      <c r="Y213" s="83"/>
    </row>
    <row r="214" spans="1:25" s="88" customFormat="1" ht="31.5">
      <c r="A214" s="87"/>
      <c r="B214" s="89" t="s">
        <v>351</v>
      </c>
      <c r="C214" s="58"/>
      <c r="D214" s="92" t="s">
        <v>352</v>
      </c>
      <c r="E214" s="190">
        <f>E216+E217+E215</f>
        <v>2513710.25</v>
      </c>
      <c r="F214" s="190">
        <f aca="true" t="shared" si="49" ref="F214:P214">F216+F217+F215</f>
        <v>2513710.25</v>
      </c>
      <c r="G214" s="190">
        <f t="shared" si="49"/>
        <v>965400</v>
      </c>
      <c r="H214" s="190">
        <f t="shared" si="49"/>
        <v>53898</v>
      </c>
      <c r="I214" s="190">
        <f t="shared" si="49"/>
        <v>0</v>
      </c>
      <c r="J214" s="190">
        <f t="shared" si="49"/>
        <v>5852804</v>
      </c>
      <c r="K214" s="190">
        <f t="shared" si="49"/>
        <v>4900</v>
      </c>
      <c r="L214" s="190">
        <f t="shared" si="49"/>
        <v>0</v>
      </c>
      <c r="M214" s="190">
        <f t="shared" si="49"/>
        <v>1000</v>
      </c>
      <c r="N214" s="190">
        <f t="shared" si="49"/>
        <v>5847904</v>
      </c>
      <c r="O214" s="190">
        <f t="shared" si="49"/>
        <v>5847904</v>
      </c>
      <c r="P214" s="190">
        <f t="shared" si="49"/>
        <v>8366514.25</v>
      </c>
      <c r="Q214" s="86"/>
      <c r="X214" s="86"/>
      <c r="Y214" s="86"/>
    </row>
    <row r="215" spans="1:25" s="88" customFormat="1" ht="39.75" customHeight="1">
      <c r="A215" s="87"/>
      <c r="B215" s="131" t="s">
        <v>546</v>
      </c>
      <c r="C215" s="131" t="s">
        <v>356</v>
      </c>
      <c r="D215" s="61" t="s">
        <v>547</v>
      </c>
      <c r="E215" s="191">
        <f>'дод. 2'!F208+'дод. 2'!F250+'дод. 2'!F53</f>
        <v>896440.25</v>
      </c>
      <c r="F215" s="191">
        <f>'дод. 2'!G208+'дод. 2'!G250+'дод. 2'!G53</f>
        <v>896440.25</v>
      </c>
      <c r="G215" s="191">
        <f>'дод. 2'!H208+'дод. 2'!H250+'дод. 2'!H53</f>
        <v>0</v>
      </c>
      <c r="H215" s="191">
        <f>'дод. 2'!I208+'дод. 2'!I250+'дод. 2'!I53</f>
        <v>0</v>
      </c>
      <c r="I215" s="191">
        <f>'дод. 2'!J208+'дод. 2'!J250+'дод. 2'!J53</f>
        <v>0</v>
      </c>
      <c r="J215" s="191">
        <f>'дод. 2'!K208+'дод. 2'!K250+'дод. 2'!K53</f>
        <v>5462904</v>
      </c>
      <c r="K215" s="191">
        <f>'дод. 2'!L208+'дод. 2'!L250+'дод. 2'!L53</f>
        <v>0</v>
      </c>
      <c r="L215" s="191">
        <f>'дод. 2'!M208+'дод. 2'!M250+'дод. 2'!M53</f>
        <v>0</v>
      </c>
      <c r="M215" s="191">
        <f>'дод. 2'!N208+'дод. 2'!N250+'дод. 2'!N53</f>
        <v>0</v>
      </c>
      <c r="N215" s="191">
        <f>'дод. 2'!O208+'дод. 2'!O250+'дод. 2'!O53</f>
        <v>5462904</v>
      </c>
      <c r="O215" s="191">
        <f>'дод. 2'!P208+'дод. 2'!P250+'дод. 2'!P53</f>
        <v>5462904</v>
      </c>
      <c r="P215" s="191">
        <f>'дод. 2'!Q208+'дод. 2'!Q250+'дод. 2'!Q53</f>
        <v>6359344.25</v>
      </c>
      <c r="Q215" s="86"/>
      <c r="X215" s="86"/>
      <c r="Y215" s="86"/>
    </row>
    <row r="216" spans="2:25" ht="49.5" customHeight="1">
      <c r="B216" s="47" t="s">
        <v>353</v>
      </c>
      <c r="C216" s="47" t="s">
        <v>354</v>
      </c>
      <c r="D216" s="61" t="s">
        <v>61</v>
      </c>
      <c r="E216" s="191">
        <f>'дод. 2'!F54</f>
        <v>345692</v>
      </c>
      <c r="F216" s="191">
        <f>'дод. 2'!G54</f>
        <v>345692</v>
      </c>
      <c r="G216" s="191">
        <f>'дод. 2'!H54</f>
        <v>0</v>
      </c>
      <c r="H216" s="191">
        <f>'дод. 2'!I54</f>
        <v>5300</v>
      </c>
      <c r="I216" s="191">
        <f>'дод. 2'!J54</f>
        <v>0</v>
      </c>
      <c r="J216" s="191">
        <f>'дод. 2'!K54</f>
        <v>385000</v>
      </c>
      <c r="K216" s="191">
        <f>'дод. 2'!L54</f>
        <v>0</v>
      </c>
      <c r="L216" s="191">
        <f>'дод. 2'!M54</f>
        <v>0</v>
      </c>
      <c r="M216" s="191">
        <f>'дод. 2'!N54</f>
        <v>0</v>
      </c>
      <c r="N216" s="191">
        <f>'дод. 2'!O54</f>
        <v>385000</v>
      </c>
      <c r="O216" s="191">
        <f>'дод. 2'!P54</f>
        <v>385000</v>
      </c>
      <c r="P216" s="191">
        <f>E216+J216</f>
        <v>730692</v>
      </c>
      <c r="X216" s="83"/>
      <c r="Y216" s="83"/>
    </row>
    <row r="217" spans="2:25" ht="21.75" customHeight="1">
      <c r="B217" s="47" t="s">
        <v>355</v>
      </c>
      <c r="C217" s="60" t="s">
        <v>356</v>
      </c>
      <c r="D217" s="61" t="s">
        <v>59</v>
      </c>
      <c r="E217" s="191">
        <f>'дод. 2'!F55</f>
        <v>1271578</v>
      </c>
      <c r="F217" s="191">
        <f>'дод. 2'!G55</f>
        <v>1271578</v>
      </c>
      <c r="G217" s="191">
        <f>'дод. 2'!H55</f>
        <v>965400</v>
      </c>
      <c r="H217" s="191">
        <f>'дод. 2'!I55</f>
        <v>48598</v>
      </c>
      <c r="I217" s="191">
        <f>'дод. 2'!J55</f>
        <v>0</v>
      </c>
      <c r="J217" s="191">
        <f>'дод. 2'!K55</f>
        <v>4900</v>
      </c>
      <c r="K217" s="191">
        <f>'дод. 2'!L55</f>
        <v>4900</v>
      </c>
      <c r="L217" s="191">
        <f>'дод. 2'!M55</f>
        <v>0</v>
      </c>
      <c r="M217" s="191">
        <f>'дод. 2'!N55</f>
        <v>1000</v>
      </c>
      <c r="N217" s="191">
        <f>'дод. 2'!O55</f>
        <v>0</v>
      </c>
      <c r="O217" s="191">
        <f>'дод. 2'!P55</f>
        <v>0</v>
      </c>
      <c r="P217" s="191">
        <f>E217+J217</f>
        <v>1276478</v>
      </c>
      <c r="X217" s="83"/>
      <c r="Y217" s="83"/>
    </row>
    <row r="218" spans="1:25" s="88" customFormat="1" ht="26.25" customHeight="1">
      <c r="A218" s="87"/>
      <c r="B218" s="89" t="s">
        <v>370</v>
      </c>
      <c r="C218" s="57"/>
      <c r="D218" s="92" t="s">
        <v>371</v>
      </c>
      <c r="E218" s="190">
        <f>E219+E220+E222</f>
        <v>16989099.23</v>
      </c>
      <c r="F218" s="190">
        <f aca="true" t="shared" si="50" ref="F218:P218">F219+F220+F222</f>
        <v>10849029.48</v>
      </c>
      <c r="G218" s="190">
        <f t="shared" si="50"/>
        <v>0</v>
      </c>
      <c r="H218" s="190">
        <f t="shared" si="50"/>
        <v>314530</v>
      </c>
      <c r="I218" s="190">
        <f t="shared" si="50"/>
        <v>0</v>
      </c>
      <c r="J218" s="190">
        <f t="shared" si="50"/>
        <v>3339528.46</v>
      </c>
      <c r="K218" s="190">
        <f t="shared" si="50"/>
        <v>52810.46</v>
      </c>
      <c r="L218" s="190">
        <f t="shared" si="50"/>
        <v>0</v>
      </c>
      <c r="M218" s="190">
        <f t="shared" si="50"/>
        <v>0</v>
      </c>
      <c r="N218" s="190">
        <f t="shared" si="50"/>
        <v>3286718</v>
      </c>
      <c r="O218" s="190">
        <f t="shared" si="50"/>
        <v>3286718</v>
      </c>
      <c r="P218" s="190">
        <f t="shared" si="50"/>
        <v>20328627.69</v>
      </c>
      <c r="Q218" s="86"/>
      <c r="X218" s="86"/>
      <c r="Y218" s="86"/>
    </row>
    <row r="219" spans="2:25" ht="30.75" customHeight="1">
      <c r="B219" s="47" t="s">
        <v>372</v>
      </c>
      <c r="C219" s="47" t="s">
        <v>369</v>
      </c>
      <c r="D219" s="61" t="s">
        <v>25</v>
      </c>
      <c r="E219" s="195">
        <f>'дод. 2'!F309</f>
        <v>6140069.75</v>
      </c>
      <c r="F219" s="195">
        <f>'дод. 2'!G309</f>
        <v>0</v>
      </c>
      <c r="G219" s="195">
        <f>'дод. 2'!H309</f>
        <v>0</v>
      </c>
      <c r="H219" s="195">
        <f>'дод. 2'!I309</f>
        <v>0</v>
      </c>
      <c r="I219" s="195">
        <f>'дод. 2'!J309</f>
        <v>0</v>
      </c>
      <c r="J219" s="195">
        <f>'дод. 2'!K309</f>
        <v>0</v>
      </c>
      <c r="K219" s="195">
        <f>'дод. 2'!L309</f>
        <v>0</v>
      </c>
      <c r="L219" s="195">
        <f>'дод. 2'!M309</f>
        <v>0</v>
      </c>
      <c r="M219" s="195">
        <f>'дод. 2'!N309</f>
        <v>0</v>
      </c>
      <c r="N219" s="195">
        <f>'дод. 2'!O309</f>
        <v>0</v>
      </c>
      <c r="O219" s="195">
        <f>'дод. 2'!P309</f>
        <v>0</v>
      </c>
      <c r="P219" s="195">
        <f aca="true" t="shared" si="51" ref="P219:P240">E219+J219</f>
        <v>6140069.75</v>
      </c>
      <c r="T219" s="83"/>
      <c r="X219" s="83"/>
      <c r="Y219" s="83"/>
    </row>
    <row r="220" spans="2:25" ht="36.75" customHeight="1">
      <c r="B220" s="47" t="s">
        <v>374</v>
      </c>
      <c r="C220" s="56"/>
      <c r="D220" s="61" t="s">
        <v>175</v>
      </c>
      <c r="E220" s="191">
        <f>E221</f>
        <v>84900</v>
      </c>
      <c r="F220" s="191">
        <f aca="true" t="shared" si="52" ref="F220:P220">F221</f>
        <v>84900</v>
      </c>
      <c r="G220" s="191">
        <f t="shared" si="52"/>
        <v>0</v>
      </c>
      <c r="H220" s="191">
        <f t="shared" si="52"/>
        <v>0</v>
      </c>
      <c r="I220" s="191">
        <f t="shared" si="52"/>
        <v>0</v>
      </c>
      <c r="J220" s="191">
        <f t="shared" si="52"/>
        <v>52810.46</v>
      </c>
      <c r="K220" s="191">
        <f t="shared" si="52"/>
        <v>52810.46</v>
      </c>
      <c r="L220" s="191">
        <f t="shared" si="52"/>
        <v>0</v>
      </c>
      <c r="M220" s="191">
        <f t="shared" si="52"/>
        <v>0</v>
      </c>
      <c r="N220" s="191">
        <f t="shared" si="52"/>
        <v>0</v>
      </c>
      <c r="O220" s="191">
        <f t="shared" si="52"/>
        <v>0</v>
      </c>
      <c r="P220" s="191">
        <f t="shared" si="52"/>
        <v>137710.46</v>
      </c>
      <c r="X220" s="83"/>
      <c r="Y220" s="83"/>
    </row>
    <row r="221" spans="2:25" ht="62.25" customHeight="1">
      <c r="B221" s="47" t="s">
        <v>375</v>
      </c>
      <c r="C221" s="55" t="s">
        <v>256</v>
      </c>
      <c r="D221" s="62" t="s">
        <v>173</v>
      </c>
      <c r="E221" s="141">
        <f>'дод. 2'!F283</f>
        <v>84900</v>
      </c>
      <c r="F221" s="141">
        <f>'дод. 2'!G283</f>
        <v>84900</v>
      </c>
      <c r="G221" s="141">
        <f>'дод. 2'!H283</f>
        <v>0</v>
      </c>
      <c r="H221" s="141">
        <f>'дод. 2'!I283</f>
        <v>0</v>
      </c>
      <c r="I221" s="141">
        <f>'дод. 2'!J283</f>
        <v>0</v>
      </c>
      <c r="J221" s="141">
        <f>'дод. 2'!K283</f>
        <v>52810.46</v>
      </c>
      <c r="K221" s="141">
        <f>'дод. 2'!L283</f>
        <v>52810.46</v>
      </c>
      <c r="L221" s="141">
        <f>'дод. 2'!M283</f>
        <v>0</v>
      </c>
      <c r="M221" s="141">
        <f>'дод. 2'!N283</f>
        <v>0</v>
      </c>
      <c r="N221" s="141">
        <f>'дод. 2'!O283</f>
        <v>0</v>
      </c>
      <c r="O221" s="141">
        <f>'дод. 2'!P283</f>
        <v>0</v>
      </c>
      <c r="P221" s="141">
        <f t="shared" si="51"/>
        <v>137710.46</v>
      </c>
      <c r="X221" s="83"/>
      <c r="Y221" s="83"/>
    </row>
    <row r="222" spans="2:25" ht="24.75" customHeight="1">
      <c r="B222" s="47" t="s">
        <v>373</v>
      </c>
      <c r="C222" s="47" t="s">
        <v>369</v>
      </c>
      <c r="D222" s="61" t="s">
        <v>12</v>
      </c>
      <c r="E222" s="191">
        <f>E223+E224+E225+E226+E227+E228+E229+E230+E231+E232+E233+E234</f>
        <v>10764129.48</v>
      </c>
      <c r="F222" s="191">
        <f aca="true" t="shared" si="53" ref="F222:P222">F223+F224+F225+F226+F227+F228+F229+F230+F231+F232+F233+F234</f>
        <v>10764129.48</v>
      </c>
      <c r="G222" s="191">
        <f t="shared" si="53"/>
        <v>0</v>
      </c>
      <c r="H222" s="191">
        <f t="shared" si="53"/>
        <v>314530</v>
      </c>
      <c r="I222" s="191">
        <f t="shared" si="53"/>
        <v>0</v>
      </c>
      <c r="J222" s="191">
        <f t="shared" si="53"/>
        <v>3286718</v>
      </c>
      <c r="K222" s="191">
        <f t="shared" si="53"/>
        <v>0</v>
      </c>
      <c r="L222" s="191">
        <f t="shared" si="53"/>
        <v>0</v>
      </c>
      <c r="M222" s="191">
        <f t="shared" si="53"/>
        <v>0</v>
      </c>
      <c r="N222" s="191">
        <f t="shared" si="53"/>
        <v>3286718</v>
      </c>
      <c r="O222" s="191">
        <f t="shared" si="53"/>
        <v>3286718</v>
      </c>
      <c r="P222" s="191">
        <f t="shared" si="53"/>
        <v>14050847.48</v>
      </c>
      <c r="X222" s="83"/>
      <c r="Y222" s="83"/>
    </row>
    <row r="223" spans="1:25" s="54" customFormat="1" ht="44.25" customHeight="1">
      <c r="A223" s="52"/>
      <c r="B223" s="51" t="s">
        <v>373</v>
      </c>
      <c r="C223" s="56" t="s">
        <v>369</v>
      </c>
      <c r="D223" s="62" t="s">
        <v>242</v>
      </c>
      <c r="E223" s="141">
        <f>'дод. 2'!F58</f>
        <v>515310</v>
      </c>
      <c r="F223" s="141">
        <f>'дод. 2'!G58</f>
        <v>515310</v>
      </c>
      <c r="G223" s="141">
        <f>'дод. 2'!H58</f>
        <v>0</v>
      </c>
      <c r="H223" s="141">
        <f>'дод. 2'!I58</f>
        <v>261530</v>
      </c>
      <c r="I223" s="141">
        <f>'дод. 2'!J58</f>
        <v>0</v>
      </c>
      <c r="J223" s="141">
        <f>'дод. 2'!K58</f>
        <v>177000</v>
      </c>
      <c r="K223" s="141">
        <f>'дод. 2'!L58</f>
        <v>0</v>
      </c>
      <c r="L223" s="141">
        <f>'дод. 2'!M58</f>
        <v>0</v>
      </c>
      <c r="M223" s="141">
        <f>'дод. 2'!N58</f>
        <v>0</v>
      </c>
      <c r="N223" s="141">
        <f>'дод. 2'!O58</f>
        <v>177000</v>
      </c>
      <c r="O223" s="141">
        <f>'дод. 2'!P58</f>
        <v>177000</v>
      </c>
      <c r="P223" s="141">
        <f t="shared" si="51"/>
        <v>692310</v>
      </c>
      <c r="X223" s="130"/>
      <c r="Y223" s="130"/>
    </row>
    <row r="224" spans="1:25" s="54" customFormat="1" ht="42.75" customHeight="1">
      <c r="A224" s="52"/>
      <c r="B224" s="51" t="s">
        <v>373</v>
      </c>
      <c r="C224" s="56" t="s">
        <v>369</v>
      </c>
      <c r="D224" s="62" t="s">
        <v>422</v>
      </c>
      <c r="E224" s="141">
        <f>'дод. 2'!F59</f>
        <v>160580</v>
      </c>
      <c r="F224" s="141">
        <f>'дод. 2'!G59</f>
        <v>160580</v>
      </c>
      <c r="G224" s="141">
        <f>'дод. 2'!H59</f>
        <v>0</v>
      </c>
      <c r="H224" s="141">
        <f>'дод. 2'!I59</f>
        <v>0</v>
      </c>
      <c r="I224" s="141">
        <f>'дод. 2'!J59</f>
        <v>0</v>
      </c>
      <c r="J224" s="141">
        <f>'дод. 2'!K59</f>
        <v>0</v>
      </c>
      <c r="K224" s="141">
        <f>'дод. 2'!L59</f>
        <v>0</v>
      </c>
      <c r="L224" s="141">
        <f>'дод. 2'!M59</f>
        <v>0</v>
      </c>
      <c r="M224" s="141">
        <f>'дод. 2'!N59</f>
        <v>0</v>
      </c>
      <c r="N224" s="141">
        <f>'дод. 2'!O59</f>
        <v>0</v>
      </c>
      <c r="O224" s="141">
        <f>'дод. 2'!P59</f>
        <v>0</v>
      </c>
      <c r="P224" s="141">
        <f>'дод. 2'!Q59</f>
        <v>160580</v>
      </c>
      <c r="X224" s="130"/>
      <c r="Y224" s="130"/>
    </row>
    <row r="225" spans="1:25" s="54" customFormat="1" ht="47.25" customHeight="1">
      <c r="A225" s="52"/>
      <c r="B225" s="51" t="s">
        <v>373</v>
      </c>
      <c r="C225" s="56" t="s">
        <v>369</v>
      </c>
      <c r="D225" s="62" t="s">
        <v>507</v>
      </c>
      <c r="E225" s="141">
        <f>'дод. 2'!F60</f>
        <v>3975600</v>
      </c>
      <c r="F225" s="141">
        <f>'дод. 2'!G60</f>
        <v>3975600</v>
      </c>
      <c r="G225" s="141">
        <f>'дод. 2'!H60</f>
        <v>0</v>
      </c>
      <c r="H225" s="141">
        <f>'дод. 2'!I60</f>
        <v>0</v>
      </c>
      <c r="I225" s="141">
        <f>'дод. 2'!J60</f>
        <v>0</v>
      </c>
      <c r="J225" s="141">
        <f>'дод. 2'!K60</f>
        <v>3083718</v>
      </c>
      <c r="K225" s="141">
        <f>'дод. 2'!L60</f>
        <v>0</v>
      </c>
      <c r="L225" s="141">
        <f>'дод. 2'!M60</f>
        <v>0</v>
      </c>
      <c r="M225" s="141">
        <f>'дод. 2'!N60</f>
        <v>0</v>
      </c>
      <c r="N225" s="141">
        <f>'дод. 2'!O60</f>
        <v>3083718</v>
      </c>
      <c r="O225" s="141">
        <f>'дод. 2'!P60</f>
        <v>3083718</v>
      </c>
      <c r="P225" s="141">
        <f t="shared" si="51"/>
        <v>7059318</v>
      </c>
      <c r="X225" s="130"/>
      <c r="Y225" s="130"/>
    </row>
    <row r="226" spans="1:25" s="54" customFormat="1" ht="33" customHeight="1">
      <c r="A226" s="52"/>
      <c r="B226" s="51" t="s">
        <v>373</v>
      </c>
      <c r="C226" s="56" t="s">
        <v>369</v>
      </c>
      <c r="D226" s="62" t="s">
        <v>201</v>
      </c>
      <c r="E226" s="141">
        <f>'дод. 2'!F61</f>
        <v>1150570</v>
      </c>
      <c r="F226" s="141">
        <f>'дод. 2'!G61</f>
        <v>1150570</v>
      </c>
      <c r="G226" s="141">
        <f>'дод. 2'!H61</f>
        <v>0</v>
      </c>
      <c r="H226" s="141">
        <f>'дод. 2'!I61</f>
        <v>0</v>
      </c>
      <c r="I226" s="141">
        <f>'дод. 2'!J61</f>
        <v>0</v>
      </c>
      <c r="J226" s="141">
        <f>'дод. 2'!K61</f>
        <v>26000</v>
      </c>
      <c r="K226" s="141">
        <f>'дод. 2'!L61</f>
        <v>0</v>
      </c>
      <c r="L226" s="141">
        <f>'дод. 2'!M61</f>
        <v>0</v>
      </c>
      <c r="M226" s="141">
        <f>'дод. 2'!N61</f>
        <v>0</v>
      </c>
      <c r="N226" s="141">
        <f>'дод. 2'!O61</f>
        <v>26000</v>
      </c>
      <c r="O226" s="141">
        <f>'дод. 2'!P61</f>
        <v>26000</v>
      </c>
      <c r="P226" s="141">
        <f t="shared" si="51"/>
        <v>1176570</v>
      </c>
      <c r="X226" s="130"/>
      <c r="Y226" s="130"/>
    </row>
    <row r="227" spans="1:25" s="54" customFormat="1" ht="41.25" customHeight="1">
      <c r="A227" s="52"/>
      <c r="B227" s="51" t="s">
        <v>373</v>
      </c>
      <c r="C227" s="56" t="s">
        <v>369</v>
      </c>
      <c r="D227" s="62" t="s">
        <v>202</v>
      </c>
      <c r="E227" s="141">
        <f>'дод. 2'!F62</f>
        <v>1279179</v>
      </c>
      <c r="F227" s="141">
        <f>'дод. 2'!G62</f>
        <v>1279179</v>
      </c>
      <c r="G227" s="141">
        <f>'дод. 2'!H62</f>
        <v>0</v>
      </c>
      <c r="H227" s="141">
        <f>'дод. 2'!I62</f>
        <v>0</v>
      </c>
      <c r="I227" s="141">
        <f>'дод. 2'!J62</f>
        <v>0</v>
      </c>
      <c r="J227" s="141">
        <f>'дод. 2'!K62</f>
        <v>0</v>
      </c>
      <c r="K227" s="141">
        <f>'дод. 2'!L62</f>
        <v>0</v>
      </c>
      <c r="L227" s="141">
        <f>'дод. 2'!M62</f>
        <v>0</v>
      </c>
      <c r="M227" s="141">
        <f>'дод. 2'!N62</f>
        <v>0</v>
      </c>
      <c r="N227" s="141">
        <f>'дод. 2'!O62</f>
        <v>0</v>
      </c>
      <c r="O227" s="141">
        <f>'дод. 2'!P62</f>
        <v>0</v>
      </c>
      <c r="P227" s="141">
        <f t="shared" si="51"/>
        <v>1279179</v>
      </c>
      <c r="X227" s="130"/>
      <c r="Y227" s="130"/>
    </row>
    <row r="228" spans="1:25" s="54" customFormat="1" ht="49.5" customHeight="1">
      <c r="A228" s="52"/>
      <c r="B228" s="51" t="s">
        <v>373</v>
      </c>
      <c r="C228" s="56" t="s">
        <v>369</v>
      </c>
      <c r="D228" s="62" t="s">
        <v>509</v>
      </c>
      <c r="E228" s="141">
        <f>'дод. 2'!F63</f>
        <v>125000</v>
      </c>
      <c r="F228" s="141">
        <f>'дод. 2'!G63</f>
        <v>125000</v>
      </c>
      <c r="G228" s="141">
        <f>'дод. 2'!H63</f>
        <v>0</v>
      </c>
      <c r="H228" s="141">
        <f>'дод. 2'!I63</f>
        <v>0</v>
      </c>
      <c r="I228" s="141">
        <f>'дод. 2'!J63</f>
        <v>0</v>
      </c>
      <c r="J228" s="141">
        <f>'дод. 2'!K63</f>
        <v>0</v>
      </c>
      <c r="K228" s="141">
        <f>'дод. 2'!L63</f>
        <v>0</v>
      </c>
      <c r="L228" s="141">
        <f>'дод. 2'!M63</f>
        <v>0</v>
      </c>
      <c r="M228" s="141">
        <f>'дод. 2'!N63</f>
        <v>0</v>
      </c>
      <c r="N228" s="141">
        <f>'дод. 2'!O63</f>
        <v>0</v>
      </c>
      <c r="O228" s="141">
        <f>'дод. 2'!P63</f>
        <v>0</v>
      </c>
      <c r="P228" s="141">
        <f>'дод. 2'!Q63</f>
        <v>125000</v>
      </c>
      <c r="X228" s="130"/>
      <c r="Y228" s="130"/>
    </row>
    <row r="229" spans="1:25" s="54" customFormat="1" ht="46.5" customHeight="1">
      <c r="A229" s="52"/>
      <c r="B229" s="51" t="s">
        <v>373</v>
      </c>
      <c r="C229" s="56" t="s">
        <v>369</v>
      </c>
      <c r="D229" s="62" t="s">
        <v>508</v>
      </c>
      <c r="E229" s="141">
        <f>'дод. 2'!F301</f>
        <v>416500</v>
      </c>
      <c r="F229" s="141">
        <f>'дод. 2'!G301</f>
        <v>416500</v>
      </c>
      <c r="G229" s="141">
        <f>'дод. 2'!H301</f>
        <v>0</v>
      </c>
      <c r="H229" s="141">
        <f>'дод. 2'!I301</f>
        <v>0</v>
      </c>
      <c r="I229" s="141">
        <f>'дод. 2'!J301</f>
        <v>0</v>
      </c>
      <c r="J229" s="141">
        <f>'дод. 2'!K301</f>
        <v>0</v>
      </c>
      <c r="K229" s="141">
        <f>'дод. 2'!L301</f>
        <v>0</v>
      </c>
      <c r="L229" s="141">
        <f>'дод. 2'!M301</f>
        <v>0</v>
      </c>
      <c r="M229" s="141">
        <f>'дод. 2'!N301</f>
        <v>0</v>
      </c>
      <c r="N229" s="141">
        <f>'дод. 2'!O301</f>
        <v>0</v>
      </c>
      <c r="O229" s="141">
        <f>'дод. 2'!P301</f>
        <v>0</v>
      </c>
      <c r="P229" s="141">
        <f t="shared" si="51"/>
        <v>416500</v>
      </c>
      <c r="X229" s="130"/>
      <c r="Y229" s="130"/>
    </row>
    <row r="230" spans="1:25" s="54" customFormat="1" ht="66" customHeight="1">
      <c r="A230" s="52"/>
      <c r="B230" s="51" t="s">
        <v>373</v>
      </c>
      <c r="C230" s="56" t="s">
        <v>369</v>
      </c>
      <c r="D230" s="62" t="s">
        <v>426</v>
      </c>
      <c r="E230" s="141">
        <f>'дод. 2'!F252</f>
        <v>285000</v>
      </c>
      <c r="F230" s="141">
        <f>'дод. 2'!G252</f>
        <v>285000</v>
      </c>
      <c r="G230" s="141">
        <f>'дод. 2'!H252</f>
        <v>0</v>
      </c>
      <c r="H230" s="141">
        <f>'дод. 2'!I252</f>
        <v>0</v>
      </c>
      <c r="I230" s="141">
        <f>'дод. 2'!J252</f>
        <v>0</v>
      </c>
      <c r="J230" s="141">
        <f>'дод. 2'!K252</f>
        <v>0</v>
      </c>
      <c r="K230" s="141">
        <f>'дод. 2'!L252</f>
        <v>0</v>
      </c>
      <c r="L230" s="141">
        <f>'дод. 2'!M252</f>
        <v>0</v>
      </c>
      <c r="M230" s="141">
        <f>'дод. 2'!N252</f>
        <v>0</v>
      </c>
      <c r="N230" s="141">
        <f>'дод. 2'!O252</f>
        <v>0</v>
      </c>
      <c r="O230" s="141">
        <f>'дод. 2'!P252</f>
        <v>0</v>
      </c>
      <c r="P230" s="141">
        <f t="shared" si="51"/>
        <v>285000</v>
      </c>
      <c r="X230" s="130"/>
      <c r="Y230" s="130"/>
    </row>
    <row r="231" spans="1:25" s="54" customFormat="1" ht="57" customHeight="1">
      <c r="A231" s="52"/>
      <c r="B231" s="51" t="s">
        <v>373</v>
      </c>
      <c r="C231" s="56" t="s">
        <v>369</v>
      </c>
      <c r="D231" s="62" t="s">
        <v>540</v>
      </c>
      <c r="E231" s="141">
        <f>'дод. 2'!F253+'дод. 2'!F295</f>
        <v>2076390.48</v>
      </c>
      <c r="F231" s="141">
        <f>'дод. 2'!G253+'дод. 2'!G295</f>
        <v>2076390.48</v>
      </c>
      <c r="G231" s="141">
        <f>'дод. 2'!H253+'дод. 2'!H295</f>
        <v>0</v>
      </c>
      <c r="H231" s="141">
        <f>'дод. 2'!I253+'дод. 2'!I295</f>
        <v>53000</v>
      </c>
      <c r="I231" s="141">
        <f>'дод. 2'!J253+'дод. 2'!J295</f>
        <v>0</v>
      </c>
      <c r="J231" s="141">
        <f>'дод. 2'!K253+'дод. 2'!K295</f>
        <v>0</v>
      </c>
      <c r="K231" s="141">
        <f>'дод. 2'!L253+'дод. 2'!L295</f>
        <v>0</v>
      </c>
      <c r="L231" s="141">
        <f>'дод. 2'!M253+'дод. 2'!M295</f>
        <v>0</v>
      </c>
      <c r="M231" s="141">
        <f>'дод. 2'!N253+'дод. 2'!N295</f>
        <v>0</v>
      </c>
      <c r="N231" s="141">
        <f>'дод. 2'!O253+'дод. 2'!O295</f>
        <v>0</v>
      </c>
      <c r="O231" s="141">
        <f>'дод. 2'!P253+'дод. 2'!P295</f>
        <v>0</v>
      </c>
      <c r="P231" s="141">
        <f t="shared" si="51"/>
        <v>2076390.48</v>
      </c>
      <c r="X231" s="130"/>
      <c r="Y231" s="130"/>
    </row>
    <row r="232" spans="1:25" s="54" customFormat="1" ht="66.75" customHeight="1">
      <c r="A232" s="52"/>
      <c r="B232" s="51" t="s">
        <v>373</v>
      </c>
      <c r="C232" s="56" t="s">
        <v>369</v>
      </c>
      <c r="D232" s="62" t="s">
        <v>233</v>
      </c>
      <c r="E232" s="141">
        <f>'дод. 2'!F265</f>
        <v>630000</v>
      </c>
      <c r="F232" s="141">
        <f>'дод. 2'!G265</f>
        <v>630000</v>
      </c>
      <c r="G232" s="141">
        <f>'дод. 2'!H265</f>
        <v>0</v>
      </c>
      <c r="H232" s="141">
        <f>'дод. 2'!I265</f>
        <v>0</v>
      </c>
      <c r="I232" s="141">
        <f>'дод. 2'!J265</f>
        <v>0</v>
      </c>
      <c r="J232" s="141">
        <f>'дод. 2'!K265</f>
        <v>0</v>
      </c>
      <c r="K232" s="141">
        <f>'дод. 2'!L265</f>
        <v>0</v>
      </c>
      <c r="L232" s="141">
        <f>'дод. 2'!M265</f>
        <v>0</v>
      </c>
      <c r="M232" s="141">
        <f>'дод. 2'!N265</f>
        <v>0</v>
      </c>
      <c r="N232" s="141">
        <f>'дод. 2'!O265</f>
        <v>0</v>
      </c>
      <c r="O232" s="141">
        <f>'дод. 2'!P265</f>
        <v>0</v>
      </c>
      <c r="P232" s="141">
        <f t="shared" si="51"/>
        <v>630000</v>
      </c>
      <c r="X232" s="130"/>
      <c r="Y232" s="130"/>
    </row>
    <row r="233" spans="1:25" s="54" customFormat="1" ht="71.25" customHeight="1">
      <c r="A233" s="52"/>
      <c r="B233" s="51" t="s">
        <v>373</v>
      </c>
      <c r="C233" s="56" t="s">
        <v>369</v>
      </c>
      <c r="D233" s="62" t="s">
        <v>519</v>
      </c>
      <c r="E233" s="141">
        <f>'дод. 2'!F64</f>
        <v>100000</v>
      </c>
      <c r="F233" s="141">
        <f>'дод. 2'!G64</f>
        <v>100000</v>
      </c>
      <c r="G233" s="141">
        <f>'дод. 2'!H64</f>
        <v>0</v>
      </c>
      <c r="H233" s="141">
        <f>'дод. 2'!I64</f>
        <v>0</v>
      </c>
      <c r="I233" s="141">
        <f>'дод. 2'!J64</f>
        <v>0</v>
      </c>
      <c r="J233" s="141">
        <f>'дод. 2'!K64</f>
        <v>0</v>
      </c>
      <c r="K233" s="141">
        <f>'дод. 2'!L64</f>
        <v>0</v>
      </c>
      <c r="L233" s="141">
        <f>'дод. 2'!M64</f>
        <v>0</v>
      </c>
      <c r="M233" s="141">
        <f>'дод. 2'!N64</f>
        <v>0</v>
      </c>
      <c r="N233" s="141">
        <f>'дод. 2'!O64</f>
        <v>0</v>
      </c>
      <c r="O233" s="141">
        <f>'дод. 2'!P64</f>
        <v>0</v>
      </c>
      <c r="P233" s="141">
        <f>'дод. 2'!Q64</f>
        <v>100000</v>
      </c>
      <c r="X233" s="130"/>
      <c r="Y233" s="130"/>
    </row>
    <row r="234" spans="1:25" s="54" customFormat="1" ht="76.5" customHeight="1">
      <c r="A234" s="52"/>
      <c r="B234" s="51" t="s">
        <v>373</v>
      </c>
      <c r="C234" s="56" t="s">
        <v>369</v>
      </c>
      <c r="D234" s="181" t="s">
        <v>545</v>
      </c>
      <c r="E234" s="141">
        <f>'дод. 2'!F65</f>
        <v>50000</v>
      </c>
      <c r="F234" s="141">
        <f>'дод. 2'!G65</f>
        <v>50000</v>
      </c>
      <c r="G234" s="141">
        <f>'дод. 2'!H65</f>
        <v>0</v>
      </c>
      <c r="H234" s="141">
        <f>'дод. 2'!I65</f>
        <v>0</v>
      </c>
      <c r="I234" s="141">
        <f>'дод. 2'!J65</f>
        <v>0</v>
      </c>
      <c r="J234" s="141">
        <f>'дод. 2'!K65</f>
        <v>0</v>
      </c>
      <c r="K234" s="141">
        <f>'дод. 2'!L65</f>
        <v>0</v>
      </c>
      <c r="L234" s="141">
        <f>'дод. 2'!M65</f>
        <v>0</v>
      </c>
      <c r="M234" s="141">
        <f>'дод. 2'!N65</f>
        <v>0</v>
      </c>
      <c r="N234" s="141">
        <f>'дод. 2'!O65</f>
        <v>0</v>
      </c>
      <c r="O234" s="141">
        <f>'дод. 2'!P65</f>
        <v>0</v>
      </c>
      <c r="P234" s="141">
        <f>'дод. 2'!Q65</f>
        <v>50000</v>
      </c>
      <c r="X234" s="130"/>
      <c r="Y234" s="130"/>
    </row>
    <row r="235" spans="1:25" s="88" customFormat="1" ht="21.75" customHeight="1">
      <c r="A235" s="87"/>
      <c r="B235" s="89" t="s">
        <v>357</v>
      </c>
      <c r="C235" s="89"/>
      <c r="D235" s="92" t="s">
        <v>204</v>
      </c>
      <c r="E235" s="190">
        <f>E236</f>
        <v>227100</v>
      </c>
      <c r="F235" s="190">
        <f aca="true" t="shared" si="54" ref="F235:P235">F236</f>
        <v>227100</v>
      </c>
      <c r="G235" s="190">
        <f t="shared" si="54"/>
        <v>0</v>
      </c>
      <c r="H235" s="190">
        <f t="shared" si="54"/>
        <v>0</v>
      </c>
      <c r="I235" s="190">
        <f t="shared" si="54"/>
        <v>0</v>
      </c>
      <c r="J235" s="190">
        <f t="shared" si="54"/>
        <v>0</v>
      </c>
      <c r="K235" s="190">
        <f t="shared" si="54"/>
        <v>0</v>
      </c>
      <c r="L235" s="190">
        <f t="shared" si="54"/>
        <v>0</v>
      </c>
      <c r="M235" s="190">
        <f t="shared" si="54"/>
        <v>0</v>
      </c>
      <c r="N235" s="190">
        <f t="shared" si="54"/>
        <v>0</v>
      </c>
      <c r="O235" s="190">
        <f t="shared" si="54"/>
        <v>0</v>
      </c>
      <c r="P235" s="190">
        <f t="shared" si="54"/>
        <v>227100</v>
      </c>
      <c r="Q235" s="86"/>
      <c r="X235" s="86"/>
      <c r="Y235" s="86"/>
    </row>
    <row r="236" spans="2:25" ht="24" customHeight="1">
      <c r="B236" s="47" t="s">
        <v>357</v>
      </c>
      <c r="C236" s="47" t="s">
        <v>358</v>
      </c>
      <c r="D236" s="61" t="s">
        <v>204</v>
      </c>
      <c r="E236" s="191">
        <f>'дод. 2'!F305</f>
        <v>227100</v>
      </c>
      <c r="F236" s="191">
        <f>'дод. 2'!G305</f>
        <v>227100</v>
      </c>
      <c r="G236" s="191">
        <f>'дод. 2'!H305</f>
        <v>0</v>
      </c>
      <c r="H236" s="191">
        <f>'дод. 2'!I305</f>
        <v>0</v>
      </c>
      <c r="I236" s="191">
        <f>'дод. 2'!J305</f>
        <v>0</v>
      </c>
      <c r="J236" s="191">
        <f>'дод. 2'!K305</f>
        <v>0</v>
      </c>
      <c r="K236" s="191">
        <f>'дод. 2'!L305</f>
        <v>0</v>
      </c>
      <c r="L236" s="191">
        <f>'дод. 2'!M305</f>
        <v>0</v>
      </c>
      <c r="M236" s="191">
        <f>'дод. 2'!N305</f>
        <v>0</v>
      </c>
      <c r="N236" s="191">
        <f>'дод. 2'!O305</f>
        <v>0</v>
      </c>
      <c r="O236" s="191">
        <f>'дод. 2'!P305</f>
        <v>0</v>
      </c>
      <c r="P236" s="191">
        <f t="shared" si="51"/>
        <v>227100</v>
      </c>
      <c r="X236" s="83"/>
      <c r="Y236" s="83"/>
    </row>
    <row r="237" spans="1:25" s="88" customFormat="1" ht="22.5" customHeight="1">
      <c r="A237" s="87"/>
      <c r="B237" s="89" t="s">
        <v>359</v>
      </c>
      <c r="C237" s="58"/>
      <c r="D237" s="92" t="s">
        <v>360</v>
      </c>
      <c r="E237" s="190">
        <f>E238+E239+E240+E241+E242</f>
        <v>0</v>
      </c>
      <c r="F237" s="190">
        <f aca="true" t="shared" si="55" ref="F237:P237">F238+F239+F240+F241+F242</f>
        <v>0</v>
      </c>
      <c r="G237" s="190">
        <f t="shared" si="55"/>
        <v>0</v>
      </c>
      <c r="H237" s="190">
        <f t="shared" si="55"/>
        <v>0</v>
      </c>
      <c r="I237" s="190">
        <f t="shared" si="55"/>
        <v>0</v>
      </c>
      <c r="J237" s="190">
        <f t="shared" si="55"/>
        <v>18396227.21</v>
      </c>
      <c r="K237" s="190">
        <f t="shared" si="55"/>
        <v>2893677.1799999997</v>
      </c>
      <c r="L237" s="190">
        <f t="shared" si="55"/>
        <v>0</v>
      </c>
      <c r="M237" s="190">
        <f t="shared" si="55"/>
        <v>0</v>
      </c>
      <c r="N237" s="190">
        <f t="shared" si="55"/>
        <v>15502550.030000001</v>
      </c>
      <c r="O237" s="190">
        <f t="shared" si="55"/>
        <v>0</v>
      </c>
      <c r="P237" s="190">
        <f t="shared" si="55"/>
        <v>18396227.21</v>
      </c>
      <c r="Q237" s="86"/>
      <c r="R237" s="86"/>
      <c r="S237" s="86"/>
      <c r="X237" s="86"/>
      <c r="Y237" s="86"/>
    </row>
    <row r="238" spans="2:25" ht="15.75">
      <c r="B238" s="47" t="s">
        <v>361</v>
      </c>
      <c r="C238" s="47" t="s">
        <v>362</v>
      </c>
      <c r="D238" s="61" t="s">
        <v>24</v>
      </c>
      <c r="E238" s="191">
        <f>'дод. 2'!F256+'дод. 2'!F284</f>
        <v>0</v>
      </c>
      <c r="F238" s="191">
        <f>'дод. 2'!G256+'дод. 2'!G284</f>
        <v>0</v>
      </c>
      <c r="G238" s="191">
        <f>'дод. 2'!H256+'дод. 2'!H284</f>
        <v>0</v>
      </c>
      <c r="H238" s="191">
        <f>'дод. 2'!I256+'дод. 2'!I284</f>
        <v>0</v>
      </c>
      <c r="I238" s="191">
        <f>'дод. 2'!J256+'дод. 2'!J284</f>
        <v>0</v>
      </c>
      <c r="J238" s="191">
        <f>'дод. 2'!K256+'дод. 2'!K284</f>
        <v>6216130</v>
      </c>
      <c r="K238" s="191">
        <f>'дод. 2'!L256+'дод. 2'!L284</f>
        <v>1280000</v>
      </c>
      <c r="L238" s="191">
        <f>'дод. 2'!M256+'дод. 2'!M284</f>
        <v>0</v>
      </c>
      <c r="M238" s="191">
        <f>'дод. 2'!N256+'дод. 2'!N284</f>
        <v>0</v>
      </c>
      <c r="N238" s="191">
        <f>'дод. 2'!O256+'дод. 2'!O284</f>
        <v>4936130</v>
      </c>
      <c r="O238" s="191">
        <f>'дод. 2'!P256+'дод. 2'!P284</f>
        <v>0</v>
      </c>
      <c r="P238" s="191">
        <f>'дод. 2'!Q256+'дод. 2'!Q284</f>
        <v>6216130</v>
      </c>
      <c r="X238" s="83"/>
      <c r="Y238" s="83"/>
    </row>
    <row r="239" spans="2:25" ht="31.5">
      <c r="B239" s="47" t="s">
        <v>363</v>
      </c>
      <c r="C239" s="47" t="s">
        <v>364</v>
      </c>
      <c r="D239" s="61" t="s">
        <v>221</v>
      </c>
      <c r="E239" s="191">
        <f>'дод. 2'!F285</f>
        <v>0</v>
      </c>
      <c r="F239" s="191">
        <f>'дод. 2'!G285</f>
        <v>0</v>
      </c>
      <c r="G239" s="191">
        <f>'дод. 2'!H285</f>
        <v>0</v>
      </c>
      <c r="H239" s="191">
        <f>'дод. 2'!I285</f>
        <v>0</v>
      </c>
      <c r="I239" s="191">
        <f>'дод. 2'!J285</f>
        <v>0</v>
      </c>
      <c r="J239" s="191">
        <f>'дод. 2'!K285</f>
        <v>3182607.91</v>
      </c>
      <c r="K239" s="191">
        <f>'дод. 2'!L285</f>
        <v>0</v>
      </c>
      <c r="L239" s="191">
        <f>'дод. 2'!M285</f>
        <v>0</v>
      </c>
      <c r="M239" s="191">
        <f>'дод. 2'!N285</f>
        <v>0</v>
      </c>
      <c r="N239" s="191">
        <f>'дод. 2'!O285</f>
        <v>3182607.91</v>
      </c>
      <c r="O239" s="191">
        <f>'дод. 2'!P285</f>
        <v>0</v>
      </c>
      <c r="P239" s="191">
        <f t="shared" si="51"/>
        <v>3182607.91</v>
      </c>
      <c r="X239" s="83"/>
      <c r="Y239" s="83"/>
    </row>
    <row r="240" spans="2:25" ht="45" customHeight="1">
      <c r="B240" s="47" t="s">
        <v>365</v>
      </c>
      <c r="C240" s="47" t="s">
        <v>366</v>
      </c>
      <c r="D240" s="61" t="s">
        <v>214</v>
      </c>
      <c r="E240" s="191">
        <f>'дод. 2'!F69+'дод. 2'!F98+'дод. 2'!F306</f>
        <v>0</v>
      </c>
      <c r="F240" s="191">
        <f>'дод. 2'!G69+'дод. 2'!G98+'дод. 2'!G306</f>
        <v>0</v>
      </c>
      <c r="G240" s="191">
        <f>'дод. 2'!H69+'дод. 2'!H98+'дод. 2'!H306</f>
        <v>0</v>
      </c>
      <c r="H240" s="191">
        <f>'дод. 2'!I69+'дод. 2'!I98+'дод. 2'!I306</f>
        <v>0</v>
      </c>
      <c r="I240" s="191">
        <f>'дод. 2'!J69+'дод. 2'!J98+'дод. 2'!J306</f>
        <v>0</v>
      </c>
      <c r="J240" s="191">
        <f>'дод. 2'!K69+'дод. 2'!K98+'дод. 2'!K306</f>
        <v>122163</v>
      </c>
      <c r="K240" s="191">
        <f>'дод. 2'!L69+'дод. 2'!L98+'дод. 2'!L306</f>
        <v>122163</v>
      </c>
      <c r="L240" s="191">
        <f>'дод. 2'!M69+'дод. 2'!M98+'дод. 2'!M306</f>
        <v>0</v>
      </c>
      <c r="M240" s="191">
        <f>'дод. 2'!N69+'дод. 2'!N98+'дод. 2'!N306</f>
        <v>0</v>
      </c>
      <c r="N240" s="191">
        <f>'дод. 2'!O69+'дод. 2'!O98+'дод. 2'!O306</f>
        <v>0</v>
      </c>
      <c r="O240" s="191">
        <f>'дод. 2'!P69+'дод. 2'!P98+'дод. 2'!P306</f>
        <v>0</v>
      </c>
      <c r="P240" s="191">
        <f t="shared" si="51"/>
        <v>122163</v>
      </c>
      <c r="X240" s="83"/>
      <c r="Y240" s="83"/>
    </row>
    <row r="241" spans="2:25" ht="31.5" customHeight="1">
      <c r="B241" s="47" t="s">
        <v>367</v>
      </c>
      <c r="C241" s="47" t="s">
        <v>350</v>
      </c>
      <c r="D241" s="61" t="s">
        <v>19</v>
      </c>
      <c r="E241" s="191">
        <f>'дод. 2'!F99+'дод. 2'!F257</f>
        <v>0</v>
      </c>
      <c r="F241" s="191">
        <f>'дод. 2'!G99+'дод. 2'!G257</f>
        <v>0</v>
      </c>
      <c r="G241" s="191">
        <f>'дод. 2'!H99+'дод. 2'!H257</f>
        <v>0</v>
      </c>
      <c r="H241" s="191">
        <f>'дод. 2'!I99+'дод. 2'!I257</f>
        <v>0</v>
      </c>
      <c r="I241" s="191">
        <f>'дод. 2'!J99+'дод. 2'!J257</f>
        <v>0</v>
      </c>
      <c r="J241" s="191">
        <f>'дод. 2'!K99+'дод. 2'!K257</f>
        <v>713267</v>
      </c>
      <c r="K241" s="191">
        <f>'дод. 2'!L99+'дод. 2'!L257</f>
        <v>612767</v>
      </c>
      <c r="L241" s="191">
        <f>'дод. 2'!M99+'дод. 2'!M257</f>
        <v>0</v>
      </c>
      <c r="M241" s="191">
        <f>'дод. 2'!N99+'дод. 2'!N257</f>
        <v>0</v>
      </c>
      <c r="N241" s="191">
        <f>'дод. 2'!O99+'дод. 2'!O257</f>
        <v>100500</v>
      </c>
      <c r="O241" s="191">
        <f>'дод. 2'!P99+'дод. 2'!P257</f>
        <v>0</v>
      </c>
      <c r="P241" s="191">
        <f>'дод. 2'!Q99+'дод. 2'!Q257</f>
        <v>713267</v>
      </c>
      <c r="X241" s="83"/>
      <c r="Y241" s="83"/>
    </row>
    <row r="242" spans="2:25" ht="51" customHeight="1">
      <c r="B242" s="47" t="s">
        <v>368</v>
      </c>
      <c r="C242" s="47" t="s">
        <v>369</v>
      </c>
      <c r="D242" s="61" t="s">
        <v>17</v>
      </c>
      <c r="E242" s="191">
        <f>'дод. 2'!F70+'дод. 2'!F258+'дод. 2'!F296+'дод. 2'!F286</f>
        <v>0</v>
      </c>
      <c r="F242" s="191">
        <f>'дод. 2'!G70+'дод. 2'!G258+'дод. 2'!G296+'дод. 2'!G286</f>
        <v>0</v>
      </c>
      <c r="G242" s="191">
        <f>'дод. 2'!H70+'дод. 2'!H258+'дод. 2'!H296+'дод. 2'!H286</f>
        <v>0</v>
      </c>
      <c r="H242" s="191">
        <f>'дод. 2'!I70+'дод. 2'!I258+'дод. 2'!I296+'дод. 2'!I286</f>
        <v>0</v>
      </c>
      <c r="I242" s="191">
        <f>'дод. 2'!J70+'дод. 2'!J258+'дод. 2'!J296+'дод. 2'!J286</f>
        <v>0</v>
      </c>
      <c r="J242" s="191">
        <f>'дод. 2'!K70+'дод. 2'!K258+'дод. 2'!K296+'дод. 2'!K286</f>
        <v>8162059.3</v>
      </c>
      <c r="K242" s="191">
        <f>'дод. 2'!L70+'дод. 2'!L258+'дод. 2'!L296+'дод. 2'!L286</f>
        <v>878747.1799999999</v>
      </c>
      <c r="L242" s="191">
        <f>'дод. 2'!M70+'дод. 2'!M258+'дод. 2'!M296+'дод. 2'!M286</f>
        <v>0</v>
      </c>
      <c r="M242" s="191">
        <f>'дод. 2'!N70+'дод. 2'!N258+'дод. 2'!N296+'дод. 2'!N286</f>
        <v>0</v>
      </c>
      <c r="N242" s="191">
        <f>'дод. 2'!O70+'дод. 2'!O258+'дод. 2'!O296+'дод. 2'!O286</f>
        <v>7283312.12</v>
      </c>
      <c r="O242" s="191">
        <f>'дод. 2'!P70+'дод. 2'!P258+'дод. 2'!P296+'дод. 2'!P286</f>
        <v>0</v>
      </c>
      <c r="P242" s="191">
        <f>'дод. 2'!Q70+'дод. 2'!Q258+'дод. 2'!Q296+'дод. 2'!Q286</f>
        <v>8162059.3</v>
      </c>
      <c r="X242" s="83"/>
      <c r="Y242" s="83"/>
    </row>
    <row r="243" spans="1:25" s="88" customFormat="1" ht="27" customHeight="1">
      <c r="A243" s="87"/>
      <c r="B243" s="89"/>
      <c r="C243" s="89"/>
      <c r="D243" s="92" t="s">
        <v>2</v>
      </c>
      <c r="E243" s="190">
        <f>E14+E16+E38+E62+E147+E155+E165+E180+E189+E198+E201+E203+E212+E214+E218+E235+E237+E184+E209+E187+E195</f>
        <v>2265921196.19</v>
      </c>
      <c r="F243" s="190">
        <f aca="true" t="shared" si="56" ref="F243:P243">F14+F16+F38+F62+F147+F155+F165+F180+F189+F198+F201+F203+F212+F214+F218+F235+F237+F184+F209+F187+F195</f>
        <v>2190167722.6000004</v>
      </c>
      <c r="G243" s="190">
        <f t="shared" si="56"/>
        <v>537953063</v>
      </c>
      <c r="H243" s="190">
        <f t="shared" si="56"/>
        <v>109479255</v>
      </c>
      <c r="I243" s="190">
        <f t="shared" si="56"/>
        <v>69613403.84</v>
      </c>
      <c r="J243" s="190">
        <f t="shared" si="56"/>
        <v>680734970.6300001</v>
      </c>
      <c r="K243" s="190">
        <f t="shared" si="56"/>
        <v>60466899.97</v>
      </c>
      <c r="L243" s="190">
        <f t="shared" si="56"/>
        <v>5643866</v>
      </c>
      <c r="M243" s="190">
        <f t="shared" si="56"/>
        <v>2423113</v>
      </c>
      <c r="N243" s="190">
        <f t="shared" si="56"/>
        <v>620268070.66</v>
      </c>
      <c r="O243" s="190">
        <f t="shared" si="56"/>
        <v>579023334</v>
      </c>
      <c r="P243" s="190">
        <f t="shared" si="56"/>
        <v>2946656166.82</v>
      </c>
      <c r="Q243" s="86"/>
      <c r="R243" s="86"/>
      <c r="S243" s="86"/>
      <c r="T243" s="86"/>
      <c r="U243" s="86"/>
      <c r="X243" s="86"/>
      <c r="Y243" s="86"/>
    </row>
    <row r="244" spans="1:25" s="88" customFormat="1" ht="27.75" customHeight="1">
      <c r="A244" s="87"/>
      <c r="B244" s="89"/>
      <c r="C244" s="89"/>
      <c r="D244" s="92" t="s">
        <v>512</v>
      </c>
      <c r="E244" s="190">
        <f>E17+E39+E63+E204+E166+E181</f>
        <v>1302254628.35</v>
      </c>
      <c r="F244" s="190">
        <f aca="true" t="shared" si="57" ref="F244:P244">F17+F39+F63+F204+F166+F181</f>
        <v>1278391155</v>
      </c>
      <c r="G244" s="190">
        <f t="shared" si="57"/>
        <v>184750800</v>
      </c>
      <c r="H244" s="190">
        <f t="shared" si="57"/>
        <v>0</v>
      </c>
      <c r="I244" s="190">
        <f t="shared" si="57"/>
        <v>23863473.35</v>
      </c>
      <c r="J244" s="190">
        <f t="shared" si="57"/>
        <v>36815877.03</v>
      </c>
      <c r="K244" s="190">
        <f t="shared" si="57"/>
        <v>0</v>
      </c>
      <c r="L244" s="190">
        <f t="shared" si="57"/>
        <v>0</v>
      </c>
      <c r="M244" s="190">
        <f t="shared" si="57"/>
        <v>0</v>
      </c>
      <c r="N244" s="190">
        <f t="shared" si="57"/>
        <v>36815877.03</v>
      </c>
      <c r="O244" s="190">
        <f t="shared" si="57"/>
        <v>11788532</v>
      </c>
      <c r="P244" s="190">
        <f t="shared" si="57"/>
        <v>1339070505.38</v>
      </c>
      <c r="X244" s="86"/>
      <c r="Y244" s="86"/>
    </row>
    <row r="245" spans="1:25" s="88" customFormat="1" ht="27.75" customHeight="1">
      <c r="A245" s="87"/>
      <c r="B245" s="89"/>
      <c r="C245" s="89"/>
      <c r="D245" s="58" t="s">
        <v>421</v>
      </c>
      <c r="E245" s="190">
        <f>E246+E248+E247</f>
        <v>68825365</v>
      </c>
      <c r="F245" s="190">
        <f aca="true" t="shared" si="58" ref="F245:P245">F246+F248+F247</f>
        <v>68825365</v>
      </c>
      <c r="G245" s="190">
        <f t="shared" si="58"/>
        <v>0</v>
      </c>
      <c r="H245" s="190">
        <f t="shared" si="58"/>
        <v>0</v>
      </c>
      <c r="I245" s="190">
        <f t="shared" si="58"/>
        <v>0</v>
      </c>
      <c r="J245" s="190">
        <f t="shared" si="58"/>
        <v>5666127</v>
      </c>
      <c r="K245" s="190">
        <f t="shared" si="58"/>
        <v>0</v>
      </c>
      <c r="L245" s="190">
        <f t="shared" si="58"/>
        <v>0</v>
      </c>
      <c r="M245" s="190">
        <f t="shared" si="58"/>
        <v>0</v>
      </c>
      <c r="N245" s="190">
        <f t="shared" si="58"/>
        <v>5666127</v>
      </c>
      <c r="O245" s="190">
        <f t="shared" si="58"/>
        <v>5666127</v>
      </c>
      <c r="P245" s="190">
        <f t="shared" si="58"/>
        <v>74491492</v>
      </c>
      <c r="X245" s="86"/>
      <c r="Y245" s="86"/>
    </row>
    <row r="246" spans="1:25" s="88" customFormat="1" ht="20.25" customHeight="1">
      <c r="A246" s="87"/>
      <c r="B246" s="47" t="s">
        <v>376</v>
      </c>
      <c r="C246" s="60" t="s">
        <v>246</v>
      </c>
      <c r="D246" s="61" t="s">
        <v>413</v>
      </c>
      <c r="E246" s="191">
        <f>'дод. 2'!F310</f>
        <v>67231500</v>
      </c>
      <c r="F246" s="191">
        <f>'дод. 2'!G310</f>
        <v>67231500</v>
      </c>
      <c r="G246" s="191">
        <f>'дод. 2'!H310</f>
        <v>0</v>
      </c>
      <c r="H246" s="191">
        <f>'дод. 2'!I310</f>
        <v>0</v>
      </c>
      <c r="I246" s="191">
        <f>'дод. 2'!J310</f>
        <v>0</v>
      </c>
      <c r="J246" s="191">
        <f>'дод. 2'!K310</f>
        <v>0</v>
      </c>
      <c r="K246" s="191">
        <f>'дод. 2'!L310</f>
        <v>0</v>
      </c>
      <c r="L246" s="191">
        <f>'дод. 2'!M310</f>
        <v>0</v>
      </c>
      <c r="M246" s="191">
        <f>'дод. 2'!N310</f>
        <v>0</v>
      </c>
      <c r="N246" s="191">
        <f>'дод. 2'!O310</f>
        <v>0</v>
      </c>
      <c r="O246" s="191">
        <f>'дод. 2'!P310</f>
        <v>0</v>
      </c>
      <c r="P246" s="191">
        <f>'дод. 2'!Q310</f>
        <v>67231500</v>
      </c>
      <c r="X246" s="83"/>
      <c r="Y246" s="83"/>
    </row>
    <row r="247" spans="1:25" s="88" customFormat="1" ht="53.25" customHeight="1">
      <c r="A247" s="87"/>
      <c r="B247" s="47" t="s">
        <v>534</v>
      </c>
      <c r="C247" s="139" t="s">
        <v>246</v>
      </c>
      <c r="D247" s="67" t="s">
        <v>533</v>
      </c>
      <c r="E247" s="191">
        <f>'дод. 2'!F56</f>
        <v>693073</v>
      </c>
      <c r="F247" s="191">
        <f>'дод. 2'!G56</f>
        <v>693073</v>
      </c>
      <c r="G247" s="191">
        <f>'дод. 2'!H56</f>
        <v>0</v>
      </c>
      <c r="H247" s="191">
        <f>'дод. 2'!I56</f>
        <v>0</v>
      </c>
      <c r="I247" s="191">
        <f>'дод. 2'!J56</f>
        <v>0</v>
      </c>
      <c r="J247" s="191">
        <f>'дод. 2'!K56</f>
        <v>1890427</v>
      </c>
      <c r="K247" s="191">
        <f>'дод. 2'!L56</f>
        <v>0</v>
      </c>
      <c r="L247" s="191">
        <f>'дод. 2'!M56</f>
        <v>0</v>
      </c>
      <c r="M247" s="191">
        <f>'дод. 2'!N56</f>
        <v>0</v>
      </c>
      <c r="N247" s="191">
        <f>'дод. 2'!O56</f>
        <v>1890427</v>
      </c>
      <c r="O247" s="191">
        <f>'дод. 2'!P56</f>
        <v>1890427</v>
      </c>
      <c r="P247" s="191">
        <f>'дод. 2'!Q56</f>
        <v>2583500</v>
      </c>
      <c r="X247" s="83"/>
      <c r="Y247" s="83"/>
    </row>
    <row r="248" spans="1:25" s="88" customFormat="1" ht="21" customHeight="1">
      <c r="A248" s="87"/>
      <c r="B248" s="47" t="s">
        <v>377</v>
      </c>
      <c r="C248" s="47" t="s">
        <v>246</v>
      </c>
      <c r="D248" s="90" t="s">
        <v>26</v>
      </c>
      <c r="E248" s="191">
        <f>E249+E250+E251+E252</f>
        <v>900792</v>
      </c>
      <c r="F248" s="191">
        <f aca="true" t="shared" si="59" ref="F248:P248">F249+F250+F251+F252</f>
        <v>900792</v>
      </c>
      <c r="G248" s="191">
        <f t="shared" si="59"/>
        <v>0</v>
      </c>
      <c r="H248" s="191">
        <f t="shared" si="59"/>
        <v>0</v>
      </c>
      <c r="I248" s="191">
        <f t="shared" si="59"/>
        <v>0</v>
      </c>
      <c r="J248" s="191">
        <f t="shared" si="59"/>
        <v>3775700</v>
      </c>
      <c r="K248" s="191">
        <f t="shared" si="59"/>
        <v>0</v>
      </c>
      <c r="L248" s="191">
        <f t="shared" si="59"/>
        <v>0</v>
      </c>
      <c r="M248" s="191">
        <f t="shared" si="59"/>
        <v>0</v>
      </c>
      <c r="N248" s="191">
        <f t="shared" si="59"/>
        <v>3775700</v>
      </c>
      <c r="O248" s="191">
        <f t="shared" si="59"/>
        <v>3775700</v>
      </c>
      <c r="P248" s="191">
        <f t="shared" si="59"/>
        <v>4676492</v>
      </c>
      <c r="X248" s="83"/>
      <c r="Y248" s="83"/>
    </row>
    <row r="249" spans="1:25" s="88" customFormat="1" ht="19.5" customHeight="1">
      <c r="A249" s="87"/>
      <c r="B249" s="146" t="s">
        <v>377</v>
      </c>
      <c r="C249" s="178" t="s">
        <v>246</v>
      </c>
      <c r="D249" s="62" t="s">
        <v>567</v>
      </c>
      <c r="E249" s="141">
        <f>'дод. 2'!F255</f>
        <v>758500</v>
      </c>
      <c r="F249" s="141">
        <f>'дод. 2'!G255</f>
        <v>758500</v>
      </c>
      <c r="G249" s="141">
        <f>'дод. 2'!H255</f>
        <v>0</v>
      </c>
      <c r="H249" s="141">
        <f>'дод. 2'!I255</f>
        <v>0</v>
      </c>
      <c r="I249" s="141">
        <f>'дод. 2'!J255</f>
        <v>0</v>
      </c>
      <c r="J249" s="141">
        <f>'дод. 2'!K255</f>
        <v>2221500</v>
      </c>
      <c r="K249" s="141">
        <f>'дод. 2'!L255</f>
        <v>0</v>
      </c>
      <c r="L249" s="141">
        <f>'дод. 2'!M255</f>
        <v>0</v>
      </c>
      <c r="M249" s="196">
        <f>'дод. 2'!N255</f>
        <v>0</v>
      </c>
      <c r="N249" s="141">
        <f>'дод. 2'!O255</f>
        <v>2221500</v>
      </c>
      <c r="O249" s="141">
        <f>'дод. 2'!P255</f>
        <v>2221500</v>
      </c>
      <c r="P249" s="141">
        <f>'дод. 2'!Q255</f>
        <v>2980000</v>
      </c>
      <c r="X249" s="83"/>
      <c r="Y249" s="83"/>
    </row>
    <row r="250" spans="1:25" s="88" customFormat="1" ht="21.75" customHeight="1">
      <c r="A250" s="87"/>
      <c r="B250" s="51" t="s">
        <v>377</v>
      </c>
      <c r="C250" s="56" t="s">
        <v>246</v>
      </c>
      <c r="D250" s="91" t="s">
        <v>568</v>
      </c>
      <c r="E250" s="191">
        <f>'дод. 2'!F312</f>
        <v>0</v>
      </c>
      <c r="F250" s="191">
        <f>'дод. 2'!G312</f>
        <v>0</v>
      </c>
      <c r="G250" s="191">
        <f>'дод. 2'!H312</f>
        <v>0</v>
      </c>
      <c r="H250" s="191">
        <f>'дод. 2'!I312</f>
        <v>0</v>
      </c>
      <c r="I250" s="191">
        <f>'дод. 2'!J312</f>
        <v>0</v>
      </c>
      <c r="J250" s="191">
        <f>'дод. 2'!K312</f>
        <v>1500000</v>
      </c>
      <c r="K250" s="191">
        <f>'дод. 2'!L312</f>
        <v>0</v>
      </c>
      <c r="L250" s="191">
        <f>'дод. 2'!M312</f>
        <v>0</v>
      </c>
      <c r="M250" s="197">
        <f>'дод. 2'!N312</f>
        <v>0</v>
      </c>
      <c r="N250" s="191">
        <f>'дод. 2'!O312</f>
        <v>1500000</v>
      </c>
      <c r="O250" s="191">
        <f>'дод. 2'!P312</f>
        <v>1500000</v>
      </c>
      <c r="P250" s="191">
        <f>'дод. 2'!Q312</f>
        <v>1500000</v>
      </c>
      <c r="X250" s="83"/>
      <c r="Y250" s="83"/>
    </row>
    <row r="251" spans="1:25" s="88" customFormat="1" ht="24" customHeight="1">
      <c r="A251" s="87"/>
      <c r="B251" s="51" t="s">
        <v>377</v>
      </c>
      <c r="C251" s="56" t="s">
        <v>246</v>
      </c>
      <c r="D251" s="91" t="s">
        <v>569</v>
      </c>
      <c r="E251" s="191">
        <f>'дод. 2'!F67</f>
        <v>119492</v>
      </c>
      <c r="F251" s="191">
        <f>'дод. 2'!G67</f>
        <v>119492</v>
      </c>
      <c r="G251" s="191">
        <f>'дод. 2'!H67</f>
        <v>0</v>
      </c>
      <c r="H251" s="191">
        <f>'дод. 2'!I67</f>
        <v>0</v>
      </c>
      <c r="I251" s="191">
        <f>'дод. 2'!J67</f>
        <v>0</v>
      </c>
      <c r="J251" s="191">
        <f>'дод. 2'!K67</f>
        <v>0</v>
      </c>
      <c r="K251" s="191">
        <f>'дод. 2'!L67</f>
        <v>0</v>
      </c>
      <c r="L251" s="191">
        <f>'дод. 2'!M67</f>
        <v>0</v>
      </c>
      <c r="M251" s="191">
        <f>'дод. 2'!N67</f>
        <v>0</v>
      </c>
      <c r="N251" s="191">
        <f>'дод. 2'!O67</f>
        <v>0</v>
      </c>
      <c r="O251" s="191">
        <f>'дод. 2'!P67</f>
        <v>0</v>
      </c>
      <c r="P251" s="191">
        <f>'дод. 2'!Q67</f>
        <v>119492</v>
      </c>
      <c r="X251" s="83"/>
      <c r="Y251" s="83"/>
    </row>
    <row r="252" spans="1:25" s="88" customFormat="1" ht="36.75" customHeight="1">
      <c r="A252" s="87"/>
      <c r="B252" s="51" t="s">
        <v>377</v>
      </c>
      <c r="C252" s="56">
        <v>180</v>
      </c>
      <c r="D252" s="91" t="s">
        <v>574</v>
      </c>
      <c r="E252" s="191">
        <f>'дод. 2'!F68</f>
        <v>22800</v>
      </c>
      <c r="F252" s="191">
        <f>'дод. 2'!G68</f>
        <v>22800</v>
      </c>
      <c r="G252" s="191">
        <f>'дод. 2'!H68</f>
        <v>0</v>
      </c>
      <c r="H252" s="191">
        <f>'дод. 2'!I68</f>
        <v>0</v>
      </c>
      <c r="I252" s="191">
        <f>'дод. 2'!J68</f>
        <v>0</v>
      </c>
      <c r="J252" s="191">
        <f>'дод. 2'!K68</f>
        <v>54200</v>
      </c>
      <c r="K252" s="191">
        <f>'дод. 2'!L68</f>
        <v>0</v>
      </c>
      <c r="L252" s="191">
        <f>'дод. 2'!M68</f>
        <v>0</v>
      </c>
      <c r="M252" s="191">
        <f>'дод. 2'!N68</f>
        <v>0</v>
      </c>
      <c r="N252" s="191">
        <f>'дод. 2'!O68</f>
        <v>54200</v>
      </c>
      <c r="O252" s="191">
        <f>'дод. 2'!P68</f>
        <v>54200</v>
      </c>
      <c r="P252" s="191">
        <f>'дод. 2'!Q68</f>
        <v>77000</v>
      </c>
      <c r="X252" s="83"/>
      <c r="Y252" s="83"/>
    </row>
    <row r="253" spans="1:25" s="88" customFormat="1" ht="27.75" customHeight="1">
      <c r="A253" s="87"/>
      <c r="B253" s="89"/>
      <c r="C253" s="89"/>
      <c r="D253" s="58" t="s">
        <v>27</v>
      </c>
      <c r="E253" s="190">
        <f>E243+E245</f>
        <v>2334746561.19</v>
      </c>
      <c r="F253" s="190">
        <f aca="true" t="shared" si="60" ref="F253:P253">F243+F245</f>
        <v>2258993087.6000004</v>
      </c>
      <c r="G253" s="190">
        <f t="shared" si="60"/>
        <v>537953063</v>
      </c>
      <c r="H253" s="190">
        <f t="shared" si="60"/>
        <v>109479255</v>
      </c>
      <c r="I253" s="190">
        <f t="shared" si="60"/>
        <v>69613403.84</v>
      </c>
      <c r="J253" s="190">
        <f t="shared" si="60"/>
        <v>686401097.6300001</v>
      </c>
      <c r="K253" s="190">
        <f t="shared" si="60"/>
        <v>60466899.97</v>
      </c>
      <c r="L253" s="190">
        <f t="shared" si="60"/>
        <v>5643866</v>
      </c>
      <c r="M253" s="198">
        <f t="shared" si="60"/>
        <v>2423113</v>
      </c>
      <c r="N253" s="190">
        <f t="shared" si="60"/>
        <v>625934197.66</v>
      </c>
      <c r="O253" s="190">
        <f t="shared" si="60"/>
        <v>584689461</v>
      </c>
      <c r="P253" s="190">
        <f t="shared" si="60"/>
        <v>3021147658.82</v>
      </c>
      <c r="X253" s="86"/>
      <c r="Y253" s="86"/>
    </row>
    <row r="254" spans="1:25" s="88" customFormat="1" ht="31.5" customHeight="1">
      <c r="A254" s="87"/>
      <c r="B254" s="89"/>
      <c r="C254" s="89"/>
      <c r="D254" s="92" t="s">
        <v>512</v>
      </c>
      <c r="E254" s="190">
        <f>E244</f>
        <v>1302254628.35</v>
      </c>
      <c r="F254" s="190">
        <f aca="true" t="shared" si="61" ref="F254:O254">F244</f>
        <v>1278391155</v>
      </c>
      <c r="G254" s="190">
        <f t="shared" si="61"/>
        <v>184750800</v>
      </c>
      <c r="H254" s="190">
        <f t="shared" si="61"/>
        <v>0</v>
      </c>
      <c r="I254" s="190">
        <f t="shared" si="61"/>
        <v>23863473.35</v>
      </c>
      <c r="J254" s="190">
        <f t="shared" si="61"/>
        <v>36815877.03</v>
      </c>
      <c r="K254" s="190">
        <f t="shared" si="61"/>
        <v>0</v>
      </c>
      <c r="L254" s="190">
        <f t="shared" si="61"/>
        <v>0</v>
      </c>
      <c r="M254" s="198">
        <f t="shared" si="61"/>
        <v>0</v>
      </c>
      <c r="N254" s="190">
        <f t="shared" si="61"/>
        <v>36815877.03</v>
      </c>
      <c r="O254" s="190">
        <f t="shared" si="61"/>
        <v>11788532</v>
      </c>
      <c r="P254" s="190">
        <f>P244</f>
        <v>1339070505.38</v>
      </c>
      <c r="X254" s="86"/>
      <c r="Y254" s="86"/>
    </row>
    <row r="255" spans="1:25" s="88" customFormat="1" ht="131.25" customHeight="1">
      <c r="A255" s="87"/>
      <c r="B255" s="140"/>
      <c r="C255" s="140"/>
      <c r="D255" s="140"/>
      <c r="E255" s="140"/>
      <c r="F255" s="140"/>
      <c r="G255" s="140"/>
      <c r="H255" s="140"/>
      <c r="I255" s="140"/>
      <c r="J255" s="140"/>
      <c r="K255" s="140"/>
      <c r="L255" s="140"/>
      <c r="M255" s="140"/>
      <c r="N255" s="140"/>
      <c r="O255" s="140"/>
      <c r="P255" s="140"/>
      <c r="X255" s="86"/>
      <c r="Y255" s="86"/>
    </row>
    <row r="256" spans="1:25" s="71" customFormat="1" ht="23.25">
      <c r="A256" s="50"/>
      <c r="B256" s="97"/>
      <c r="C256" s="97"/>
      <c r="D256" s="97"/>
      <c r="E256" s="201"/>
      <c r="F256" s="202"/>
      <c r="G256" s="203"/>
      <c r="H256" s="203"/>
      <c r="I256" s="203"/>
      <c r="J256" s="203"/>
      <c r="K256" s="203"/>
      <c r="L256" s="203"/>
      <c r="M256" s="204"/>
      <c r="N256" s="204"/>
      <c r="O256" s="204"/>
      <c r="P256" s="200"/>
      <c r="X256" s="83"/>
      <c r="Y256" s="83"/>
    </row>
    <row r="257" spans="1:25" s="85" customFormat="1" ht="26.25" customHeight="1">
      <c r="A257" s="84"/>
      <c r="B257" s="40"/>
      <c r="C257" s="222" t="s">
        <v>577</v>
      </c>
      <c r="D257" s="222"/>
      <c r="E257" s="222"/>
      <c r="F257" s="43"/>
      <c r="G257" s="43"/>
      <c r="H257" s="43"/>
      <c r="I257" s="43"/>
      <c r="J257" s="43"/>
      <c r="K257" s="43"/>
      <c r="L257" s="43"/>
      <c r="M257" s="223" t="s">
        <v>578</v>
      </c>
      <c r="N257" s="223"/>
      <c r="O257" s="223"/>
      <c r="P257" s="199"/>
      <c r="X257" s="86"/>
      <c r="Y257" s="86"/>
    </row>
    <row r="258" spans="1:25" s="71" customFormat="1" ht="26.25">
      <c r="A258" s="50"/>
      <c r="B258" s="222"/>
      <c r="C258" s="222"/>
      <c r="D258" s="222"/>
      <c r="E258" s="222"/>
      <c r="F258" s="222"/>
      <c r="G258" s="222"/>
      <c r="H258" s="222"/>
      <c r="I258" s="43"/>
      <c r="J258" s="43"/>
      <c r="K258" s="199"/>
      <c r="L258" s="43"/>
      <c r="M258" s="223"/>
      <c r="N258" s="223"/>
      <c r="O258" s="223"/>
      <c r="P258" s="223"/>
      <c r="X258" s="83"/>
      <c r="Y258" s="83"/>
    </row>
    <row r="259" spans="1:25" s="71" customFormat="1" ht="23.25">
      <c r="A259" s="50"/>
      <c r="B259" s="205"/>
      <c r="C259" s="206" t="s">
        <v>559</v>
      </c>
      <c r="D259" s="205"/>
      <c r="E259" s="207"/>
      <c r="F259" s="81"/>
      <c r="G259" s="81"/>
      <c r="H259" s="81"/>
      <c r="I259" s="81"/>
      <c r="J259" s="81"/>
      <c r="K259" s="81"/>
      <c r="L259" s="81"/>
      <c r="M259" s="81"/>
      <c r="N259" s="81"/>
      <c r="O259" s="205"/>
      <c r="P259" s="205"/>
      <c r="X259" s="83"/>
      <c r="Y259" s="83"/>
    </row>
    <row r="260" spans="1:25" s="71" customFormat="1" ht="27.75">
      <c r="A260" s="50"/>
      <c r="B260" s="97"/>
      <c r="C260" s="208"/>
      <c r="D260" s="97"/>
      <c r="E260" s="180"/>
      <c r="F260" s="82"/>
      <c r="G260" s="81"/>
      <c r="H260" s="81"/>
      <c r="I260" s="81"/>
      <c r="J260" s="81"/>
      <c r="K260" s="81"/>
      <c r="L260" s="81"/>
      <c r="M260" s="39"/>
      <c r="N260" s="39"/>
      <c r="O260" s="39"/>
      <c r="P260" s="209"/>
      <c r="X260" s="83"/>
      <c r="Y260" s="83"/>
    </row>
    <row r="261" spans="1:25" s="71" customFormat="1" ht="15.75">
      <c r="A261" s="50"/>
      <c r="B261" s="72"/>
      <c r="C261" s="50"/>
      <c r="D261" s="50"/>
      <c r="E261" s="73"/>
      <c r="F261" s="73"/>
      <c r="G261" s="73"/>
      <c r="H261" s="73"/>
      <c r="I261" s="73"/>
      <c r="J261" s="73"/>
      <c r="K261" s="73"/>
      <c r="L261" s="73"/>
      <c r="M261" s="73"/>
      <c r="N261" s="73"/>
      <c r="O261" s="73"/>
      <c r="P261" s="73"/>
      <c r="X261" s="83"/>
      <c r="Y261" s="83"/>
    </row>
    <row r="262" spans="1:25" s="71" customFormat="1" ht="15.75">
      <c r="A262" s="50"/>
      <c r="B262" s="72"/>
      <c r="C262" s="50"/>
      <c r="D262" s="50"/>
      <c r="E262" s="73"/>
      <c r="F262" s="73"/>
      <c r="G262" s="73"/>
      <c r="H262" s="73"/>
      <c r="I262" s="73"/>
      <c r="J262" s="73"/>
      <c r="K262" s="73"/>
      <c r="L262" s="73"/>
      <c r="M262" s="73"/>
      <c r="N262" s="73"/>
      <c r="O262" s="73"/>
      <c r="P262" s="73"/>
      <c r="X262" s="83"/>
      <c r="Y262" s="83"/>
    </row>
    <row r="263" spans="1:25" s="71" customFormat="1" ht="15.75">
      <c r="A263" s="50"/>
      <c r="B263" s="72"/>
      <c r="C263" s="50"/>
      <c r="D263" s="50"/>
      <c r="E263" s="73"/>
      <c r="F263" s="73"/>
      <c r="G263" s="73"/>
      <c r="H263" s="73"/>
      <c r="I263" s="73"/>
      <c r="J263" s="73"/>
      <c r="K263" s="73"/>
      <c r="L263" s="73"/>
      <c r="M263" s="73"/>
      <c r="N263" s="73"/>
      <c r="O263" s="73"/>
      <c r="P263" s="73"/>
      <c r="Q263" s="73"/>
      <c r="R263" s="73"/>
      <c r="S263" s="73"/>
      <c r="X263" s="83"/>
      <c r="Y263" s="83"/>
    </row>
    <row r="264" spans="1:25" s="71" customFormat="1" ht="15.75">
      <c r="A264" s="50"/>
      <c r="B264" s="72"/>
      <c r="C264" s="50"/>
      <c r="D264" s="50"/>
      <c r="E264" s="73"/>
      <c r="F264" s="73"/>
      <c r="G264" s="73"/>
      <c r="H264" s="73"/>
      <c r="I264" s="73"/>
      <c r="J264" s="73"/>
      <c r="K264" s="73"/>
      <c r="L264" s="73"/>
      <c r="M264" s="73"/>
      <c r="N264" s="73"/>
      <c r="O264" s="73"/>
      <c r="P264" s="73"/>
      <c r="X264" s="83"/>
      <c r="Y264" s="83"/>
    </row>
    <row r="265" spans="1:25" s="71" customFormat="1" ht="15.75">
      <c r="A265" s="50"/>
      <c r="B265" s="72"/>
      <c r="C265" s="50"/>
      <c r="D265" s="50"/>
      <c r="E265" s="73">
        <f>E253-'дод. 2'!F313</f>
        <v>0</v>
      </c>
      <c r="F265" s="73">
        <f>F253-'дод. 2'!G313</f>
        <v>0</v>
      </c>
      <c r="G265" s="73">
        <f>G253-'дод. 2'!H313</f>
        <v>0</v>
      </c>
      <c r="H265" s="73">
        <f>H253-'дод. 2'!I313</f>
        <v>0</v>
      </c>
      <c r="I265" s="73">
        <f>I253-'дод. 2'!J313</f>
        <v>0</v>
      </c>
      <c r="J265" s="73">
        <f>J253-'дод. 2'!K313</f>
        <v>0</v>
      </c>
      <c r="K265" s="73">
        <f>K253-'дод. 2'!L313</f>
        <v>0</v>
      </c>
      <c r="L265" s="73">
        <f>L253-'дод. 2'!M313</f>
        <v>0</v>
      </c>
      <c r="M265" s="73">
        <f>M253-'дод. 2'!N313</f>
        <v>0</v>
      </c>
      <c r="N265" s="73">
        <f>N253-'дод. 2'!O313</f>
        <v>0</v>
      </c>
      <c r="O265" s="73">
        <f>O253-'дод. 2'!P313</f>
        <v>0</v>
      </c>
      <c r="P265" s="73">
        <f>P253-'дод. 2'!Q313</f>
        <v>0</v>
      </c>
      <c r="X265" s="83"/>
      <c r="Y265" s="83"/>
    </row>
    <row r="266" spans="1:25" s="71" customFormat="1" ht="15.75">
      <c r="A266" s="50"/>
      <c r="B266" s="72"/>
      <c r="C266" s="50"/>
      <c r="D266" s="50"/>
      <c r="E266" s="73">
        <f>E254-'дод. 2'!F314</f>
        <v>0</v>
      </c>
      <c r="F266" s="73">
        <f>F254-'дод. 2'!G314</f>
        <v>0</v>
      </c>
      <c r="G266" s="73">
        <f>G254-'дод. 2'!H314</f>
        <v>0</v>
      </c>
      <c r="H266" s="73">
        <f>H254-'дод. 2'!I314</f>
        <v>0</v>
      </c>
      <c r="I266" s="73">
        <f>I254-'дод. 2'!J314</f>
        <v>0</v>
      </c>
      <c r="J266" s="73">
        <f>J254-'дод. 2'!K314</f>
        <v>0</v>
      </c>
      <c r="K266" s="73">
        <f>K254-'дод. 2'!L314</f>
        <v>0</v>
      </c>
      <c r="L266" s="73">
        <f>L254-'дод. 2'!M314</f>
        <v>0</v>
      </c>
      <c r="M266" s="73">
        <f>M254-'дод. 2'!N314</f>
        <v>0</v>
      </c>
      <c r="N266" s="73">
        <f>N254-'дод. 2'!O314</f>
        <v>0</v>
      </c>
      <c r="O266" s="73">
        <f>O254-'дод. 2'!P314</f>
        <v>0</v>
      </c>
      <c r="P266" s="73">
        <f>P254-'дод. 2'!Q314</f>
        <v>0</v>
      </c>
      <c r="X266" s="83"/>
      <c r="Y266" s="83"/>
    </row>
    <row r="267" spans="1:25" s="71" customFormat="1" ht="15.75">
      <c r="A267" s="50"/>
      <c r="B267" s="72"/>
      <c r="C267" s="50"/>
      <c r="D267" s="50"/>
      <c r="E267" s="73"/>
      <c r="F267" s="74"/>
      <c r="G267" s="74"/>
      <c r="H267" s="74"/>
      <c r="I267" s="74"/>
      <c r="J267" s="73"/>
      <c r="K267" s="74"/>
      <c r="L267" s="74"/>
      <c r="M267" s="74"/>
      <c r="N267" s="74"/>
      <c r="O267" s="74"/>
      <c r="P267" s="73"/>
      <c r="X267" s="83"/>
      <c r="Y267" s="83"/>
    </row>
    <row r="268" spans="1:25" s="71" customFormat="1" ht="15.75">
      <c r="A268" s="50"/>
      <c r="B268" s="72"/>
      <c r="C268" s="50"/>
      <c r="D268" s="50"/>
      <c r="E268" s="73"/>
      <c r="F268" s="74"/>
      <c r="G268" s="74"/>
      <c r="H268" s="74"/>
      <c r="I268" s="74"/>
      <c r="J268" s="73"/>
      <c r="K268" s="74"/>
      <c r="L268" s="74"/>
      <c r="M268" s="74"/>
      <c r="N268" s="74"/>
      <c r="O268" s="74"/>
      <c r="P268" s="73"/>
      <c r="X268" s="83"/>
      <c r="Y268" s="83"/>
    </row>
    <row r="269" spans="1:25" s="71" customFormat="1" ht="15.75">
      <c r="A269" s="50"/>
      <c r="B269" s="72"/>
      <c r="C269" s="50"/>
      <c r="D269" s="50"/>
      <c r="E269" s="73"/>
      <c r="F269" s="74"/>
      <c r="G269" s="74"/>
      <c r="H269" s="74"/>
      <c r="I269" s="74"/>
      <c r="J269" s="73"/>
      <c r="K269" s="74"/>
      <c r="L269" s="74"/>
      <c r="M269" s="74"/>
      <c r="N269" s="74"/>
      <c r="O269" s="74"/>
      <c r="P269" s="73"/>
      <c r="X269" s="83"/>
      <c r="Y269" s="83"/>
    </row>
    <row r="270" spans="1:25" s="71" customFormat="1" ht="15.75">
      <c r="A270" s="50"/>
      <c r="B270" s="72"/>
      <c r="C270" s="50"/>
      <c r="D270" s="50"/>
      <c r="E270" s="73"/>
      <c r="F270" s="74"/>
      <c r="G270" s="74"/>
      <c r="H270" s="74"/>
      <c r="I270" s="74"/>
      <c r="J270" s="73"/>
      <c r="K270" s="74"/>
      <c r="L270" s="74"/>
      <c r="M270" s="74"/>
      <c r="N270" s="74"/>
      <c r="O270" s="74"/>
      <c r="P270" s="73"/>
      <c r="X270" s="83"/>
      <c r="Y270" s="83"/>
    </row>
    <row r="271" spans="1:25" s="71" customFormat="1" ht="15.75">
      <c r="A271" s="50"/>
      <c r="B271" s="72"/>
      <c r="C271" s="50"/>
      <c r="D271" s="50"/>
      <c r="E271" s="73"/>
      <c r="F271" s="74"/>
      <c r="G271" s="74"/>
      <c r="H271" s="74"/>
      <c r="I271" s="74"/>
      <c r="J271" s="73"/>
      <c r="K271" s="74"/>
      <c r="L271" s="74"/>
      <c r="M271" s="74"/>
      <c r="N271" s="74"/>
      <c r="O271" s="74"/>
      <c r="P271" s="73"/>
      <c r="X271" s="83"/>
      <c r="Y271" s="83"/>
    </row>
    <row r="272" spans="1:25" s="71" customFormat="1" ht="15.75">
      <c r="A272" s="50"/>
      <c r="B272" s="72"/>
      <c r="C272" s="50"/>
      <c r="D272" s="50"/>
      <c r="E272" s="73"/>
      <c r="F272" s="74"/>
      <c r="G272" s="74"/>
      <c r="H272" s="74"/>
      <c r="I272" s="74"/>
      <c r="J272" s="73"/>
      <c r="K272" s="74"/>
      <c r="L272" s="74"/>
      <c r="M272" s="74"/>
      <c r="N272" s="74"/>
      <c r="O272" s="74"/>
      <c r="P272" s="73"/>
      <c r="X272" s="83"/>
      <c r="Y272" s="83"/>
    </row>
    <row r="273" spans="1:16" s="71" customFormat="1" ht="15.75">
      <c r="A273" s="50"/>
      <c r="B273" s="72"/>
      <c r="C273" s="50"/>
      <c r="D273" s="50"/>
      <c r="E273" s="73"/>
      <c r="F273" s="74"/>
      <c r="G273" s="74"/>
      <c r="H273" s="74"/>
      <c r="I273" s="74"/>
      <c r="J273" s="73"/>
      <c r="K273" s="74"/>
      <c r="L273" s="74"/>
      <c r="M273" s="74"/>
      <c r="N273" s="74"/>
      <c r="O273" s="74"/>
      <c r="P273" s="73"/>
    </row>
    <row r="274" spans="1:16" s="71" customFormat="1" ht="15.75">
      <c r="A274" s="50"/>
      <c r="B274" s="72"/>
      <c r="C274" s="50"/>
      <c r="D274" s="50"/>
      <c r="E274" s="73"/>
      <c r="F274" s="74"/>
      <c r="G274" s="74"/>
      <c r="H274" s="74"/>
      <c r="I274" s="74"/>
      <c r="J274" s="73"/>
      <c r="K274" s="74"/>
      <c r="L274" s="74"/>
      <c r="M274" s="74"/>
      <c r="N274" s="74"/>
      <c r="O274" s="74"/>
      <c r="P274" s="73"/>
    </row>
    <row r="275" spans="1:16" s="71" customFormat="1" ht="15.75">
      <c r="A275" s="50"/>
      <c r="B275" s="72"/>
      <c r="C275" s="50"/>
      <c r="D275" s="50"/>
      <c r="E275" s="73"/>
      <c r="F275" s="74"/>
      <c r="G275" s="74"/>
      <c r="H275" s="74"/>
      <c r="I275" s="74"/>
      <c r="J275" s="73"/>
      <c r="K275" s="74"/>
      <c r="L275" s="74"/>
      <c r="M275" s="74"/>
      <c r="N275" s="74"/>
      <c r="O275" s="74"/>
      <c r="P275" s="73"/>
    </row>
    <row r="276" spans="1:16" s="71" customFormat="1" ht="15.75">
      <c r="A276" s="50"/>
      <c r="B276" s="72"/>
      <c r="C276" s="50"/>
      <c r="D276" s="50"/>
      <c r="E276" s="73"/>
      <c r="F276" s="74"/>
      <c r="G276" s="74"/>
      <c r="H276" s="74"/>
      <c r="I276" s="74"/>
      <c r="J276" s="73"/>
      <c r="K276" s="74"/>
      <c r="L276" s="74"/>
      <c r="M276" s="74"/>
      <c r="N276" s="74"/>
      <c r="O276" s="74"/>
      <c r="P276" s="73"/>
    </row>
    <row r="277" spans="1:16" s="71" customFormat="1" ht="15.75">
      <c r="A277" s="50"/>
      <c r="B277" s="72"/>
      <c r="C277" s="50"/>
      <c r="D277" s="50"/>
      <c r="E277" s="73"/>
      <c r="F277" s="74"/>
      <c r="G277" s="74"/>
      <c r="H277" s="74"/>
      <c r="I277" s="74"/>
      <c r="J277" s="73"/>
      <c r="K277" s="74"/>
      <c r="L277" s="74"/>
      <c r="M277" s="74"/>
      <c r="N277" s="74"/>
      <c r="O277" s="74"/>
      <c r="P277" s="73"/>
    </row>
    <row r="278" spans="1:16" s="71" customFormat="1" ht="15.75">
      <c r="A278" s="50"/>
      <c r="B278" s="72"/>
      <c r="C278" s="50"/>
      <c r="D278" s="50"/>
      <c r="E278" s="73"/>
      <c r="F278" s="74"/>
      <c r="G278" s="74"/>
      <c r="H278" s="74"/>
      <c r="I278" s="74"/>
      <c r="J278" s="73"/>
      <c r="K278" s="74"/>
      <c r="L278" s="74"/>
      <c r="M278" s="74"/>
      <c r="N278" s="74"/>
      <c r="O278" s="74"/>
      <c r="P278" s="73"/>
    </row>
    <row r="279" spans="1:16" s="71" customFormat="1" ht="15.75">
      <c r="A279" s="50"/>
      <c r="B279" s="72"/>
      <c r="C279" s="50"/>
      <c r="D279" s="50"/>
      <c r="E279" s="73"/>
      <c r="F279" s="74"/>
      <c r="G279" s="74"/>
      <c r="H279" s="74"/>
      <c r="I279" s="74"/>
      <c r="J279" s="73"/>
      <c r="K279" s="74"/>
      <c r="L279" s="74"/>
      <c r="M279" s="74"/>
      <c r="N279" s="74"/>
      <c r="O279" s="74"/>
      <c r="P279" s="73"/>
    </row>
    <row r="280" spans="1:16" s="71" customFormat="1" ht="15.75">
      <c r="A280" s="50"/>
      <c r="B280" s="72"/>
      <c r="C280" s="50"/>
      <c r="D280" s="50"/>
      <c r="E280" s="73"/>
      <c r="F280" s="74"/>
      <c r="G280" s="74"/>
      <c r="H280" s="74"/>
      <c r="I280" s="74"/>
      <c r="J280" s="73"/>
      <c r="K280" s="74"/>
      <c r="L280" s="74"/>
      <c r="M280" s="74"/>
      <c r="N280" s="74"/>
      <c r="O280" s="74"/>
      <c r="P280" s="73"/>
    </row>
    <row r="281" spans="1:16" s="71" customFormat="1" ht="15.75">
      <c r="A281" s="50"/>
      <c r="B281" s="72"/>
      <c r="C281" s="50"/>
      <c r="D281" s="50"/>
      <c r="E281" s="73"/>
      <c r="F281" s="74"/>
      <c r="G281" s="74"/>
      <c r="H281" s="74"/>
      <c r="I281" s="74"/>
      <c r="J281" s="73"/>
      <c r="K281" s="74"/>
      <c r="L281" s="74"/>
      <c r="M281" s="74"/>
      <c r="N281" s="74"/>
      <c r="O281" s="74"/>
      <c r="P281" s="73"/>
    </row>
    <row r="282" spans="1:16" s="71" customFormat="1" ht="15.75">
      <c r="A282" s="50"/>
      <c r="B282" s="72"/>
      <c r="C282" s="50"/>
      <c r="D282" s="50"/>
      <c r="E282" s="73"/>
      <c r="F282" s="74"/>
      <c r="G282" s="74"/>
      <c r="H282" s="74"/>
      <c r="I282" s="74"/>
      <c r="J282" s="73"/>
      <c r="K282" s="74"/>
      <c r="L282" s="74"/>
      <c r="M282" s="74"/>
      <c r="N282" s="74"/>
      <c r="O282" s="74"/>
      <c r="P282" s="73"/>
    </row>
    <row r="283" spans="1:16" s="71" customFormat="1" ht="15.75">
      <c r="A283" s="50"/>
      <c r="B283" s="72"/>
      <c r="C283" s="50"/>
      <c r="D283" s="50"/>
      <c r="E283" s="73"/>
      <c r="F283" s="74"/>
      <c r="G283" s="74"/>
      <c r="H283" s="74"/>
      <c r="I283" s="74"/>
      <c r="J283" s="73"/>
      <c r="K283" s="74"/>
      <c r="L283" s="74"/>
      <c r="M283" s="74"/>
      <c r="N283" s="74"/>
      <c r="O283" s="74"/>
      <c r="P283" s="73"/>
    </row>
    <row r="284" spans="1:16" s="71" customFormat="1" ht="15.75">
      <c r="A284" s="50"/>
      <c r="B284" s="72"/>
      <c r="C284" s="50"/>
      <c r="D284" s="50"/>
      <c r="E284" s="73"/>
      <c r="F284" s="74"/>
      <c r="G284" s="74"/>
      <c r="H284" s="74"/>
      <c r="I284" s="74"/>
      <c r="J284" s="73"/>
      <c r="K284" s="74"/>
      <c r="L284" s="74"/>
      <c r="M284" s="74"/>
      <c r="N284" s="74"/>
      <c r="O284" s="74"/>
      <c r="P284" s="73"/>
    </row>
    <row r="285" spans="1:16" s="71" customFormat="1" ht="15.75">
      <c r="A285" s="50"/>
      <c r="B285" s="72"/>
      <c r="C285" s="50"/>
      <c r="D285" s="50"/>
      <c r="E285" s="73"/>
      <c r="F285" s="74"/>
      <c r="G285" s="74"/>
      <c r="H285" s="74"/>
      <c r="I285" s="74"/>
      <c r="J285" s="73"/>
      <c r="K285" s="74"/>
      <c r="L285" s="74"/>
      <c r="M285" s="74"/>
      <c r="N285" s="74"/>
      <c r="O285" s="74"/>
      <c r="P285" s="73"/>
    </row>
    <row r="286" spans="1:16" s="71" customFormat="1" ht="15.75">
      <c r="A286" s="50"/>
      <c r="B286" s="72"/>
      <c r="C286" s="50"/>
      <c r="D286" s="50"/>
      <c r="E286" s="73"/>
      <c r="F286" s="74"/>
      <c r="G286" s="74"/>
      <c r="H286" s="74"/>
      <c r="I286" s="74"/>
      <c r="J286" s="73"/>
      <c r="K286" s="74"/>
      <c r="L286" s="74"/>
      <c r="M286" s="74"/>
      <c r="N286" s="74"/>
      <c r="O286" s="74"/>
      <c r="P286" s="73"/>
    </row>
    <row r="287" spans="1:16" s="71" customFormat="1" ht="15.75">
      <c r="A287" s="50"/>
      <c r="B287" s="72"/>
      <c r="C287" s="50"/>
      <c r="D287" s="50"/>
      <c r="E287" s="73"/>
      <c r="F287" s="74"/>
      <c r="G287" s="74"/>
      <c r="H287" s="74"/>
      <c r="I287" s="74"/>
      <c r="J287" s="73"/>
      <c r="K287" s="74"/>
      <c r="L287" s="74"/>
      <c r="M287" s="74"/>
      <c r="N287" s="74"/>
      <c r="O287" s="74"/>
      <c r="P287" s="73"/>
    </row>
    <row r="288" spans="1:16" s="71" customFormat="1" ht="15.75">
      <c r="A288" s="50"/>
      <c r="B288" s="72"/>
      <c r="C288" s="50"/>
      <c r="D288" s="50"/>
      <c r="E288" s="73"/>
      <c r="F288" s="74"/>
      <c r="G288" s="74"/>
      <c r="H288" s="74"/>
      <c r="I288" s="74"/>
      <c r="J288" s="73"/>
      <c r="K288" s="74"/>
      <c r="L288" s="74"/>
      <c r="M288" s="74"/>
      <c r="N288" s="74"/>
      <c r="O288" s="74"/>
      <c r="P288" s="73"/>
    </row>
    <row r="289" spans="1:16" s="71" customFormat="1" ht="15.75">
      <c r="A289" s="50"/>
      <c r="B289" s="72"/>
      <c r="C289" s="50"/>
      <c r="D289" s="50"/>
      <c r="E289" s="73"/>
      <c r="F289" s="74"/>
      <c r="G289" s="74"/>
      <c r="H289" s="74"/>
      <c r="I289" s="74"/>
      <c r="J289" s="73"/>
      <c r="K289" s="74"/>
      <c r="L289" s="74"/>
      <c r="M289" s="74"/>
      <c r="N289" s="74"/>
      <c r="O289" s="74"/>
      <c r="P289" s="73"/>
    </row>
    <row r="290" spans="1:16" s="71" customFormat="1" ht="15.75">
      <c r="A290" s="50"/>
      <c r="B290" s="72"/>
      <c r="C290" s="50"/>
      <c r="D290" s="50"/>
      <c r="E290" s="73"/>
      <c r="F290" s="74"/>
      <c r="G290" s="74"/>
      <c r="H290" s="74"/>
      <c r="I290" s="74"/>
      <c r="J290" s="73"/>
      <c r="K290" s="74"/>
      <c r="L290" s="74"/>
      <c r="M290" s="74"/>
      <c r="N290" s="74"/>
      <c r="O290" s="74"/>
      <c r="P290" s="73"/>
    </row>
    <row r="291" spans="1:16" s="71" customFormat="1" ht="15.75">
      <c r="A291" s="50"/>
      <c r="B291" s="72"/>
      <c r="C291" s="50"/>
      <c r="D291" s="50"/>
      <c r="E291" s="73"/>
      <c r="F291" s="74"/>
      <c r="G291" s="74"/>
      <c r="H291" s="74"/>
      <c r="I291" s="74"/>
      <c r="J291" s="73"/>
      <c r="K291" s="74"/>
      <c r="L291" s="74"/>
      <c r="M291" s="74"/>
      <c r="N291" s="74"/>
      <c r="O291" s="74"/>
      <c r="P291" s="73"/>
    </row>
    <row r="292" spans="1:16" s="71" customFormat="1" ht="15.75">
      <c r="A292" s="50"/>
      <c r="B292" s="72"/>
      <c r="C292" s="50"/>
      <c r="D292" s="50"/>
      <c r="E292" s="73"/>
      <c r="F292" s="74"/>
      <c r="G292" s="74"/>
      <c r="H292" s="74"/>
      <c r="I292" s="74"/>
      <c r="J292" s="73"/>
      <c r="K292" s="74"/>
      <c r="L292" s="74"/>
      <c r="M292" s="74"/>
      <c r="N292" s="74"/>
      <c r="O292" s="74"/>
      <c r="P292" s="73"/>
    </row>
    <row r="293" spans="1:16" s="71" customFormat="1" ht="15.75">
      <c r="A293" s="50"/>
      <c r="B293" s="72"/>
      <c r="C293" s="50"/>
      <c r="D293" s="50"/>
      <c r="E293" s="73"/>
      <c r="F293" s="74"/>
      <c r="G293" s="74"/>
      <c r="H293" s="74"/>
      <c r="I293" s="74"/>
      <c r="J293" s="73"/>
      <c r="K293" s="74"/>
      <c r="L293" s="74"/>
      <c r="M293" s="74"/>
      <c r="N293" s="74"/>
      <c r="O293" s="74"/>
      <c r="P293" s="73"/>
    </row>
    <row r="294" spans="1:16" s="71" customFormat="1" ht="15.75">
      <c r="A294" s="50"/>
      <c r="B294" s="72"/>
      <c r="C294" s="50"/>
      <c r="D294" s="50"/>
      <c r="E294" s="73"/>
      <c r="F294" s="74"/>
      <c r="G294" s="74"/>
      <c r="H294" s="74"/>
      <c r="I294" s="74"/>
      <c r="J294" s="73"/>
      <c r="K294" s="74"/>
      <c r="L294" s="74"/>
      <c r="M294" s="74"/>
      <c r="N294" s="74"/>
      <c r="O294" s="74"/>
      <c r="P294" s="73"/>
    </row>
    <row r="295" spans="1:16" s="71" customFormat="1" ht="15.75">
      <c r="A295" s="50"/>
      <c r="B295" s="72"/>
      <c r="C295" s="50"/>
      <c r="D295" s="50"/>
      <c r="E295" s="73"/>
      <c r="F295" s="74"/>
      <c r="G295" s="74"/>
      <c r="H295" s="74"/>
      <c r="I295" s="74"/>
      <c r="J295" s="73"/>
      <c r="K295" s="74"/>
      <c r="L295" s="74"/>
      <c r="M295" s="74"/>
      <c r="N295" s="74"/>
      <c r="O295" s="74"/>
      <c r="P295" s="73"/>
    </row>
    <row r="296" spans="1:16" s="71" customFormat="1" ht="15.75">
      <c r="A296" s="50"/>
      <c r="B296" s="72"/>
      <c r="C296" s="50"/>
      <c r="D296" s="50"/>
      <c r="E296" s="73"/>
      <c r="F296" s="74"/>
      <c r="G296" s="74"/>
      <c r="H296" s="74"/>
      <c r="I296" s="74"/>
      <c r="J296" s="73"/>
      <c r="K296" s="74"/>
      <c r="L296" s="74"/>
      <c r="M296" s="74"/>
      <c r="N296" s="74"/>
      <c r="O296" s="74"/>
      <c r="P296" s="73"/>
    </row>
    <row r="297" spans="1:16" s="71" customFormat="1" ht="15.75">
      <c r="A297" s="50"/>
      <c r="B297" s="72"/>
      <c r="C297" s="50"/>
      <c r="D297" s="50"/>
      <c r="E297" s="73"/>
      <c r="F297" s="74"/>
      <c r="G297" s="74"/>
      <c r="H297" s="74"/>
      <c r="I297" s="74"/>
      <c r="J297" s="73"/>
      <c r="K297" s="74"/>
      <c r="L297" s="74"/>
      <c r="M297" s="74"/>
      <c r="N297" s="74"/>
      <c r="O297" s="74"/>
      <c r="P297" s="73"/>
    </row>
    <row r="298" spans="1:16" s="71" customFormat="1" ht="15.75">
      <c r="A298" s="50"/>
      <c r="B298" s="72"/>
      <c r="C298" s="50"/>
      <c r="D298" s="50"/>
      <c r="E298" s="73"/>
      <c r="F298" s="74"/>
      <c r="G298" s="74"/>
      <c r="H298" s="74"/>
      <c r="I298" s="74"/>
      <c r="J298" s="73"/>
      <c r="K298" s="74"/>
      <c r="L298" s="74"/>
      <c r="M298" s="74"/>
      <c r="N298" s="74"/>
      <c r="O298" s="74"/>
      <c r="P298" s="73"/>
    </row>
    <row r="299" spans="1:16" s="71" customFormat="1" ht="15.75">
      <c r="A299" s="50"/>
      <c r="B299" s="72"/>
      <c r="C299" s="50"/>
      <c r="D299" s="50"/>
      <c r="E299" s="73"/>
      <c r="F299" s="74"/>
      <c r="G299" s="74"/>
      <c r="H299" s="74"/>
      <c r="I299" s="74"/>
      <c r="J299" s="73"/>
      <c r="K299" s="74"/>
      <c r="L299" s="74"/>
      <c r="M299" s="74"/>
      <c r="N299" s="74"/>
      <c r="O299" s="74"/>
      <c r="P299" s="73"/>
    </row>
    <row r="300" spans="1:16" s="71" customFormat="1" ht="15.75">
      <c r="A300" s="50"/>
      <c r="B300" s="72"/>
      <c r="C300" s="50"/>
      <c r="D300" s="50"/>
      <c r="E300" s="73"/>
      <c r="F300" s="74"/>
      <c r="G300" s="74"/>
      <c r="H300" s="74"/>
      <c r="I300" s="74"/>
      <c r="J300" s="73"/>
      <c r="K300" s="74"/>
      <c r="L300" s="74"/>
      <c r="M300" s="74"/>
      <c r="N300" s="74"/>
      <c r="O300" s="74"/>
      <c r="P300" s="73"/>
    </row>
    <row r="301" spans="1:16" s="71" customFormat="1" ht="15.75">
      <c r="A301" s="50"/>
      <c r="B301" s="72"/>
      <c r="C301" s="50"/>
      <c r="D301" s="50"/>
      <c r="E301" s="73"/>
      <c r="F301" s="74"/>
      <c r="G301" s="74"/>
      <c r="H301" s="74"/>
      <c r="I301" s="74"/>
      <c r="J301" s="73"/>
      <c r="K301" s="74"/>
      <c r="L301" s="74"/>
      <c r="M301" s="74"/>
      <c r="N301" s="74"/>
      <c r="O301" s="74"/>
      <c r="P301" s="73"/>
    </row>
    <row r="302" spans="1:16" s="71" customFormat="1" ht="15.75">
      <c r="A302" s="50"/>
      <c r="B302" s="72"/>
      <c r="C302" s="50"/>
      <c r="D302" s="50"/>
      <c r="E302" s="73"/>
      <c r="F302" s="74"/>
      <c r="G302" s="74"/>
      <c r="H302" s="74"/>
      <c r="I302" s="74"/>
      <c r="J302" s="73"/>
      <c r="K302" s="74"/>
      <c r="L302" s="74"/>
      <c r="M302" s="74"/>
      <c r="N302" s="74"/>
      <c r="O302" s="74"/>
      <c r="P302" s="73"/>
    </row>
    <row r="303" spans="1:16" s="71" customFormat="1" ht="15.75">
      <c r="A303" s="50"/>
      <c r="B303" s="72"/>
      <c r="C303" s="50"/>
      <c r="D303" s="50"/>
      <c r="E303" s="73"/>
      <c r="F303" s="74"/>
      <c r="G303" s="74"/>
      <c r="H303" s="74"/>
      <c r="I303" s="74"/>
      <c r="J303" s="73"/>
      <c r="K303" s="74"/>
      <c r="L303" s="74"/>
      <c r="M303" s="74"/>
      <c r="N303" s="74"/>
      <c r="O303" s="74"/>
      <c r="P303" s="73"/>
    </row>
    <row r="304" spans="1:16" s="71" customFormat="1" ht="15.75">
      <c r="A304" s="50"/>
      <c r="B304" s="72"/>
      <c r="C304" s="50"/>
      <c r="D304" s="50"/>
      <c r="E304" s="73"/>
      <c r="F304" s="74"/>
      <c r="G304" s="74"/>
      <c r="H304" s="74"/>
      <c r="I304" s="74"/>
      <c r="J304" s="73"/>
      <c r="K304" s="74"/>
      <c r="L304" s="74"/>
      <c r="M304" s="74"/>
      <c r="N304" s="74"/>
      <c r="O304" s="74"/>
      <c r="P304" s="73"/>
    </row>
    <row r="305" spans="1:16" s="71" customFormat="1" ht="15.75">
      <c r="A305" s="50"/>
      <c r="B305" s="72"/>
      <c r="C305" s="50"/>
      <c r="D305" s="50"/>
      <c r="E305" s="73"/>
      <c r="F305" s="74"/>
      <c r="G305" s="74"/>
      <c r="H305" s="74"/>
      <c r="I305" s="74"/>
      <c r="J305" s="73"/>
      <c r="K305" s="74"/>
      <c r="L305" s="74"/>
      <c r="M305" s="74"/>
      <c r="N305" s="74"/>
      <c r="O305" s="74"/>
      <c r="P305" s="73"/>
    </row>
    <row r="306" spans="1:16" s="71" customFormat="1" ht="15.75">
      <c r="A306" s="50"/>
      <c r="B306" s="72"/>
      <c r="C306" s="50"/>
      <c r="D306" s="50"/>
      <c r="E306" s="73"/>
      <c r="F306" s="74"/>
      <c r="G306" s="74"/>
      <c r="H306" s="74"/>
      <c r="I306" s="74"/>
      <c r="J306" s="73"/>
      <c r="K306" s="74"/>
      <c r="L306" s="74"/>
      <c r="M306" s="74"/>
      <c r="N306" s="74"/>
      <c r="O306" s="74"/>
      <c r="P306" s="73"/>
    </row>
    <row r="307" spans="1:16" s="71" customFormat="1" ht="15.75">
      <c r="A307" s="50"/>
      <c r="B307" s="72"/>
      <c r="C307" s="50"/>
      <c r="D307" s="50"/>
      <c r="E307" s="73"/>
      <c r="F307" s="74"/>
      <c r="G307" s="74"/>
      <c r="H307" s="74"/>
      <c r="I307" s="74"/>
      <c r="J307" s="73"/>
      <c r="K307" s="74"/>
      <c r="L307" s="74"/>
      <c r="M307" s="74"/>
      <c r="N307" s="74"/>
      <c r="O307" s="74"/>
      <c r="P307" s="73"/>
    </row>
    <row r="308" spans="1:16" s="71" customFormat="1" ht="15.75">
      <c r="A308" s="50"/>
      <c r="B308" s="72"/>
      <c r="C308" s="50"/>
      <c r="D308" s="50"/>
      <c r="E308" s="73"/>
      <c r="F308" s="74"/>
      <c r="G308" s="74"/>
      <c r="H308" s="74"/>
      <c r="I308" s="74"/>
      <c r="J308" s="73"/>
      <c r="K308" s="74"/>
      <c r="L308" s="74"/>
      <c r="M308" s="74"/>
      <c r="N308" s="74"/>
      <c r="O308" s="74"/>
      <c r="P308" s="73"/>
    </row>
    <row r="309" spans="1:16" s="71" customFormat="1" ht="15.75">
      <c r="A309" s="50"/>
      <c r="B309" s="72"/>
      <c r="C309" s="50"/>
      <c r="D309" s="50"/>
      <c r="E309" s="73"/>
      <c r="F309" s="74"/>
      <c r="G309" s="74"/>
      <c r="H309" s="74"/>
      <c r="I309" s="74"/>
      <c r="J309" s="73"/>
      <c r="K309" s="74"/>
      <c r="L309" s="74"/>
      <c r="M309" s="74"/>
      <c r="N309" s="74"/>
      <c r="O309" s="74"/>
      <c r="P309" s="73"/>
    </row>
    <row r="310" spans="1:16" s="71" customFormat="1" ht="15.75">
      <c r="A310" s="50"/>
      <c r="B310" s="72"/>
      <c r="C310" s="50"/>
      <c r="D310" s="50"/>
      <c r="E310" s="73"/>
      <c r="F310" s="74"/>
      <c r="G310" s="74"/>
      <c r="H310" s="74"/>
      <c r="I310" s="74"/>
      <c r="J310" s="73"/>
      <c r="K310" s="74"/>
      <c r="L310" s="74"/>
      <c r="M310" s="74"/>
      <c r="N310" s="74"/>
      <c r="O310" s="74"/>
      <c r="P310" s="73"/>
    </row>
    <row r="311" spans="1:16" s="71" customFormat="1" ht="15.75">
      <c r="A311" s="50"/>
      <c r="B311" s="72"/>
      <c r="C311" s="50"/>
      <c r="D311" s="50"/>
      <c r="E311" s="73"/>
      <c r="F311" s="74"/>
      <c r="G311" s="74"/>
      <c r="H311" s="74"/>
      <c r="I311" s="74"/>
      <c r="J311" s="73"/>
      <c r="K311" s="74"/>
      <c r="L311" s="74"/>
      <c r="M311" s="74"/>
      <c r="N311" s="74"/>
      <c r="O311" s="74"/>
      <c r="P311" s="73"/>
    </row>
    <row r="312" spans="1:16" s="71" customFormat="1" ht="15.75">
      <c r="A312" s="50"/>
      <c r="B312" s="72"/>
      <c r="C312" s="50"/>
      <c r="D312" s="50"/>
      <c r="E312" s="73"/>
      <c r="F312" s="74"/>
      <c r="G312" s="74"/>
      <c r="H312" s="74"/>
      <c r="I312" s="74"/>
      <c r="J312" s="73"/>
      <c r="K312" s="74"/>
      <c r="L312" s="74"/>
      <c r="M312" s="74"/>
      <c r="N312" s="74"/>
      <c r="O312" s="74"/>
      <c r="P312" s="73"/>
    </row>
    <row r="313" spans="1:16" s="71" customFormat="1" ht="15.75">
      <c r="A313" s="50"/>
      <c r="B313" s="72"/>
      <c r="C313" s="50"/>
      <c r="D313" s="50"/>
      <c r="E313" s="73"/>
      <c r="F313" s="74"/>
      <c r="G313" s="74"/>
      <c r="H313" s="74"/>
      <c r="I313" s="74"/>
      <c r="J313" s="73"/>
      <c r="K313" s="74"/>
      <c r="L313" s="74"/>
      <c r="M313" s="74"/>
      <c r="N313" s="74"/>
      <c r="O313" s="74"/>
      <c r="P313" s="73"/>
    </row>
    <row r="314" spans="1:16" s="71" customFormat="1" ht="15.75">
      <c r="A314" s="50"/>
      <c r="B314" s="72"/>
      <c r="C314" s="50"/>
      <c r="D314" s="50"/>
      <c r="E314" s="73"/>
      <c r="F314" s="74"/>
      <c r="G314" s="74"/>
      <c r="H314" s="74"/>
      <c r="I314" s="74"/>
      <c r="J314" s="73"/>
      <c r="K314" s="74"/>
      <c r="L314" s="74"/>
      <c r="M314" s="74"/>
      <c r="N314" s="74"/>
      <c r="O314" s="74"/>
      <c r="P314" s="73"/>
    </row>
    <row r="315" spans="1:16" s="71" customFormat="1" ht="15.75">
      <c r="A315" s="50"/>
      <c r="B315" s="72"/>
      <c r="C315" s="50"/>
      <c r="D315" s="50"/>
      <c r="E315" s="73"/>
      <c r="F315" s="74"/>
      <c r="G315" s="74"/>
      <c r="H315" s="74"/>
      <c r="I315" s="74"/>
      <c r="J315" s="73"/>
      <c r="K315" s="74"/>
      <c r="L315" s="74"/>
      <c r="M315" s="74"/>
      <c r="N315" s="74"/>
      <c r="O315" s="74"/>
      <c r="P315" s="73"/>
    </row>
    <row r="316" spans="1:16" s="71" customFormat="1" ht="15.75">
      <c r="A316" s="50"/>
      <c r="B316" s="72"/>
      <c r="C316" s="50"/>
      <c r="D316" s="50"/>
      <c r="E316" s="73"/>
      <c r="F316" s="74"/>
      <c r="G316" s="74"/>
      <c r="H316" s="74"/>
      <c r="I316" s="74"/>
      <c r="J316" s="73"/>
      <c r="K316" s="74"/>
      <c r="L316" s="74"/>
      <c r="M316" s="74"/>
      <c r="N316" s="74"/>
      <c r="O316" s="74"/>
      <c r="P316" s="73"/>
    </row>
    <row r="317" spans="1:16" s="71" customFormat="1" ht="15.75">
      <c r="A317" s="50"/>
      <c r="B317" s="72"/>
      <c r="C317" s="50"/>
      <c r="D317" s="50"/>
      <c r="E317" s="73"/>
      <c r="F317" s="74"/>
      <c r="G317" s="74"/>
      <c r="H317" s="74"/>
      <c r="I317" s="74"/>
      <c r="J317" s="73"/>
      <c r="K317" s="74"/>
      <c r="L317" s="74"/>
      <c r="M317" s="74"/>
      <c r="N317" s="74"/>
      <c r="O317" s="74"/>
      <c r="P317" s="73"/>
    </row>
    <row r="318" spans="1:16" s="71" customFormat="1" ht="15.75">
      <c r="A318" s="50"/>
      <c r="B318" s="72"/>
      <c r="C318" s="50"/>
      <c r="D318" s="50"/>
      <c r="E318" s="73"/>
      <c r="F318" s="74"/>
      <c r="G318" s="74"/>
      <c r="H318" s="74"/>
      <c r="I318" s="74"/>
      <c r="J318" s="73"/>
      <c r="K318" s="74"/>
      <c r="L318" s="74"/>
      <c r="M318" s="74"/>
      <c r="N318" s="74"/>
      <c r="O318" s="74"/>
      <c r="P318" s="73"/>
    </row>
    <row r="319" spans="1:16" s="71" customFormat="1" ht="15.75">
      <c r="A319" s="50"/>
      <c r="B319" s="72"/>
      <c r="C319" s="50"/>
      <c r="D319" s="50"/>
      <c r="E319" s="73"/>
      <c r="F319" s="74"/>
      <c r="G319" s="74"/>
      <c r="H319" s="74"/>
      <c r="I319" s="74"/>
      <c r="J319" s="73"/>
      <c r="K319" s="74"/>
      <c r="L319" s="74"/>
      <c r="M319" s="74"/>
      <c r="N319" s="74"/>
      <c r="O319" s="74"/>
      <c r="P319" s="73"/>
    </row>
    <row r="320" spans="1:16" s="71" customFormat="1" ht="15.75">
      <c r="A320" s="50"/>
      <c r="B320" s="72"/>
      <c r="C320" s="50"/>
      <c r="D320" s="50"/>
      <c r="E320" s="73"/>
      <c r="F320" s="74"/>
      <c r="G320" s="74"/>
      <c r="H320" s="74"/>
      <c r="I320" s="74"/>
      <c r="J320" s="73"/>
      <c r="K320" s="74"/>
      <c r="L320" s="74"/>
      <c r="M320" s="74"/>
      <c r="N320" s="74"/>
      <c r="O320" s="74"/>
      <c r="P320" s="73"/>
    </row>
    <row r="321" spans="1:16" s="71" customFormat="1" ht="15.75">
      <c r="A321" s="50"/>
      <c r="B321" s="72"/>
      <c r="C321" s="50"/>
      <c r="D321" s="50"/>
      <c r="E321" s="73"/>
      <c r="F321" s="74"/>
      <c r="G321" s="74"/>
      <c r="H321" s="74"/>
      <c r="I321" s="74"/>
      <c r="J321" s="73"/>
      <c r="K321" s="74"/>
      <c r="L321" s="74"/>
      <c r="M321" s="74"/>
      <c r="N321" s="74"/>
      <c r="O321" s="74"/>
      <c r="P321" s="73"/>
    </row>
    <row r="322" spans="1:16" s="71" customFormat="1" ht="15.75">
      <c r="A322" s="50"/>
      <c r="B322" s="72"/>
      <c r="C322" s="50"/>
      <c r="D322" s="50"/>
      <c r="E322" s="73"/>
      <c r="F322" s="74"/>
      <c r="G322" s="74"/>
      <c r="H322" s="74"/>
      <c r="I322" s="74"/>
      <c r="J322" s="73"/>
      <c r="K322" s="74"/>
      <c r="L322" s="74"/>
      <c r="M322" s="74"/>
      <c r="N322" s="74"/>
      <c r="O322" s="74"/>
      <c r="P322" s="73"/>
    </row>
    <row r="323" spans="1:16" s="71" customFormat="1" ht="15.75">
      <c r="A323" s="50"/>
      <c r="B323" s="72"/>
      <c r="C323" s="50"/>
      <c r="D323" s="50"/>
      <c r="E323" s="73"/>
      <c r="F323" s="74"/>
      <c r="G323" s="74"/>
      <c r="H323" s="74"/>
      <c r="I323" s="74"/>
      <c r="J323" s="73"/>
      <c r="K323" s="74"/>
      <c r="L323" s="74"/>
      <c r="M323" s="74"/>
      <c r="N323" s="74"/>
      <c r="O323" s="74"/>
      <c r="P323" s="73"/>
    </row>
    <row r="324" spans="1:16" s="71" customFormat="1" ht="15.75">
      <c r="A324" s="50"/>
      <c r="B324" s="72"/>
      <c r="C324" s="50"/>
      <c r="D324" s="50"/>
      <c r="E324" s="73"/>
      <c r="F324" s="74"/>
      <c r="G324" s="74"/>
      <c r="H324" s="74"/>
      <c r="I324" s="74"/>
      <c r="J324" s="73"/>
      <c r="K324" s="74"/>
      <c r="L324" s="74"/>
      <c r="M324" s="74"/>
      <c r="N324" s="74"/>
      <c r="O324" s="74"/>
      <c r="P324" s="73"/>
    </row>
    <row r="325" spans="1:16" s="71" customFormat="1" ht="15.75">
      <c r="A325" s="50"/>
      <c r="B325" s="72"/>
      <c r="C325" s="50"/>
      <c r="D325" s="50"/>
      <c r="E325" s="73"/>
      <c r="F325" s="74"/>
      <c r="G325" s="74"/>
      <c r="H325" s="74"/>
      <c r="I325" s="74"/>
      <c r="J325" s="73"/>
      <c r="K325" s="74"/>
      <c r="L325" s="74"/>
      <c r="M325" s="74"/>
      <c r="N325" s="74"/>
      <c r="O325" s="74"/>
      <c r="P325" s="73"/>
    </row>
    <row r="326" spans="1:16" s="71" customFormat="1" ht="15.75">
      <c r="A326" s="50"/>
      <c r="B326" s="72"/>
      <c r="C326" s="50"/>
      <c r="D326" s="50"/>
      <c r="E326" s="73"/>
      <c r="F326" s="74"/>
      <c r="G326" s="74"/>
      <c r="H326" s="74"/>
      <c r="I326" s="74"/>
      <c r="J326" s="73"/>
      <c r="K326" s="74"/>
      <c r="L326" s="74"/>
      <c r="M326" s="74"/>
      <c r="N326" s="74"/>
      <c r="O326" s="74"/>
      <c r="P326" s="73"/>
    </row>
    <row r="327" spans="1:16" s="71" customFormat="1" ht="15.75">
      <c r="A327" s="50"/>
      <c r="B327" s="72"/>
      <c r="C327" s="50"/>
      <c r="D327" s="50"/>
      <c r="E327" s="73"/>
      <c r="F327" s="74"/>
      <c r="G327" s="74"/>
      <c r="H327" s="74"/>
      <c r="I327" s="74"/>
      <c r="J327" s="73"/>
      <c r="K327" s="74"/>
      <c r="L327" s="74"/>
      <c r="M327" s="74"/>
      <c r="N327" s="74"/>
      <c r="O327" s="74"/>
      <c r="P327" s="73"/>
    </row>
    <row r="328" spans="1:16" s="71" customFormat="1" ht="15.75">
      <c r="A328" s="50"/>
      <c r="B328" s="72"/>
      <c r="C328" s="50"/>
      <c r="D328" s="50"/>
      <c r="E328" s="73"/>
      <c r="F328" s="74"/>
      <c r="G328" s="74"/>
      <c r="H328" s="74"/>
      <c r="I328" s="74"/>
      <c r="J328" s="73"/>
      <c r="K328" s="74"/>
      <c r="L328" s="74"/>
      <c r="M328" s="74"/>
      <c r="N328" s="74"/>
      <c r="O328" s="74"/>
      <c r="P328" s="73"/>
    </row>
    <row r="329" spans="1:16" s="71" customFormat="1" ht="15.75">
      <c r="A329" s="50"/>
      <c r="B329" s="72"/>
      <c r="C329" s="50"/>
      <c r="D329" s="50"/>
      <c r="E329" s="73"/>
      <c r="F329" s="74"/>
      <c r="G329" s="74"/>
      <c r="H329" s="74"/>
      <c r="I329" s="74"/>
      <c r="J329" s="73"/>
      <c r="K329" s="74"/>
      <c r="L329" s="74"/>
      <c r="M329" s="74"/>
      <c r="N329" s="74"/>
      <c r="O329" s="74"/>
      <c r="P329" s="73"/>
    </row>
    <row r="330" spans="1:16" s="71" customFormat="1" ht="15.75">
      <c r="A330" s="50"/>
      <c r="B330" s="72"/>
      <c r="C330" s="50"/>
      <c r="D330" s="50"/>
      <c r="E330" s="73"/>
      <c r="F330" s="74"/>
      <c r="G330" s="74"/>
      <c r="H330" s="74"/>
      <c r="I330" s="74"/>
      <c r="J330" s="73"/>
      <c r="K330" s="74"/>
      <c r="L330" s="74"/>
      <c r="M330" s="74"/>
      <c r="N330" s="74"/>
      <c r="O330" s="74"/>
      <c r="P330" s="73"/>
    </row>
    <row r="331" spans="1:16" s="71" customFormat="1" ht="15.75">
      <c r="A331" s="50"/>
      <c r="B331" s="72"/>
      <c r="C331" s="50"/>
      <c r="D331" s="50"/>
      <c r="E331" s="73"/>
      <c r="F331" s="74"/>
      <c r="G331" s="74"/>
      <c r="H331" s="74"/>
      <c r="I331" s="74"/>
      <c r="J331" s="73"/>
      <c r="K331" s="74"/>
      <c r="L331" s="74"/>
      <c r="M331" s="74"/>
      <c r="N331" s="74"/>
      <c r="O331" s="74"/>
      <c r="P331" s="73"/>
    </row>
    <row r="332" spans="1:16" s="71" customFormat="1" ht="15.75">
      <c r="A332" s="50"/>
      <c r="B332" s="72"/>
      <c r="C332" s="50"/>
      <c r="D332" s="50"/>
      <c r="E332" s="73"/>
      <c r="F332" s="74"/>
      <c r="G332" s="74"/>
      <c r="H332" s="74"/>
      <c r="I332" s="74"/>
      <c r="J332" s="73"/>
      <c r="K332" s="74"/>
      <c r="L332" s="74"/>
      <c r="M332" s="74"/>
      <c r="N332" s="74"/>
      <c r="O332" s="74"/>
      <c r="P332" s="73"/>
    </row>
    <row r="333" spans="1:16" s="71" customFormat="1" ht="15.75">
      <c r="A333" s="50"/>
      <c r="B333" s="72"/>
      <c r="C333" s="50"/>
      <c r="D333" s="50"/>
      <c r="E333" s="73"/>
      <c r="F333" s="74"/>
      <c r="G333" s="74"/>
      <c r="H333" s="74"/>
      <c r="I333" s="74"/>
      <c r="J333" s="73"/>
      <c r="K333" s="74"/>
      <c r="L333" s="74"/>
      <c r="M333" s="74"/>
      <c r="N333" s="74"/>
      <c r="O333" s="74"/>
      <c r="P333" s="73"/>
    </row>
    <row r="334" spans="1:16" s="71" customFormat="1" ht="15.75">
      <c r="A334" s="50"/>
      <c r="B334" s="72"/>
      <c r="C334" s="50"/>
      <c r="D334" s="50"/>
      <c r="E334" s="73"/>
      <c r="F334" s="74"/>
      <c r="G334" s="74"/>
      <c r="H334" s="74"/>
      <c r="I334" s="74"/>
      <c r="J334" s="73"/>
      <c r="K334" s="74"/>
      <c r="L334" s="74"/>
      <c r="M334" s="74"/>
      <c r="N334" s="74"/>
      <c r="O334" s="74"/>
      <c r="P334" s="73"/>
    </row>
    <row r="335" spans="1:16" s="71" customFormat="1" ht="15.75">
      <c r="A335" s="50"/>
      <c r="B335" s="72"/>
      <c r="C335" s="50"/>
      <c r="D335" s="50"/>
      <c r="E335" s="73"/>
      <c r="F335" s="74"/>
      <c r="G335" s="74"/>
      <c r="H335" s="74"/>
      <c r="I335" s="74"/>
      <c r="J335" s="73"/>
      <c r="K335" s="74"/>
      <c r="L335" s="74"/>
      <c r="M335" s="74"/>
      <c r="N335" s="74"/>
      <c r="O335" s="74"/>
      <c r="P335" s="73"/>
    </row>
    <row r="336" spans="1:16" s="71" customFormat="1" ht="15.75">
      <c r="A336" s="50"/>
      <c r="B336" s="72"/>
      <c r="C336" s="50"/>
      <c r="D336" s="50"/>
      <c r="E336" s="73"/>
      <c r="F336" s="74"/>
      <c r="G336" s="74"/>
      <c r="H336" s="74"/>
      <c r="I336" s="74"/>
      <c r="J336" s="73"/>
      <c r="K336" s="74"/>
      <c r="L336" s="74"/>
      <c r="M336" s="74"/>
      <c r="N336" s="74"/>
      <c r="O336" s="74"/>
      <c r="P336" s="73"/>
    </row>
    <row r="337" spans="1:16" s="71" customFormat="1" ht="15.75">
      <c r="A337" s="50"/>
      <c r="B337" s="72"/>
      <c r="C337" s="50"/>
      <c r="D337" s="50"/>
      <c r="E337" s="73"/>
      <c r="F337" s="74"/>
      <c r="G337" s="74"/>
      <c r="H337" s="74"/>
      <c r="I337" s="74"/>
      <c r="J337" s="73"/>
      <c r="K337" s="74"/>
      <c r="L337" s="74"/>
      <c r="M337" s="74"/>
      <c r="N337" s="74"/>
      <c r="O337" s="74"/>
      <c r="P337" s="73"/>
    </row>
    <row r="338" spans="1:16" s="71" customFormat="1" ht="15.75">
      <c r="A338" s="50"/>
      <c r="B338" s="72"/>
      <c r="C338" s="50"/>
      <c r="D338" s="50"/>
      <c r="E338" s="73"/>
      <c r="F338" s="74"/>
      <c r="G338" s="74"/>
      <c r="H338" s="74"/>
      <c r="I338" s="74"/>
      <c r="J338" s="73"/>
      <c r="K338" s="74"/>
      <c r="L338" s="74"/>
      <c r="M338" s="74"/>
      <c r="N338" s="74"/>
      <c r="O338" s="74"/>
      <c r="P338" s="73"/>
    </row>
    <row r="339" spans="1:16" s="71" customFormat="1" ht="15.75">
      <c r="A339" s="50"/>
      <c r="B339" s="72"/>
      <c r="C339" s="50"/>
      <c r="D339" s="50"/>
      <c r="E339" s="73"/>
      <c r="F339" s="74"/>
      <c r="G339" s="74"/>
      <c r="H339" s="74"/>
      <c r="I339" s="74"/>
      <c r="J339" s="73"/>
      <c r="K339" s="74"/>
      <c r="L339" s="74"/>
      <c r="M339" s="74"/>
      <c r="N339" s="74"/>
      <c r="O339" s="74"/>
      <c r="P339" s="73"/>
    </row>
    <row r="340" spans="1:16" s="71" customFormat="1" ht="15.75">
      <c r="A340" s="50"/>
      <c r="B340" s="72"/>
      <c r="C340" s="50"/>
      <c r="D340" s="50"/>
      <c r="E340" s="73"/>
      <c r="F340" s="74"/>
      <c r="G340" s="74"/>
      <c r="H340" s="74"/>
      <c r="I340" s="74"/>
      <c r="J340" s="73"/>
      <c r="K340" s="74"/>
      <c r="L340" s="74"/>
      <c r="M340" s="74"/>
      <c r="N340" s="74"/>
      <c r="O340" s="74"/>
      <c r="P340" s="73"/>
    </row>
    <row r="341" spans="1:16" s="71" customFormat="1" ht="15.75">
      <c r="A341" s="50"/>
      <c r="B341" s="72"/>
      <c r="C341" s="50"/>
      <c r="D341" s="50"/>
      <c r="E341" s="73"/>
      <c r="F341" s="74"/>
      <c r="G341" s="74"/>
      <c r="H341" s="74"/>
      <c r="I341" s="74"/>
      <c r="J341" s="73"/>
      <c r="K341" s="74"/>
      <c r="L341" s="74"/>
      <c r="M341" s="74"/>
      <c r="N341" s="74"/>
      <c r="O341" s="74"/>
      <c r="P341" s="73"/>
    </row>
    <row r="342" spans="1:16" s="71" customFormat="1" ht="15.75">
      <c r="A342" s="50"/>
      <c r="B342" s="72"/>
      <c r="C342" s="50"/>
      <c r="D342" s="50"/>
      <c r="E342" s="73"/>
      <c r="F342" s="74"/>
      <c r="G342" s="74"/>
      <c r="H342" s="74"/>
      <c r="I342" s="74"/>
      <c r="J342" s="73"/>
      <c r="K342" s="74"/>
      <c r="L342" s="74"/>
      <c r="M342" s="74"/>
      <c r="N342" s="74"/>
      <c r="O342" s="74"/>
      <c r="P342" s="73"/>
    </row>
    <row r="343" spans="1:16" s="71" customFormat="1" ht="15.75">
      <c r="A343" s="50"/>
      <c r="B343" s="72"/>
      <c r="C343" s="50"/>
      <c r="D343" s="50"/>
      <c r="E343" s="73"/>
      <c r="F343" s="74"/>
      <c r="G343" s="74"/>
      <c r="H343" s="74"/>
      <c r="I343" s="74"/>
      <c r="J343" s="73"/>
      <c r="K343" s="74"/>
      <c r="L343" s="74"/>
      <c r="M343" s="74"/>
      <c r="N343" s="74"/>
      <c r="O343" s="74"/>
      <c r="P343" s="73"/>
    </row>
    <row r="344" spans="1:16" s="71" customFormat="1" ht="15.75">
      <c r="A344" s="50"/>
      <c r="B344" s="72"/>
      <c r="C344" s="50"/>
      <c r="D344" s="50"/>
      <c r="E344" s="73"/>
      <c r="F344" s="74"/>
      <c r="G344" s="74"/>
      <c r="H344" s="74"/>
      <c r="I344" s="74"/>
      <c r="J344" s="73"/>
      <c r="K344" s="74"/>
      <c r="L344" s="74"/>
      <c r="M344" s="74"/>
      <c r="N344" s="74"/>
      <c r="O344" s="74"/>
      <c r="P344" s="73"/>
    </row>
    <row r="345" spans="1:16" s="71" customFormat="1" ht="15.75">
      <c r="A345" s="50"/>
      <c r="B345" s="72"/>
      <c r="C345" s="50"/>
      <c r="D345" s="50"/>
      <c r="E345" s="73"/>
      <c r="F345" s="74"/>
      <c r="G345" s="74"/>
      <c r="H345" s="74"/>
      <c r="I345" s="74"/>
      <c r="J345" s="73"/>
      <c r="K345" s="74"/>
      <c r="L345" s="74"/>
      <c r="M345" s="74"/>
      <c r="N345" s="74"/>
      <c r="O345" s="74"/>
      <c r="P345" s="73"/>
    </row>
    <row r="346" spans="1:16" s="71" customFormat="1" ht="15.75">
      <c r="A346" s="50"/>
      <c r="B346" s="72"/>
      <c r="C346" s="50"/>
      <c r="D346" s="50"/>
      <c r="E346" s="73"/>
      <c r="F346" s="74"/>
      <c r="G346" s="74"/>
      <c r="H346" s="74"/>
      <c r="I346" s="74"/>
      <c r="J346" s="73"/>
      <c r="K346" s="74"/>
      <c r="L346" s="74"/>
      <c r="M346" s="74"/>
      <c r="N346" s="74"/>
      <c r="O346" s="74"/>
      <c r="P346" s="73"/>
    </row>
    <row r="347" spans="1:16" s="71" customFormat="1" ht="15.75">
      <c r="A347" s="50"/>
      <c r="B347" s="72"/>
      <c r="C347" s="50"/>
      <c r="D347" s="50"/>
      <c r="E347" s="73"/>
      <c r="F347" s="74"/>
      <c r="G347" s="74"/>
      <c r="H347" s="74"/>
      <c r="I347" s="74"/>
      <c r="J347" s="73"/>
      <c r="K347" s="74"/>
      <c r="L347" s="74"/>
      <c r="M347" s="74"/>
      <c r="N347" s="74"/>
      <c r="O347" s="74"/>
      <c r="P347" s="73"/>
    </row>
    <row r="348" spans="1:16" s="71" customFormat="1" ht="15.75">
      <c r="A348" s="50"/>
      <c r="B348" s="72"/>
      <c r="C348" s="50"/>
      <c r="D348" s="50"/>
      <c r="E348" s="73"/>
      <c r="F348" s="74"/>
      <c r="G348" s="74"/>
      <c r="H348" s="74"/>
      <c r="I348" s="74"/>
      <c r="J348" s="73"/>
      <c r="K348" s="74"/>
      <c r="L348" s="74"/>
      <c r="M348" s="74"/>
      <c r="N348" s="74"/>
      <c r="O348" s="74"/>
      <c r="P348" s="73"/>
    </row>
    <row r="349" spans="1:16" s="71" customFormat="1" ht="15.75">
      <c r="A349" s="50"/>
      <c r="B349" s="72"/>
      <c r="C349" s="50"/>
      <c r="D349" s="50"/>
      <c r="E349" s="73"/>
      <c r="F349" s="74"/>
      <c r="G349" s="74"/>
      <c r="H349" s="74"/>
      <c r="I349" s="74"/>
      <c r="J349" s="73"/>
      <c r="K349" s="74"/>
      <c r="L349" s="74"/>
      <c r="M349" s="74"/>
      <c r="N349" s="74"/>
      <c r="O349" s="74"/>
      <c r="P349" s="73"/>
    </row>
    <row r="350" spans="1:16" s="71" customFormat="1" ht="15.75">
      <c r="A350" s="50"/>
      <c r="B350" s="72"/>
      <c r="C350" s="50"/>
      <c r="D350" s="50"/>
      <c r="E350" s="73"/>
      <c r="F350" s="74"/>
      <c r="G350" s="74"/>
      <c r="H350" s="74"/>
      <c r="I350" s="74"/>
      <c r="J350" s="73"/>
      <c r="K350" s="74"/>
      <c r="L350" s="74"/>
      <c r="M350" s="74"/>
      <c r="N350" s="74"/>
      <c r="O350" s="74"/>
      <c r="P350" s="73"/>
    </row>
    <row r="351" spans="1:16" s="71" customFormat="1" ht="15.75">
      <c r="A351" s="50"/>
      <c r="B351" s="72"/>
      <c r="C351" s="50"/>
      <c r="D351" s="50"/>
      <c r="E351" s="73"/>
      <c r="F351" s="74"/>
      <c r="G351" s="74"/>
      <c r="H351" s="74"/>
      <c r="I351" s="74"/>
      <c r="J351" s="73"/>
      <c r="K351" s="74"/>
      <c r="L351" s="74"/>
      <c r="M351" s="74"/>
      <c r="N351" s="74"/>
      <c r="O351" s="74"/>
      <c r="P351" s="73"/>
    </row>
    <row r="352" spans="1:16" s="71" customFormat="1" ht="15.75">
      <c r="A352" s="50"/>
      <c r="B352" s="72"/>
      <c r="C352" s="50"/>
      <c r="D352" s="50"/>
      <c r="E352" s="73"/>
      <c r="F352" s="74"/>
      <c r="G352" s="74"/>
      <c r="H352" s="74"/>
      <c r="I352" s="74"/>
      <c r="J352" s="73"/>
      <c r="K352" s="74"/>
      <c r="L352" s="74"/>
      <c r="M352" s="74"/>
      <c r="N352" s="74"/>
      <c r="O352" s="74"/>
      <c r="P352" s="73"/>
    </row>
    <row r="353" spans="1:16" s="71" customFormat="1" ht="15.75">
      <c r="A353" s="50"/>
      <c r="B353" s="72"/>
      <c r="C353" s="50"/>
      <c r="D353" s="50"/>
      <c r="E353" s="73"/>
      <c r="F353" s="74"/>
      <c r="G353" s="74"/>
      <c r="H353" s="74"/>
      <c r="I353" s="74"/>
      <c r="J353" s="73"/>
      <c r="K353" s="74"/>
      <c r="L353" s="74"/>
      <c r="M353" s="74"/>
      <c r="N353" s="74"/>
      <c r="O353" s="74"/>
      <c r="P353" s="73"/>
    </row>
    <row r="354" spans="1:16" s="71" customFormat="1" ht="15.75">
      <c r="A354" s="50"/>
      <c r="B354" s="72"/>
      <c r="C354" s="50"/>
      <c r="D354" s="50"/>
      <c r="E354" s="73"/>
      <c r="F354" s="74"/>
      <c r="G354" s="74"/>
      <c r="H354" s="74"/>
      <c r="I354" s="74"/>
      <c r="J354" s="73"/>
      <c r="K354" s="74"/>
      <c r="L354" s="74"/>
      <c r="M354" s="74"/>
      <c r="N354" s="74"/>
      <c r="O354" s="74"/>
      <c r="P354" s="73"/>
    </row>
    <row r="355" spans="1:16" s="71" customFormat="1" ht="15.75">
      <c r="A355" s="50"/>
      <c r="B355" s="72"/>
      <c r="C355" s="50"/>
      <c r="D355" s="50"/>
      <c r="E355" s="73"/>
      <c r="F355" s="74"/>
      <c r="G355" s="74"/>
      <c r="H355" s="74"/>
      <c r="I355" s="74"/>
      <c r="J355" s="73"/>
      <c r="K355" s="74"/>
      <c r="L355" s="74"/>
      <c r="M355" s="74"/>
      <c r="N355" s="74"/>
      <c r="O355" s="74"/>
      <c r="P355" s="73"/>
    </row>
    <row r="356" spans="1:16" s="71" customFormat="1" ht="15.75">
      <c r="A356" s="50"/>
      <c r="B356" s="72"/>
      <c r="C356" s="50"/>
      <c r="D356" s="50"/>
      <c r="E356" s="73"/>
      <c r="F356" s="74"/>
      <c r="G356" s="74"/>
      <c r="H356" s="74"/>
      <c r="I356" s="74"/>
      <c r="J356" s="73"/>
      <c r="K356" s="74"/>
      <c r="L356" s="74"/>
      <c r="M356" s="74"/>
      <c r="N356" s="74"/>
      <c r="O356" s="74"/>
      <c r="P356" s="73"/>
    </row>
    <row r="357" spans="1:16" s="71" customFormat="1" ht="15.75">
      <c r="A357" s="50"/>
      <c r="B357" s="72"/>
      <c r="C357" s="50"/>
      <c r="D357" s="50"/>
      <c r="E357" s="73"/>
      <c r="F357" s="74"/>
      <c r="G357" s="74"/>
      <c r="H357" s="74"/>
      <c r="I357" s="74"/>
      <c r="J357" s="73"/>
      <c r="K357" s="74"/>
      <c r="L357" s="74"/>
      <c r="M357" s="74"/>
      <c r="N357" s="74"/>
      <c r="O357" s="74"/>
      <c r="P357" s="73"/>
    </row>
    <row r="358" spans="1:16" s="71" customFormat="1" ht="15.75">
      <c r="A358" s="50"/>
      <c r="B358" s="72"/>
      <c r="C358" s="50"/>
      <c r="D358" s="50"/>
      <c r="E358" s="73"/>
      <c r="F358" s="74"/>
      <c r="G358" s="74"/>
      <c r="H358" s="74"/>
      <c r="I358" s="74"/>
      <c r="J358" s="73"/>
      <c r="K358" s="74"/>
      <c r="L358" s="74"/>
      <c r="M358" s="74"/>
      <c r="N358" s="74"/>
      <c r="O358" s="74"/>
      <c r="P358" s="73"/>
    </row>
    <row r="359" spans="1:16" s="71" customFormat="1" ht="15.75">
      <c r="A359" s="50"/>
      <c r="B359" s="72"/>
      <c r="C359" s="50"/>
      <c r="D359" s="50"/>
      <c r="E359" s="73"/>
      <c r="F359" s="74"/>
      <c r="G359" s="74"/>
      <c r="H359" s="74"/>
      <c r="I359" s="74"/>
      <c r="J359" s="73"/>
      <c r="K359" s="74"/>
      <c r="L359" s="74"/>
      <c r="M359" s="74"/>
      <c r="N359" s="74"/>
      <c r="O359" s="74"/>
      <c r="P359" s="73"/>
    </row>
    <row r="360" spans="1:16" s="71" customFormat="1" ht="15.75">
      <c r="A360" s="50"/>
      <c r="B360" s="72"/>
      <c r="C360" s="50"/>
      <c r="D360" s="50"/>
      <c r="E360" s="73"/>
      <c r="F360" s="74"/>
      <c r="G360" s="74"/>
      <c r="H360" s="74"/>
      <c r="I360" s="74"/>
      <c r="J360" s="73"/>
      <c r="K360" s="74"/>
      <c r="L360" s="74"/>
      <c r="M360" s="74"/>
      <c r="N360" s="74"/>
      <c r="O360" s="74"/>
      <c r="P360" s="73"/>
    </row>
    <row r="361" spans="1:16" s="71" customFormat="1" ht="15.75">
      <c r="A361" s="50"/>
      <c r="B361" s="72"/>
      <c r="C361" s="50"/>
      <c r="D361" s="50"/>
      <c r="E361" s="73"/>
      <c r="F361" s="74"/>
      <c r="G361" s="74"/>
      <c r="H361" s="74"/>
      <c r="I361" s="74"/>
      <c r="J361" s="73"/>
      <c r="K361" s="74"/>
      <c r="L361" s="74"/>
      <c r="M361" s="74"/>
      <c r="N361" s="74"/>
      <c r="O361" s="74"/>
      <c r="P361" s="73"/>
    </row>
    <row r="362" spans="1:16" s="71" customFormat="1" ht="15.75">
      <c r="A362" s="50"/>
      <c r="B362" s="72"/>
      <c r="C362" s="50"/>
      <c r="D362" s="50"/>
      <c r="E362" s="73"/>
      <c r="F362" s="74"/>
      <c r="G362" s="74"/>
      <c r="H362" s="74"/>
      <c r="I362" s="74"/>
      <c r="J362" s="73"/>
      <c r="K362" s="74"/>
      <c r="L362" s="74"/>
      <c r="M362" s="74"/>
      <c r="N362" s="74"/>
      <c r="O362" s="74"/>
      <c r="P362" s="73"/>
    </row>
    <row r="363" spans="1:16" s="71" customFormat="1" ht="15.75">
      <c r="A363" s="50"/>
      <c r="B363" s="72"/>
      <c r="C363" s="50"/>
      <c r="D363" s="50"/>
      <c r="E363" s="73"/>
      <c r="F363" s="74"/>
      <c r="G363" s="74"/>
      <c r="H363" s="74"/>
      <c r="I363" s="74"/>
      <c r="J363" s="73"/>
      <c r="K363" s="74"/>
      <c r="L363" s="74"/>
      <c r="M363" s="74"/>
      <c r="N363" s="74"/>
      <c r="O363" s="74"/>
      <c r="P363" s="73"/>
    </row>
    <row r="364" spans="1:16" s="71" customFormat="1" ht="15.75">
      <c r="A364" s="50"/>
      <c r="B364" s="72"/>
      <c r="C364" s="50"/>
      <c r="D364" s="50"/>
      <c r="E364" s="73"/>
      <c r="F364" s="74"/>
      <c r="G364" s="74"/>
      <c r="H364" s="74"/>
      <c r="I364" s="74"/>
      <c r="J364" s="73"/>
      <c r="K364" s="74"/>
      <c r="L364" s="74"/>
      <c r="M364" s="74"/>
      <c r="N364" s="74"/>
      <c r="O364" s="74"/>
      <c r="P364" s="73"/>
    </row>
    <row r="365" spans="1:16" s="71" customFormat="1" ht="15.75">
      <c r="A365" s="50"/>
      <c r="B365" s="72"/>
      <c r="C365" s="50"/>
      <c r="D365" s="50"/>
      <c r="E365" s="73"/>
      <c r="F365" s="74"/>
      <c r="G365" s="74"/>
      <c r="H365" s="74"/>
      <c r="I365" s="74"/>
      <c r="J365" s="73"/>
      <c r="K365" s="74"/>
      <c r="L365" s="74"/>
      <c r="M365" s="74"/>
      <c r="N365" s="74"/>
      <c r="O365" s="74"/>
      <c r="P365" s="73"/>
    </row>
    <row r="366" spans="1:16" s="71" customFormat="1" ht="15.75">
      <c r="A366" s="50"/>
      <c r="B366" s="72"/>
      <c r="C366" s="50"/>
      <c r="D366" s="50"/>
      <c r="E366" s="73"/>
      <c r="F366" s="74"/>
      <c r="G366" s="74"/>
      <c r="H366" s="74"/>
      <c r="I366" s="74"/>
      <c r="J366" s="73"/>
      <c r="K366" s="74"/>
      <c r="L366" s="74"/>
      <c r="M366" s="74"/>
      <c r="N366" s="74"/>
      <c r="O366" s="74"/>
      <c r="P366" s="73"/>
    </row>
    <row r="367" spans="1:16" s="71" customFormat="1" ht="15.75">
      <c r="A367" s="50"/>
      <c r="B367" s="72"/>
      <c r="C367" s="50"/>
      <c r="D367" s="50"/>
      <c r="E367" s="73"/>
      <c r="F367" s="74"/>
      <c r="G367" s="74"/>
      <c r="H367" s="74"/>
      <c r="I367" s="74"/>
      <c r="J367" s="73"/>
      <c r="K367" s="74"/>
      <c r="L367" s="74"/>
      <c r="M367" s="74"/>
      <c r="N367" s="74"/>
      <c r="O367" s="74"/>
      <c r="P367" s="73"/>
    </row>
    <row r="368" spans="1:16" s="71" customFormat="1" ht="15.75">
      <c r="A368" s="50"/>
      <c r="B368" s="72"/>
      <c r="C368" s="50"/>
      <c r="D368" s="50"/>
      <c r="E368" s="73"/>
      <c r="F368" s="74"/>
      <c r="G368" s="74"/>
      <c r="H368" s="74"/>
      <c r="I368" s="74"/>
      <c r="J368" s="73"/>
      <c r="K368" s="74"/>
      <c r="L368" s="74"/>
      <c r="M368" s="74"/>
      <c r="N368" s="74"/>
      <c r="O368" s="74"/>
      <c r="P368" s="73"/>
    </row>
    <row r="369" spans="1:16" s="71" customFormat="1" ht="15.75">
      <c r="A369" s="50"/>
      <c r="B369" s="72"/>
      <c r="C369" s="50"/>
      <c r="D369" s="50"/>
      <c r="E369" s="73"/>
      <c r="F369" s="74"/>
      <c r="G369" s="74"/>
      <c r="H369" s="74"/>
      <c r="I369" s="74"/>
      <c r="J369" s="73"/>
      <c r="K369" s="74"/>
      <c r="L369" s="74"/>
      <c r="M369" s="74"/>
      <c r="N369" s="74"/>
      <c r="O369" s="74"/>
      <c r="P369" s="73"/>
    </row>
    <row r="370" spans="1:16" s="71" customFormat="1" ht="15.75">
      <c r="A370" s="50"/>
      <c r="B370" s="72"/>
      <c r="C370" s="50"/>
      <c r="D370" s="50"/>
      <c r="E370" s="73"/>
      <c r="F370" s="74"/>
      <c r="G370" s="74"/>
      <c r="H370" s="74"/>
      <c r="I370" s="74"/>
      <c r="J370" s="73"/>
      <c r="K370" s="74"/>
      <c r="L370" s="74"/>
      <c r="M370" s="74"/>
      <c r="N370" s="74"/>
      <c r="O370" s="74"/>
      <c r="P370" s="73"/>
    </row>
    <row r="371" spans="1:16" s="71" customFormat="1" ht="15.75">
      <c r="A371" s="50"/>
      <c r="B371" s="72"/>
      <c r="C371" s="50"/>
      <c r="D371" s="50"/>
      <c r="E371" s="73"/>
      <c r="F371" s="74"/>
      <c r="G371" s="74"/>
      <c r="H371" s="74"/>
      <c r="I371" s="74"/>
      <c r="J371" s="73"/>
      <c r="K371" s="74"/>
      <c r="L371" s="74"/>
      <c r="M371" s="74"/>
      <c r="N371" s="74"/>
      <c r="O371" s="74"/>
      <c r="P371" s="73"/>
    </row>
    <row r="372" spans="1:16" s="71" customFormat="1" ht="15.75">
      <c r="A372" s="50"/>
      <c r="B372" s="72"/>
      <c r="C372" s="50"/>
      <c r="D372" s="50"/>
      <c r="E372" s="73"/>
      <c r="F372" s="74"/>
      <c r="G372" s="74"/>
      <c r="H372" s="74"/>
      <c r="I372" s="74"/>
      <c r="J372" s="73"/>
      <c r="K372" s="74"/>
      <c r="L372" s="74"/>
      <c r="M372" s="74"/>
      <c r="N372" s="74"/>
      <c r="O372" s="74"/>
      <c r="P372" s="73"/>
    </row>
    <row r="373" spans="1:16" s="71" customFormat="1" ht="15.75">
      <c r="A373" s="50"/>
      <c r="B373" s="72"/>
      <c r="C373" s="50"/>
      <c r="D373" s="50"/>
      <c r="E373" s="73"/>
      <c r="F373" s="74"/>
      <c r="G373" s="74"/>
      <c r="H373" s="74"/>
      <c r="I373" s="74"/>
      <c r="J373" s="73"/>
      <c r="K373" s="74"/>
      <c r="L373" s="74"/>
      <c r="M373" s="74"/>
      <c r="N373" s="74"/>
      <c r="O373" s="74"/>
      <c r="P373" s="73"/>
    </row>
    <row r="374" spans="1:16" s="71" customFormat="1" ht="15.75">
      <c r="A374" s="50"/>
      <c r="B374" s="72"/>
      <c r="C374" s="50"/>
      <c r="D374" s="50"/>
      <c r="E374" s="73"/>
      <c r="F374" s="74"/>
      <c r="G374" s="74"/>
      <c r="H374" s="74"/>
      <c r="I374" s="74"/>
      <c r="J374" s="73"/>
      <c r="K374" s="74"/>
      <c r="L374" s="74"/>
      <c r="M374" s="74"/>
      <c r="N374" s="74"/>
      <c r="O374" s="74"/>
      <c r="P374" s="73"/>
    </row>
    <row r="375" spans="1:16" s="71" customFormat="1" ht="15.75">
      <c r="A375" s="50"/>
      <c r="B375" s="72"/>
      <c r="C375" s="50"/>
      <c r="D375" s="50"/>
      <c r="E375" s="73"/>
      <c r="F375" s="74"/>
      <c r="G375" s="74"/>
      <c r="H375" s="74"/>
      <c r="I375" s="74"/>
      <c r="J375" s="73"/>
      <c r="K375" s="74"/>
      <c r="L375" s="74"/>
      <c r="M375" s="74"/>
      <c r="N375" s="74"/>
      <c r="O375" s="74"/>
      <c r="P375" s="73"/>
    </row>
    <row r="376" spans="1:16" s="71" customFormat="1" ht="15.75">
      <c r="A376" s="50"/>
      <c r="B376" s="72"/>
      <c r="C376" s="50"/>
      <c r="D376" s="50"/>
      <c r="E376" s="73"/>
      <c r="F376" s="74"/>
      <c r="G376" s="74"/>
      <c r="H376" s="74"/>
      <c r="I376" s="74"/>
      <c r="J376" s="73"/>
      <c r="K376" s="74"/>
      <c r="L376" s="74"/>
      <c r="M376" s="74"/>
      <c r="N376" s="74"/>
      <c r="O376" s="74"/>
      <c r="P376" s="73"/>
    </row>
    <row r="377" spans="1:16" s="71" customFormat="1" ht="15.75">
      <c r="A377" s="50"/>
      <c r="B377" s="72"/>
      <c r="C377" s="50"/>
      <c r="D377" s="50"/>
      <c r="E377" s="73"/>
      <c r="F377" s="74"/>
      <c r="G377" s="74"/>
      <c r="H377" s="74"/>
      <c r="I377" s="74"/>
      <c r="J377" s="73"/>
      <c r="K377" s="74"/>
      <c r="L377" s="74"/>
      <c r="M377" s="74"/>
      <c r="N377" s="74"/>
      <c r="O377" s="74"/>
      <c r="P377" s="73"/>
    </row>
    <row r="378" spans="1:16" s="71" customFormat="1" ht="15.75">
      <c r="A378" s="50"/>
      <c r="B378" s="72"/>
      <c r="C378" s="50"/>
      <c r="D378" s="50"/>
      <c r="E378" s="73"/>
      <c r="F378" s="74"/>
      <c r="G378" s="74"/>
      <c r="H378" s="74"/>
      <c r="I378" s="74"/>
      <c r="J378" s="73"/>
      <c r="K378" s="74"/>
      <c r="L378" s="74"/>
      <c r="M378" s="74"/>
      <c r="N378" s="74"/>
      <c r="O378" s="74"/>
      <c r="P378" s="73"/>
    </row>
    <row r="379" spans="1:16" s="71" customFormat="1" ht="15.75">
      <c r="A379" s="50"/>
      <c r="B379" s="72"/>
      <c r="C379" s="50"/>
      <c r="D379" s="50"/>
      <c r="E379" s="73"/>
      <c r="F379" s="74"/>
      <c r="G379" s="74"/>
      <c r="H379" s="74"/>
      <c r="I379" s="74"/>
      <c r="J379" s="73"/>
      <c r="K379" s="74"/>
      <c r="L379" s="74"/>
      <c r="M379" s="74"/>
      <c r="N379" s="74"/>
      <c r="O379" s="74"/>
      <c r="P379" s="73"/>
    </row>
    <row r="380" spans="1:16" s="71" customFormat="1" ht="15.75">
      <c r="A380" s="50"/>
      <c r="B380" s="72"/>
      <c r="C380" s="50"/>
      <c r="D380" s="50"/>
      <c r="E380" s="73"/>
      <c r="F380" s="74"/>
      <c r="G380" s="74"/>
      <c r="H380" s="74"/>
      <c r="I380" s="74"/>
      <c r="J380" s="73"/>
      <c r="K380" s="74"/>
      <c r="L380" s="74"/>
      <c r="M380" s="74"/>
      <c r="N380" s="74"/>
      <c r="O380" s="74"/>
      <c r="P380" s="73"/>
    </row>
    <row r="381" spans="1:16" s="71" customFormat="1" ht="15.75">
      <c r="A381" s="50"/>
      <c r="B381" s="72"/>
      <c r="C381" s="50"/>
      <c r="D381" s="50"/>
      <c r="E381" s="73"/>
      <c r="F381" s="74"/>
      <c r="G381" s="74"/>
      <c r="H381" s="74"/>
      <c r="I381" s="74"/>
      <c r="J381" s="73"/>
      <c r="K381" s="74"/>
      <c r="L381" s="74"/>
      <c r="M381" s="74"/>
      <c r="N381" s="74"/>
      <c r="O381" s="74"/>
      <c r="P381" s="73"/>
    </row>
    <row r="382" spans="1:16" s="71" customFormat="1" ht="15.75">
      <c r="A382" s="50"/>
      <c r="B382" s="72"/>
      <c r="C382" s="50"/>
      <c r="D382" s="50"/>
      <c r="E382" s="73"/>
      <c r="F382" s="74"/>
      <c r="G382" s="74"/>
      <c r="H382" s="74"/>
      <c r="I382" s="74"/>
      <c r="J382" s="73"/>
      <c r="K382" s="74"/>
      <c r="L382" s="74"/>
      <c r="M382" s="74"/>
      <c r="N382" s="74"/>
      <c r="O382" s="74"/>
      <c r="P382" s="73"/>
    </row>
    <row r="383" spans="1:16" s="71" customFormat="1" ht="15.75">
      <c r="A383" s="50"/>
      <c r="B383" s="72"/>
      <c r="C383" s="50"/>
      <c r="D383" s="50"/>
      <c r="E383" s="73"/>
      <c r="F383" s="74"/>
      <c r="G383" s="74"/>
      <c r="H383" s="74"/>
      <c r="I383" s="74"/>
      <c r="J383" s="73"/>
      <c r="K383" s="74"/>
      <c r="L383" s="74"/>
      <c r="M383" s="74"/>
      <c r="N383" s="74"/>
      <c r="O383" s="74"/>
      <c r="P383" s="73"/>
    </row>
    <row r="384" spans="1:16" s="71" customFormat="1" ht="15.75">
      <c r="A384" s="50"/>
      <c r="B384" s="72"/>
      <c r="C384" s="50"/>
      <c r="D384" s="50"/>
      <c r="E384" s="73"/>
      <c r="F384" s="74"/>
      <c r="G384" s="74"/>
      <c r="H384" s="74"/>
      <c r="I384" s="74"/>
      <c r="J384" s="73"/>
      <c r="K384" s="74"/>
      <c r="L384" s="74"/>
      <c r="M384" s="74"/>
      <c r="N384" s="74"/>
      <c r="O384" s="74"/>
      <c r="P384" s="73"/>
    </row>
    <row r="385" spans="1:16" s="71" customFormat="1" ht="15.75">
      <c r="A385" s="50"/>
      <c r="B385" s="72"/>
      <c r="C385" s="50"/>
      <c r="D385" s="50"/>
      <c r="E385" s="73"/>
      <c r="F385" s="74"/>
      <c r="G385" s="74"/>
      <c r="H385" s="74"/>
      <c r="I385" s="74"/>
      <c r="J385" s="73"/>
      <c r="K385" s="74"/>
      <c r="L385" s="74"/>
      <c r="M385" s="74"/>
      <c r="N385" s="74"/>
      <c r="O385" s="74"/>
      <c r="P385" s="73"/>
    </row>
    <row r="386" spans="1:16" s="71" customFormat="1" ht="15.75">
      <c r="A386" s="50"/>
      <c r="B386" s="72"/>
      <c r="C386" s="50"/>
      <c r="D386" s="50"/>
      <c r="E386" s="73"/>
      <c r="F386" s="74"/>
      <c r="G386" s="74"/>
      <c r="H386" s="74"/>
      <c r="I386" s="74"/>
      <c r="J386" s="73"/>
      <c r="K386" s="74"/>
      <c r="L386" s="74"/>
      <c r="M386" s="74"/>
      <c r="N386" s="74"/>
      <c r="O386" s="74"/>
      <c r="P386" s="73"/>
    </row>
    <row r="387" spans="1:16" s="71" customFormat="1" ht="15.75">
      <c r="A387" s="50"/>
      <c r="B387" s="72"/>
      <c r="C387" s="50"/>
      <c r="D387" s="50"/>
      <c r="E387" s="73"/>
      <c r="F387" s="74"/>
      <c r="G387" s="74"/>
      <c r="H387" s="74"/>
      <c r="I387" s="74"/>
      <c r="J387" s="73"/>
      <c r="K387" s="74"/>
      <c r="L387" s="74"/>
      <c r="M387" s="74"/>
      <c r="N387" s="74"/>
      <c r="O387" s="74"/>
      <c r="P387" s="73"/>
    </row>
    <row r="388" spans="1:16" s="71" customFormat="1" ht="15.75">
      <c r="A388" s="50"/>
      <c r="B388" s="72"/>
      <c r="C388" s="50"/>
      <c r="D388" s="50"/>
      <c r="E388" s="73"/>
      <c r="F388" s="74"/>
      <c r="G388" s="74"/>
      <c r="H388" s="74"/>
      <c r="I388" s="74"/>
      <c r="J388" s="73"/>
      <c r="K388" s="74"/>
      <c r="L388" s="74"/>
      <c r="M388" s="74"/>
      <c r="N388" s="74"/>
      <c r="O388" s="74"/>
      <c r="P388" s="73"/>
    </row>
    <row r="389" spans="1:16" s="71" customFormat="1" ht="15.75">
      <c r="A389" s="50"/>
      <c r="B389" s="72"/>
      <c r="C389" s="50"/>
      <c r="D389" s="50"/>
      <c r="E389" s="73"/>
      <c r="F389" s="74"/>
      <c r="G389" s="74"/>
      <c r="H389" s="74"/>
      <c r="I389" s="74"/>
      <c r="J389" s="73"/>
      <c r="K389" s="74"/>
      <c r="L389" s="74"/>
      <c r="M389" s="74"/>
      <c r="N389" s="74"/>
      <c r="O389" s="74"/>
      <c r="P389" s="73"/>
    </row>
    <row r="390" spans="1:16" s="71" customFormat="1" ht="15.75">
      <c r="A390" s="50"/>
      <c r="B390" s="72"/>
      <c r="C390" s="50"/>
      <c r="D390" s="50"/>
      <c r="E390" s="73"/>
      <c r="F390" s="74"/>
      <c r="G390" s="74"/>
      <c r="H390" s="74"/>
      <c r="I390" s="74"/>
      <c r="J390" s="73"/>
      <c r="K390" s="74"/>
      <c r="L390" s="74"/>
      <c r="M390" s="74"/>
      <c r="N390" s="74"/>
      <c r="O390" s="74"/>
      <c r="P390" s="73"/>
    </row>
    <row r="391" spans="1:16" s="71" customFormat="1" ht="15.75">
      <c r="A391" s="50"/>
      <c r="B391" s="72"/>
      <c r="C391" s="50"/>
      <c r="D391" s="50"/>
      <c r="E391" s="73"/>
      <c r="F391" s="74"/>
      <c r="G391" s="74"/>
      <c r="H391" s="74"/>
      <c r="I391" s="74"/>
      <c r="J391" s="73"/>
      <c r="K391" s="74"/>
      <c r="L391" s="74"/>
      <c r="M391" s="74"/>
      <c r="N391" s="74"/>
      <c r="O391" s="74"/>
      <c r="P391" s="73"/>
    </row>
    <row r="392" spans="1:16" s="71" customFormat="1" ht="15.75">
      <c r="A392" s="50"/>
      <c r="B392" s="72"/>
      <c r="C392" s="50"/>
      <c r="D392" s="50"/>
      <c r="E392" s="73"/>
      <c r="F392" s="74"/>
      <c r="G392" s="74"/>
      <c r="H392" s="74"/>
      <c r="I392" s="74"/>
      <c r="J392" s="73"/>
      <c r="K392" s="74"/>
      <c r="L392" s="74"/>
      <c r="M392" s="74"/>
      <c r="N392" s="74"/>
      <c r="O392" s="74"/>
      <c r="P392" s="73"/>
    </row>
    <row r="393" spans="1:16" s="71" customFormat="1" ht="15.75">
      <c r="A393" s="50"/>
      <c r="B393" s="72"/>
      <c r="C393" s="50"/>
      <c r="D393" s="50"/>
      <c r="E393" s="73"/>
      <c r="F393" s="74"/>
      <c r="G393" s="74"/>
      <c r="H393" s="74"/>
      <c r="I393" s="74"/>
      <c r="J393" s="73"/>
      <c r="K393" s="74"/>
      <c r="L393" s="74"/>
      <c r="M393" s="74"/>
      <c r="N393" s="74"/>
      <c r="O393" s="74"/>
      <c r="P393" s="73"/>
    </row>
    <row r="394" spans="1:16" s="71" customFormat="1" ht="15.75">
      <c r="A394" s="50"/>
      <c r="B394" s="72"/>
      <c r="C394" s="50"/>
      <c r="D394" s="50"/>
      <c r="E394" s="73"/>
      <c r="F394" s="74"/>
      <c r="G394" s="74"/>
      <c r="H394" s="74"/>
      <c r="I394" s="74"/>
      <c r="J394" s="73"/>
      <c r="K394" s="74"/>
      <c r="L394" s="74"/>
      <c r="M394" s="74"/>
      <c r="N394" s="74"/>
      <c r="O394" s="74"/>
      <c r="P394" s="73"/>
    </row>
    <row r="395" spans="1:16" s="71" customFormat="1" ht="15.75">
      <c r="A395" s="50"/>
      <c r="B395" s="72"/>
      <c r="C395" s="50"/>
      <c r="D395" s="50"/>
      <c r="E395" s="73"/>
      <c r="F395" s="74"/>
      <c r="G395" s="74"/>
      <c r="H395" s="74"/>
      <c r="I395" s="74"/>
      <c r="J395" s="73"/>
      <c r="K395" s="74"/>
      <c r="L395" s="74"/>
      <c r="M395" s="74"/>
      <c r="N395" s="74"/>
      <c r="O395" s="74"/>
      <c r="P395" s="73"/>
    </row>
    <row r="396" spans="1:16" s="71" customFormat="1" ht="15.75">
      <c r="A396" s="50"/>
      <c r="B396" s="72"/>
      <c r="C396" s="50"/>
      <c r="D396" s="50"/>
      <c r="E396" s="73"/>
      <c r="F396" s="74"/>
      <c r="G396" s="74"/>
      <c r="H396" s="74"/>
      <c r="I396" s="74"/>
      <c r="J396" s="73"/>
      <c r="K396" s="74"/>
      <c r="L396" s="74"/>
      <c r="M396" s="74"/>
      <c r="N396" s="74"/>
      <c r="O396" s="74"/>
      <c r="P396" s="73"/>
    </row>
    <row r="397" spans="1:16" s="71" customFormat="1" ht="15.75">
      <c r="A397" s="50"/>
      <c r="B397" s="72"/>
      <c r="C397" s="50"/>
      <c r="D397" s="50"/>
      <c r="E397" s="73"/>
      <c r="F397" s="74"/>
      <c r="G397" s="74"/>
      <c r="H397" s="74"/>
      <c r="I397" s="74"/>
      <c r="J397" s="73"/>
      <c r="K397" s="74"/>
      <c r="L397" s="74"/>
      <c r="M397" s="74"/>
      <c r="N397" s="74"/>
      <c r="O397" s="74"/>
      <c r="P397" s="73"/>
    </row>
    <row r="398" spans="1:16" s="71" customFormat="1" ht="15.75">
      <c r="A398" s="50"/>
      <c r="B398" s="72"/>
      <c r="C398" s="50"/>
      <c r="D398" s="50"/>
      <c r="E398" s="73"/>
      <c r="F398" s="74"/>
      <c r="G398" s="74"/>
      <c r="H398" s="74"/>
      <c r="I398" s="74"/>
      <c r="J398" s="73"/>
      <c r="K398" s="74"/>
      <c r="L398" s="74"/>
      <c r="M398" s="74"/>
      <c r="N398" s="74"/>
      <c r="O398" s="74"/>
      <c r="P398" s="73"/>
    </row>
    <row r="399" spans="1:16" s="71" customFormat="1" ht="15.75">
      <c r="A399" s="50"/>
      <c r="B399" s="72"/>
      <c r="C399" s="50"/>
      <c r="D399" s="50"/>
      <c r="E399" s="73"/>
      <c r="F399" s="74"/>
      <c r="G399" s="74"/>
      <c r="H399" s="74"/>
      <c r="I399" s="74"/>
      <c r="J399" s="73"/>
      <c r="K399" s="74"/>
      <c r="L399" s="74"/>
      <c r="M399" s="74"/>
      <c r="N399" s="74"/>
      <c r="O399" s="74"/>
      <c r="P399" s="73"/>
    </row>
    <row r="400" spans="1:16" s="71" customFormat="1" ht="15.75">
      <c r="A400" s="50"/>
      <c r="B400" s="72"/>
      <c r="C400" s="50"/>
      <c r="D400" s="50"/>
      <c r="E400" s="73"/>
      <c r="F400" s="74"/>
      <c r="G400" s="74"/>
      <c r="H400" s="74"/>
      <c r="I400" s="74"/>
      <c r="J400" s="73"/>
      <c r="K400" s="74"/>
      <c r="L400" s="74"/>
      <c r="M400" s="74"/>
      <c r="N400" s="74"/>
      <c r="O400" s="74"/>
      <c r="P400" s="73"/>
    </row>
    <row r="401" spans="1:16" s="71" customFormat="1" ht="15.75">
      <c r="A401" s="50"/>
      <c r="B401" s="72"/>
      <c r="C401" s="50"/>
      <c r="D401" s="50"/>
      <c r="E401" s="73"/>
      <c r="F401" s="74"/>
      <c r="G401" s="74"/>
      <c r="H401" s="74"/>
      <c r="I401" s="74"/>
      <c r="J401" s="73"/>
      <c r="K401" s="74"/>
      <c r="L401" s="74"/>
      <c r="M401" s="74"/>
      <c r="N401" s="74"/>
      <c r="O401" s="74"/>
      <c r="P401" s="73"/>
    </row>
    <row r="402" spans="1:16" s="71" customFormat="1" ht="15.75">
      <c r="A402" s="50"/>
      <c r="B402" s="72"/>
      <c r="C402" s="50"/>
      <c r="D402" s="50"/>
      <c r="E402" s="73"/>
      <c r="F402" s="74"/>
      <c r="G402" s="74"/>
      <c r="H402" s="74"/>
      <c r="I402" s="74"/>
      <c r="J402" s="73"/>
      <c r="K402" s="74"/>
      <c r="L402" s="74"/>
      <c r="M402" s="74"/>
      <c r="N402" s="74"/>
      <c r="O402" s="74"/>
      <c r="P402" s="73"/>
    </row>
    <row r="403" spans="1:16" s="71" customFormat="1" ht="15.75">
      <c r="A403" s="50"/>
      <c r="B403" s="72"/>
      <c r="C403" s="50"/>
      <c r="D403" s="50"/>
      <c r="E403" s="73"/>
      <c r="F403" s="74"/>
      <c r="G403" s="74"/>
      <c r="H403" s="74"/>
      <c r="I403" s="74"/>
      <c r="J403" s="73"/>
      <c r="K403" s="74"/>
      <c r="L403" s="74"/>
      <c r="M403" s="74"/>
      <c r="N403" s="74"/>
      <c r="O403" s="74"/>
      <c r="P403" s="73"/>
    </row>
    <row r="404" spans="1:16" s="71" customFormat="1" ht="15.75">
      <c r="A404" s="50"/>
      <c r="B404" s="72"/>
      <c r="C404" s="50"/>
      <c r="D404" s="50"/>
      <c r="E404" s="73"/>
      <c r="F404" s="74"/>
      <c r="G404" s="74"/>
      <c r="H404" s="74"/>
      <c r="I404" s="74"/>
      <c r="J404" s="73"/>
      <c r="K404" s="74"/>
      <c r="L404" s="74"/>
      <c r="M404" s="74"/>
      <c r="N404" s="74"/>
      <c r="O404" s="74"/>
      <c r="P404" s="73"/>
    </row>
    <row r="405" spans="1:16" s="71" customFormat="1" ht="15.75">
      <c r="A405" s="50"/>
      <c r="B405" s="72"/>
      <c r="C405" s="50"/>
      <c r="D405" s="50"/>
      <c r="E405" s="73"/>
      <c r="F405" s="74"/>
      <c r="G405" s="74"/>
      <c r="H405" s="74"/>
      <c r="I405" s="74"/>
      <c r="J405" s="73"/>
      <c r="K405" s="74"/>
      <c r="L405" s="74"/>
      <c r="M405" s="74"/>
      <c r="N405" s="74"/>
      <c r="O405" s="74"/>
      <c r="P405" s="73"/>
    </row>
    <row r="406" spans="1:16" s="71" customFormat="1" ht="15.75">
      <c r="A406" s="50"/>
      <c r="B406" s="72"/>
      <c r="C406" s="50"/>
      <c r="D406" s="50"/>
      <c r="E406" s="73"/>
      <c r="F406" s="74"/>
      <c r="G406" s="74"/>
      <c r="H406" s="74"/>
      <c r="I406" s="74"/>
      <c r="J406" s="73"/>
      <c r="K406" s="74"/>
      <c r="L406" s="74"/>
      <c r="M406" s="74"/>
      <c r="N406" s="74"/>
      <c r="O406" s="74"/>
      <c r="P406" s="73"/>
    </row>
    <row r="407" spans="1:16" s="71" customFormat="1" ht="15.75">
      <c r="A407" s="50"/>
      <c r="B407" s="72"/>
      <c r="C407" s="50"/>
      <c r="D407" s="50"/>
      <c r="E407" s="73"/>
      <c r="F407" s="74"/>
      <c r="G407" s="74"/>
      <c r="H407" s="74"/>
      <c r="I407" s="74"/>
      <c r="J407" s="73"/>
      <c r="K407" s="74"/>
      <c r="L407" s="74"/>
      <c r="M407" s="74"/>
      <c r="N407" s="74"/>
      <c r="O407" s="74"/>
      <c r="P407" s="73"/>
    </row>
    <row r="408" spans="1:16" s="71" customFormat="1" ht="15.75">
      <c r="A408" s="50"/>
      <c r="B408" s="72"/>
      <c r="C408" s="50"/>
      <c r="D408" s="50"/>
      <c r="E408" s="73"/>
      <c r="F408" s="74"/>
      <c r="G408" s="74"/>
      <c r="H408" s="74"/>
      <c r="I408" s="74"/>
      <c r="J408" s="73"/>
      <c r="K408" s="74"/>
      <c r="L408" s="74"/>
      <c r="M408" s="74"/>
      <c r="N408" s="74"/>
      <c r="O408" s="74"/>
      <c r="P408" s="73"/>
    </row>
    <row r="409" spans="1:16" s="71" customFormat="1" ht="15.75">
      <c r="A409" s="50"/>
      <c r="B409" s="72"/>
      <c r="C409" s="50"/>
      <c r="D409" s="50"/>
      <c r="E409" s="73"/>
      <c r="F409" s="74"/>
      <c r="G409" s="74"/>
      <c r="H409" s="74"/>
      <c r="I409" s="74"/>
      <c r="J409" s="73"/>
      <c r="K409" s="74"/>
      <c r="L409" s="74"/>
      <c r="M409" s="74"/>
      <c r="N409" s="74"/>
      <c r="O409" s="74"/>
      <c r="P409" s="73"/>
    </row>
    <row r="410" spans="1:16" s="71" customFormat="1" ht="15.75">
      <c r="A410" s="50"/>
      <c r="B410" s="72"/>
      <c r="C410" s="50"/>
      <c r="D410" s="50"/>
      <c r="E410" s="73"/>
      <c r="F410" s="74"/>
      <c r="G410" s="74"/>
      <c r="H410" s="74"/>
      <c r="I410" s="74"/>
      <c r="J410" s="73"/>
      <c r="K410" s="74"/>
      <c r="L410" s="74"/>
      <c r="M410" s="74"/>
      <c r="N410" s="74"/>
      <c r="O410" s="74"/>
      <c r="P410" s="73"/>
    </row>
    <row r="411" spans="1:16" s="71" customFormat="1" ht="15.75">
      <c r="A411" s="50"/>
      <c r="B411" s="72"/>
      <c r="C411" s="50"/>
      <c r="D411" s="50"/>
      <c r="E411" s="73"/>
      <c r="F411" s="74"/>
      <c r="G411" s="74"/>
      <c r="H411" s="74"/>
      <c r="I411" s="74"/>
      <c r="J411" s="73"/>
      <c r="K411" s="74"/>
      <c r="L411" s="74"/>
      <c r="M411" s="74"/>
      <c r="N411" s="74"/>
      <c r="O411" s="74"/>
      <c r="P411" s="73"/>
    </row>
    <row r="412" spans="1:16" s="71" customFormat="1" ht="15.75">
      <c r="A412" s="50"/>
      <c r="B412" s="72"/>
      <c r="C412" s="50"/>
      <c r="D412" s="50"/>
      <c r="E412" s="73"/>
      <c r="F412" s="74"/>
      <c r="G412" s="74"/>
      <c r="H412" s="74"/>
      <c r="I412" s="74"/>
      <c r="J412" s="73"/>
      <c r="K412" s="74"/>
      <c r="L412" s="74"/>
      <c r="M412" s="74"/>
      <c r="N412" s="74"/>
      <c r="O412" s="74"/>
      <c r="P412" s="73"/>
    </row>
    <row r="413" spans="1:16" s="71" customFormat="1" ht="15.75">
      <c r="A413" s="50"/>
      <c r="B413" s="72"/>
      <c r="C413" s="50"/>
      <c r="D413" s="50"/>
      <c r="E413" s="73"/>
      <c r="F413" s="74"/>
      <c r="G413" s="74"/>
      <c r="H413" s="74"/>
      <c r="I413" s="74"/>
      <c r="J413" s="73"/>
      <c r="K413" s="74"/>
      <c r="L413" s="74"/>
      <c r="M413" s="74"/>
      <c r="N413" s="74"/>
      <c r="O413" s="74"/>
      <c r="P413" s="73"/>
    </row>
    <row r="414" spans="1:16" s="71" customFormat="1" ht="15.75">
      <c r="A414" s="50"/>
      <c r="B414" s="72"/>
      <c r="C414" s="50"/>
      <c r="D414" s="50"/>
      <c r="E414" s="73"/>
      <c r="F414" s="74"/>
      <c r="G414" s="74"/>
      <c r="H414" s="74"/>
      <c r="I414" s="74"/>
      <c r="J414" s="73"/>
      <c r="K414" s="74"/>
      <c r="L414" s="74"/>
      <c r="M414" s="74"/>
      <c r="N414" s="74"/>
      <c r="O414" s="74"/>
      <c r="P414" s="73"/>
    </row>
    <row r="415" spans="1:16" s="71" customFormat="1" ht="15.75">
      <c r="A415" s="50"/>
      <c r="B415" s="72"/>
      <c r="C415" s="50"/>
      <c r="D415" s="50"/>
      <c r="E415" s="73"/>
      <c r="F415" s="74"/>
      <c r="G415" s="74"/>
      <c r="H415" s="74"/>
      <c r="I415" s="74"/>
      <c r="J415" s="73"/>
      <c r="K415" s="74"/>
      <c r="L415" s="74"/>
      <c r="M415" s="74"/>
      <c r="N415" s="74"/>
      <c r="O415" s="74"/>
      <c r="P415" s="73"/>
    </row>
    <row r="416" spans="1:16" s="71" customFormat="1" ht="15.75">
      <c r="A416" s="50"/>
      <c r="B416" s="72"/>
      <c r="C416" s="50"/>
      <c r="D416" s="50"/>
      <c r="E416" s="73"/>
      <c r="F416" s="74"/>
      <c r="G416" s="74"/>
      <c r="H416" s="74"/>
      <c r="I416" s="74"/>
      <c r="J416" s="73"/>
      <c r="K416" s="74"/>
      <c r="L416" s="74"/>
      <c r="M416" s="74"/>
      <c r="N416" s="74"/>
      <c r="O416" s="74"/>
      <c r="P416" s="73"/>
    </row>
    <row r="417" spans="1:16" s="71" customFormat="1" ht="15.75">
      <c r="A417" s="50"/>
      <c r="B417" s="72"/>
      <c r="C417" s="50"/>
      <c r="D417" s="50"/>
      <c r="E417" s="73"/>
      <c r="F417" s="74"/>
      <c r="G417" s="74"/>
      <c r="H417" s="74"/>
      <c r="I417" s="74"/>
      <c r="J417" s="73"/>
      <c r="K417" s="74"/>
      <c r="L417" s="74"/>
      <c r="M417" s="74"/>
      <c r="N417" s="74"/>
      <c r="O417" s="74"/>
      <c r="P417" s="73"/>
    </row>
    <row r="418" spans="1:16" s="71" customFormat="1" ht="15.75">
      <c r="A418" s="50"/>
      <c r="B418" s="72"/>
      <c r="C418" s="50"/>
      <c r="D418" s="50"/>
      <c r="E418" s="73"/>
      <c r="F418" s="74"/>
      <c r="G418" s="74"/>
      <c r="H418" s="74"/>
      <c r="I418" s="74"/>
      <c r="J418" s="73"/>
      <c r="K418" s="74"/>
      <c r="L418" s="74"/>
      <c r="M418" s="74"/>
      <c r="N418" s="74"/>
      <c r="O418" s="74"/>
      <c r="P418" s="73"/>
    </row>
    <row r="419" spans="1:16" s="71" customFormat="1" ht="15.75">
      <c r="A419" s="50"/>
      <c r="B419" s="72"/>
      <c r="C419" s="50"/>
      <c r="D419" s="50"/>
      <c r="E419" s="73"/>
      <c r="F419" s="74"/>
      <c r="G419" s="74"/>
      <c r="H419" s="74"/>
      <c r="I419" s="74"/>
      <c r="J419" s="73"/>
      <c r="K419" s="74"/>
      <c r="L419" s="74"/>
      <c r="M419" s="74"/>
      <c r="N419" s="74"/>
      <c r="O419" s="74"/>
      <c r="P419" s="73"/>
    </row>
    <row r="420" spans="1:16" s="71" customFormat="1" ht="15.75">
      <c r="A420" s="50"/>
      <c r="B420" s="72"/>
      <c r="C420" s="50"/>
      <c r="D420" s="50"/>
      <c r="E420" s="73"/>
      <c r="F420" s="74"/>
      <c r="G420" s="74"/>
      <c r="H420" s="74"/>
      <c r="I420" s="74"/>
      <c r="J420" s="73"/>
      <c r="K420" s="74"/>
      <c r="L420" s="74"/>
      <c r="M420" s="74"/>
      <c r="N420" s="74"/>
      <c r="O420" s="74"/>
      <c r="P420" s="73"/>
    </row>
    <row r="421" spans="1:16" s="71" customFormat="1" ht="15.75">
      <c r="A421" s="50"/>
      <c r="B421" s="72"/>
      <c r="C421" s="50"/>
      <c r="D421" s="50"/>
      <c r="E421" s="73"/>
      <c r="F421" s="74"/>
      <c r="G421" s="74"/>
      <c r="H421" s="74"/>
      <c r="I421" s="74"/>
      <c r="J421" s="73"/>
      <c r="K421" s="74"/>
      <c r="L421" s="74"/>
      <c r="M421" s="74"/>
      <c r="N421" s="74"/>
      <c r="O421" s="74"/>
      <c r="P421" s="73"/>
    </row>
    <row r="422" spans="1:16" s="71" customFormat="1" ht="15.75">
      <c r="A422" s="50"/>
      <c r="B422" s="72"/>
      <c r="C422" s="50"/>
      <c r="D422" s="50"/>
      <c r="E422" s="73"/>
      <c r="F422" s="74"/>
      <c r="G422" s="74"/>
      <c r="H422" s="74"/>
      <c r="I422" s="74"/>
      <c r="J422" s="73"/>
      <c r="K422" s="74"/>
      <c r="L422" s="74"/>
      <c r="M422" s="74"/>
      <c r="N422" s="74"/>
      <c r="O422" s="74"/>
      <c r="P422" s="73"/>
    </row>
    <row r="423" spans="1:16" s="71" customFormat="1" ht="15.75">
      <c r="A423" s="50"/>
      <c r="B423" s="72"/>
      <c r="C423" s="50"/>
      <c r="D423" s="50"/>
      <c r="E423" s="73"/>
      <c r="F423" s="74"/>
      <c r="G423" s="74"/>
      <c r="H423" s="74"/>
      <c r="I423" s="74"/>
      <c r="J423" s="73"/>
      <c r="K423" s="74"/>
      <c r="L423" s="74"/>
      <c r="M423" s="74"/>
      <c r="N423" s="74"/>
      <c r="O423" s="74"/>
      <c r="P423" s="73"/>
    </row>
    <row r="424" spans="1:16" s="71" customFormat="1" ht="15.75">
      <c r="A424" s="50"/>
      <c r="B424" s="72"/>
      <c r="C424" s="50"/>
      <c r="D424" s="50"/>
      <c r="E424" s="73"/>
      <c r="F424" s="74"/>
      <c r="G424" s="74"/>
      <c r="H424" s="74"/>
      <c r="I424" s="74"/>
      <c r="J424" s="73"/>
      <c r="K424" s="74"/>
      <c r="L424" s="74"/>
      <c r="M424" s="74"/>
      <c r="N424" s="74"/>
      <c r="O424" s="74"/>
      <c r="P424" s="73"/>
    </row>
    <row r="425" spans="1:16" s="71" customFormat="1" ht="15.75">
      <c r="A425" s="50"/>
      <c r="B425" s="72"/>
      <c r="C425" s="50"/>
      <c r="D425" s="50"/>
      <c r="E425" s="73"/>
      <c r="F425" s="74"/>
      <c r="G425" s="74"/>
      <c r="H425" s="74"/>
      <c r="I425" s="74"/>
      <c r="J425" s="73"/>
      <c r="K425" s="74"/>
      <c r="L425" s="74"/>
      <c r="M425" s="74"/>
      <c r="N425" s="74"/>
      <c r="O425" s="74"/>
      <c r="P425" s="73"/>
    </row>
    <row r="426" spans="1:16" s="71" customFormat="1" ht="15.75">
      <c r="A426" s="50"/>
      <c r="B426" s="72"/>
      <c r="C426" s="50"/>
      <c r="D426" s="50"/>
      <c r="E426" s="73"/>
      <c r="F426" s="74"/>
      <c r="G426" s="74"/>
      <c r="H426" s="74"/>
      <c r="I426" s="74"/>
      <c r="J426" s="73"/>
      <c r="K426" s="74"/>
      <c r="L426" s="74"/>
      <c r="M426" s="74"/>
      <c r="N426" s="74"/>
      <c r="O426" s="74"/>
      <c r="P426" s="73"/>
    </row>
    <row r="427" spans="1:16" s="71" customFormat="1" ht="15.75">
      <c r="A427" s="50"/>
      <c r="B427" s="72"/>
      <c r="C427" s="50"/>
      <c r="D427" s="50"/>
      <c r="E427" s="73"/>
      <c r="F427" s="74"/>
      <c r="G427" s="74"/>
      <c r="H427" s="74"/>
      <c r="I427" s="74"/>
      <c r="J427" s="73"/>
      <c r="K427" s="74"/>
      <c r="L427" s="74"/>
      <c r="M427" s="74"/>
      <c r="N427" s="74"/>
      <c r="O427" s="74"/>
      <c r="P427" s="73"/>
    </row>
    <row r="428" spans="1:16" s="71" customFormat="1" ht="15.75">
      <c r="A428" s="50"/>
      <c r="B428" s="72"/>
      <c r="C428" s="50"/>
      <c r="D428" s="50"/>
      <c r="E428" s="73"/>
      <c r="F428" s="74"/>
      <c r="G428" s="74"/>
      <c r="H428" s="74"/>
      <c r="I428" s="74"/>
      <c r="J428" s="73"/>
      <c r="K428" s="74"/>
      <c r="L428" s="74"/>
      <c r="M428" s="74"/>
      <c r="N428" s="74"/>
      <c r="O428" s="74"/>
      <c r="P428" s="73"/>
    </row>
    <row r="429" spans="1:16" s="71" customFormat="1" ht="15.75">
      <c r="A429" s="50"/>
      <c r="B429" s="72"/>
      <c r="C429" s="50"/>
      <c r="D429" s="50"/>
      <c r="E429" s="73"/>
      <c r="F429" s="74"/>
      <c r="G429" s="74"/>
      <c r="H429" s="74"/>
      <c r="I429" s="74"/>
      <c r="J429" s="73"/>
      <c r="K429" s="74"/>
      <c r="L429" s="74"/>
      <c r="M429" s="74"/>
      <c r="N429" s="74"/>
      <c r="O429" s="74"/>
      <c r="P429" s="73"/>
    </row>
    <row r="430" spans="1:16" s="71" customFormat="1" ht="15.75">
      <c r="A430" s="50"/>
      <c r="B430" s="72"/>
      <c r="C430" s="50"/>
      <c r="D430" s="50"/>
      <c r="E430" s="73"/>
      <c r="F430" s="74"/>
      <c r="G430" s="74"/>
      <c r="H430" s="74"/>
      <c r="I430" s="74"/>
      <c r="J430" s="73"/>
      <c r="K430" s="74"/>
      <c r="L430" s="74"/>
      <c r="M430" s="74"/>
      <c r="N430" s="74"/>
      <c r="O430" s="74"/>
      <c r="P430" s="73"/>
    </row>
    <row r="431" spans="1:16" s="71" customFormat="1" ht="15.75">
      <c r="A431" s="50"/>
      <c r="B431" s="72"/>
      <c r="C431" s="50"/>
      <c r="D431" s="50"/>
      <c r="E431" s="73"/>
      <c r="F431" s="74"/>
      <c r="G431" s="74"/>
      <c r="H431" s="74"/>
      <c r="I431" s="74"/>
      <c r="J431" s="73"/>
      <c r="K431" s="74"/>
      <c r="L431" s="74"/>
      <c r="M431" s="74"/>
      <c r="N431" s="74"/>
      <c r="O431" s="74"/>
      <c r="P431" s="73"/>
    </row>
    <row r="432" spans="1:16" s="71" customFormat="1" ht="15.75">
      <c r="A432" s="50"/>
      <c r="B432" s="72"/>
      <c r="C432" s="50"/>
      <c r="D432" s="50"/>
      <c r="E432" s="73"/>
      <c r="F432" s="74"/>
      <c r="G432" s="74"/>
      <c r="H432" s="74"/>
      <c r="I432" s="74"/>
      <c r="J432" s="73"/>
      <c r="K432" s="74"/>
      <c r="L432" s="74"/>
      <c r="M432" s="74"/>
      <c r="N432" s="74"/>
      <c r="O432" s="74"/>
      <c r="P432" s="73"/>
    </row>
    <row r="433" spans="1:16" s="71" customFormat="1" ht="15.75">
      <c r="A433" s="50"/>
      <c r="B433" s="72"/>
      <c r="C433" s="50"/>
      <c r="D433" s="50"/>
      <c r="E433" s="73"/>
      <c r="F433" s="74"/>
      <c r="G433" s="74"/>
      <c r="H433" s="74"/>
      <c r="I433" s="74"/>
      <c r="J433" s="73"/>
      <c r="K433" s="74"/>
      <c r="L433" s="74"/>
      <c r="M433" s="74"/>
      <c r="N433" s="74"/>
      <c r="O433" s="74"/>
      <c r="P433" s="73"/>
    </row>
    <row r="434" spans="1:16" s="71" customFormat="1" ht="15.75">
      <c r="A434" s="50"/>
      <c r="B434" s="72"/>
      <c r="C434" s="50"/>
      <c r="D434" s="50"/>
      <c r="E434" s="73"/>
      <c r="F434" s="74"/>
      <c r="G434" s="74"/>
      <c r="H434" s="74"/>
      <c r="I434" s="74"/>
      <c r="J434" s="73"/>
      <c r="K434" s="74"/>
      <c r="L434" s="74"/>
      <c r="M434" s="74"/>
      <c r="N434" s="74"/>
      <c r="O434" s="74"/>
      <c r="P434" s="73"/>
    </row>
    <row r="435" spans="1:16" s="71" customFormat="1" ht="15.75">
      <c r="A435" s="50"/>
      <c r="B435" s="72"/>
      <c r="C435" s="50"/>
      <c r="D435" s="50"/>
      <c r="E435" s="73"/>
      <c r="F435" s="74"/>
      <c r="G435" s="74"/>
      <c r="H435" s="74"/>
      <c r="I435" s="74"/>
      <c r="J435" s="73"/>
      <c r="K435" s="74"/>
      <c r="L435" s="74"/>
      <c r="M435" s="74"/>
      <c r="N435" s="74"/>
      <c r="O435" s="74"/>
      <c r="P435" s="73"/>
    </row>
    <row r="436" spans="1:16" s="71" customFormat="1" ht="15.75">
      <c r="A436" s="50"/>
      <c r="B436" s="72"/>
      <c r="C436" s="50"/>
      <c r="D436" s="50"/>
      <c r="E436" s="73"/>
      <c r="F436" s="74"/>
      <c r="G436" s="74"/>
      <c r="H436" s="74"/>
      <c r="I436" s="74"/>
      <c r="J436" s="73"/>
      <c r="K436" s="74"/>
      <c r="L436" s="74"/>
      <c r="M436" s="74"/>
      <c r="N436" s="74"/>
      <c r="O436" s="74"/>
      <c r="P436" s="73"/>
    </row>
    <row r="437" spans="1:16" s="71" customFormat="1" ht="15.75">
      <c r="A437" s="50"/>
      <c r="B437" s="72"/>
      <c r="C437" s="50"/>
      <c r="D437" s="50"/>
      <c r="E437" s="73"/>
      <c r="F437" s="74"/>
      <c r="G437" s="74"/>
      <c r="H437" s="74"/>
      <c r="I437" s="74"/>
      <c r="J437" s="73"/>
      <c r="K437" s="74"/>
      <c r="L437" s="74"/>
      <c r="M437" s="74"/>
      <c r="N437" s="74"/>
      <c r="O437" s="74"/>
      <c r="P437" s="73"/>
    </row>
    <row r="438" spans="1:16" s="71" customFormat="1" ht="15.75">
      <c r="A438" s="50"/>
      <c r="B438" s="72"/>
      <c r="C438" s="50"/>
      <c r="D438" s="50"/>
      <c r="E438" s="73"/>
      <c r="F438" s="74"/>
      <c r="G438" s="74"/>
      <c r="H438" s="74"/>
      <c r="I438" s="74"/>
      <c r="J438" s="73"/>
      <c r="K438" s="74"/>
      <c r="L438" s="74"/>
      <c r="M438" s="74"/>
      <c r="N438" s="74"/>
      <c r="O438" s="74"/>
      <c r="P438" s="73"/>
    </row>
    <row r="439" spans="1:16" s="71" customFormat="1" ht="15.75">
      <c r="A439" s="50"/>
      <c r="B439" s="72"/>
      <c r="C439" s="50"/>
      <c r="D439" s="50"/>
      <c r="E439" s="73"/>
      <c r="F439" s="74"/>
      <c r="G439" s="74"/>
      <c r="H439" s="74"/>
      <c r="I439" s="74"/>
      <c r="J439" s="73"/>
      <c r="K439" s="74"/>
      <c r="L439" s="74"/>
      <c r="M439" s="74"/>
      <c r="N439" s="74"/>
      <c r="O439" s="74"/>
      <c r="P439" s="73"/>
    </row>
    <row r="440" spans="1:16" s="71" customFormat="1" ht="15.75">
      <c r="A440" s="50"/>
      <c r="B440" s="72"/>
      <c r="C440" s="50"/>
      <c r="D440" s="50"/>
      <c r="E440" s="73"/>
      <c r="F440" s="74"/>
      <c r="G440" s="74"/>
      <c r="H440" s="74"/>
      <c r="I440" s="74"/>
      <c r="J440" s="73"/>
      <c r="K440" s="74"/>
      <c r="L440" s="74"/>
      <c r="M440" s="74"/>
      <c r="N440" s="74"/>
      <c r="O440" s="74"/>
      <c r="P440" s="73"/>
    </row>
    <row r="441" spans="1:16" s="71" customFormat="1" ht="15.75">
      <c r="A441" s="50"/>
      <c r="B441" s="72"/>
      <c r="C441" s="50"/>
      <c r="D441" s="50"/>
      <c r="E441" s="73"/>
      <c r="F441" s="74"/>
      <c r="G441" s="74"/>
      <c r="H441" s="74"/>
      <c r="I441" s="74"/>
      <c r="J441" s="73"/>
      <c r="K441" s="74"/>
      <c r="L441" s="74"/>
      <c r="M441" s="74"/>
      <c r="N441" s="74"/>
      <c r="O441" s="74"/>
      <c r="P441" s="73"/>
    </row>
    <row r="442" spans="1:16" s="71" customFormat="1" ht="15.75">
      <c r="A442" s="50"/>
      <c r="B442" s="72"/>
      <c r="C442" s="50"/>
      <c r="D442" s="50"/>
      <c r="E442" s="73"/>
      <c r="F442" s="74"/>
      <c r="G442" s="74"/>
      <c r="H442" s="74"/>
      <c r="I442" s="74"/>
      <c r="J442" s="73"/>
      <c r="K442" s="74"/>
      <c r="L442" s="74"/>
      <c r="M442" s="74"/>
      <c r="N442" s="74"/>
      <c r="O442" s="74"/>
      <c r="P442" s="73"/>
    </row>
    <row r="443" spans="1:16" s="71" customFormat="1" ht="15.75">
      <c r="A443" s="50"/>
      <c r="B443" s="72"/>
      <c r="C443" s="50"/>
      <c r="D443" s="50"/>
      <c r="E443" s="73"/>
      <c r="F443" s="74"/>
      <c r="G443" s="74"/>
      <c r="H443" s="74"/>
      <c r="I443" s="74"/>
      <c r="J443" s="73"/>
      <c r="K443" s="74"/>
      <c r="L443" s="74"/>
      <c r="M443" s="74"/>
      <c r="N443" s="74"/>
      <c r="O443" s="74"/>
      <c r="P443" s="73"/>
    </row>
    <row r="444" spans="1:16" s="71" customFormat="1" ht="15.75">
      <c r="A444" s="50"/>
      <c r="B444" s="72"/>
      <c r="C444" s="50"/>
      <c r="D444" s="50"/>
      <c r="E444" s="73"/>
      <c r="F444" s="74"/>
      <c r="G444" s="74"/>
      <c r="H444" s="74"/>
      <c r="I444" s="74"/>
      <c r="J444" s="73"/>
      <c r="K444" s="74"/>
      <c r="L444" s="74"/>
      <c r="M444" s="74"/>
      <c r="N444" s="74"/>
      <c r="O444" s="74"/>
      <c r="P444" s="73"/>
    </row>
    <row r="445" spans="1:16" s="71" customFormat="1" ht="15.75">
      <c r="A445" s="50"/>
      <c r="B445" s="72"/>
      <c r="C445" s="50"/>
      <c r="D445" s="50"/>
      <c r="E445" s="73"/>
      <c r="F445" s="74"/>
      <c r="G445" s="74"/>
      <c r="H445" s="74"/>
      <c r="I445" s="74"/>
      <c r="J445" s="73"/>
      <c r="K445" s="74"/>
      <c r="L445" s="74"/>
      <c r="M445" s="74"/>
      <c r="N445" s="74"/>
      <c r="O445" s="74"/>
      <c r="P445" s="73"/>
    </row>
    <row r="446" spans="1:16" s="71" customFormat="1" ht="15.75">
      <c r="A446" s="50"/>
      <c r="B446" s="72"/>
      <c r="C446" s="50"/>
      <c r="D446" s="50"/>
      <c r="E446" s="73"/>
      <c r="F446" s="74"/>
      <c r="G446" s="74"/>
      <c r="H446" s="74"/>
      <c r="I446" s="74"/>
      <c r="J446" s="73"/>
      <c r="K446" s="74"/>
      <c r="L446" s="74"/>
      <c r="M446" s="74"/>
      <c r="N446" s="74"/>
      <c r="O446" s="74"/>
      <c r="P446" s="73"/>
    </row>
    <row r="447" spans="1:16" s="71" customFormat="1" ht="15.75">
      <c r="A447" s="50"/>
      <c r="B447" s="72"/>
      <c r="C447" s="50"/>
      <c r="D447" s="50"/>
      <c r="E447" s="73"/>
      <c r="F447" s="74"/>
      <c r="G447" s="74"/>
      <c r="H447" s="74"/>
      <c r="I447" s="74"/>
      <c r="J447" s="73"/>
      <c r="K447" s="74"/>
      <c r="L447" s="74"/>
      <c r="M447" s="74"/>
      <c r="N447" s="74"/>
      <c r="O447" s="74"/>
      <c r="P447" s="73"/>
    </row>
    <row r="448" spans="1:16" s="71" customFormat="1" ht="15.75">
      <c r="A448" s="50"/>
      <c r="B448" s="72"/>
      <c r="C448" s="50"/>
      <c r="D448" s="50"/>
      <c r="E448" s="73"/>
      <c r="F448" s="74"/>
      <c r="G448" s="74"/>
      <c r="H448" s="74"/>
      <c r="I448" s="74"/>
      <c r="J448" s="73"/>
      <c r="K448" s="74"/>
      <c r="L448" s="74"/>
      <c r="M448" s="74"/>
      <c r="N448" s="74"/>
      <c r="O448" s="74"/>
      <c r="P448" s="73"/>
    </row>
    <row r="449" spans="1:16" s="71" customFormat="1" ht="15.75">
      <c r="A449" s="50"/>
      <c r="B449" s="72"/>
      <c r="C449" s="50"/>
      <c r="D449" s="50"/>
      <c r="E449" s="73"/>
      <c r="F449" s="74"/>
      <c r="G449" s="74"/>
      <c r="H449" s="74"/>
      <c r="I449" s="74"/>
      <c r="J449" s="73"/>
      <c r="K449" s="74"/>
      <c r="L449" s="74"/>
      <c r="M449" s="74"/>
      <c r="N449" s="74"/>
      <c r="O449" s="74"/>
      <c r="P449" s="73"/>
    </row>
    <row r="450" spans="1:16" s="71" customFormat="1" ht="15.75">
      <c r="A450" s="50"/>
      <c r="B450" s="72"/>
      <c r="C450" s="50"/>
      <c r="D450" s="50"/>
      <c r="E450" s="73"/>
      <c r="F450" s="74"/>
      <c r="G450" s="74"/>
      <c r="H450" s="74"/>
      <c r="I450" s="74"/>
      <c r="J450" s="73"/>
      <c r="K450" s="74"/>
      <c r="L450" s="74"/>
      <c r="M450" s="74"/>
      <c r="N450" s="74"/>
      <c r="O450" s="74"/>
      <c r="P450" s="73"/>
    </row>
    <row r="451" spans="1:16" s="71" customFormat="1" ht="15.75">
      <c r="A451" s="50"/>
      <c r="B451" s="72"/>
      <c r="C451" s="50"/>
      <c r="D451" s="50"/>
      <c r="E451" s="73"/>
      <c r="F451" s="74"/>
      <c r="G451" s="74"/>
      <c r="H451" s="74"/>
      <c r="I451" s="74"/>
      <c r="J451" s="73"/>
      <c r="K451" s="74"/>
      <c r="L451" s="74"/>
      <c r="M451" s="74"/>
      <c r="N451" s="74"/>
      <c r="O451" s="74"/>
      <c r="P451" s="73"/>
    </row>
    <row r="452" spans="1:16" s="71" customFormat="1" ht="15.75">
      <c r="A452" s="50"/>
      <c r="B452" s="72"/>
      <c r="C452" s="50"/>
      <c r="D452" s="50"/>
      <c r="E452" s="73"/>
      <c r="F452" s="74"/>
      <c r="G452" s="74"/>
      <c r="H452" s="74"/>
      <c r="I452" s="74"/>
      <c r="J452" s="73"/>
      <c r="K452" s="74"/>
      <c r="L452" s="74"/>
      <c r="M452" s="74"/>
      <c r="N452" s="74"/>
      <c r="O452" s="74"/>
      <c r="P452" s="73"/>
    </row>
    <row r="453" spans="1:16" s="71" customFormat="1" ht="15.75">
      <c r="A453" s="50"/>
      <c r="B453" s="72"/>
      <c r="C453" s="50"/>
      <c r="D453" s="50"/>
      <c r="E453" s="73"/>
      <c r="F453" s="74"/>
      <c r="G453" s="74"/>
      <c r="H453" s="74"/>
      <c r="I453" s="74"/>
      <c r="J453" s="73"/>
      <c r="K453" s="74"/>
      <c r="L453" s="74"/>
      <c r="M453" s="74"/>
      <c r="N453" s="74"/>
      <c r="O453" s="74"/>
      <c r="P453" s="73"/>
    </row>
    <row r="454" spans="1:16" s="71" customFormat="1" ht="15.75">
      <c r="A454" s="50"/>
      <c r="B454" s="72"/>
      <c r="C454" s="50"/>
      <c r="D454" s="50"/>
      <c r="E454" s="73"/>
      <c r="F454" s="74"/>
      <c r="G454" s="74"/>
      <c r="H454" s="74"/>
      <c r="I454" s="74"/>
      <c r="J454" s="73"/>
      <c r="K454" s="74"/>
      <c r="L454" s="74"/>
      <c r="M454" s="74"/>
      <c r="N454" s="74"/>
      <c r="O454" s="74"/>
      <c r="P454" s="73"/>
    </row>
    <row r="455" spans="1:16" s="71" customFormat="1" ht="15.75">
      <c r="A455" s="50"/>
      <c r="B455" s="72"/>
      <c r="C455" s="50"/>
      <c r="D455" s="50"/>
      <c r="E455" s="73"/>
      <c r="F455" s="74"/>
      <c r="G455" s="74"/>
      <c r="H455" s="74"/>
      <c r="I455" s="74"/>
      <c r="J455" s="73"/>
      <c r="K455" s="74"/>
      <c r="L455" s="74"/>
      <c r="M455" s="74"/>
      <c r="N455" s="74"/>
      <c r="O455" s="74"/>
      <c r="P455" s="73"/>
    </row>
    <row r="456" spans="1:16" s="71" customFormat="1" ht="15.75">
      <c r="A456" s="50"/>
      <c r="B456" s="72"/>
      <c r="C456" s="50"/>
      <c r="D456" s="50"/>
      <c r="E456" s="73"/>
      <c r="F456" s="74"/>
      <c r="G456" s="74"/>
      <c r="H456" s="74"/>
      <c r="I456" s="74"/>
      <c r="J456" s="73"/>
      <c r="K456" s="74"/>
      <c r="L456" s="74"/>
      <c r="M456" s="74"/>
      <c r="N456" s="74"/>
      <c r="O456" s="74"/>
      <c r="P456" s="73"/>
    </row>
    <row r="457" spans="1:16" s="71" customFormat="1" ht="15.75">
      <c r="A457" s="50"/>
      <c r="B457" s="72"/>
      <c r="C457" s="50"/>
      <c r="D457" s="50"/>
      <c r="E457" s="73"/>
      <c r="F457" s="74"/>
      <c r="G457" s="74"/>
      <c r="H457" s="74"/>
      <c r="I457" s="74"/>
      <c r="J457" s="73"/>
      <c r="K457" s="74"/>
      <c r="L457" s="74"/>
      <c r="M457" s="74"/>
      <c r="N457" s="74"/>
      <c r="O457" s="74"/>
      <c r="P457" s="73"/>
    </row>
    <row r="458" spans="1:16" s="71" customFormat="1" ht="15.75">
      <c r="A458" s="50"/>
      <c r="B458" s="72"/>
      <c r="C458" s="50"/>
      <c r="D458" s="50"/>
      <c r="E458" s="73"/>
      <c r="F458" s="74"/>
      <c r="G458" s="74"/>
      <c r="H458" s="74"/>
      <c r="I458" s="74"/>
      <c r="J458" s="73"/>
      <c r="K458" s="74"/>
      <c r="L458" s="74"/>
      <c r="M458" s="74"/>
      <c r="N458" s="74"/>
      <c r="O458" s="74"/>
      <c r="P458" s="73"/>
    </row>
    <row r="459" spans="1:16" s="71" customFormat="1" ht="15.75">
      <c r="A459" s="50"/>
      <c r="B459" s="72"/>
      <c r="C459" s="50"/>
      <c r="D459" s="50"/>
      <c r="E459" s="73"/>
      <c r="F459" s="74"/>
      <c r="G459" s="74"/>
      <c r="H459" s="74"/>
      <c r="I459" s="74"/>
      <c r="J459" s="73"/>
      <c r="K459" s="74"/>
      <c r="L459" s="74"/>
      <c r="M459" s="74"/>
      <c r="N459" s="74"/>
      <c r="O459" s="74"/>
      <c r="P459" s="73"/>
    </row>
    <row r="460" spans="1:16" s="71" customFormat="1" ht="15.75">
      <c r="A460" s="50"/>
      <c r="B460" s="72"/>
      <c r="C460" s="50"/>
      <c r="D460" s="50"/>
      <c r="E460" s="73"/>
      <c r="F460" s="74"/>
      <c r="G460" s="74"/>
      <c r="H460" s="74"/>
      <c r="I460" s="74"/>
      <c r="J460" s="73"/>
      <c r="K460" s="74"/>
      <c r="L460" s="74"/>
      <c r="M460" s="74"/>
      <c r="N460" s="74"/>
      <c r="O460" s="74"/>
      <c r="P460" s="73"/>
    </row>
    <row r="461" spans="1:16" s="71" customFormat="1" ht="15.75">
      <c r="A461" s="50"/>
      <c r="B461" s="72"/>
      <c r="C461" s="50"/>
      <c r="D461" s="50"/>
      <c r="E461" s="73"/>
      <c r="F461" s="74"/>
      <c r="G461" s="74"/>
      <c r="H461" s="74"/>
      <c r="I461" s="74"/>
      <c r="J461" s="73"/>
      <c r="K461" s="74"/>
      <c r="L461" s="74"/>
      <c r="M461" s="74"/>
      <c r="N461" s="74"/>
      <c r="O461" s="74"/>
      <c r="P461" s="73"/>
    </row>
    <row r="462" spans="1:16" s="71" customFormat="1" ht="15.75">
      <c r="A462" s="50"/>
      <c r="B462" s="72"/>
      <c r="C462" s="50"/>
      <c r="D462" s="50"/>
      <c r="E462" s="73"/>
      <c r="F462" s="74"/>
      <c r="G462" s="74"/>
      <c r="H462" s="74"/>
      <c r="I462" s="74"/>
      <c r="J462" s="73"/>
      <c r="K462" s="74"/>
      <c r="L462" s="74"/>
      <c r="M462" s="74"/>
      <c r="N462" s="74"/>
      <c r="O462" s="74"/>
      <c r="P462" s="73"/>
    </row>
    <row r="463" spans="1:16" s="71" customFormat="1" ht="15.75">
      <c r="A463" s="50"/>
      <c r="B463" s="72"/>
      <c r="C463" s="50"/>
      <c r="D463" s="50"/>
      <c r="E463" s="73"/>
      <c r="F463" s="74"/>
      <c r="G463" s="74"/>
      <c r="H463" s="74"/>
      <c r="I463" s="74"/>
      <c r="J463" s="73"/>
      <c r="K463" s="74"/>
      <c r="L463" s="74"/>
      <c r="M463" s="74"/>
      <c r="N463" s="74"/>
      <c r="O463" s="74"/>
      <c r="P463" s="73"/>
    </row>
    <row r="464" spans="1:16" s="71" customFormat="1" ht="15.75">
      <c r="A464" s="50"/>
      <c r="B464" s="72"/>
      <c r="C464" s="50"/>
      <c r="D464" s="50"/>
      <c r="E464" s="73"/>
      <c r="F464" s="74"/>
      <c r="G464" s="74"/>
      <c r="H464" s="74"/>
      <c r="I464" s="74"/>
      <c r="J464" s="73"/>
      <c r="K464" s="74"/>
      <c r="L464" s="74"/>
      <c r="M464" s="74"/>
      <c r="N464" s="74"/>
      <c r="O464" s="74"/>
      <c r="P464" s="73"/>
    </row>
    <row r="465" spans="1:16" s="71" customFormat="1" ht="15.75">
      <c r="A465" s="50"/>
      <c r="B465" s="72"/>
      <c r="C465" s="50"/>
      <c r="D465" s="50"/>
      <c r="E465" s="73"/>
      <c r="F465" s="74"/>
      <c r="G465" s="74"/>
      <c r="H465" s="74"/>
      <c r="I465" s="74"/>
      <c r="J465" s="73"/>
      <c r="K465" s="74"/>
      <c r="L465" s="74"/>
      <c r="M465" s="74"/>
      <c r="N465" s="74"/>
      <c r="O465" s="74"/>
      <c r="P465" s="73"/>
    </row>
    <row r="466" spans="1:16" s="71" customFormat="1" ht="15.75">
      <c r="A466" s="50"/>
      <c r="B466" s="72"/>
      <c r="C466" s="50"/>
      <c r="D466" s="50"/>
      <c r="E466" s="73"/>
      <c r="F466" s="74"/>
      <c r="G466" s="74"/>
      <c r="H466" s="74"/>
      <c r="I466" s="74"/>
      <c r="J466" s="73"/>
      <c r="K466" s="74"/>
      <c r="L466" s="74"/>
      <c r="M466" s="74"/>
      <c r="N466" s="74"/>
      <c r="O466" s="74"/>
      <c r="P466" s="73"/>
    </row>
    <row r="467" spans="1:16" s="71" customFormat="1" ht="15.75">
      <c r="A467" s="50"/>
      <c r="B467" s="72"/>
      <c r="C467" s="50"/>
      <c r="D467" s="50"/>
      <c r="E467" s="73"/>
      <c r="F467" s="74"/>
      <c r="G467" s="74"/>
      <c r="H467" s="74"/>
      <c r="I467" s="74"/>
      <c r="J467" s="73"/>
      <c r="K467" s="74"/>
      <c r="L467" s="74"/>
      <c r="M467" s="74"/>
      <c r="N467" s="74"/>
      <c r="O467" s="74"/>
      <c r="P467" s="73"/>
    </row>
    <row r="468" spans="1:16" s="71" customFormat="1" ht="15.75">
      <c r="A468" s="50"/>
      <c r="B468" s="72"/>
      <c r="C468" s="50"/>
      <c r="D468" s="50"/>
      <c r="E468" s="73"/>
      <c r="F468" s="74"/>
      <c r="G468" s="74"/>
      <c r="H468" s="74"/>
      <c r="I468" s="74"/>
      <c r="J468" s="73"/>
      <c r="K468" s="74"/>
      <c r="L468" s="74"/>
      <c r="M468" s="74"/>
      <c r="N468" s="74"/>
      <c r="O468" s="74"/>
      <c r="P468" s="73"/>
    </row>
    <row r="469" spans="1:16" s="71" customFormat="1" ht="15.75">
      <c r="A469" s="50"/>
      <c r="B469" s="72"/>
      <c r="C469" s="50"/>
      <c r="D469" s="50"/>
      <c r="E469" s="73"/>
      <c r="F469" s="74"/>
      <c r="G469" s="74"/>
      <c r="H469" s="74"/>
      <c r="I469" s="74"/>
      <c r="J469" s="73"/>
      <c r="K469" s="74"/>
      <c r="L469" s="74"/>
      <c r="M469" s="74"/>
      <c r="N469" s="74"/>
      <c r="O469" s="74"/>
      <c r="P469" s="73"/>
    </row>
    <row r="470" spans="1:16" s="71" customFormat="1" ht="15.75">
      <c r="A470" s="50"/>
      <c r="B470" s="72"/>
      <c r="C470" s="50"/>
      <c r="D470" s="50"/>
      <c r="E470" s="73"/>
      <c r="F470" s="74"/>
      <c r="G470" s="74"/>
      <c r="H470" s="74"/>
      <c r="I470" s="74"/>
      <c r="J470" s="73"/>
      <c r="K470" s="74"/>
      <c r="L470" s="74"/>
      <c r="M470" s="74"/>
      <c r="N470" s="74"/>
      <c r="O470" s="74"/>
      <c r="P470" s="73"/>
    </row>
    <row r="471" spans="1:16" s="71" customFormat="1" ht="15.75">
      <c r="A471" s="50"/>
      <c r="B471" s="72"/>
      <c r="C471" s="50"/>
      <c r="D471" s="50"/>
      <c r="E471" s="73"/>
      <c r="F471" s="74"/>
      <c r="G471" s="74"/>
      <c r="H471" s="74"/>
      <c r="I471" s="74"/>
      <c r="J471" s="73"/>
      <c r="K471" s="74"/>
      <c r="L471" s="74"/>
      <c r="M471" s="74"/>
      <c r="N471" s="74"/>
      <c r="O471" s="74"/>
      <c r="P471" s="73"/>
    </row>
    <row r="472" spans="1:16" s="71" customFormat="1" ht="15.75">
      <c r="A472" s="50"/>
      <c r="B472" s="72"/>
      <c r="C472" s="50"/>
      <c r="D472" s="50"/>
      <c r="E472" s="73"/>
      <c r="F472" s="74"/>
      <c r="G472" s="74"/>
      <c r="H472" s="74"/>
      <c r="I472" s="74"/>
      <c r="J472" s="73"/>
      <c r="K472" s="74"/>
      <c r="L472" s="74"/>
      <c r="M472" s="74"/>
      <c r="N472" s="74"/>
      <c r="O472" s="74"/>
      <c r="P472" s="73"/>
    </row>
    <row r="473" spans="1:16" s="71" customFormat="1" ht="15.75">
      <c r="A473" s="50"/>
      <c r="B473" s="72"/>
      <c r="C473" s="50"/>
      <c r="D473" s="50"/>
      <c r="E473" s="73"/>
      <c r="F473" s="74"/>
      <c r="G473" s="74"/>
      <c r="H473" s="74"/>
      <c r="I473" s="74"/>
      <c r="J473" s="73"/>
      <c r="K473" s="74"/>
      <c r="L473" s="74"/>
      <c r="M473" s="74"/>
      <c r="N473" s="74"/>
      <c r="O473" s="74"/>
      <c r="P473" s="73"/>
    </row>
    <row r="474" spans="1:16" s="71" customFormat="1" ht="15.75">
      <c r="A474" s="50"/>
      <c r="B474" s="72"/>
      <c r="C474" s="50"/>
      <c r="D474" s="50"/>
      <c r="E474" s="73"/>
      <c r="F474" s="74"/>
      <c r="G474" s="74"/>
      <c r="H474" s="74"/>
      <c r="I474" s="74"/>
      <c r="J474" s="73"/>
      <c r="K474" s="74"/>
      <c r="L474" s="74"/>
      <c r="M474" s="74"/>
      <c r="N474" s="74"/>
      <c r="O474" s="74"/>
      <c r="P474" s="73"/>
    </row>
    <row r="475" spans="1:16" s="71" customFormat="1" ht="15.75">
      <c r="A475" s="50"/>
      <c r="B475" s="72"/>
      <c r="C475" s="50"/>
      <c r="D475" s="50"/>
      <c r="E475" s="73"/>
      <c r="F475" s="74"/>
      <c r="G475" s="74"/>
      <c r="H475" s="74"/>
      <c r="I475" s="74"/>
      <c r="J475" s="73"/>
      <c r="K475" s="74"/>
      <c r="L475" s="74"/>
      <c r="M475" s="74"/>
      <c r="N475" s="74"/>
      <c r="O475" s="74"/>
      <c r="P475" s="73"/>
    </row>
    <row r="476" spans="1:16" s="71" customFormat="1" ht="15.75">
      <c r="A476" s="50"/>
      <c r="B476" s="72"/>
      <c r="C476" s="50"/>
      <c r="D476" s="50"/>
      <c r="E476" s="73"/>
      <c r="F476" s="74"/>
      <c r="G476" s="74"/>
      <c r="H476" s="74"/>
      <c r="I476" s="74"/>
      <c r="J476" s="73"/>
      <c r="K476" s="74"/>
      <c r="L476" s="74"/>
      <c r="M476" s="74"/>
      <c r="N476" s="74"/>
      <c r="O476" s="74"/>
      <c r="P476" s="73"/>
    </row>
    <row r="477" spans="1:16" s="71" customFormat="1" ht="15.75">
      <c r="A477" s="50"/>
      <c r="B477" s="72"/>
      <c r="C477" s="50"/>
      <c r="D477" s="50"/>
      <c r="E477" s="73"/>
      <c r="F477" s="74"/>
      <c r="G477" s="74"/>
      <c r="H477" s="74"/>
      <c r="I477" s="74"/>
      <c r="J477" s="73"/>
      <c r="K477" s="74"/>
      <c r="L477" s="74"/>
      <c r="M477" s="74"/>
      <c r="N477" s="74"/>
      <c r="O477" s="74"/>
      <c r="P477" s="73"/>
    </row>
    <row r="478" spans="1:16" s="71" customFormat="1" ht="15.75">
      <c r="A478" s="50"/>
      <c r="B478" s="72"/>
      <c r="C478" s="50"/>
      <c r="D478" s="50"/>
      <c r="E478" s="73"/>
      <c r="F478" s="74"/>
      <c r="G478" s="74"/>
      <c r="H478" s="74"/>
      <c r="I478" s="74"/>
      <c r="J478" s="73"/>
      <c r="K478" s="74"/>
      <c r="L478" s="74"/>
      <c r="M478" s="74"/>
      <c r="N478" s="74"/>
      <c r="O478" s="74"/>
      <c r="P478" s="73"/>
    </row>
    <row r="479" spans="1:16" s="71" customFormat="1" ht="15.75">
      <c r="A479" s="50"/>
      <c r="B479" s="72"/>
      <c r="C479" s="50"/>
      <c r="D479" s="50"/>
      <c r="E479" s="73"/>
      <c r="F479" s="74"/>
      <c r="G479" s="74"/>
      <c r="H479" s="74"/>
      <c r="I479" s="74"/>
      <c r="J479" s="73"/>
      <c r="K479" s="74"/>
      <c r="L479" s="74"/>
      <c r="M479" s="74"/>
      <c r="N479" s="74"/>
      <c r="O479" s="74"/>
      <c r="P479" s="73"/>
    </row>
    <row r="480" spans="1:16" s="71" customFormat="1" ht="15.75">
      <c r="A480" s="50"/>
      <c r="B480" s="72"/>
      <c r="C480" s="50"/>
      <c r="D480" s="50"/>
      <c r="E480" s="73"/>
      <c r="F480" s="74"/>
      <c r="G480" s="74"/>
      <c r="H480" s="74"/>
      <c r="I480" s="74"/>
      <c r="J480" s="73"/>
      <c r="K480" s="74"/>
      <c r="L480" s="74"/>
      <c r="M480" s="74"/>
      <c r="N480" s="74"/>
      <c r="O480" s="74"/>
      <c r="P480" s="73"/>
    </row>
    <row r="481" spans="1:16" s="71" customFormat="1" ht="15.75">
      <c r="A481" s="50"/>
      <c r="B481" s="72"/>
      <c r="C481" s="50"/>
      <c r="D481" s="50"/>
      <c r="E481" s="73"/>
      <c r="F481" s="74"/>
      <c r="G481" s="74"/>
      <c r="H481" s="74"/>
      <c r="I481" s="74"/>
      <c r="J481" s="73"/>
      <c r="K481" s="74"/>
      <c r="L481" s="74"/>
      <c r="M481" s="74"/>
      <c r="N481" s="74"/>
      <c r="O481" s="74"/>
      <c r="P481" s="73"/>
    </row>
    <row r="482" spans="1:16" s="71" customFormat="1" ht="15.75">
      <c r="A482" s="50"/>
      <c r="B482" s="72"/>
      <c r="C482" s="50"/>
      <c r="D482" s="50"/>
      <c r="E482" s="73"/>
      <c r="F482" s="74"/>
      <c r="G482" s="74"/>
      <c r="H482" s="74"/>
      <c r="I482" s="74"/>
      <c r="J482" s="73"/>
      <c r="K482" s="74"/>
      <c r="L482" s="74"/>
      <c r="M482" s="74"/>
      <c r="N482" s="74"/>
      <c r="O482" s="74"/>
      <c r="P482" s="73"/>
    </row>
    <row r="483" spans="1:16" s="71" customFormat="1" ht="15.75">
      <c r="A483" s="50"/>
      <c r="B483" s="72"/>
      <c r="C483" s="50"/>
      <c r="D483" s="50"/>
      <c r="E483" s="73"/>
      <c r="F483" s="74"/>
      <c r="G483" s="74"/>
      <c r="H483" s="74"/>
      <c r="I483" s="74"/>
      <c r="J483" s="73"/>
      <c r="K483" s="74"/>
      <c r="L483" s="74"/>
      <c r="M483" s="74"/>
      <c r="N483" s="74"/>
      <c r="O483" s="74"/>
      <c r="P483" s="73"/>
    </row>
    <row r="484" spans="1:16" s="71" customFormat="1" ht="15.75">
      <c r="A484" s="50"/>
      <c r="B484" s="72"/>
      <c r="C484" s="50"/>
      <c r="D484" s="50"/>
      <c r="E484" s="73"/>
      <c r="F484" s="74"/>
      <c r="G484" s="74"/>
      <c r="H484" s="74"/>
      <c r="I484" s="74"/>
      <c r="J484" s="73"/>
      <c r="K484" s="74"/>
      <c r="L484" s="74"/>
      <c r="M484" s="74"/>
      <c r="N484" s="74"/>
      <c r="O484" s="74"/>
      <c r="P484" s="73"/>
    </row>
    <row r="485" spans="1:16" s="71" customFormat="1" ht="15.75">
      <c r="A485" s="50"/>
      <c r="B485" s="72"/>
      <c r="C485" s="50"/>
      <c r="D485" s="50"/>
      <c r="E485" s="73"/>
      <c r="F485" s="74"/>
      <c r="G485" s="74"/>
      <c r="H485" s="74"/>
      <c r="I485" s="74"/>
      <c r="J485" s="73"/>
      <c r="K485" s="74"/>
      <c r="L485" s="74"/>
      <c r="M485" s="74"/>
      <c r="N485" s="74"/>
      <c r="O485" s="74"/>
      <c r="P485" s="73"/>
    </row>
    <row r="486" spans="1:16" s="71" customFormat="1" ht="15.75">
      <c r="A486" s="50"/>
      <c r="B486" s="72"/>
      <c r="C486" s="50"/>
      <c r="D486" s="50"/>
      <c r="E486" s="73"/>
      <c r="F486" s="74"/>
      <c r="G486" s="74"/>
      <c r="H486" s="74"/>
      <c r="I486" s="74"/>
      <c r="J486" s="73"/>
      <c r="K486" s="74"/>
      <c r="L486" s="74"/>
      <c r="M486" s="74"/>
      <c r="N486" s="74"/>
      <c r="O486" s="74"/>
      <c r="P486" s="73"/>
    </row>
    <row r="487" spans="1:16" s="71" customFormat="1" ht="15.75">
      <c r="A487" s="50"/>
      <c r="B487" s="72"/>
      <c r="C487" s="50"/>
      <c r="D487" s="50"/>
      <c r="E487" s="73"/>
      <c r="F487" s="74"/>
      <c r="G487" s="74"/>
      <c r="H487" s="74"/>
      <c r="I487" s="74"/>
      <c r="J487" s="73"/>
      <c r="K487" s="74"/>
      <c r="L487" s="74"/>
      <c r="M487" s="74"/>
      <c r="N487" s="74"/>
      <c r="O487" s="74"/>
      <c r="P487" s="73"/>
    </row>
    <row r="488" spans="1:16" s="71" customFormat="1" ht="15.75">
      <c r="A488" s="50"/>
      <c r="B488" s="72"/>
      <c r="C488" s="50"/>
      <c r="D488" s="50"/>
      <c r="E488" s="73"/>
      <c r="F488" s="74"/>
      <c r="G488" s="74"/>
      <c r="H488" s="74"/>
      <c r="I488" s="74"/>
      <c r="J488" s="73"/>
      <c r="K488" s="74"/>
      <c r="L488" s="74"/>
      <c r="M488" s="74"/>
      <c r="N488" s="74"/>
      <c r="O488" s="74"/>
      <c r="P488" s="73"/>
    </row>
    <row r="489" spans="1:16" s="71" customFormat="1" ht="15.75">
      <c r="A489" s="50"/>
      <c r="B489" s="72"/>
      <c r="C489" s="50"/>
      <c r="D489" s="50"/>
      <c r="E489" s="73"/>
      <c r="F489" s="74"/>
      <c r="G489" s="74"/>
      <c r="H489" s="74"/>
      <c r="I489" s="74"/>
      <c r="J489" s="73"/>
      <c r="K489" s="74"/>
      <c r="L489" s="74"/>
      <c r="M489" s="74"/>
      <c r="N489" s="74"/>
      <c r="O489" s="74"/>
      <c r="P489" s="73"/>
    </row>
    <row r="490" spans="1:16" s="71" customFormat="1" ht="15.75">
      <c r="A490" s="50"/>
      <c r="B490" s="72"/>
      <c r="C490" s="50"/>
      <c r="D490" s="50"/>
      <c r="E490" s="73"/>
      <c r="F490" s="74"/>
      <c r="G490" s="74"/>
      <c r="H490" s="74"/>
      <c r="I490" s="74"/>
      <c r="J490" s="73"/>
      <c r="K490" s="74"/>
      <c r="L490" s="74"/>
      <c r="M490" s="74"/>
      <c r="N490" s="74"/>
      <c r="O490" s="74"/>
      <c r="P490" s="73"/>
    </row>
    <row r="491" spans="1:16" s="71" customFormat="1" ht="15.75">
      <c r="A491" s="50"/>
      <c r="B491" s="72"/>
      <c r="C491" s="50"/>
      <c r="D491" s="50"/>
      <c r="E491" s="73"/>
      <c r="F491" s="74"/>
      <c r="G491" s="74"/>
      <c r="H491" s="74"/>
      <c r="I491" s="74"/>
      <c r="J491" s="73"/>
      <c r="K491" s="74"/>
      <c r="L491" s="74"/>
      <c r="M491" s="74"/>
      <c r="N491" s="74"/>
      <c r="O491" s="74"/>
      <c r="P491" s="73"/>
    </row>
    <row r="492" spans="1:16" s="71" customFormat="1" ht="15.75">
      <c r="A492" s="50"/>
      <c r="B492" s="72"/>
      <c r="C492" s="50"/>
      <c r="D492" s="50"/>
      <c r="E492" s="73"/>
      <c r="F492" s="74"/>
      <c r="G492" s="74"/>
      <c r="H492" s="74"/>
      <c r="I492" s="74"/>
      <c r="J492" s="73"/>
      <c r="K492" s="74"/>
      <c r="L492" s="74"/>
      <c r="M492" s="74"/>
      <c r="N492" s="74"/>
      <c r="O492" s="74"/>
      <c r="P492" s="73"/>
    </row>
    <row r="493" spans="1:16" s="71" customFormat="1" ht="15.75">
      <c r="A493" s="50"/>
      <c r="B493" s="72"/>
      <c r="C493" s="50"/>
      <c r="D493" s="50"/>
      <c r="E493" s="73"/>
      <c r="F493" s="74"/>
      <c r="G493" s="74"/>
      <c r="H493" s="74"/>
      <c r="I493" s="74"/>
      <c r="J493" s="73"/>
      <c r="K493" s="74"/>
      <c r="L493" s="74"/>
      <c r="M493" s="74"/>
      <c r="N493" s="74"/>
      <c r="O493" s="74"/>
      <c r="P493" s="73"/>
    </row>
    <row r="494" spans="1:16" s="71" customFormat="1" ht="15.75">
      <c r="A494" s="50"/>
      <c r="B494" s="72"/>
      <c r="C494" s="50"/>
      <c r="D494" s="50"/>
      <c r="E494" s="73"/>
      <c r="F494" s="74"/>
      <c r="G494" s="74"/>
      <c r="H494" s="74"/>
      <c r="I494" s="74"/>
      <c r="J494" s="73"/>
      <c r="K494" s="74"/>
      <c r="L494" s="74"/>
      <c r="M494" s="74"/>
      <c r="N494" s="74"/>
      <c r="O494" s="74"/>
      <c r="P494" s="73"/>
    </row>
    <row r="495" spans="1:16" s="71" customFormat="1" ht="15.75">
      <c r="A495" s="50"/>
      <c r="B495" s="72"/>
      <c r="C495" s="50"/>
      <c r="D495" s="50"/>
      <c r="E495" s="73"/>
      <c r="F495" s="74"/>
      <c r="G495" s="74"/>
      <c r="H495" s="74"/>
      <c r="I495" s="74"/>
      <c r="J495" s="73"/>
      <c r="K495" s="74"/>
      <c r="L495" s="74"/>
      <c r="M495" s="74"/>
      <c r="N495" s="74"/>
      <c r="O495" s="74"/>
      <c r="P495" s="73"/>
    </row>
    <row r="496" spans="1:16" s="71" customFormat="1" ht="15.75">
      <c r="A496" s="50"/>
      <c r="B496" s="72"/>
      <c r="C496" s="50"/>
      <c r="D496" s="50"/>
      <c r="E496" s="73"/>
      <c r="F496" s="74"/>
      <c r="G496" s="74"/>
      <c r="H496" s="74"/>
      <c r="I496" s="74"/>
      <c r="J496" s="73"/>
      <c r="K496" s="74"/>
      <c r="L496" s="74"/>
      <c r="M496" s="74"/>
      <c r="N496" s="74"/>
      <c r="O496" s="74"/>
      <c r="P496" s="73"/>
    </row>
    <row r="497" spans="1:16" s="71" customFormat="1" ht="15.75">
      <c r="A497" s="50"/>
      <c r="B497" s="72"/>
      <c r="C497" s="50"/>
      <c r="D497" s="50"/>
      <c r="E497" s="73"/>
      <c r="F497" s="74"/>
      <c r="G497" s="74"/>
      <c r="H497" s="74"/>
      <c r="I497" s="74"/>
      <c r="J497" s="73"/>
      <c r="K497" s="74"/>
      <c r="L497" s="74"/>
      <c r="M497" s="74"/>
      <c r="N497" s="74"/>
      <c r="O497" s="74"/>
      <c r="P497" s="73"/>
    </row>
    <row r="498" spans="1:16" s="71" customFormat="1" ht="15.75">
      <c r="A498" s="50"/>
      <c r="B498" s="72"/>
      <c r="C498" s="50"/>
      <c r="D498" s="50"/>
      <c r="E498" s="73"/>
      <c r="F498" s="74"/>
      <c r="G498" s="74"/>
      <c r="H498" s="74"/>
      <c r="I498" s="74"/>
      <c r="J498" s="73"/>
      <c r="K498" s="74"/>
      <c r="L498" s="74"/>
      <c r="M498" s="74"/>
      <c r="N498" s="74"/>
      <c r="O498" s="74"/>
      <c r="P498" s="73"/>
    </row>
    <row r="499" spans="1:16" s="71" customFormat="1" ht="15.75">
      <c r="A499" s="50"/>
      <c r="B499" s="72"/>
      <c r="C499" s="50"/>
      <c r="D499" s="50"/>
      <c r="E499" s="73"/>
      <c r="F499" s="74"/>
      <c r="G499" s="74"/>
      <c r="H499" s="74"/>
      <c r="I499" s="74"/>
      <c r="J499" s="73"/>
      <c r="K499" s="74"/>
      <c r="L499" s="74"/>
      <c r="M499" s="74"/>
      <c r="N499" s="74"/>
      <c r="O499" s="74"/>
      <c r="P499" s="73"/>
    </row>
    <row r="500" spans="1:16" s="71" customFormat="1" ht="15.75">
      <c r="A500" s="50"/>
      <c r="B500" s="72"/>
      <c r="C500" s="50"/>
      <c r="D500" s="50"/>
      <c r="E500" s="73"/>
      <c r="F500" s="74"/>
      <c r="G500" s="74"/>
      <c r="H500" s="74"/>
      <c r="I500" s="74"/>
      <c r="J500" s="73"/>
      <c r="K500" s="74"/>
      <c r="L500" s="74"/>
      <c r="M500" s="74"/>
      <c r="N500" s="74"/>
      <c r="O500" s="74"/>
      <c r="P500" s="73"/>
    </row>
    <row r="501" spans="1:16" s="71" customFormat="1" ht="15.75">
      <c r="A501" s="50"/>
      <c r="B501" s="72"/>
      <c r="C501" s="50"/>
      <c r="D501" s="50"/>
      <c r="E501" s="73"/>
      <c r="F501" s="74"/>
      <c r="G501" s="74"/>
      <c r="H501" s="74"/>
      <c r="I501" s="74"/>
      <c r="J501" s="73"/>
      <c r="K501" s="74"/>
      <c r="L501" s="74"/>
      <c r="M501" s="74"/>
      <c r="N501" s="74"/>
      <c r="O501" s="74"/>
      <c r="P501" s="73"/>
    </row>
    <row r="502" spans="1:16" s="71" customFormat="1" ht="15.75">
      <c r="A502" s="50"/>
      <c r="B502" s="72"/>
      <c r="C502" s="50"/>
      <c r="D502" s="50"/>
      <c r="E502" s="73"/>
      <c r="F502" s="74"/>
      <c r="G502" s="74"/>
      <c r="H502" s="74"/>
      <c r="I502" s="74"/>
      <c r="J502" s="73"/>
      <c r="K502" s="74"/>
      <c r="L502" s="74"/>
      <c r="M502" s="74"/>
      <c r="N502" s="74"/>
      <c r="O502" s="74"/>
      <c r="P502" s="73"/>
    </row>
    <row r="503" spans="1:16" s="71" customFormat="1" ht="15.75">
      <c r="A503" s="50"/>
      <c r="B503" s="72"/>
      <c r="C503" s="50"/>
      <c r="D503" s="50"/>
      <c r="E503" s="73"/>
      <c r="F503" s="74"/>
      <c r="G503" s="74"/>
      <c r="H503" s="74"/>
      <c r="I503" s="74"/>
      <c r="J503" s="73"/>
      <c r="K503" s="74"/>
      <c r="L503" s="74"/>
      <c r="M503" s="74"/>
      <c r="N503" s="74"/>
      <c r="O503" s="74"/>
      <c r="P503" s="73"/>
    </row>
    <row r="504" spans="1:16" s="71" customFormat="1" ht="15.75">
      <c r="A504" s="50"/>
      <c r="B504" s="72"/>
      <c r="C504" s="50"/>
      <c r="D504" s="50"/>
      <c r="E504" s="73"/>
      <c r="F504" s="74"/>
      <c r="G504" s="74"/>
      <c r="H504" s="74"/>
      <c r="I504" s="74"/>
      <c r="J504" s="73"/>
      <c r="K504" s="74"/>
      <c r="L504" s="74"/>
      <c r="M504" s="74"/>
      <c r="N504" s="74"/>
      <c r="O504" s="74"/>
      <c r="P504" s="73"/>
    </row>
    <row r="505" spans="1:16" s="71" customFormat="1" ht="15.75">
      <c r="A505" s="50"/>
      <c r="B505" s="72"/>
      <c r="C505" s="50"/>
      <c r="D505" s="50"/>
      <c r="E505" s="73"/>
      <c r="F505" s="74"/>
      <c r="G505" s="74"/>
      <c r="H505" s="74"/>
      <c r="I505" s="74"/>
      <c r="J505" s="73"/>
      <c r="K505" s="74"/>
      <c r="L505" s="74"/>
      <c r="M505" s="74"/>
      <c r="N505" s="74"/>
      <c r="O505" s="74"/>
      <c r="P505" s="73"/>
    </row>
    <row r="506" spans="1:16" s="71" customFormat="1" ht="15.75">
      <c r="A506" s="50"/>
      <c r="B506" s="72"/>
      <c r="C506" s="50"/>
      <c r="D506" s="50"/>
      <c r="E506" s="73"/>
      <c r="F506" s="74"/>
      <c r="G506" s="74"/>
      <c r="H506" s="74"/>
      <c r="I506" s="74"/>
      <c r="J506" s="73"/>
      <c r="K506" s="74"/>
      <c r="L506" s="74"/>
      <c r="M506" s="74"/>
      <c r="N506" s="74"/>
      <c r="O506" s="74"/>
      <c r="P506" s="73"/>
    </row>
    <row r="507" spans="1:16" s="71" customFormat="1" ht="15.75">
      <c r="A507" s="50"/>
      <c r="B507" s="72"/>
      <c r="C507" s="50"/>
      <c r="D507" s="50"/>
      <c r="E507" s="73"/>
      <c r="F507" s="74"/>
      <c r="G507" s="74"/>
      <c r="H507" s="74"/>
      <c r="I507" s="74"/>
      <c r="J507" s="73"/>
      <c r="K507" s="74"/>
      <c r="L507" s="74"/>
      <c r="M507" s="74"/>
      <c r="N507" s="74"/>
      <c r="O507" s="74"/>
      <c r="P507" s="73"/>
    </row>
    <row r="508" spans="1:16" s="71" customFormat="1" ht="15.75">
      <c r="A508" s="50"/>
      <c r="B508" s="72"/>
      <c r="C508" s="50"/>
      <c r="D508" s="50"/>
      <c r="E508" s="73"/>
      <c r="F508" s="74"/>
      <c r="G508" s="74"/>
      <c r="H508" s="74"/>
      <c r="I508" s="74"/>
      <c r="J508" s="73"/>
      <c r="K508" s="74"/>
      <c r="L508" s="74"/>
      <c r="M508" s="74"/>
      <c r="N508" s="74"/>
      <c r="O508" s="74"/>
      <c r="P508" s="73"/>
    </row>
    <row r="509" spans="1:16" s="71" customFormat="1" ht="15.75">
      <c r="A509" s="50"/>
      <c r="B509" s="72"/>
      <c r="C509" s="50"/>
      <c r="D509" s="50"/>
      <c r="E509" s="73"/>
      <c r="F509" s="74"/>
      <c r="G509" s="74"/>
      <c r="H509" s="74"/>
      <c r="I509" s="74"/>
      <c r="J509" s="73"/>
      <c r="K509" s="74"/>
      <c r="L509" s="74"/>
      <c r="M509" s="74"/>
      <c r="N509" s="74"/>
      <c r="O509" s="74"/>
      <c r="P509" s="73"/>
    </row>
    <row r="510" spans="1:16" s="71" customFormat="1" ht="15.75">
      <c r="A510" s="50"/>
      <c r="B510" s="72"/>
      <c r="C510" s="50"/>
      <c r="D510" s="50"/>
      <c r="E510" s="73"/>
      <c r="F510" s="74"/>
      <c r="G510" s="74"/>
      <c r="H510" s="74"/>
      <c r="I510" s="74"/>
      <c r="J510" s="73"/>
      <c r="K510" s="74"/>
      <c r="L510" s="74"/>
      <c r="M510" s="74"/>
      <c r="N510" s="74"/>
      <c r="O510" s="74"/>
      <c r="P510" s="73"/>
    </row>
    <row r="511" spans="1:16" s="71" customFormat="1" ht="15.75">
      <c r="A511" s="50"/>
      <c r="B511" s="72"/>
      <c r="C511" s="50"/>
      <c r="D511" s="50"/>
      <c r="E511" s="73"/>
      <c r="F511" s="74"/>
      <c r="G511" s="74"/>
      <c r="H511" s="74"/>
      <c r="I511" s="74"/>
      <c r="J511" s="73"/>
      <c r="K511" s="74"/>
      <c r="L511" s="74"/>
      <c r="M511" s="74"/>
      <c r="N511" s="74"/>
      <c r="O511" s="74"/>
      <c r="P511" s="73"/>
    </row>
    <row r="512" spans="1:16" s="71" customFormat="1" ht="15.75">
      <c r="A512" s="50"/>
      <c r="B512" s="72"/>
      <c r="C512" s="50"/>
      <c r="D512" s="50"/>
      <c r="E512" s="73"/>
      <c r="F512" s="74"/>
      <c r="G512" s="74"/>
      <c r="H512" s="74"/>
      <c r="I512" s="74"/>
      <c r="J512" s="73"/>
      <c r="K512" s="74"/>
      <c r="L512" s="74"/>
      <c r="M512" s="74"/>
      <c r="N512" s="74"/>
      <c r="O512" s="74"/>
      <c r="P512" s="73"/>
    </row>
    <row r="513" spans="1:16" s="71" customFormat="1" ht="15.75">
      <c r="A513" s="50"/>
      <c r="B513" s="72"/>
      <c r="C513" s="50"/>
      <c r="D513" s="50"/>
      <c r="E513" s="73"/>
      <c r="F513" s="74"/>
      <c r="G513" s="74"/>
      <c r="H513" s="74"/>
      <c r="I513" s="74"/>
      <c r="J513" s="73"/>
      <c r="K513" s="74"/>
      <c r="L513" s="74"/>
      <c r="M513" s="74"/>
      <c r="N513" s="74"/>
      <c r="O513" s="74"/>
      <c r="P513" s="73"/>
    </row>
    <row r="514" spans="1:16" s="71" customFormat="1" ht="15.75">
      <c r="A514" s="50"/>
      <c r="B514" s="72"/>
      <c r="C514" s="50"/>
      <c r="D514" s="50"/>
      <c r="E514" s="73"/>
      <c r="F514" s="74"/>
      <c r="G514" s="74"/>
      <c r="H514" s="74"/>
      <c r="I514" s="74"/>
      <c r="J514" s="73"/>
      <c r="K514" s="74"/>
      <c r="L514" s="74"/>
      <c r="M514" s="74"/>
      <c r="N514" s="74"/>
      <c r="O514" s="74"/>
      <c r="P514" s="73"/>
    </row>
    <row r="515" spans="1:16" s="71" customFormat="1" ht="15.75">
      <c r="A515" s="50"/>
      <c r="B515" s="72"/>
      <c r="C515" s="50"/>
      <c r="D515" s="50"/>
      <c r="E515" s="73"/>
      <c r="F515" s="74"/>
      <c r="G515" s="74"/>
      <c r="H515" s="74"/>
      <c r="I515" s="74"/>
      <c r="J515" s="73"/>
      <c r="K515" s="74"/>
      <c r="L515" s="74"/>
      <c r="M515" s="74"/>
      <c r="N515" s="74"/>
      <c r="O515" s="74"/>
      <c r="P515" s="73"/>
    </row>
    <row r="516" spans="1:16" s="71" customFormat="1" ht="15.75">
      <c r="A516" s="50"/>
      <c r="B516" s="72"/>
      <c r="C516" s="50"/>
      <c r="D516" s="50"/>
      <c r="E516" s="73"/>
      <c r="F516" s="74"/>
      <c r="G516" s="74"/>
      <c r="H516" s="74"/>
      <c r="I516" s="74"/>
      <c r="J516" s="73"/>
      <c r="K516" s="74"/>
      <c r="L516" s="74"/>
      <c r="M516" s="74"/>
      <c r="N516" s="74"/>
      <c r="O516" s="74"/>
      <c r="P516" s="73"/>
    </row>
    <row r="517" spans="1:16" s="71" customFormat="1" ht="15.75">
      <c r="A517" s="50"/>
      <c r="B517" s="72"/>
      <c r="C517" s="50"/>
      <c r="D517" s="50"/>
      <c r="E517" s="73"/>
      <c r="F517" s="74"/>
      <c r="G517" s="74"/>
      <c r="H517" s="74"/>
      <c r="I517" s="74"/>
      <c r="J517" s="73"/>
      <c r="K517" s="74"/>
      <c r="L517" s="74"/>
      <c r="M517" s="74"/>
      <c r="N517" s="74"/>
      <c r="O517" s="74"/>
      <c r="P517" s="73"/>
    </row>
    <row r="518" spans="1:16" s="71" customFormat="1" ht="15.75">
      <c r="A518" s="50"/>
      <c r="B518" s="72"/>
      <c r="C518" s="50"/>
      <c r="D518" s="50"/>
      <c r="E518" s="73"/>
      <c r="F518" s="74"/>
      <c r="G518" s="74"/>
      <c r="H518" s="74"/>
      <c r="I518" s="74"/>
      <c r="J518" s="73"/>
      <c r="K518" s="74"/>
      <c r="L518" s="74"/>
      <c r="M518" s="74"/>
      <c r="N518" s="74"/>
      <c r="O518" s="74"/>
      <c r="P518" s="73"/>
    </row>
    <row r="519" spans="1:16" s="71" customFormat="1" ht="15.75">
      <c r="A519" s="50"/>
      <c r="B519" s="72"/>
      <c r="C519" s="50"/>
      <c r="D519" s="50"/>
      <c r="E519" s="73"/>
      <c r="F519" s="74"/>
      <c r="G519" s="74"/>
      <c r="H519" s="74"/>
      <c r="I519" s="74"/>
      <c r="J519" s="73"/>
      <c r="K519" s="74"/>
      <c r="L519" s="74"/>
      <c r="M519" s="74"/>
      <c r="N519" s="74"/>
      <c r="O519" s="74"/>
      <c r="P519" s="73"/>
    </row>
    <row r="520" spans="1:16" s="71" customFormat="1" ht="15.75">
      <c r="A520" s="50"/>
      <c r="B520" s="72"/>
      <c r="C520" s="50"/>
      <c r="D520" s="50"/>
      <c r="E520" s="73"/>
      <c r="F520" s="74"/>
      <c r="G520" s="74"/>
      <c r="H520" s="74"/>
      <c r="I520" s="74"/>
      <c r="J520" s="73"/>
      <c r="K520" s="74"/>
      <c r="L520" s="74"/>
      <c r="M520" s="74"/>
      <c r="N520" s="74"/>
      <c r="O520" s="74"/>
      <c r="P520" s="73"/>
    </row>
    <row r="521" spans="1:16" s="71" customFormat="1" ht="15.75">
      <c r="A521" s="50"/>
      <c r="B521" s="72"/>
      <c r="C521" s="50"/>
      <c r="D521" s="50"/>
      <c r="E521" s="73"/>
      <c r="F521" s="74"/>
      <c r="G521" s="74"/>
      <c r="H521" s="74"/>
      <c r="I521" s="74"/>
      <c r="J521" s="73"/>
      <c r="K521" s="74"/>
      <c r="L521" s="74"/>
      <c r="M521" s="74"/>
      <c r="N521" s="74"/>
      <c r="O521" s="74"/>
      <c r="P521" s="73"/>
    </row>
    <row r="522" spans="1:16" s="71" customFormat="1" ht="15.75">
      <c r="A522" s="50"/>
      <c r="B522" s="72"/>
      <c r="C522" s="50"/>
      <c r="D522" s="50"/>
      <c r="E522" s="73"/>
      <c r="F522" s="74"/>
      <c r="G522" s="74"/>
      <c r="H522" s="74"/>
      <c r="I522" s="74"/>
      <c r="J522" s="73"/>
      <c r="K522" s="74"/>
      <c r="L522" s="74"/>
      <c r="M522" s="74"/>
      <c r="N522" s="74"/>
      <c r="O522" s="74"/>
      <c r="P522" s="73"/>
    </row>
    <row r="523" spans="1:16" s="71" customFormat="1" ht="15.75">
      <c r="A523" s="50"/>
      <c r="B523" s="72"/>
      <c r="C523" s="50"/>
      <c r="D523" s="50"/>
      <c r="E523" s="73"/>
      <c r="F523" s="74"/>
      <c r="G523" s="74"/>
      <c r="H523" s="74"/>
      <c r="I523" s="74"/>
      <c r="J523" s="73"/>
      <c r="K523" s="74"/>
      <c r="L523" s="74"/>
      <c r="M523" s="74"/>
      <c r="N523" s="74"/>
      <c r="O523" s="74"/>
      <c r="P523" s="73"/>
    </row>
    <row r="524" spans="1:16" s="71" customFormat="1" ht="15.75">
      <c r="A524" s="50"/>
      <c r="B524" s="72"/>
      <c r="C524" s="50"/>
      <c r="D524" s="50"/>
      <c r="E524" s="73"/>
      <c r="F524" s="74"/>
      <c r="G524" s="74"/>
      <c r="H524" s="74"/>
      <c r="I524" s="74"/>
      <c r="J524" s="73"/>
      <c r="K524" s="74"/>
      <c r="L524" s="74"/>
      <c r="M524" s="74"/>
      <c r="N524" s="74"/>
      <c r="O524" s="74"/>
      <c r="P524" s="73"/>
    </row>
    <row r="525" spans="1:16" s="71" customFormat="1" ht="15.75">
      <c r="A525" s="50"/>
      <c r="B525" s="72"/>
      <c r="C525" s="50"/>
      <c r="D525" s="50"/>
      <c r="E525" s="73"/>
      <c r="F525" s="74"/>
      <c r="G525" s="74"/>
      <c r="H525" s="74"/>
      <c r="I525" s="74"/>
      <c r="J525" s="73"/>
      <c r="K525" s="74"/>
      <c r="L525" s="74"/>
      <c r="M525" s="74"/>
      <c r="N525" s="74"/>
      <c r="O525" s="74"/>
      <c r="P525" s="73"/>
    </row>
    <row r="526" spans="1:16" s="71" customFormat="1" ht="15.75">
      <c r="A526" s="50"/>
      <c r="B526" s="72"/>
      <c r="C526" s="50"/>
      <c r="D526" s="50"/>
      <c r="E526" s="73"/>
      <c r="F526" s="74"/>
      <c r="G526" s="74"/>
      <c r="H526" s="74"/>
      <c r="I526" s="74"/>
      <c r="J526" s="73"/>
      <c r="K526" s="74"/>
      <c r="L526" s="74"/>
      <c r="M526" s="74"/>
      <c r="N526" s="74"/>
      <c r="O526" s="74"/>
      <c r="P526" s="73"/>
    </row>
    <row r="527" spans="1:16" s="71" customFormat="1" ht="15.75">
      <c r="A527" s="50"/>
      <c r="B527" s="72"/>
      <c r="C527" s="50"/>
      <c r="D527" s="50"/>
      <c r="E527" s="73"/>
      <c r="F527" s="74"/>
      <c r="G527" s="74"/>
      <c r="H527" s="74"/>
      <c r="I527" s="74"/>
      <c r="J527" s="73"/>
      <c r="K527" s="74"/>
      <c r="L527" s="74"/>
      <c r="M527" s="74"/>
      <c r="N527" s="74"/>
      <c r="O527" s="74"/>
      <c r="P527" s="73"/>
    </row>
    <row r="528" spans="1:16" s="71" customFormat="1" ht="15.75">
      <c r="A528" s="50"/>
      <c r="B528" s="72"/>
      <c r="C528" s="50"/>
      <c r="D528" s="50"/>
      <c r="E528" s="73"/>
      <c r="F528" s="74"/>
      <c r="G528" s="74"/>
      <c r="H528" s="74"/>
      <c r="I528" s="74"/>
      <c r="J528" s="73"/>
      <c r="K528" s="74"/>
      <c r="L528" s="74"/>
      <c r="M528" s="74"/>
      <c r="N528" s="74"/>
      <c r="O528" s="74"/>
      <c r="P528" s="73"/>
    </row>
    <row r="529" spans="1:16" s="71" customFormat="1" ht="15.75">
      <c r="A529" s="50"/>
      <c r="B529" s="72"/>
      <c r="C529" s="50"/>
      <c r="D529" s="50"/>
      <c r="E529" s="73"/>
      <c r="F529" s="74"/>
      <c r="G529" s="74"/>
      <c r="H529" s="74"/>
      <c r="I529" s="74"/>
      <c r="J529" s="73"/>
      <c r="K529" s="74"/>
      <c r="L529" s="74"/>
      <c r="M529" s="74"/>
      <c r="N529" s="74"/>
      <c r="O529" s="74"/>
      <c r="P529" s="73"/>
    </row>
    <row r="530" spans="1:16" s="71" customFormat="1" ht="15.75">
      <c r="A530" s="50"/>
      <c r="B530" s="72"/>
      <c r="C530" s="50"/>
      <c r="D530" s="50"/>
      <c r="E530" s="73"/>
      <c r="F530" s="74"/>
      <c r="G530" s="74"/>
      <c r="H530" s="74"/>
      <c r="I530" s="74"/>
      <c r="J530" s="73"/>
      <c r="K530" s="74"/>
      <c r="L530" s="74"/>
      <c r="M530" s="74"/>
      <c r="N530" s="74"/>
      <c r="O530" s="74"/>
      <c r="P530" s="73"/>
    </row>
    <row r="531" spans="1:16" s="71" customFormat="1" ht="15.75">
      <c r="A531" s="50"/>
      <c r="B531" s="72"/>
      <c r="C531" s="50"/>
      <c r="D531" s="50"/>
      <c r="E531" s="73"/>
      <c r="F531" s="74"/>
      <c r="G531" s="74"/>
      <c r="H531" s="74"/>
      <c r="I531" s="74"/>
      <c r="J531" s="73"/>
      <c r="K531" s="74"/>
      <c r="L531" s="74"/>
      <c r="M531" s="74"/>
      <c r="N531" s="74"/>
      <c r="O531" s="74"/>
      <c r="P531" s="73"/>
    </row>
    <row r="532" spans="1:16" s="71" customFormat="1" ht="15.75">
      <c r="A532" s="50"/>
      <c r="B532" s="72"/>
      <c r="C532" s="50"/>
      <c r="D532" s="50"/>
      <c r="E532" s="73"/>
      <c r="F532" s="74"/>
      <c r="G532" s="74"/>
      <c r="H532" s="74"/>
      <c r="I532" s="74"/>
      <c r="J532" s="73"/>
      <c r="K532" s="74"/>
      <c r="L532" s="74"/>
      <c r="M532" s="74"/>
      <c r="N532" s="74"/>
      <c r="O532" s="74"/>
      <c r="P532" s="73"/>
    </row>
    <row r="533" spans="1:16" s="71" customFormat="1" ht="15.75">
      <c r="A533" s="50"/>
      <c r="B533" s="72"/>
      <c r="C533" s="50"/>
      <c r="D533" s="50"/>
      <c r="E533" s="73"/>
      <c r="F533" s="74"/>
      <c r="G533" s="74"/>
      <c r="H533" s="74"/>
      <c r="I533" s="74"/>
      <c r="J533" s="73"/>
      <c r="K533" s="74"/>
      <c r="L533" s="74"/>
      <c r="M533" s="74"/>
      <c r="N533" s="74"/>
      <c r="O533" s="74"/>
      <c r="P533" s="73"/>
    </row>
    <row r="534" spans="1:16" s="71" customFormat="1" ht="15.75">
      <c r="A534" s="50"/>
      <c r="B534" s="72"/>
      <c r="C534" s="50"/>
      <c r="D534" s="50"/>
      <c r="E534" s="73"/>
      <c r="F534" s="74"/>
      <c r="G534" s="74"/>
      <c r="H534" s="74"/>
      <c r="I534" s="74"/>
      <c r="J534" s="73"/>
      <c r="K534" s="74"/>
      <c r="L534" s="74"/>
      <c r="M534" s="74"/>
      <c r="N534" s="74"/>
      <c r="O534" s="74"/>
      <c r="P534" s="73"/>
    </row>
    <row r="535" spans="1:16" s="71" customFormat="1" ht="15.75">
      <c r="A535" s="50"/>
      <c r="B535" s="72"/>
      <c r="C535" s="50"/>
      <c r="D535" s="50"/>
      <c r="E535" s="73"/>
      <c r="F535" s="74"/>
      <c r="G535" s="74"/>
      <c r="H535" s="74"/>
      <c r="I535" s="74"/>
      <c r="J535" s="73"/>
      <c r="K535" s="74"/>
      <c r="L535" s="74"/>
      <c r="M535" s="74"/>
      <c r="N535" s="74"/>
      <c r="O535" s="74"/>
      <c r="P535" s="73"/>
    </row>
    <row r="536" spans="1:16" s="71" customFormat="1" ht="15.75">
      <c r="A536" s="50"/>
      <c r="B536" s="72"/>
      <c r="C536" s="50"/>
      <c r="D536" s="50"/>
      <c r="E536" s="73"/>
      <c r="F536" s="74"/>
      <c r="G536" s="74"/>
      <c r="H536" s="74"/>
      <c r="I536" s="74"/>
      <c r="J536" s="73"/>
      <c r="K536" s="74"/>
      <c r="L536" s="74"/>
      <c r="M536" s="74"/>
      <c r="N536" s="74"/>
      <c r="O536" s="74"/>
      <c r="P536" s="73"/>
    </row>
    <row r="537" spans="1:16" s="71" customFormat="1" ht="15.75">
      <c r="A537" s="50"/>
      <c r="B537" s="72"/>
      <c r="C537" s="50"/>
      <c r="D537" s="50"/>
      <c r="E537" s="73"/>
      <c r="F537" s="74"/>
      <c r="G537" s="74"/>
      <c r="H537" s="74"/>
      <c r="I537" s="74"/>
      <c r="J537" s="73"/>
      <c r="K537" s="74"/>
      <c r="L537" s="74"/>
      <c r="M537" s="74"/>
      <c r="N537" s="74"/>
      <c r="O537" s="74"/>
      <c r="P537" s="73"/>
    </row>
    <row r="538" spans="1:16" s="71" customFormat="1" ht="15.75">
      <c r="A538" s="50"/>
      <c r="B538" s="72"/>
      <c r="C538" s="50"/>
      <c r="D538" s="50"/>
      <c r="E538" s="73"/>
      <c r="F538" s="74"/>
      <c r="G538" s="74"/>
      <c r="H538" s="74"/>
      <c r="I538" s="74"/>
      <c r="J538" s="73"/>
      <c r="K538" s="74"/>
      <c r="L538" s="74"/>
      <c r="M538" s="74"/>
      <c r="N538" s="74"/>
      <c r="O538" s="74"/>
      <c r="P538" s="73"/>
    </row>
    <row r="539" spans="1:16" s="71" customFormat="1" ht="15.75">
      <c r="A539" s="50"/>
      <c r="B539" s="72"/>
      <c r="C539" s="50"/>
      <c r="D539" s="50"/>
      <c r="E539" s="73"/>
      <c r="F539" s="74"/>
      <c r="G539" s="74"/>
      <c r="H539" s="74"/>
      <c r="I539" s="74"/>
      <c r="J539" s="73"/>
      <c r="K539" s="74"/>
      <c r="L539" s="74"/>
      <c r="M539" s="74"/>
      <c r="N539" s="74"/>
      <c r="O539" s="74"/>
      <c r="P539" s="73"/>
    </row>
    <row r="540" spans="1:16" s="71" customFormat="1" ht="15.75">
      <c r="A540" s="50"/>
      <c r="B540" s="72"/>
      <c r="C540" s="50"/>
      <c r="D540" s="50"/>
      <c r="E540" s="73"/>
      <c r="F540" s="74"/>
      <c r="G540" s="74"/>
      <c r="H540" s="74"/>
      <c r="I540" s="74"/>
      <c r="J540" s="73"/>
      <c r="K540" s="74"/>
      <c r="L540" s="74"/>
      <c r="M540" s="74"/>
      <c r="N540" s="74"/>
      <c r="O540" s="74"/>
      <c r="P540" s="73"/>
    </row>
    <row r="541" spans="1:16" s="71" customFormat="1" ht="15.75">
      <c r="A541" s="50"/>
      <c r="B541" s="72"/>
      <c r="C541" s="50"/>
      <c r="D541" s="50"/>
      <c r="E541" s="73"/>
      <c r="F541" s="74"/>
      <c r="G541" s="74"/>
      <c r="H541" s="74"/>
      <c r="I541" s="74"/>
      <c r="J541" s="73"/>
      <c r="K541" s="74"/>
      <c r="L541" s="74"/>
      <c r="M541" s="74"/>
      <c r="N541" s="74"/>
      <c r="O541" s="74"/>
      <c r="P541" s="73"/>
    </row>
    <row r="542" spans="1:16" s="71" customFormat="1" ht="15.75">
      <c r="A542" s="50"/>
      <c r="B542" s="72"/>
      <c r="C542" s="50"/>
      <c r="D542" s="50"/>
      <c r="E542" s="73"/>
      <c r="F542" s="74"/>
      <c r="G542" s="74"/>
      <c r="H542" s="74"/>
      <c r="I542" s="74"/>
      <c r="J542" s="73"/>
      <c r="K542" s="74"/>
      <c r="L542" s="74"/>
      <c r="M542" s="74"/>
      <c r="N542" s="74"/>
      <c r="O542" s="74"/>
      <c r="P542" s="73"/>
    </row>
    <row r="543" spans="1:16" s="71" customFormat="1" ht="15.75">
      <c r="A543" s="50"/>
      <c r="B543" s="72"/>
      <c r="C543" s="50"/>
      <c r="D543" s="50"/>
      <c r="E543" s="73"/>
      <c r="F543" s="74"/>
      <c r="G543" s="74"/>
      <c r="H543" s="74"/>
      <c r="I543" s="74"/>
      <c r="J543" s="73"/>
      <c r="K543" s="74"/>
      <c r="L543" s="74"/>
      <c r="M543" s="74"/>
      <c r="N543" s="74"/>
      <c r="O543" s="74"/>
      <c r="P543" s="73"/>
    </row>
    <row r="544" spans="1:16" s="71" customFormat="1" ht="15.75">
      <c r="A544" s="50"/>
      <c r="B544" s="72"/>
      <c r="C544" s="50"/>
      <c r="D544" s="50"/>
      <c r="E544" s="73"/>
      <c r="F544" s="74"/>
      <c r="G544" s="74"/>
      <c r="H544" s="74"/>
      <c r="I544" s="74"/>
      <c r="J544" s="73"/>
      <c r="K544" s="74"/>
      <c r="L544" s="74"/>
      <c r="M544" s="74"/>
      <c r="N544" s="74"/>
      <c r="O544" s="74"/>
      <c r="P544" s="73"/>
    </row>
    <row r="545" spans="1:16" s="71" customFormat="1" ht="15.75">
      <c r="A545" s="50"/>
      <c r="B545" s="72"/>
      <c r="C545" s="50"/>
      <c r="D545" s="50"/>
      <c r="E545" s="73"/>
      <c r="F545" s="74"/>
      <c r="G545" s="74"/>
      <c r="H545" s="74"/>
      <c r="I545" s="74"/>
      <c r="J545" s="73"/>
      <c r="K545" s="74"/>
      <c r="L545" s="74"/>
      <c r="M545" s="74"/>
      <c r="N545" s="74"/>
      <c r="O545" s="74"/>
      <c r="P545" s="73"/>
    </row>
    <row r="546" spans="1:16" s="71" customFormat="1" ht="15.75">
      <c r="A546" s="50"/>
      <c r="B546" s="72"/>
      <c r="C546" s="50"/>
      <c r="D546" s="50"/>
      <c r="E546" s="73"/>
      <c r="F546" s="74"/>
      <c r="G546" s="74"/>
      <c r="H546" s="74"/>
      <c r="I546" s="74"/>
      <c r="J546" s="73"/>
      <c r="K546" s="74"/>
      <c r="L546" s="74"/>
      <c r="M546" s="74"/>
      <c r="N546" s="74"/>
      <c r="O546" s="74"/>
      <c r="P546" s="73"/>
    </row>
    <row r="547" spans="1:16" s="71" customFormat="1" ht="15.75">
      <c r="A547" s="50"/>
      <c r="B547" s="72"/>
      <c r="C547" s="50"/>
      <c r="D547" s="50"/>
      <c r="E547" s="73"/>
      <c r="F547" s="74"/>
      <c r="G547" s="74"/>
      <c r="H547" s="74"/>
      <c r="I547" s="74"/>
      <c r="J547" s="73"/>
      <c r="K547" s="74"/>
      <c r="L547" s="74"/>
      <c r="M547" s="74"/>
      <c r="N547" s="74"/>
      <c r="O547" s="74"/>
      <c r="P547" s="73"/>
    </row>
    <row r="548" spans="1:16" s="71" customFormat="1" ht="15.75">
      <c r="A548" s="50"/>
      <c r="B548" s="72"/>
      <c r="C548" s="50"/>
      <c r="D548" s="50"/>
      <c r="E548" s="73"/>
      <c r="F548" s="74"/>
      <c r="G548" s="74"/>
      <c r="H548" s="74"/>
      <c r="I548" s="74"/>
      <c r="J548" s="73"/>
      <c r="K548" s="74"/>
      <c r="L548" s="74"/>
      <c r="M548" s="74"/>
      <c r="N548" s="74"/>
      <c r="O548" s="74"/>
      <c r="P548" s="73"/>
    </row>
    <row r="549" spans="1:16" s="71" customFormat="1" ht="15.75">
      <c r="A549" s="50"/>
      <c r="B549" s="72"/>
      <c r="C549" s="50"/>
      <c r="D549" s="50"/>
      <c r="E549" s="73"/>
      <c r="F549" s="74"/>
      <c r="G549" s="74"/>
      <c r="H549" s="74"/>
      <c r="I549" s="74"/>
      <c r="J549" s="73"/>
      <c r="K549" s="74"/>
      <c r="L549" s="74"/>
      <c r="M549" s="74"/>
      <c r="N549" s="74"/>
      <c r="O549" s="74"/>
      <c r="P549" s="73"/>
    </row>
    <row r="550" spans="1:16" s="71" customFormat="1" ht="15.75">
      <c r="A550" s="50"/>
      <c r="B550" s="72"/>
      <c r="C550" s="50"/>
      <c r="D550" s="50"/>
      <c r="E550" s="73"/>
      <c r="F550" s="74"/>
      <c r="G550" s="74"/>
      <c r="H550" s="74"/>
      <c r="I550" s="74"/>
      <c r="J550" s="73"/>
      <c r="K550" s="74"/>
      <c r="L550" s="74"/>
      <c r="M550" s="74"/>
      <c r="N550" s="74"/>
      <c r="O550" s="74"/>
      <c r="P550" s="73"/>
    </row>
    <row r="551" spans="1:16" s="71" customFormat="1" ht="15.75">
      <c r="A551" s="50"/>
      <c r="B551" s="72"/>
      <c r="C551" s="50"/>
      <c r="D551" s="50"/>
      <c r="E551" s="73"/>
      <c r="F551" s="74"/>
      <c r="G551" s="74"/>
      <c r="H551" s="74"/>
      <c r="I551" s="74"/>
      <c r="J551" s="73"/>
      <c r="K551" s="74"/>
      <c r="L551" s="74"/>
      <c r="M551" s="74"/>
      <c r="N551" s="74"/>
      <c r="O551" s="74"/>
      <c r="P551" s="73"/>
    </row>
    <row r="552" spans="1:16" s="71" customFormat="1" ht="15.75">
      <c r="A552" s="50"/>
      <c r="B552" s="72"/>
      <c r="C552" s="50"/>
      <c r="D552" s="50"/>
      <c r="E552" s="73"/>
      <c r="F552" s="74"/>
      <c r="G552" s="74"/>
      <c r="H552" s="74"/>
      <c r="I552" s="74"/>
      <c r="J552" s="73"/>
      <c r="K552" s="74"/>
      <c r="L552" s="74"/>
      <c r="M552" s="74"/>
      <c r="N552" s="74"/>
      <c r="O552" s="74"/>
      <c r="P552" s="73"/>
    </row>
    <row r="553" spans="1:16" s="71" customFormat="1" ht="15.75">
      <c r="A553" s="50"/>
      <c r="B553" s="72"/>
      <c r="C553" s="50"/>
      <c r="D553" s="50"/>
      <c r="E553" s="73"/>
      <c r="F553" s="74"/>
      <c r="G553" s="74"/>
      <c r="H553" s="74"/>
      <c r="I553" s="74"/>
      <c r="J553" s="73"/>
      <c r="K553" s="74"/>
      <c r="L553" s="74"/>
      <c r="M553" s="74"/>
      <c r="N553" s="74"/>
      <c r="O553" s="74"/>
      <c r="P553" s="73"/>
    </row>
    <row r="554" spans="1:16" s="71" customFormat="1" ht="15.75">
      <c r="A554" s="50"/>
      <c r="B554" s="72"/>
      <c r="C554" s="50"/>
      <c r="D554" s="50"/>
      <c r="E554" s="73"/>
      <c r="F554" s="74"/>
      <c r="G554" s="74"/>
      <c r="H554" s="74"/>
      <c r="I554" s="74"/>
      <c r="J554" s="73"/>
      <c r="K554" s="74"/>
      <c r="L554" s="74"/>
      <c r="M554" s="74"/>
      <c r="N554" s="74"/>
      <c r="O554" s="74"/>
      <c r="P554" s="73"/>
    </row>
    <row r="555" spans="1:16" s="71" customFormat="1" ht="15.75">
      <c r="A555" s="50"/>
      <c r="B555" s="72"/>
      <c r="C555" s="50"/>
      <c r="D555" s="50"/>
      <c r="E555" s="73"/>
      <c r="F555" s="74"/>
      <c r="G555" s="74"/>
      <c r="H555" s="74"/>
      <c r="I555" s="74"/>
      <c r="J555" s="73"/>
      <c r="K555" s="74"/>
      <c r="L555" s="74"/>
      <c r="M555" s="74"/>
      <c r="N555" s="74"/>
      <c r="O555" s="74"/>
      <c r="P555" s="73"/>
    </row>
    <row r="556" spans="1:16" s="71" customFormat="1" ht="15.75">
      <c r="A556" s="50"/>
      <c r="B556" s="72"/>
      <c r="C556" s="50"/>
      <c r="D556" s="50"/>
      <c r="E556" s="73"/>
      <c r="F556" s="74"/>
      <c r="G556" s="74"/>
      <c r="H556" s="74"/>
      <c r="I556" s="74"/>
      <c r="J556" s="73"/>
      <c r="K556" s="74"/>
      <c r="L556" s="74"/>
      <c r="M556" s="74"/>
      <c r="N556" s="74"/>
      <c r="O556" s="74"/>
      <c r="P556" s="73"/>
    </row>
    <row r="557" spans="1:16" s="71" customFormat="1" ht="15.75">
      <c r="A557" s="50"/>
      <c r="B557" s="72"/>
      <c r="C557" s="50"/>
      <c r="D557" s="50"/>
      <c r="E557" s="73"/>
      <c r="F557" s="74"/>
      <c r="G557" s="74"/>
      <c r="H557" s="74"/>
      <c r="I557" s="74"/>
      <c r="J557" s="73"/>
      <c r="K557" s="74"/>
      <c r="L557" s="74"/>
      <c r="M557" s="74"/>
      <c r="N557" s="74"/>
      <c r="O557" s="74"/>
      <c r="P557" s="73"/>
    </row>
    <row r="558" spans="1:16" s="71" customFormat="1" ht="15.75">
      <c r="A558" s="50"/>
      <c r="B558" s="72"/>
      <c r="C558" s="50"/>
      <c r="D558" s="50"/>
      <c r="E558" s="73"/>
      <c r="F558" s="74"/>
      <c r="G558" s="74"/>
      <c r="H558" s="74"/>
      <c r="I558" s="74"/>
      <c r="J558" s="73"/>
      <c r="K558" s="74"/>
      <c r="L558" s="74"/>
      <c r="M558" s="74"/>
      <c r="N558" s="74"/>
      <c r="O558" s="74"/>
      <c r="P558" s="73"/>
    </row>
    <row r="559" spans="1:16" s="71" customFormat="1" ht="15.75">
      <c r="A559" s="50"/>
      <c r="B559" s="72"/>
      <c r="C559" s="50"/>
      <c r="D559" s="50"/>
      <c r="E559" s="73"/>
      <c r="F559" s="74"/>
      <c r="G559" s="74"/>
      <c r="H559" s="74"/>
      <c r="I559" s="74"/>
      <c r="J559" s="73"/>
      <c r="K559" s="74"/>
      <c r="L559" s="74"/>
      <c r="M559" s="74"/>
      <c r="N559" s="74"/>
      <c r="O559" s="74"/>
      <c r="P559" s="73"/>
    </row>
    <row r="560" spans="1:16" s="71" customFormat="1" ht="15.75">
      <c r="A560" s="50"/>
      <c r="B560" s="72"/>
      <c r="C560" s="50"/>
      <c r="D560" s="50"/>
      <c r="E560" s="73"/>
      <c r="F560" s="74"/>
      <c r="G560" s="74"/>
      <c r="H560" s="74"/>
      <c r="I560" s="74"/>
      <c r="J560" s="73"/>
      <c r="K560" s="74"/>
      <c r="L560" s="74"/>
      <c r="M560" s="74"/>
      <c r="N560" s="74"/>
      <c r="O560" s="74"/>
      <c r="P560" s="73"/>
    </row>
    <row r="561" spans="1:16" s="71" customFormat="1" ht="15.75">
      <c r="A561" s="50"/>
      <c r="B561" s="72"/>
      <c r="C561" s="50"/>
      <c r="D561" s="50"/>
      <c r="E561" s="73"/>
      <c r="F561" s="74"/>
      <c r="G561" s="74"/>
      <c r="H561" s="74"/>
      <c r="I561" s="74"/>
      <c r="J561" s="73"/>
      <c r="K561" s="74"/>
      <c r="L561" s="74"/>
      <c r="M561" s="74"/>
      <c r="N561" s="74"/>
      <c r="O561" s="74"/>
      <c r="P561" s="73"/>
    </row>
    <row r="562" spans="1:16" s="71" customFormat="1" ht="15.75">
      <c r="A562" s="50"/>
      <c r="B562" s="72"/>
      <c r="C562" s="50"/>
      <c r="D562" s="50"/>
      <c r="E562" s="73"/>
      <c r="F562" s="74"/>
      <c r="G562" s="74"/>
      <c r="H562" s="74"/>
      <c r="I562" s="74"/>
      <c r="J562" s="73"/>
      <c r="K562" s="74"/>
      <c r="L562" s="74"/>
      <c r="M562" s="74"/>
      <c r="N562" s="74"/>
      <c r="O562" s="74"/>
      <c r="P562" s="73"/>
    </row>
    <row r="563" spans="1:16" s="71" customFormat="1" ht="15.75">
      <c r="A563" s="50"/>
      <c r="B563" s="72"/>
      <c r="C563" s="50"/>
      <c r="D563" s="50"/>
      <c r="E563" s="73"/>
      <c r="F563" s="74"/>
      <c r="G563" s="74"/>
      <c r="H563" s="74"/>
      <c r="I563" s="74"/>
      <c r="J563" s="73"/>
      <c r="K563" s="74"/>
      <c r="L563" s="74"/>
      <c r="M563" s="74"/>
      <c r="N563" s="74"/>
      <c r="O563" s="74"/>
      <c r="P563" s="73"/>
    </row>
    <row r="564" spans="1:16" s="71" customFormat="1" ht="15.75">
      <c r="A564" s="50"/>
      <c r="B564" s="72"/>
      <c r="C564" s="50"/>
      <c r="D564" s="50"/>
      <c r="E564" s="73"/>
      <c r="F564" s="74"/>
      <c r="G564" s="74"/>
      <c r="H564" s="74"/>
      <c r="I564" s="74"/>
      <c r="J564" s="73"/>
      <c r="K564" s="74"/>
      <c r="L564" s="74"/>
      <c r="M564" s="74"/>
      <c r="N564" s="74"/>
      <c r="O564" s="74"/>
      <c r="P564" s="73"/>
    </row>
    <row r="565" spans="1:16" s="71" customFormat="1" ht="15.75">
      <c r="A565" s="50"/>
      <c r="B565" s="72"/>
      <c r="C565" s="50"/>
      <c r="D565" s="50"/>
      <c r="E565" s="73"/>
      <c r="F565" s="74"/>
      <c r="G565" s="74"/>
      <c r="H565" s="74"/>
      <c r="I565" s="74"/>
      <c r="J565" s="73"/>
      <c r="K565" s="74"/>
      <c r="L565" s="74"/>
      <c r="M565" s="74"/>
      <c r="N565" s="74"/>
      <c r="O565" s="74"/>
      <c r="P565" s="73"/>
    </row>
    <row r="566" spans="1:16" s="71" customFormat="1" ht="15.75">
      <c r="A566" s="50"/>
      <c r="B566" s="72"/>
      <c r="C566" s="50"/>
      <c r="D566" s="50"/>
      <c r="E566" s="73"/>
      <c r="F566" s="74"/>
      <c r="G566" s="74"/>
      <c r="H566" s="74"/>
      <c r="I566" s="74"/>
      <c r="J566" s="73"/>
      <c r="K566" s="74"/>
      <c r="L566" s="74"/>
      <c r="M566" s="74"/>
      <c r="N566" s="74"/>
      <c r="O566" s="74"/>
      <c r="P566" s="73"/>
    </row>
    <row r="567" spans="1:16" s="71" customFormat="1" ht="15.75">
      <c r="A567" s="50"/>
      <c r="B567" s="72"/>
      <c r="C567" s="50"/>
      <c r="D567" s="50"/>
      <c r="E567" s="73"/>
      <c r="F567" s="74"/>
      <c r="G567" s="74"/>
      <c r="H567" s="74"/>
      <c r="I567" s="74"/>
      <c r="J567" s="73"/>
      <c r="K567" s="74"/>
      <c r="L567" s="74"/>
      <c r="M567" s="74"/>
      <c r="N567" s="74"/>
      <c r="O567" s="74"/>
      <c r="P567" s="73"/>
    </row>
    <row r="568" spans="1:16" s="71" customFormat="1" ht="15.75">
      <c r="A568" s="50"/>
      <c r="B568" s="72"/>
      <c r="C568" s="50"/>
      <c r="D568" s="50"/>
      <c r="E568" s="73"/>
      <c r="F568" s="74"/>
      <c r="G568" s="74"/>
      <c r="H568" s="74"/>
      <c r="I568" s="74"/>
      <c r="J568" s="73"/>
      <c r="K568" s="74"/>
      <c r="L568" s="74"/>
      <c r="M568" s="74"/>
      <c r="N568" s="74"/>
      <c r="O568" s="74"/>
      <c r="P568" s="73"/>
    </row>
    <row r="569" spans="1:16" s="71" customFormat="1" ht="15.75">
      <c r="A569" s="50"/>
      <c r="B569" s="72"/>
      <c r="C569" s="50"/>
      <c r="D569" s="50"/>
      <c r="E569" s="73"/>
      <c r="F569" s="74"/>
      <c r="G569" s="74"/>
      <c r="H569" s="74"/>
      <c r="I569" s="74"/>
      <c r="J569" s="73"/>
      <c r="K569" s="74"/>
      <c r="L569" s="74"/>
      <c r="M569" s="74"/>
      <c r="N569" s="74"/>
      <c r="O569" s="74"/>
      <c r="P569" s="73"/>
    </row>
    <row r="570" spans="1:16" s="71" customFormat="1" ht="15.75">
      <c r="A570" s="50"/>
      <c r="B570" s="72"/>
      <c r="C570" s="50"/>
      <c r="D570" s="50"/>
      <c r="E570" s="73"/>
      <c r="F570" s="74"/>
      <c r="G570" s="74"/>
      <c r="H570" s="74"/>
      <c r="I570" s="74"/>
      <c r="J570" s="73"/>
      <c r="K570" s="74"/>
      <c r="L570" s="74"/>
      <c r="M570" s="74"/>
      <c r="N570" s="74"/>
      <c r="O570" s="74"/>
      <c r="P570" s="73"/>
    </row>
    <row r="571" spans="1:16" s="71" customFormat="1" ht="15.75">
      <c r="A571" s="50"/>
      <c r="B571" s="72"/>
      <c r="C571" s="50"/>
      <c r="D571" s="50"/>
      <c r="E571" s="73"/>
      <c r="F571" s="74"/>
      <c r="G571" s="74"/>
      <c r="H571" s="74"/>
      <c r="I571" s="74"/>
      <c r="J571" s="73"/>
      <c r="K571" s="74"/>
      <c r="L571" s="74"/>
      <c r="M571" s="74"/>
      <c r="N571" s="74"/>
      <c r="O571" s="74"/>
      <c r="P571" s="73"/>
    </row>
    <row r="572" spans="1:16" s="71" customFormat="1" ht="15.75">
      <c r="A572" s="50"/>
      <c r="B572" s="72"/>
      <c r="C572" s="50"/>
      <c r="D572" s="50"/>
      <c r="E572" s="73"/>
      <c r="F572" s="74"/>
      <c r="G572" s="74"/>
      <c r="H572" s="74"/>
      <c r="I572" s="74"/>
      <c r="J572" s="73"/>
      <c r="K572" s="74"/>
      <c r="L572" s="74"/>
      <c r="M572" s="74"/>
      <c r="N572" s="74"/>
      <c r="O572" s="74"/>
      <c r="P572" s="73"/>
    </row>
    <row r="573" spans="1:16" s="71" customFormat="1" ht="15.75">
      <c r="A573" s="50"/>
      <c r="B573" s="72"/>
      <c r="C573" s="50"/>
      <c r="D573" s="50"/>
      <c r="E573" s="73"/>
      <c r="F573" s="74"/>
      <c r="G573" s="74"/>
      <c r="H573" s="74"/>
      <c r="I573" s="74"/>
      <c r="J573" s="73"/>
      <c r="K573" s="74"/>
      <c r="L573" s="74"/>
      <c r="M573" s="74"/>
      <c r="N573" s="74"/>
      <c r="O573" s="74"/>
      <c r="P573" s="73"/>
    </row>
    <row r="574" spans="1:16" s="71" customFormat="1" ht="15.75">
      <c r="A574" s="50"/>
      <c r="B574" s="72"/>
      <c r="C574" s="50"/>
      <c r="D574" s="50"/>
      <c r="E574" s="73"/>
      <c r="F574" s="74"/>
      <c r="G574" s="74"/>
      <c r="H574" s="74"/>
      <c r="I574" s="74"/>
      <c r="J574" s="73"/>
      <c r="K574" s="74"/>
      <c r="L574" s="74"/>
      <c r="M574" s="74"/>
      <c r="N574" s="74"/>
      <c r="O574" s="74"/>
      <c r="P574" s="73"/>
    </row>
    <row r="575" spans="1:16" s="71" customFormat="1" ht="15.75">
      <c r="A575" s="50"/>
      <c r="B575" s="72"/>
      <c r="C575" s="50"/>
      <c r="D575" s="50"/>
      <c r="E575" s="73"/>
      <c r="F575" s="74"/>
      <c r="G575" s="74"/>
      <c r="H575" s="74"/>
      <c r="I575" s="74"/>
      <c r="J575" s="73"/>
      <c r="K575" s="74"/>
      <c r="L575" s="74"/>
      <c r="M575" s="74"/>
      <c r="N575" s="74"/>
      <c r="O575" s="74"/>
      <c r="P575" s="73"/>
    </row>
    <row r="576" spans="1:16" s="71" customFormat="1" ht="15.75">
      <c r="A576" s="50"/>
      <c r="B576" s="72"/>
      <c r="C576" s="50"/>
      <c r="D576" s="50"/>
      <c r="E576" s="73"/>
      <c r="F576" s="74"/>
      <c r="G576" s="74"/>
      <c r="H576" s="74"/>
      <c r="I576" s="74"/>
      <c r="J576" s="73"/>
      <c r="K576" s="74"/>
      <c r="L576" s="74"/>
      <c r="M576" s="74"/>
      <c r="N576" s="74"/>
      <c r="O576" s="74"/>
      <c r="P576" s="73"/>
    </row>
    <row r="577" spans="1:16" s="71" customFormat="1" ht="15.75">
      <c r="A577" s="50"/>
      <c r="B577" s="72"/>
      <c r="C577" s="50"/>
      <c r="D577" s="50"/>
      <c r="E577" s="73"/>
      <c r="F577" s="74"/>
      <c r="G577" s="74"/>
      <c r="H577" s="74"/>
      <c r="I577" s="74"/>
      <c r="J577" s="73"/>
      <c r="K577" s="74"/>
      <c r="L577" s="74"/>
      <c r="M577" s="74"/>
      <c r="N577" s="74"/>
      <c r="O577" s="74"/>
      <c r="P577" s="73"/>
    </row>
    <row r="578" spans="1:16" s="71" customFormat="1" ht="15.75">
      <c r="A578" s="50"/>
      <c r="B578" s="72"/>
      <c r="C578" s="50"/>
      <c r="D578" s="50"/>
      <c r="E578" s="73"/>
      <c r="F578" s="74"/>
      <c r="G578" s="74"/>
      <c r="H578" s="74"/>
      <c r="I578" s="74"/>
      <c r="J578" s="73"/>
      <c r="K578" s="74"/>
      <c r="L578" s="74"/>
      <c r="M578" s="74"/>
      <c r="N578" s="74"/>
      <c r="O578" s="74"/>
      <c r="P578" s="73"/>
    </row>
    <row r="579" spans="1:16" s="71" customFormat="1" ht="15.75">
      <c r="A579" s="50"/>
      <c r="B579" s="72"/>
      <c r="C579" s="50"/>
      <c r="D579" s="50"/>
      <c r="E579" s="73"/>
      <c r="F579" s="74"/>
      <c r="G579" s="74"/>
      <c r="H579" s="74"/>
      <c r="I579" s="74"/>
      <c r="J579" s="73"/>
      <c r="K579" s="74"/>
      <c r="L579" s="74"/>
      <c r="M579" s="74"/>
      <c r="N579" s="74"/>
      <c r="O579" s="74"/>
      <c r="P579" s="73"/>
    </row>
    <row r="580" spans="1:16" s="71" customFormat="1" ht="15.75">
      <c r="A580" s="50"/>
      <c r="B580" s="72"/>
      <c r="C580" s="50"/>
      <c r="D580" s="50"/>
      <c r="E580" s="73"/>
      <c r="F580" s="74"/>
      <c r="G580" s="74"/>
      <c r="H580" s="74"/>
      <c r="I580" s="74"/>
      <c r="J580" s="73"/>
      <c r="K580" s="74"/>
      <c r="L580" s="74"/>
      <c r="M580" s="74"/>
      <c r="N580" s="74"/>
      <c r="O580" s="74"/>
      <c r="P580" s="73"/>
    </row>
    <row r="581" spans="1:16" s="71" customFormat="1" ht="15.75">
      <c r="A581" s="50"/>
      <c r="B581" s="72"/>
      <c r="C581" s="50"/>
      <c r="D581" s="50"/>
      <c r="E581" s="73"/>
      <c r="F581" s="74"/>
      <c r="G581" s="74"/>
      <c r="H581" s="74"/>
      <c r="I581" s="74"/>
      <c r="J581" s="73"/>
      <c r="K581" s="74"/>
      <c r="L581" s="74"/>
      <c r="M581" s="74"/>
      <c r="N581" s="74"/>
      <c r="O581" s="74"/>
      <c r="P581" s="73"/>
    </row>
    <row r="582" spans="1:16" s="71" customFormat="1" ht="15.75">
      <c r="A582" s="50"/>
      <c r="B582" s="72"/>
      <c r="C582" s="50"/>
      <c r="D582" s="50"/>
      <c r="E582" s="73"/>
      <c r="F582" s="74"/>
      <c r="G582" s="74"/>
      <c r="H582" s="74"/>
      <c r="I582" s="74"/>
      <c r="J582" s="73"/>
      <c r="K582" s="74"/>
      <c r="L582" s="74"/>
      <c r="M582" s="74"/>
      <c r="N582" s="74"/>
      <c r="O582" s="74"/>
      <c r="P582" s="73"/>
    </row>
    <row r="583" spans="1:16" s="71" customFormat="1" ht="15.75">
      <c r="A583" s="50"/>
      <c r="B583" s="72"/>
      <c r="C583" s="50"/>
      <c r="D583" s="50"/>
      <c r="E583" s="73"/>
      <c r="F583" s="74"/>
      <c r="G583" s="74"/>
      <c r="H583" s="74"/>
      <c r="I583" s="74"/>
      <c r="J583" s="73"/>
      <c r="K583" s="74"/>
      <c r="L583" s="74"/>
      <c r="M583" s="74"/>
      <c r="N583" s="74"/>
      <c r="O583" s="74"/>
      <c r="P583" s="73"/>
    </row>
    <row r="584" spans="1:16" s="71" customFormat="1" ht="15.75">
      <c r="A584" s="50"/>
      <c r="B584" s="72"/>
      <c r="C584" s="50"/>
      <c r="D584" s="50"/>
      <c r="E584" s="73"/>
      <c r="F584" s="74"/>
      <c r="G584" s="74"/>
      <c r="H584" s="74"/>
      <c r="I584" s="74"/>
      <c r="J584" s="73"/>
      <c r="K584" s="74"/>
      <c r="L584" s="74"/>
      <c r="M584" s="74"/>
      <c r="N584" s="74"/>
      <c r="O584" s="74"/>
      <c r="P584" s="73"/>
    </row>
    <row r="585" spans="1:16" s="71" customFormat="1" ht="15.75">
      <c r="A585" s="50"/>
      <c r="B585" s="72"/>
      <c r="C585" s="50"/>
      <c r="D585" s="50"/>
      <c r="E585" s="73"/>
      <c r="F585" s="74"/>
      <c r="G585" s="74"/>
      <c r="H585" s="74"/>
      <c r="I585" s="74"/>
      <c r="J585" s="73"/>
      <c r="K585" s="74"/>
      <c r="L585" s="74"/>
      <c r="M585" s="74"/>
      <c r="N585" s="74"/>
      <c r="O585" s="74"/>
      <c r="P585" s="73"/>
    </row>
    <row r="586" spans="1:16" s="71" customFormat="1" ht="15.75">
      <c r="A586" s="50"/>
      <c r="B586" s="72"/>
      <c r="C586" s="50"/>
      <c r="D586" s="50"/>
      <c r="E586" s="73"/>
      <c r="F586" s="74"/>
      <c r="G586" s="74"/>
      <c r="H586" s="74"/>
      <c r="I586" s="74"/>
      <c r="J586" s="73"/>
      <c r="K586" s="74"/>
      <c r="L586" s="74"/>
      <c r="M586" s="74"/>
      <c r="N586" s="74"/>
      <c r="O586" s="74"/>
      <c r="P586" s="73"/>
    </row>
    <row r="587" spans="1:16" s="71" customFormat="1" ht="15.75">
      <c r="A587" s="50"/>
      <c r="B587" s="72"/>
      <c r="C587" s="50"/>
      <c r="D587" s="50"/>
      <c r="E587" s="73"/>
      <c r="F587" s="74"/>
      <c r="G587" s="74"/>
      <c r="H587" s="74"/>
      <c r="I587" s="74"/>
      <c r="J587" s="73"/>
      <c r="K587" s="74"/>
      <c r="L587" s="74"/>
      <c r="M587" s="74"/>
      <c r="N587" s="74"/>
      <c r="O587" s="74"/>
      <c r="P587" s="73"/>
    </row>
    <row r="588" spans="1:16" s="71" customFormat="1" ht="15.75">
      <c r="A588" s="50"/>
      <c r="B588" s="72"/>
      <c r="C588" s="50"/>
      <c r="D588" s="50"/>
      <c r="E588" s="73"/>
      <c r="F588" s="74"/>
      <c r="G588" s="74"/>
      <c r="H588" s="74"/>
      <c r="I588" s="74"/>
      <c r="J588" s="73"/>
      <c r="K588" s="74"/>
      <c r="L588" s="74"/>
      <c r="M588" s="74"/>
      <c r="N588" s="74"/>
      <c r="O588" s="74"/>
      <c r="P588" s="73"/>
    </row>
    <row r="589" spans="1:16" s="71" customFormat="1" ht="15.75">
      <c r="A589" s="50"/>
      <c r="B589" s="72"/>
      <c r="C589" s="50"/>
      <c r="D589" s="50"/>
      <c r="E589" s="73"/>
      <c r="F589" s="74"/>
      <c r="G589" s="74"/>
      <c r="H589" s="74"/>
      <c r="I589" s="74"/>
      <c r="J589" s="73"/>
      <c r="K589" s="74"/>
      <c r="L589" s="74"/>
      <c r="M589" s="74"/>
      <c r="N589" s="74"/>
      <c r="O589" s="74"/>
      <c r="P589" s="73"/>
    </row>
    <row r="590" spans="1:16" s="71" customFormat="1" ht="15.75">
      <c r="A590" s="50"/>
      <c r="B590" s="72"/>
      <c r="C590" s="50"/>
      <c r="D590" s="50"/>
      <c r="E590" s="73"/>
      <c r="F590" s="74"/>
      <c r="G590" s="74"/>
      <c r="H590" s="74"/>
      <c r="I590" s="74"/>
      <c r="J590" s="73"/>
      <c r="K590" s="74"/>
      <c r="L590" s="74"/>
      <c r="M590" s="74"/>
      <c r="N590" s="74"/>
      <c r="O590" s="74"/>
      <c r="P590" s="73"/>
    </row>
    <row r="591" spans="1:16" s="71" customFormat="1" ht="15.75">
      <c r="A591" s="50"/>
      <c r="B591" s="72"/>
      <c r="C591" s="50"/>
      <c r="D591" s="50"/>
      <c r="E591" s="73"/>
      <c r="F591" s="74"/>
      <c r="G591" s="74"/>
      <c r="H591" s="74"/>
      <c r="I591" s="74"/>
      <c r="J591" s="73"/>
      <c r="K591" s="74"/>
      <c r="L591" s="74"/>
      <c r="M591" s="74"/>
      <c r="N591" s="74"/>
      <c r="O591" s="74"/>
      <c r="P591" s="73"/>
    </row>
    <row r="592" spans="1:16" s="71" customFormat="1" ht="15.75">
      <c r="A592" s="50"/>
      <c r="B592" s="72"/>
      <c r="C592" s="50"/>
      <c r="D592" s="50"/>
      <c r="E592" s="73"/>
      <c r="F592" s="74"/>
      <c r="G592" s="74"/>
      <c r="H592" s="74"/>
      <c r="I592" s="74"/>
      <c r="J592" s="73"/>
      <c r="K592" s="74"/>
      <c r="L592" s="74"/>
      <c r="M592" s="74"/>
      <c r="N592" s="74"/>
      <c r="O592" s="74"/>
      <c r="P592" s="73"/>
    </row>
    <row r="593" spans="1:16" s="71" customFormat="1" ht="15.75">
      <c r="A593" s="50"/>
      <c r="B593" s="72"/>
      <c r="C593" s="50"/>
      <c r="D593" s="50"/>
      <c r="E593" s="73"/>
      <c r="F593" s="74"/>
      <c r="G593" s="74"/>
      <c r="H593" s="74"/>
      <c r="I593" s="74"/>
      <c r="J593" s="73"/>
      <c r="K593" s="74"/>
      <c r="L593" s="74"/>
      <c r="M593" s="74"/>
      <c r="N593" s="74"/>
      <c r="O593" s="74"/>
      <c r="P593" s="73"/>
    </row>
    <row r="594" spans="1:16" s="71" customFormat="1" ht="15.75">
      <c r="A594" s="50"/>
      <c r="B594" s="72"/>
      <c r="C594" s="50"/>
      <c r="D594" s="50"/>
      <c r="E594" s="73"/>
      <c r="F594" s="74"/>
      <c r="G594" s="74"/>
      <c r="H594" s="74"/>
      <c r="I594" s="74"/>
      <c r="J594" s="73"/>
      <c r="K594" s="74"/>
      <c r="L594" s="74"/>
      <c r="M594" s="74"/>
      <c r="N594" s="74"/>
      <c r="O594" s="74"/>
      <c r="P594" s="73"/>
    </row>
    <row r="595" spans="1:16" s="71" customFormat="1" ht="15.75">
      <c r="A595" s="50"/>
      <c r="B595" s="72"/>
      <c r="C595" s="50"/>
      <c r="D595" s="50"/>
      <c r="E595" s="73"/>
      <c r="F595" s="74"/>
      <c r="G595" s="74"/>
      <c r="H595" s="74"/>
      <c r="I595" s="74"/>
      <c r="J595" s="73"/>
      <c r="K595" s="74"/>
      <c r="L595" s="74"/>
      <c r="M595" s="74"/>
      <c r="N595" s="74"/>
      <c r="O595" s="74"/>
      <c r="P595" s="73"/>
    </row>
    <row r="596" spans="1:16" s="71" customFormat="1" ht="15.75">
      <c r="A596" s="50"/>
      <c r="B596" s="72"/>
      <c r="C596" s="50"/>
      <c r="D596" s="50"/>
      <c r="E596" s="73"/>
      <c r="F596" s="74"/>
      <c r="G596" s="74"/>
      <c r="H596" s="74"/>
      <c r="I596" s="74"/>
      <c r="J596" s="73"/>
      <c r="K596" s="74"/>
      <c r="L596" s="74"/>
      <c r="M596" s="74"/>
      <c r="N596" s="74"/>
      <c r="O596" s="74"/>
      <c r="P596" s="73"/>
    </row>
  </sheetData>
  <sheetProtection/>
  <mergeCells count="29">
    <mergeCell ref="P10:P13"/>
    <mergeCell ref="I11:I13"/>
    <mergeCell ref="E11:E13"/>
    <mergeCell ref="J10:O10"/>
    <mergeCell ref="E10:I10"/>
    <mergeCell ref="J11:J13"/>
    <mergeCell ref="K11:K13"/>
    <mergeCell ref="G12:G13"/>
    <mergeCell ref="G11:H11"/>
    <mergeCell ref="L11:M11"/>
    <mergeCell ref="C10:C13"/>
    <mergeCell ref="O12:O13"/>
    <mergeCell ref="F11:F13"/>
    <mergeCell ref="B68:B69"/>
    <mergeCell ref="C68:C69"/>
    <mergeCell ref="N11:N13"/>
    <mergeCell ref="H12:H13"/>
    <mergeCell ref="L12:L13"/>
    <mergeCell ref="M12:M13"/>
    <mergeCell ref="B258:H258"/>
    <mergeCell ref="M258:P258"/>
    <mergeCell ref="L2:O2"/>
    <mergeCell ref="L5:P5"/>
    <mergeCell ref="C257:E257"/>
    <mergeCell ref="M257:O257"/>
    <mergeCell ref="L6:P6"/>
    <mergeCell ref="B8:P8"/>
    <mergeCell ref="B10:B13"/>
    <mergeCell ref="D10:D13"/>
  </mergeCells>
  <printOptions horizontalCentered="1"/>
  <pageMargins left="0.1968503937007874" right="0.1968503937007874" top="0.7086614173228347" bottom="0.5118110236220472" header="0.5118110236220472" footer="0.2362204724409449"/>
  <pageSetup fitToHeight="9" horizontalDpi="600" verticalDpi="600" orientation="landscape" paperSize="9" scale="40" r:id="rId1"/>
  <headerFooter alignWithMargins="0">
    <oddFooter xml:space="preserve">&amp;R&amp;22Сторінка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2017-06-23T08:43:33Z</cp:lastPrinted>
  <dcterms:created xsi:type="dcterms:W3CDTF">2014-01-17T10:52:16Z</dcterms:created>
  <dcterms:modified xsi:type="dcterms:W3CDTF">2017-06-23T11:14:15Z</dcterms:modified>
  <cp:category/>
  <cp:version/>
  <cp:contentType/>
  <cp:contentStatus/>
</cp:coreProperties>
</file>