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40" windowWidth="9720" windowHeight="6900" tabRatio="913" activeTab="3"/>
  </bookViews>
  <sheets>
    <sheet name="дод 1" sheetId="1" r:id="rId1"/>
    <sheet name="дод 2.8 Кап Благоустр" sheetId="2" r:id="rId2"/>
    <sheet name="дод 2.1 Трансп" sheetId="3" r:id="rId3"/>
    <sheet name="дод 2.18 статут" sheetId="4" r:id="rId4"/>
    <sheet name="дод 2.11 Вода" sheetId="5" r:id="rId5"/>
    <sheet name="дод 2.24 Цільов фонд" sheetId="6" r:id="rId6"/>
    <sheet name="дод 2.5 сан очис" sheetId="7" r:id="rId7"/>
    <sheet name="дод 2.10 Святкові" sheetId="8" r:id="rId8"/>
  </sheets>
  <externalReferences>
    <externalReference r:id="rId11"/>
    <externalReference r:id="rId12"/>
  </externalReferences>
  <definedNames>
    <definedName name="_xlnm.Print_Area" localSheetId="0">'дод 1'!$A$1:$S$48</definedName>
    <definedName name="_xlnm.Print_Area" localSheetId="2">'дод 2.1 Трансп'!$A$1:$H$43</definedName>
    <definedName name="_xlnm.Print_Area" localSheetId="7">'дод 2.10 Святкові'!$A$1:$K$40</definedName>
    <definedName name="_xlnm.Print_Area" localSheetId="3">'дод 2.18 статут'!$A$1:$M$204</definedName>
  </definedNames>
  <calcPr fullCalcOnLoad="1"/>
</workbook>
</file>

<file path=xl/sharedStrings.xml><?xml version="1.0" encoding="utf-8"?>
<sst xmlns="http://schemas.openxmlformats.org/spreadsheetml/2006/main" count="710" uniqueCount="373">
  <si>
    <t xml:space="preserve">Поповнення статутного капіталу  КП "Зелене будівництво" СМР, а саме                                    </t>
  </si>
  <si>
    <t>Поповнення статутного капіталу  КП "Зелене будівництво" СМР (придбання Автобуса)</t>
  </si>
  <si>
    <t>Поповнення статутного капіталу  КП "Зелене будівництво" СМР (капітальний ремонт теплиці)</t>
  </si>
  <si>
    <t>Поповнення статутного капіталу КП ЕЗО «Міськсвітло» СМР, а саме:</t>
  </si>
  <si>
    <t xml:space="preserve">Поповнення статутного капіталу КП ЕЗО «Міськсвітло» СМР (придбання крану автомобільного МАЗ) </t>
  </si>
  <si>
    <t xml:space="preserve">Поповнення статутного капіталу КП ЕЗО «Міськсвітло» СМР (придбання 2-х автовишок АП) </t>
  </si>
  <si>
    <t xml:space="preserve">Поповнення статутного капіталу КП ЕЗО «Міськсвітло» СМР (капітальний ремонт автотранспорту) </t>
  </si>
  <si>
    <t>Поповнення статутного капіталу КП «Сумижилкомсервіс» СМР (придбання сміттєвоза )</t>
  </si>
  <si>
    <t>Поповнення статутного капіталу  КП «Сумижилкомсервіс» СМР (придбання самоскида)</t>
  </si>
  <si>
    <t>Поповнення статутного капіталу  КП «Сумижилкомсервіс» СМР (придбання фронтального навантажувача  )</t>
  </si>
  <si>
    <t>Поповнення статутного капіталу  КП «Сумижилкомсервіс» СМР (придбання компактора для ущільнення ТПВ )</t>
  </si>
  <si>
    <t>Поповнення статутного капіталу  КП "Сумикомунінвест" СМР, а саме:</t>
  </si>
  <si>
    <t>Поповнення статутного капіталу  КП "Сумикомунінвест" СМР (встановлення дитячого та спортивного майданчиків на території на території парку "Казка" )</t>
  </si>
  <si>
    <t>Поповнення статутного капіталу  КП "Спецкомбінат" СМР , а саме:</t>
  </si>
  <si>
    <t>Поповнення статутного капіталу  КП "Спецкомбінат" СМР (придбання 2-х автобусів )</t>
  </si>
  <si>
    <t>Поповнення статутного капіталу КП "Спецкомбінат" СМР (придбання Автовишки АП )</t>
  </si>
  <si>
    <t>Поповнення статутного капіталу  КП "Спецкомбінат" СМР (придбання Автокрану )</t>
  </si>
  <si>
    <t>Поповнення статутного капіталу  КП "Спецкомбінат" СМР (придбання Екскаватора)</t>
  </si>
  <si>
    <t>Поповнення статутного капіталу  КП "Спецкомбінат" СМР (придбання трактора зі щіткою )</t>
  </si>
  <si>
    <t>Поповнення статутного капіталу  КП "Спецкомбінат" СМР (придбання Самоскида)</t>
  </si>
  <si>
    <t>Поповнення статутного капіталу  КП "Спецкомбінат" СМР (придбання щітки комунальної до трактора )</t>
  </si>
  <si>
    <t>Поповнення статутного капіталу КП "Спецкомбінат" СМР (придбання Автомобіля )</t>
  </si>
  <si>
    <t>Поповнення статутного капіталу  КП "Спецкомбінат" СМР (придбання відвалу переднього до трактора)</t>
  </si>
  <si>
    <t>Поповнення статутного капіталу  КП "Спецкомбінат" СМР (придбання Сміттєвоза)</t>
  </si>
  <si>
    <t>Поповнення статутного капіталу  КП "Спецкомбінат" СМР (Встановлення стаціонарних туалетів на кладовищах)</t>
  </si>
  <si>
    <t>Поповнення статутного капіталу  КП "Спецкомбінат" СМР (Улаштування пункту мийки та дезинфекції автобусів спецслужби)</t>
  </si>
  <si>
    <t>Поповнення статутного капіталу  КП "Сумитеплоенергоцентраль" СМР , а саме:</t>
  </si>
  <si>
    <t>Поповнення статутного капіталу  КП "Спецкомбінат" СМР (Встановлення металопрофільної огорожі на кладовищах)</t>
  </si>
  <si>
    <t>Поповнення статутного капіталу  КП "Сумитеплоенергоцентраль" СМР (придбання Ескаватор JCB 3CX Sitemaster)</t>
  </si>
  <si>
    <t>Поповнення статутного капіталу  КП "Сумитеплоенергоцентраль" СМР (придбання Газель ГАЗ 330273  4х4)</t>
  </si>
  <si>
    <t>Поповнення статутного капіталу  КП "Сумитеплоенергоцентраль" СМР (придбання автомобиль ЗАЗ Forza седан)</t>
  </si>
  <si>
    <t>Поповнення статутного капіталу КП "Міськводоканал" СМР (придбання аварійно-ремонтний автомобіль АСАМ-22 на базі шасі МАЗ 4371 Евро 5)</t>
  </si>
  <si>
    <t>Поповнення статутного капіталу КП "Міськводоканал" СМР (придбання система телеінспекції SX-1500)</t>
  </si>
  <si>
    <t>Поповнення статутного капіталу  КП "Міськводоканал" СМР (мулососний автомобіль КО-503 ІВ-12 на шасі МАЗ-5340)</t>
  </si>
  <si>
    <t>Поповнення статутного капіталу КП "Міськводоканал" СМР (придбання машина для транспортування питної води на базі МАЗ-4371Р2 (5 м3)</t>
  </si>
  <si>
    <t>Поповнення статутного капіталу КП "Міськводоканал" СМР (придбання автокран КС 45729 на шасі МАЗ-5340, в/п 16 тн)</t>
  </si>
  <si>
    <t>Поповнення статутного капіталу КП "Міськводоканал" СМР (придбання самоскид КРАЗ-65055)</t>
  </si>
  <si>
    <t>Поповнення статутного капіталу КП "Міськводоканал" СМР (придбання автобус МАЗ-209, Евро-5)</t>
  </si>
  <si>
    <t>Поповнення статутного капіталу КП "Міськводоканал" СМР (придбання автомобіль для лабораторії по відбору аналізів чистої води та стоків Fiat Doblo Комбі)</t>
  </si>
  <si>
    <t>Поповнення статутного капіталу КП "Міськводоканал" СМР (придбання екскаватор JCB JS175 W)</t>
  </si>
  <si>
    <t>Поповнення статутного капіталу КП "Міськводоканал" СМР (придбання автомобіль ГАЗ-33023-244)</t>
  </si>
  <si>
    <t>Поповнення статутного капіталу КП "Міськводоканал" СМР (придбання флуорометр)</t>
  </si>
  <si>
    <t>Поповнення статутного капіталу КП "Міськводоканал" СМР (придбання рідинний хроматограф)</t>
  </si>
  <si>
    <t>Поповнення статутного капіталу КП "Міськводоканал" СМР (придбання газовий хроматограф)</t>
  </si>
  <si>
    <t>Поповнення статутного капіталу КП "Міськводоканал" СМР (заміна трансформаторів силових на об'єктах ТС3-250/6-УЗ 6/0,4)</t>
  </si>
  <si>
    <t>Поповнення статутного капіталу КП "Міськводоканал" СМР (заміна трансформаторів силових на об'єктах ТС3-630/6-УЗ 6/0,4)</t>
  </si>
  <si>
    <t>Поповнення статутного капіталу КП "Міськводоканал" СМР (Реконструкція міських очисних споруд)</t>
  </si>
  <si>
    <t>Поповнення статутного капіталу КП "Міськводоканал" СМР (Капітальний ремонт сталевого водоводу Д 300 мм від Ново-Оболонського водозабору  до вул. Роменської)</t>
  </si>
  <si>
    <t>Поповнення статутного капіталу КП "Міськводоканал" СМР (Капітальний ремонт самотічної каналізаційної мережі Д 300 мм по вул. Р.Корсакова від вул. Августовської до вул. Борової)</t>
  </si>
  <si>
    <t>Поповнення статутного капіталу КП "Міськводоканал" СМР (Реконструкція каналізаційної мережі з перемиканням КНС-4 на самотічному колекторі по вул.Білопільський шлях до вул.Косаренко)</t>
  </si>
  <si>
    <t>Поповнення статутного капіталу КП "Міськводоканал" СМР (Огородження територіі І поясу зони санітарної охорони водозаборних станцій та окремо збудованих свердловин на Сумському родовищі підземних вод водозабору)</t>
  </si>
  <si>
    <t>Поповнення статутного капіталу КП "Сумижилкомсервіс" СМР, а саме:</t>
  </si>
  <si>
    <t>Поповнення статутного капіталу  КП "Спецкомбінат" СМР (Встановлення 12  металевих воріт на кладовищах)</t>
  </si>
  <si>
    <t>Всього:</t>
  </si>
  <si>
    <t>№ п/п</t>
  </si>
  <si>
    <t>О.М.Лисенко</t>
  </si>
  <si>
    <t>комунального господарства міста Суми</t>
  </si>
  <si>
    <t>У тому числі за роками</t>
  </si>
  <si>
    <t>2015 рік</t>
  </si>
  <si>
    <t>2016 рік</t>
  </si>
  <si>
    <t>2017 рік</t>
  </si>
  <si>
    <t>2013 рік</t>
  </si>
  <si>
    <t>до  рішення Сумської міської ради</t>
  </si>
  <si>
    <t>програми  реформування і розвитку житлово-</t>
  </si>
  <si>
    <t>тис.грн.</t>
  </si>
  <si>
    <t xml:space="preserve">Основні завдання Програми </t>
  </si>
  <si>
    <t>Обсяг ресурсів, усього</t>
  </si>
  <si>
    <t>в тому числі</t>
  </si>
  <si>
    <t>державний бюджет</t>
  </si>
  <si>
    <t>обласний бюджет</t>
  </si>
  <si>
    <t>міський бюджет</t>
  </si>
  <si>
    <t xml:space="preserve">Ресурсне забезпечення виконання Комплексної цільової програми реформування і розвитку житлово-комунального господарства міста Суми на період до 2017 року </t>
  </si>
  <si>
    <t xml:space="preserve">Проведення ремонту об'єктів транспортної інфраструктури  </t>
  </si>
  <si>
    <t xml:space="preserve">Забезпечення функціонування мереж зовнішнього освітлення </t>
  </si>
  <si>
    <t>Забезпечення санітарної  очистки території</t>
  </si>
  <si>
    <t xml:space="preserve">Поточний ремонт та утримання в належному стані об'єктів благоустрою </t>
  </si>
  <si>
    <t>Забезпечення сприятливих умов для співіснування людей та тварин</t>
  </si>
  <si>
    <t xml:space="preserve">Капітальний ремонт та утримання в належному стані об'єктів благоустрою </t>
  </si>
  <si>
    <t>Забезпечення святкового оформлення міста до пам'ятних та історичних дат, культурно-мистетцьких, релігійних та інших  заходів</t>
  </si>
  <si>
    <t>Забезпечення функціонування водопровідно-каналізаційного господарства</t>
  </si>
  <si>
    <t>Додаток 1</t>
  </si>
  <si>
    <t>___________________</t>
  </si>
  <si>
    <t xml:space="preserve">«Провнесення змін до Комплексної цільової </t>
  </si>
  <si>
    <t xml:space="preserve">Заходи із землеустрою міста Суми </t>
  </si>
  <si>
    <t xml:space="preserve"> на 2015- 2017 роки» (зі змінами)</t>
  </si>
  <si>
    <t xml:space="preserve">від 29 квітня 2015 року № 4272 -МР </t>
  </si>
  <si>
    <t>Виконавець: Яременко Г. І.</t>
  </si>
  <si>
    <t xml:space="preserve">Забезпечення функціонування об'єктів житлово-комунального господарства міста Суми </t>
  </si>
  <si>
    <t>Встановлення лічильників теплової енергії на житлових будинках</t>
  </si>
  <si>
    <t>Заходи по розробці схем та проектних рішень масового застосування міста Суми</t>
  </si>
  <si>
    <t>Створення сприятливих умов проживання населення та забезпечення надання життєво необхідних послуг</t>
  </si>
  <si>
    <t>Забезпечення зміцнення матеріально-технічної бази підприємств комунальної форми власності міста Суми на період до 2017 року</t>
  </si>
  <si>
    <t>Впровадження енергозберігаючих заходів</t>
  </si>
  <si>
    <t>Забезпечення надійного та безперебійного функціонування житлово-експлуатаційного господарства</t>
  </si>
  <si>
    <t>до рішення Сумської міської ради</t>
  </si>
  <si>
    <t>Найменування заходу</t>
  </si>
  <si>
    <t>Джерела фінансування</t>
  </si>
  <si>
    <t>Загальні витрати тис. грн.</t>
  </si>
  <si>
    <t>Відповідальний за виконання заходу</t>
  </si>
  <si>
    <t>Міський бюджет</t>
  </si>
  <si>
    <t>Виконавець: Яременко Г.І.</t>
  </si>
  <si>
    <t>Надання  бюджетних позичок на поворотній основі</t>
  </si>
  <si>
    <t>Капітальний ремонт об'єктів житлового господарства міста Суми</t>
  </si>
  <si>
    <t>власні кошти підприємства</t>
  </si>
  <si>
    <t>Поводження з твердими побутовими відходами</t>
  </si>
  <si>
    <t>Сумський міський голова</t>
  </si>
  <si>
    <t xml:space="preserve">Додаток </t>
  </si>
  <si>
    <t xml:space="preserve">"Про внесення змін та доповнень до </t>
  </si>
  <si>
    <t xml:space="preserve">«Про внесення змін до Комплексної </t>
  </si>
  <si>
    <t xml:space="preserve">Комплексної цільової програми  реформування і </t>
  </si>
  <si>
    <t xml:space="preserve">цільової  програми  реформування і розвитку </t>
  </si>
  <si>
    <t>розвитку житлово-комунального господарства</t>
  </si>
  <si>
    <t>житлово-комунального господарства міста Суми</t>
  </si>
  <si>
    <t>м.Суми на 2011 - 2014 роки (зі змінами)"</t>
  </si>
  <si>
    <t>на 2015 - 2017 роки» (зі змінами)</t>
  </si>
  <si>
    <t>від ____________2012 року №                   -МР</t>
  </si>
  <si>
    <t>тис. грн.</t>
  </si>
  <si>
    <t>2008 рік</t>
  </si>
  <si>
    <t>2009 рік</t>
  </si>
  <si>
    <t>2010 рік</t>
  </si>
  <si>
    <t>2017рік</t>
  </si>
  <si>
    <t>О.М. Лисенко</t>
  </si>
  <si>
    <t>Департамент інфраструктури міста Сумської міської ради та інші суб'єкти господарювання</t>
  </si>
  <si>
    <t>Збереження та утримання на належному рівні зеленої зони міста Суми та поліпшення його екологічних умов, організація громадських робіт</t>
  </si>
  <si>
    <t xml:space="preserve">Забезпечення благоустрою  кладовищ, діяльності спецслужби, поховання безрідних та функціонування громадських вбиралень, організація громадських робіт </t>
  </si>
  <si>
    <t>№ з/п</t>
  </si>
  <si>
    <t>Повернення бюджетних позичок на поворотній основі</t>
  </si>
  <si>
    <t>Цільовий фонд, утворений Сумською міською радою</t>
  </si>
  <si>
    <t>"Про внесення змін до Комплексної цільової</t>
  </si>
  <si>
    <t xml:space="preserve"> програми  реформування і розвитку житлово-</t>
  </si>
  <si>
    <t>на 2015 - 2017 роки" (зі змінами)</t>
  </si>
  <si>
    <t>Будівництво та реконструкція вулично-дорожньої мережі</t>
  </si>
  <si>
    <t>Управління житлової політики, комунального господарства та благоустрою, КП Шляхрембуд</t>
  </si>
  <si>
    <t>Капітальний ремонт  мостів та шляхопроводів</t>
  </si>
  <si>
    <t xml:space="preserve"> - утримання зливної каналізації</t>
  </si>
  <si>
    <t>Управління житлової політики, комунального господарства та благоустрою СМР, КП "Шляхрембуд" СМР та ішні суб'єкти господарювання</t>
  </si>
  <si>
    <t xml:space="preserve"> - утримання мостів і шляхопроводів</t>
  </si>
  <si>
    <t xml:space="preserve"> - утримання міських доріг, у т.ч..:</t>
  </si>
  <si>
    <t>Фінансовий лізинг оренди обладнання</t>
  </si>
  <si>
    <t>Придбання нового асфальтобетонного заводу</t>
  </si>
  <si>
    <t>Департамент інфраструктури міста Сумської міської ради</t>
  </si>
  <si>
    <t>__________________</t>
  </si>
  <si>
    <t>Капітальний ремонт та утримання в належному стані об'єктів благоустрою міста Суми на період до 2017 року</t>
  </si>
  <si>
    <t>Капітальний ремонт фонтанів по місту</t>
  </si>
  <si>
    <t>Капітальний ремонт парків та скверів по місту</t>
  </si>
  <si>
    <t>Капітальний ремонт туалету в сквері "Дружба"</t>
  </si>
  <si>
    <t>Капітальний ремонт туалету на території дитячого парку "Казка"</t>
  </si>
  <si>
    <t>Встановлення металопрофільної огорожі на кладовищах міста</t>
  </si>
  <si>
    <t>Капітальний ремонт-улаштування  перильного огородження по вул.Іллінській (напроти скв. Покровського)</t>
  </si>
  <si>
    <t>Капітальний ремонт пішохідних доріжок парку "Казка"</t>
  </si>
  <si>
    <t>Капітальний ремонт - улаштування перильного огородження по вулиці Першотравнева (в районі приміського автовокзалу)</t>
  </si>
  <si>
    <t>Капітальний ремонт - улаштування поручнів для маломобільних груп населення на схилі від вулиці Псільської до річки Псел</t>
  </si>
  <si>
    <t>Капітальний ремонт підпірної стінки скверу Супруна по вулиці Троїцькій</t>
  </si>
  <si>
    <t>Поточний ремонт покриття та перил пішохідного мосту з вул.Лугової до вул.Нижньохолодногірська</t>
  </si>
  <si>
    <t xml:space="preserve">Облаштування зон відпочинку </t>
  </si>
  <si>
    <t xml:space="preserve">                     Додаток 2</t>
  </si>
  <si>
    <t>Проведення ремонту об'єктів транспортної інфраструктури  м.Суми на період до 2017 року</t>
  </si>
  <si>
    <t>Забезпечення проведення капітального ремонту вулично-дорожньої мережі та штучних споруд</t>
  </si>
  <si>
    <t>Управління капітального будівництва та дорожнього господарства СМР, КП "Шляхрембуд" СМР та ішні суб'єкти господарювання</t>
  </si>
  <si>
    <t>Забезпечення проведення поточного ремонту вулично-дорожньої мережі та штучних споруд</t>
  </si>
  <si>
    <t>Забезпечення проведення утримання вулично-дорожньої мережі та штучних споруд</t>
  </si>
  <si>
    <t>Проведення обстеження та випробування шляхопроводу по вул. Привокзальній</t>
  </si>
  <si>
    <t xml:space="preserve">Проведення обстеження та випробування мостів і шляхопроводів по місту </t>
  </si>
  <si>
    <t>Забезпечення проведення поточного ремонту проїздів, тротуарів, внутрішньоквартальних проїзних доріг</t>
  </si>
  <si>
    <t>Забезпечення проведення капітального ремонту  проїздів, внутрішньоквартальних проїзних доріг та тротуарів</t>
  </si>
  <si>
    <t>Будівництво об'єктів транспортної інфраструктури</t>
  </si>
  <si>
    <t>Забезпечення проведення ремонту та обслуговування технічних засобів регулювання дорожнім рухом</t>
  </si>
  <si>
    <t>Електроенергія для безперебійної роботи світлофорних об'єктів</t>
  </si>
  <si>
    <t xml:space="preserve">Управління капітального будівництва та дорожнього господарства СМР, КП "Шляхрембуд" СМР </t>
  </si>
  <si>
    <t xml:space="preserve">Забезпечення проведення ремонту мостів і шляхопроводів по місту </t>
  </si>
  <si>
    <t xml:space="preserve">житлово-комунального господарства м.Суми </t>
  </si>
  <si>
    <t>на  2015 - 2017 роки» (зі змінами)</t>
  </si>
  <si>
    <t>Потреба коштів всього тис. грн.</t>
  </si>
  <si>
    <t>Улаштування дитячих майданчиків</t>
  </si>
  <si>
    <t>Виконавець: Г.І. Яременко</t>
  </si>
  <si>
    <t>Власні кошти підприємства</t>
  </si>
  <si>
    <t>Поповнення статутного капіталу КП "Міськводоканал" СМР, а саме:</t>
  </si>
  <si>
    <t xml:space="preserve">Департамент інфраструктури міста Сумської міської ради, КП "Міськводоканал" СМР </t>
  </si>
  <si>
    <t xml:space="preserve">придбання Крану 25 т, виліт стріли 21-23м </t>
  </si>
  <si>
    <t xml:space="preserve">придбання КО-512 (для роботи в зимовий період) </t>
  </si>
  <si>
    <t>придбання автомобіля муловсмоктувального КО-503 ІВ-12 на шасі МАЗ 5340, Євро-5</t>
  </si>
  <si>
    <t>придбання Екскаватора JCB 4СХ SITEMASTER</t>
  </si>
  <si>
    <t>придбання Бульдозера (для кагатування відходів очисних)</t>
  </si>
  <si>
    <t xml:space="preserve">придбання Гідравлічної станції  </t>
  </si>
  <si>
    <t>придбання автомобіля "ГАЗЕЛЬ" (бортова)</t>
  </si>
  <si>
    <t>Ппридбання автомобіля "ГАЗЕЛЬ" (вантажопасажирська)</t>
  </si>
  <si>
    <t>Поповнення статутного фонду КП  "Міськводоканал" СМР (придбання Мулососа ИЛ-980-КО 510)</t>
  </si>
  <si>
    <t>придбання аналізатора рідини Флюорат-02-5М</t>
  </si>
  <si>
    <t>придбання атомно-емісійного оптичного спектометра з індукційно-зв'язаною плазмою іСАР 7000 компанії Thermo Fisher Scientific</t>
  </si>
  <si>
    <t>придбання Насос  дизельний  самовсмоктуючий JD6-250 G10 FKL 10 TRAILER Padova Varisco S.p.A</t>
  </si>
  <si>
    <t>придбання Генератора зварювальний Gen Set MPM 15/400 IC-L     - 2 одиниці</t>
  </si>
  <si>
    <t xml:space="preserve"> придбання насосних агрегатів (для каналізаційно-насосної станції) з шафою керування</t>
  </si>
  <si>
    <t xml:space="preserve"> придбання насосних агрегатів (для мулонасосної станції на міських очисних спорудах з двигуном 55 кВт з шафою керування)</t>
  </si>
  <si>
    <t xml:space="preserve">  придбання насосу GDB 2.07.1.1110 з двигуном SMR.10-132 кВт)</t>
  </si>
  <si>
    <t>придбання насосних агрегатів (для свердловин (з двигуном 5,5 кВт) з шафами керування насосів</t>
  </si>
  <si>
    <t xml:space="preserve"> придбання насосних агрегатів (для свердловин (з двигуном 30 кВт) з шафами керування насосів</t>
  </si>
  <si>
    <t>облаштування огорожі водозабірних станцій та окремо збудованих свердловин (5160 п.м. огорожі та 10 воріт)</t>
  </si>
  <si>
    <t>влаштування решіток на очисних спорудах  КП «Міськводоканал»  СМР</t>
  </si>
  <si>
    <t>придбання насос агрегатний типу АНД-100</t>
  </si>
  <si>
    <t>придбання віброплити  МV90</t>
  </si>
  <si>
    <t>придбання спектрофотометра UV-5100В</t>
  </si>
  <si>
    <t xml:space="preserve">придбання Спеціальний автомобіль </t>
  </si>
  <si>
    <t>Проведення капітального ремонту сталевої ділянки Д 500 мм до внутрішніх мереж Тополянської водонасосної станції</t>
  </si>
  <si>
    <t>Поповнення статутного капіталу КП "Зелене будівництво" СМР, а саме:</t>
  </si>
  <si>
    <t xml:space="preserve">Департамент інфраструктури міста Сумської міської ради, КП "Зелене будівництво" СМР </t>
  </si>
  <si>
    <t>придбання Поливомийної машини</t>
  </si>
  <si>
    <t>придбання Автопідіймача з висотою підйому 28-30 м</t>
  </si>
  <si>
    <t>придбання Автобуса ПАЗ</t>
  </si>
  <si>
    <t>придбання бензопили Stihl MS 661</t>
  </si>
  <si>
    <t>придбання бензопили Stihl MS 440</t>
  </si>
  <si>
    <t>придбання газонокосарки Stihl FS в кількості 6 одиниць</t>
  </si>
  <si>
    <t>придбання насадки до мотоблоку "Снігоприбиральник Нева"</t>
  </si>
  <si>
    <t>придбання пили ланцюгової Makita UC 4051А</t>
  </si>
  <si>
    <t>придбання водонагрівача Atlantic OPRO TURBO VM 100 D400-2-B 2500W з комплектом підключення</t>
  </si>
  <si>
    <t>придбання системного блоку на базі процесора 1150 core материнська плата 1150, DDR3</t>
  </si>
  <si>
    <t>придбання ксероксу ч/б А4 Canon s-SENSYS MF3010 (5252В004/5252В015/5252В022) в кількості 2 одиниць</t>
  </si>
  <si>
    <t>придбання іншого обладнання</t>
  </si>
  <si>
    <t>проведення капітального ремонту танцювального майданчику в парку імені І.М. Кожедуба</t>
  </si>
  <si>
    <t>придбання "Подовжений Борт-Дует Газель"</t>
  </si>
  <si>
    <t>придбання біотуалетів</t>
  </si>
  <si>
    <t>придбання роторної косарки</t>
  </si>
  <si>
    <t>придбання дитячого ігрового майданчика</t>
  </si>
  <si>
    <t>придбання кущоріза бензинового</t>
  </si>
  <si>
    <t xml:space="preserve">Департамент інфраструктури міста Сумської міської ради, КП "СУМИЖИЛКОМСЕРВІС" СМР </t>
  </si>
  <si>
    <t xml:space="preserve">придбання бульдозера </t>
  </si>
  <si>
    <t xml:space="preserve">Газонокосарки </t>
  </si>
  <si>
    <t>придбання автомобіля КРАЗ</t>
  </si>
  <si>
    <t>придбання автомобіля Газель</t>
  </si>
  <si>
    <t>придбання бульдозера</t>
  </si>
  <si>
    <t>придбання навантажувача фронтального</t>
  </si>
  <si>
    <t>придбання повітряного компресора</t>
  </si>
  <si>
    <t>придбання дизель-генератора</t>
  </si>
  <si>
    <t>придбання трактора з навісним обладнанням</t>
  </si>
  <si>
    <t>проведення реконструкції полігону для складування ТПВ на території В.Бобрицької сільської ради Краснопільського району</t>
  </si>
  <si>
    <t>придбання навантажувального обладнання з ковшом до трактора</t>
  </si>
  <si>
    <t>придбання бензинового генератора</t>
  </si>
  <si>
    <t>Поповнення статутного капіталу КП ЕЗО "Міськсвітло" СМР, а саме:</t>
  </si>
  <si>
    <t xml:space="preserve">Департамент інфраструктури міста Сумської міської ради, КП ЕЗО "Міськсвітло" СМР </t>
  </si>
  <si>
    <t>придбання Автовишки</t>
  </si>
  <si>
    <t xml:space="preserve">придбання Крану автомобільного </t>
  </si>
  <si>
    <t xml:space="preserve">капітальний ремонт автотранспорту </t>
  </si>
  <si>
    <t xml:space="preserve">придбання автогідропідйомника ВІПО-18 (з монтажем) </t>
  </si>
  <si>
    <t>Поповнення статутного фонду  КП "Сумикомунінвест" СМР , а саме:</t>
  </si>
  <si>
    <t xml:space="preserve">Департамент інфраструктури міста Сумської міської ради, КП "Сумикомунінвест" СМР </t>
  </si>
  <si>
    <t>придбання бензопили</t>
  </si>
  <si>
    <t>придбання газонокосарки</t>
  </si>
  <si>
    <t>придбання кущоріза</t>
  </si>
  <si>
    <t>Поповнення статутного капіталу КП "Спеціалізований комбінат" СМР, а саме:</t>
  </si>
  <si>
    <t xml:space="preserve">Департамент інфраструктури міста Сумської міської ради, КП "Спеціалізований комбінат" СМР </t>
  </si>
  <si>
    <t xml:space="preserve">придбання Автобуса </t>
  </si>
  <si>
    <t>придбання трактора (з отвалом та щіткою)</t>
  </si>
  <si>
    <t>придбання Екскаватора</t>
  </si>
  <si>
    <t>придбання Сміттєвоза</t>
  </si>
  <si>
    <t>придбання 2-х насосів WILO TS 50H 11/11-1-23ОА</t>
  </si>
  <si>
    <t>Поповнення статутного капіталу КП "Шляхрембуд" СМР, а саме:</t>
  </si>
  <si>
    <t xml:space="preserve">Управління капітального будівництва та дорожнього господарства Сумської міської ради, КП Шляхрембуд" СМР </t>
  </si>
  <si>
    <t>придбання автогрейдера</t>
  </si>
  <si>
    <t>придбання екскаватора-навантажувача</t>
  </si>
  <si>
    <t>придбання катка</t>
  </si>
  <si>
    <t>придбання автосамоскиду зі змінним обладнанням (літо/зима)</t>
  </si>
  <si>
    <t>придбання повітродуючого заплічного пристрою</t>
  </si>
  <si>
    <t>Поповнення статутного капіталу КП "Сумитеплоенергоцентраль" СМР, а саме:</t>
  </si>
  <si>
    <t xml:space="preserve">Департамент інфраструктури міста Сумської міської ради, КП "Сумиенергоцентраль" СМР </t>
  </si>
  <si>
    <t xml:space="preserve">Трактор </t>
  </si>
  <si>
    <t>погрузчик</t>
  </si>
  <si>
    <t>ковш</t>
  </si>
  <si>
    <t>щітка</t>
  </si>
  <si>
    <t>отвал</t>
  </si>
  <si>
    <t xml:space="preserve">підрібнювач деревини </t>
  </si>
  <si>
    <t>причеп</t>
  </si>
  <si>
    <t>Поповнення статутного капіталу КП "Сумитеплоенергоцентраль" СМР (придбання комп'ютерної та оргтехніки)</t>
  </si>
  <si>
    <t xml:space="preserve">Поповнення статутного фонду  КП «Сумижилкомсервіс» СМР </t>
  </si>
  <si>
    <t xml:space="preserve">Департамент інфраструктури міста Сумської міської ради, КП "Сумижилкомсервіс" СМР </t>
  </si>
  <si>
    <t>Поповнення статутного фонду  КП "Спецкомбінат" СМР (виготовлення технічної документації на будівництво побутових приміщень на Лучанському, Василівському, Парфірьєвському, Ганнівському кладовищах)</t>
  </si>
  <si>
    <t>Поповнення статутного фонду  КП "Сумитеплоенергоцентраль" СМР (придбання Грузовий автомобіль ГАЗ 3308-09 БОРТ)</t>
  </si>
  <si>
    <t>Поповнення статутного фонду КП "Міськводоканал" СМР (придбання аварійно-ремонтний автомобіль АСАМ-24 на базі шасі МАЗ 551(6516))</t>
  </si>
  <si>
    <t>Забезпечення належного облуговування каналізаційно-насосної станції за адресою: м. Суми, вул. Привокзальна,4/13</t>
  </si>
  <si>
    <t>Департамент інфраструктури міста Сумської міської ради, КП "Міськводоканал" СМР та інші суб'єкти господарювання</t>
  </si>
  <si>
    <t>Придбання водопровідних та каналізаційних люків</t>
  </si>
  <si>
    <t>Реставрація споруди "Альтанка"</t>
  </si>
  <si>
    <t>Капітальний ремонт - улаштування перильного огородження по пр. Шевченка біля моста через р.Сумку та по вул.8 Березня</t>
  </si>
  <si>
    <t>Забезпечення належного функціонування дитячого парку "Казка"</t>
  </si>
  <si>
    <t xml:space="preserve">Забезпечення належного функціонування КП "Сумижитло" СМР </t>
  </si>
  <si>
    <t>Забезпечення функціонування водопровідно-каналізаційного господарства міста Суми на період до 2017 року</t>
  </si>
  <si>
    <t>Розробка нормативів питного водопостачання для населення м. Суми</t>
  </si>
  <si>
    <t xml:space="preserve">Забезпечення охорони водозаборів та очисних споруд КП «Міськводоканал»  СМР, придбання матеріалів на капітальний  ремонт колекторів  та на створення аварійного запасу матеріальних цінностей, оплата частини заборгованості за спожиту електричну енергію </t>
  </si>
  <si>
    <t>Заміна пожежних гідрантів та оновлення покажчиків пожежних гідрантів по місту</t>
  </si>
  <si>
    <t>Розрахунок допустимих концентрацій (ДК) забруднюючих речовин в скидах стічних вод споживачів у каналізаційну мережу м. Суми</t>
  </si>
  <si>
    <t>Коригування Правил приймання стічних вод в систему каналізації м. Суми</t>
  </si>
  <si>
    <t>Додаток 7</t>
  </si>
  <si>
    <t>Поповнення статутного фонду  КП "Спецкомбінат" СМР (придбання штучної ялинки з ілюмінацією )</t>
  </si>
  <si>
    <t>Поповнення статутного капіталу КП "Міськводоканал" СМР (придбання затвори щітові поверхневі, які регулюються ручним приводом (ЗЩППР) в кількості  – 4 одиниці</t>
  </si>
  <si>
    <t xml:space="preserve">Поповнення статутного капіталу КП "Міськводоканал" СМР (Капітальний ремонт (переврізка) діючої каналізаційної мережі Д-600 мм по вул. Новомістенській) </t>
  </si>
  <si>
    <t>придбання асфальтозмішувальної установки</t>
  </si>
  <si>
    <t>Поповнення статутного капіталу  КП "Зелене будівництво" СМР  (придбання 2-х автомобілів самоскид)</t>
  </si>
  <si>
    <t>Поповнення статутного капіталу КП "Міськводоканал" СМР (Капітальний ремонт сталевого водовода   Д=200 мм на Ново-Оболонському  водозаборі)</t>
  </si>
  <si>
    <t>Поповнення статутного капіталу  КП "Зелене будівництво" СМР  (придбання екскаватора-навантажувача марки САТ)</t>
  </si>
  <si>
    <t>Капітальний ремонт пам'ятників по місту</t>
  </si>
  <si>
    <t>Заходи з будівництва, реставрації та реконструкції, в тому числі розробка проектно-кошторисної документації по реконструкції колекторів міста Суми</t>
  </si>
  <si>
    <t>Цільовий фонд, утворений Сумською міською радою на період до 2017 року</t>
  </si>
  <si>
    <t>Садіння нових дерев та кущів</t>
  </si>
  <si>
    <t xml:space="preserve">Співфінансування капітального ремонту житлового фонду </t>
  </si>
  <si>
    <t>Створення та відновлення газонів по місту</t>
  </si>
  <si>
    <t>Проведення конкурсу ескізних проектів дитячого парку "Казка"</t>
  </si>
  <si>
    <t>Управління архітектури та містобудування Сумської міської ради</t>
  </si>
  <si>
    <t>Поповнення статутного капіталу КП "Міськводоканал" СМР (Капітальний ремонт зовнішньої водопровідної мережі водопроводу Д -100 мм, Д-150 мм, Д-250 мм  по вул. Холодногірській в м.Суми)</t>
  </si>
  <si>
    <t>Поповнення статутного капіталу  КП "Сумитеплоенергоцентраль" СМР (автомобіль вантажний)</t>
  </si>
  <si>
    <t xml:space="preserve">Поповнення статутного капіталу  КП "Сумитеплоенергоцентраль" СМР (2 автомобіля вантажопасажирських) </t>
  </si>
  <si>
    <t>Встановлення нових та заміна існуючих зупинок громадського транспорту, улаштування посадкових майданчиків</t>
  </si>
  <si>
    <t>Поповнення статутного капіталу КП "Міськводоканал" СМР (капітальний ремонт водопровідної мережі по вул. 20 років Перемоги від вул.Шишкарівської до вул. Петропавлівської)</t>
  </si>
  <si>
    <t>Поповнення статутного капіталу  КП «Сумижилкомсервіс» СМР (капітальний ремонт внутрішніх доріг та розвантажувального майданчика на полігоні для складування твердих побутових відходів, розташованому на території В.Бобрицької сільської ради Краснопільського району)</t>
  </si>
  <si>
    <r>
      <t>Департамент інфраструктури міста та інші суб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єкти господарювання</t>
    </r>
  </si>
  <si>
    <r>
      <t xml:space="preserve"> придбання насосних агрегатів (для свердловин з двигуном 37 кВт) з водопідйомною колоною </t>
    </r>
    <r>
      <rPr>
        <sz val="14"/>
        <rFont val="Times New Roman"/>
        <family val="1"/>
      </rPr>
      <t>Ø</t>
    </r>
    <r>
      <rPr>
        <sz val="14"/>
        <rFont val="Times New Roman"/>
        <family val="1"/>
      </rPr>
      <t>100 мм з склопластикових труб  140 п.м.</t>
    </r>
  </si>
  <si>
    <r>
      <t xml:space="preserve">  придбання насосних агрегатів (для свердловин (з двигуном 92 кВт) з водопідйомною колоною </t>
    </r>
    <r>
      <rPr>
        <sz val="14"/>
        <rFont val="Times New Roman"/>
        <family val="1"/>
      </rPr>
      <t>Ø</t>
    </r>
    <r>
      <rPr>
        <sz val="14"/>
        <rFont val="Times New Roman"/>
        <family val="1"/>
      </rPr>
      <t>150 мм з склопластикових труб  160 п.м.</t>
    </r>
  </si>
  <si>
    <r>
      <t xml:space="preserve">придбання термопластичного клапану для розподілення санітарної гарячої води R 156 </t>
    </r>
    <r>
      <rPr>
        <sz val="14"/>
        <rFont val="Times New Roman"/>
        <family val="1"/>
      </rPr>
      <t>¾ з комплексом підключення</t>
    </r>
  </si>
  <si>
    <t xml:space="preserve">від                       2017 року </t>
  </si>
  <si>
    <t xml:space="preserve">№            -МР </t>
  </si>
  <si>
    <t>придбання 2-х комбінованих дорожніх машин</t>
  </si>
  <si>
    <t>придбання 8-ми міні-тракторів</t>
  </si>
  <si>
    <t>придбання 1 фронтального навантажувача</t>
  </si>
  <si>
    <t>Виконання геофізичного дослідження свердловин</t>
  </si>
  <si>
    <t xml:space="preserve">від                 2017 року №           -МР </t>
  </si>
  <si>
    <t>Департамент інфраструктури міста СМР, управління капітального будівництва та дорожнього господарства СМР,   КП "Шляхрембуд" СМР та інші суб'єкти господарювання</t>
  </si>
  <si>
    <t>Управління капітального будівництва та дорожнього господарства СМР, КП "Шляхрембуд" СМР та інші суб'єкти господарювання</t>
  </si>
  <si>
    <t>Виконавчий комітет Сумської міської ради,                                 КП "Шляхрембуд" СМР та інші суб'єкти господарювання</t>
  </si>
  <si>
    <t>Департамент інфраструктури міста СМР, управління капітального будівництва та дорожнього господарства СМР,  КП "Шляхрембуд" СМР та інші суб'єкти господарювання</t>
  </si>
  <si>
    <t>Додаток 6</t>
  </si>
  <si>
    <t>Забезпечення санітарної очистки території міста Суми на період до 2017 року</t>
  </si>
  <si>
    <t xml:space="preserve">Послуги зі збирання безпечних відходів, непридатних для вторинного використання (прибирання урн від сміття по місту) </t>
  </si>
  <si>
    <t>Департамент інфраструктури міста Сумської міської ради, КП "Сумижилкомсервіс"  та інші суб'єкти господарювання</t>
  </si>
  <si>
    <r>
      <t>Департамент інфраструктури міста Сумської міської ради, КП "Сумижитло" СМР та інші суб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єкти господарювання</t>
    </r>
  </si>
  <si>
    <t>Придбання урн</t>
  </si>
  <si>
    <t>Догляд за об'єктами  благоустрою загального користування (прибирання сміття)</t>
  </si>
  <si>
    <t>Догляд за об'єктами благоустрою загального користування (ліквідація несанкціонованих звалищ)</t>
  </si>
  <si>
    <t>Управління "Інспекція з благоустрою міста Суми " СМР</t>
  </si>
  <si>
    <t xml:space="preserve">від                      2017 року №                            -МР </t>
  </si>
  <si>
    <t>Департамент інфраструктури міста Сумської міської ради, КП "Сумижилкомсервіс" СМР, КП "Зелене будівництво" СМР та інші суб'єкти господарювання</t>
  </si>
  <si>
    <t>Поповнення статутного фонду  КП "Спецкомбінат" СМР (придбання багатофункціонального екскаватора-навантажувача JCB  )</t>
  </si>
  <si>
    <t xml:space="preserve">від                2017 року №                  -МР </t>
  </si>
  <si>
    <t xml:space="preserve">від                  2017 року №           -МР </t>
  </si>
  <si>
    <t xml:space="preserve">від                2017 року №                 -МР </t>
  </si>
  <si>
    <t>Проведення капітального та поточного ремонту колекторів, каналізаційних та водопровідних мереж</t>
  </si>
  <si>
    <t xml:space="preserve">від                 2017 року №               -МР </t>
  </si>
  <si>
    <t>Забезпечення святкового оформлення міста до пам'ятних та історичних дат, культурно-мистецьких, релігійних та інших заходів міста Суми на період до 2017 року</t>
  </si>
  <si>
    <t>Святкова ілюмінація міста</t>
  </si>
  <si>
    <t>Департамент інфраструктури міста Сумської міської ради, КП ЕЗО "Міськсвітло" СМР та інші суб'єкти господарювання</t>
  </si>
  <si>
    <t>в тому числі капітальний ремонт покрівлі житлових будинків</t>
  </si>
  <si>
    <t>Департамент інфраструктури міста Сумської міської ради, КП "Спеціалізований комбінат" СМР та інші суб'єкти господарювання</t>
  </si>
  <si>
    <t>Святкове оформлення міста</t>
  </si>
  <si>
    <t>Департамент інфраструктури міста Сумської міської ради, КП "Спеціалізований комбінат" та інші суб'єкти господарювання</t>
  </si>
  <si>
    <t>Придбання та монтаж покажчиків вулиць, нумерації будинків міста</t>
  </si>
  <si>
    <t>Виготовлення та розміщення соціальної реклами, рекламних матеріалів до святкових та урочистих подій</t>
  </si>
  <si>
    <t>Департамент містобудування та земельних відносин Сумської міської ради, КП "АБК", КП ЕЗО "Міськсвітло" СМР, КП "Сумижилкомсервіс" СМР та інші суб'єкти господарювання</t>
  </si>
  <si>
    <t>Демонтаж рекламних засобів, розміщених самовільно та з порушенням порядку розміщення зовнішньої реклами</t>
  </si>
  <si>
    <t>Демонтаж незаконно встановлених тимчасових споруд</t>
  </si>
  <si>
    <t>Зберігання демонтованих тимчасових споруд та рекламних засобів</t>
  </si>
  <si>
    <t>8.</t>
  </si>
  <si>
    <t>Управління архітектури та містобудування СМР, КП "АБК", КП ЕЗО "Міськсвітло" СМР, КП "Сумижилкомсервіс" СМР та інші суб'єкти господарювання</t>
  </si>
  <si>
    <t>Розроблення нової Комплексної схеми розміщення тимчасових споруд для провадження підприємницької діяльності у місті Суми"</t>
  </si>
  <si>
    <t>Розроблення Комплексної схеми і зонування розміщення рекламних засобів на території м.Суми</t>
  </si>
  <si>
    <t>Орендна плата за землю по вул.Боженко (майданчик для складування рослинних відходів, деревини та опалого листя)</t>
  </si>
  <si>
    <t>Оплата  податку на земельну ділянку за адресою: м. Суми, вул. Привокзальна,4/13(каналізаційно-насосна станція)</t>
  </si>
  <si>
    <t>Забезпечення постачання природного газу монументу "Вічна Слава"</t>
  </si>
  <si>
    <t>Відшкодування майнової шкоди по рішенню судів</t>
  </si>
  <si>
    <t xml:space="preserve">від                 2017 року №                    -МР </t>
  </si>
  <si>
    <t>Додаток 3</t>
  </si>
  <si>
    <t>Додаток 4</t>
  </si>
  <si>
    <t>Додаток 5</t>
  </si>
  <si>
    <t>Поповнення статутного фонду  КП "Спецкомбінат" СМР (придбання кущоріза)</t>
  </si>
  <si>
    <t>Поповнення статутного фонду  КП "Спецкомбінат" СМР (придбання 2-х газонокосарок)</t>
  </si>
  <si>
    <t>Поповнення статутного фонду  КП "Спецкомбінат" СМР (придбання машини для розкидання піску)</t>
  </si>
  <si>
    <t>Додаток 8</t>
  </si>
  <si>
    <t>Департамент інфраструктури міста СМР, управління капітального будівництва та дорожнього господарства СМР та інші суб'єкти господарювання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</si>
</sst>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0.00_ ;[Red]\-0.00\ "/>
    <numFmt numFmtId="216" formatCode="#,##0.000"/>
    <numFmt numFmtId="217" formatCode="#,##0.0000"/>
    <numFmt numFmtId="218" formatCode="#,##0.0"/>
    <numFmt numFmtId="219" formatCode="#,##0.00000"/>
    <numFmt numFmtId="220" formatCode="0.000_ ;[Red]\-0.000\ "/>
    <numFmt numFmtId="221" formatCode="0.0000_ ;[Red]\-0.0000\ "/>
    <numFmt numFmtId="222" formatCode="_(* #,##0.000_);_(* \(#,##0.000\);_(* &quot;-&quot;??_);_(@_)"/>
  </numFmts>
  <fonts count="5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2"/>
    </font>
    <font>
      <b/>
      <sz val="14"/>
      <color indexed="10"/>
      <name val="Times New Roman"/>
      <family val="1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3" fillId="0" borderId="0" xfId="0" applyNumberFormat="1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2" fontId="6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04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16" fontId="0" fillId="0" borderId="0" xfId="0" applyNumberFormat="1" applyAlignment="1">
      <alignment/>
    </xf>
    <xf numFmtId="0" fontId="2" fillId="0" borderId="0" xfId="53" applyFont="1" applyAlignment="1">
      <alignment horizontal="left"/>
      <protection/>
    </xf>
    <xf numFmtId="203" fontId="3" fillId="0" borderId="0" xfId="61" applyFont="1" applyBorder="1" applyAlignment="1">
      <alignment horizontal="center" vertical="center"/>
    </xf>
    <xf numFmtId="222" fontId="3" fillId="0" borderId="0" xfId="61" applyNumberFormat="1" applyFont="1" applyBorder="1" applyAlignment="1">
      <alignment horizontal="center" vertical="center"/>
    </xf>
    <xf numFmtId="0" fontId="2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" fillId="0" borderId="0" xfId="53" applyFont="1">
      <alignment/>
      <protection/>
    </xf>
    <xf numFmtId="0" fontId="0" fillId="0" borderId="0" xfId="53" applyFont="1">
      <alignment/>
      <protection/>
    </xf>
    <xf numFmtId="0" fontId="2" fillId="0" borderId="0" xfId="53" applyFont="1" applyAlignment="1">
      <alignment/>
      <protection/>
    </xf>
    <xf numFmtId="0" fontId="3" fillId="0" borderId="0" xfId="53" applyFont="1" applyBorder="1" applyAlignment="1">
      <alignment horizontal="center" vertical="center" wrapText="1"/>
      <protection/>
    </xf>
    <xf numFmtId="204" fontId="3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1" fillId="0" borderId="0" xfId="53" applyFont="1" applyAlignment="1">
      <alignment vertical="center" wrapText="1"/>
      <protection/>
    </xf>
    <xf numFmtId="2" fontId="6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/>
      <protection/>
    </xf>
    <xf numFmtId="0" fontId="8" fillId="0" borderId="0" xfId="53" applyFont="1" applyBorder="1" applyAlignment="1">
      <alignment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14" fontId="2" fillId="0" borderId="0" xfId="53" applyNumberFormat="1" applyFont="1" applyAlignment="1">
      <alignment horizontal="left" vertical="center" wrapText="1"/>
      <protection/>
    </xf>
    <xf numFmtId="204" fontId="0" fillId="0" borderId="0" xfId="53" applyNumberFormat="1">
      <alignment/>
      <protection/>
    </xf>
    <xf numFmtId="0" fontId="0" fillId="34" borderId="0" xfId="53" applyFill="1">
      <alignment/>
      <protection/>
    </xf>
    <xf numFmtId="0" fontId="1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right"/>
      <protection/>
    </xf>
    <xf numFmtId="0" fontId="6" fillId="0" borderId="10" xfId="53" applyFont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4" fontId="6" fillId="33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Border="1" applyAlignment="1">
      <alignment/>
      <protection/>
    </xf>
    <xf numFmtId="4" fontId="3" fillId="0" borderId="0" xfId="53" applyNumberFormat="1" applyFont="1" applyBorder="1" applyAlignment="1">
      <alignment horizontal="center" vertical="center" wrapText="1"/>
      <protection/>
    </xf>
    <xf numFmtId="0" fontId="0" fillId="0" borderId="0" xfId="53" applyBorder="1">
      <alignment/>
      <protection/>
    </xf>
    <xf numFmtId="0" fontId="3" fillId="0" borderId="0" xfId="53" applyFont="1" applyBorder="1" applyAlignment="1">
      <alignment vertical="center"/>
      <protection/>
    </xf>
    <xf numFmtId="204" fontId="6" fillId="0" borderId="0" xfId="53" applyNumberFormat="1" applyFont="1" applyAlignment="1">
      <alignment horizontal="center" vertical="center" wrapText="1"/>
      <protection/>
    </xf>
    <xf numFmtId="0" fontId="1" fillId="0" borderId="0" xfId="53" applyFont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20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3" borderId="0" xfId="0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20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53" applyFont="1" applyBorder="1" applyAlignment="1">
      <alignment horizontal="center" vertical="center" wrapText="1"/>
      <protection/>
    </xf>
    <xf numFmtId="2" fontId="1" fillId="0" borderId="0" xfId="53" applyNumberFormat="1" applyFont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53" applyFont="1" applyBorder="1" applyAlignment="1">
      <alignment horizontal="left" vertical="center" wrapText="1"/>
      <protection/>
    </xf>
    <xf numFmtId="208" fontId="6" fillId="33" borderId="0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35" borderId="0" xfId="53" applyFill="1">
      <alignment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216" fontId="6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6" fillId="0" borderId="0" xfId="53" applyFont="1" applyAlignment="1">
      <alignment horizontal="left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4" fontId="6" fillId="0" borderId="15" xfId="53" applyNumberFormat="1" applyFont="1" applyBorder="1" applyAlignment="1">
      <alignment horizontal="center" vertical="center" wrapText="1"/>
      <protection/>
    </xf>
    <xf numFmtId="4" fontId="6" fillId="0" borderId="15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4" fontId="1" fillId="33" borderId="10" xfId="53" applyNumberFormat="1" applyFont="1" applyFill="1" applyBorder="1" applyAlignment="1">
      <alignment horizontal="center" vertical="center" wrapText="1"/>
      <protection/>
    </xf>
    <xf numFmtId="4" fontId="6" fillId="33" borderId="15" xfId="53" applyNumberFormat="1" applyFont="1" applyFill="1" applyBorder="1" applyAlignment="1">
      <alignment horizontal="center" vertical="center" wrapText="1"/>
      <protection/>
    </xf>
    <xf numFmtId="0" fontId="9" fillId="0" borderId="0" xfId="53" applyFont="1">
      <alignment/>
      <protection/>
    </xf>
    <xf numFmtId="0" fontId="6" fillId="0" borderId="10" xfId="0" applyFont="1" applyBorder="1" applyAlignment="1">
      <alignment horizontal="left" vertical="center" wrapText="1"/>
    </xf>
    <xf numFmtId="0" fontId="9" fillId="0" borderId="10" xfId="53" applyFont="1" applyBorder="1" applyAlignment="1">
      <alignment/>
      <protection/>
    </xf>
    <xf numFmtId="0" fontId="1" fillId="0" borderId="13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/>
      <protection/>
    </xf>
    <xf numFmtId="0" fontId="6" fillId="0" borderId="0" xfId="53" applyFont="1" applyAlignment="1">
      <alignment/>
      <protection/>
    </xf>
    <xf numFmtId="204" fontId="6" fillId="0" borderId="10" xfId="53" applyNumberFormat="1" applyFont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9" fillId="0" borderId="10" xfId="53" applyFont="1" applyBorder="1">
      <alignment/>
      <protection/>
    </xf>
    <xf numFmtId="0" fontId="1" fillId="0" borderId="10" xfId="53" applyFont="1" applyBorder="1" applyAlignment="1">
      <alignment vertical="center"/>
      <protection/>
    </xf>
    <xf numFmtId="4" fontId="1" fillId="0" borderId="15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208" fontId="6" fillId="33" borderId="10" xfId="0" applyNumberFormat="1" applyFont="1" applyFill="1" applyBorder="1" applyAlignment="1">
      <alignment horizontal="left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08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19" fontId="6" fillId="0" borderId="10" xfId="0" applyNumberFormat="1" applyFont="1" applyBorder="1" applyAlignment="1">
      <alignment horizontal="center" vertical="center" wrapText="1"/>
    </xf>
    <xf numFmtId="216" fontId="6" fillId="0" borderId="10" xfId="0" applyNumberFormat="1" applyFont="1" applyBorder="1" applyAlignment="1">
      <alignment horizontal="center" vertical="center" wrapText="1"/>
    </xf>
    <xf numFmtId="208" fontId="6" fillId="33" borderId="10" xfId="0" applyNumberFormat="1" applyFont="1" applyFill="1" applyBorder="1" applyAlignment="1">
      <alignment horizontal="left" vertical="top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208" fontId="1" fillId="33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208" fontId="6" fillId="36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wrapText="1"/>
    </xf>
    <xf numFmtId="208" fontId="1" fillId="33" borderId="10" xfId="0" applyNumberFormat="1" applyFont="1" applyFill="1" applyBorder="1" applyAlignment="1">
      <alignment horizontal="left" wrapText="1"/>
    </xf>
    <xf numFmtId="208" fontId="6" fillId="33" borderId="10" xfId="0" applyNumberFormat="1" applyFont="1" applyFill="1" applyBorder="1" applyAlignment="1">
      <alignment horizontal="left" wrapText="1"/>
    </xf>
    <xf numFmtId="4" fontId="6" fillId="0" borderId="10" xfId="0" applyNumberFormat="1" applyFont="1" applyBorder="1" applyAlignment="1">
      <alignment horizontal="center" wrapText="1"/>
    </xf>
    <xf numFmtId="4" fontId="9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1" fontId="6" fillId="33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6" borderId="10" xfId="0" applyNumberFormat="1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16" fontId="1" fillId="0" borderId="10" xfId="0" applyNumberFormat="1" applyFont="1" applyBorder="1" applyAlignment="1">
      <alignment horizontal="center" vertical="center" wrapText="1"/>
    </xf>
    <xf numFmtId="216" fontId="1" fillId="0" borderId="10" xfId="0" applyNumberFormat="1" applyFont="1" applyBorder="1" applyAlignment="1">
      <alignment horizontal="center" wrapText="1"/>
    </xf>
    <xf numFmtId="4" fontId="1" fillId="36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1" fillId="33" borderId="10" xfId="0" applyNumberFormat="1" applyFont="1" applyFill="1" applyBorder="1" applyAlignment="1">
      <alignment horizontal="center" wrapText="1"/>
    </xf>
    <xf numFmtId="0" fontId="6" fillId="0" borderId="15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" fontId="3" fillId="0" borderId="10" xfId="53" applyNumberFormat="1" applyFont="1" applyBorder="1" applyAlignment="1">
      <alignment horizontal="center" vertical="center" wrapText="1"/>
      <protection/>
    </xf>
    <xf numFmtId="4" fontId="2" fillId="0" borderId="15" xfId="53" applyNumberFormat="1" applyFont="1" applyBorder="1" applyAlignment="1">
      <alignment horizontal="center" vertical="center" wrapText="1"/>
      <protection/>
    </xf>
    <xf numFmtId="4" fontId="2" fillId="0" borderId="15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37" borderId="10" xfId="53" applyFont="1" applyFill="1" applyBorder="1" applyAlignment="1">
      <alignment horizontal="left" vertical="center" wrapText="1"/>
      <protection/>
    </xf>
    <xf numFmtId="0" fontId="2" fillId="37" borderId="10" xfId="53" applyFont="1" applyFill="1" applyBorder="1" applyAlignment="1">
      <alignment horizontal="center" vertical="center" wrapText="1"/>
      <protection/>
    </xf>
    <xf numFmtId="4" fontId="2" fillId="37" borderId="15" xfId="53" applyNumberFormat="1" applyFont="1" applyFill="1" applyBorder="1" applyAlignment="1">
      <alignment horizontal="center" vertical="center" wrapText="1"/>
      <protection/>
    </xf>
    <xf numFmtId="0" fontId="2" fillId="36" borderId="10" xfId="53" applyFont="1" applyFill="1" applyBorder="1" applyAlignment="1">
      <alignment horizontal="left" vertical="center" wrapText="1"/>
      <protection/>
    </xf>
    <xf numFmtId="4" fontId="2" fillId="36" borderId="15" xfId="53" applyNumberFormat="1" applyFont="1" applyFill="1" applyBorder="1" applyAlignment="1">
      <alignment horizontal="center" vertical="center" wrapText="1"/>
      <protection/>
    </xf>
    <xf numFmtId="0" fontId="0" fillId="0" borderId="10" xfId="53" applyBorder="1" applyAlignment="1">
      <alignment/>
      <protection/>
    </xf>
    <xf numFmtId="0" fontId="2" fillId="36" borderId="10" xfId="53" applyFont="1" applyFill="1" applyBorder="1" applyAlignment="1">
      <alignment horizontal="center" vertical="center" wrapText="1"/>
      <protection/>
    </xf>
    <xf numFmtId="0" fontId="2" fillId="36" borderId="0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left" vertical="center" wrapText="1"/>
      <protection/>
    </xf>
    <xf numFmtId="4" fontId="1" fillId="0" borderId="15" xfId="53" applyNumberFormat="1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" fontId="1" fillId="0" borderId="10" xfId="53" applyNumberFormat="1" applyFont="1" applyBorder="1" applyAlignment="1">
      <alignment horizontal="center" vertical="center"/>
      <protection/>
    </xf>
    <xf numFmtId="4" fontId="6" fillId="0" borderId="10" xfId="53" applyNumberFormat="1" applyFont="1" applyBorder="1" applyAlignment="1">
      <alignment horizontal="center" vertical="center"/>
      <protection/>
    </xf>
    <xf numFmtId="4" fontId="6" fillId="33" borderId="10" xfId="53" applyNumberFormat="1" applyFont="1" applyFill="1" applyBorder="1" applyAlignment="1">
      <alignment horizontal="center" vertical="center"/>
      <protection/>
    </xf>
    <xf numFmtId="0" fontId="6" fillId="33" borderId="15" xfId="53" applyFont="1" applyFill="1" applyBorder="1" applyAlignment="1">
      <alignment horizontal="center" vertical="center" wrapText="1"/>
      <protection/>
    </xf>
    <xf numFmtId="0" fontId="6" fillId="33" borderId="15" xfId="53" applyFont="1" applyFill="1" applyBorder="1" applyAlignment="1">
      <alignment horizontal="left" vertical="center" wrapText="1"/>
      <protection/>
    </xf>
    <xf numFmtId="4" fontId="1" fillId="33" borderId="15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>
      <alignment/>
      <protection/>
    </xf>
    <xf numFmtId="0" fontId="0" fillId="33" borderId="0" xfId="53" applyFill="1">
      <alignment/>
      <protection/>
    </xf>
    <xf numFmtId="2" fontId="3" fillId="0" borderId="0" xfId="53" applyNumberFormat="1" applyFont="1" applyBorder="1" applyAlignment="1">
      <alignment horizontal="center" vertical="center" wrapText="1"/>
      <protection/>
    </xf>
    <xf numFmtId="0" fontId="0" fillId="0" borderId="0" xfId="53" applyFont="1" applyFill="1">
      <alignment/>
      <protection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0" xfId="53" applyFont="1" applyFill="1" applyAlignment="1">
      <alignment horizontal="center"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1" fillId="0" borderId="0" xfId="53" applyFont="1" applyFill="1" applyAlignment="1">
      <alignment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2" fontId="6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0" fontId="2" fillId="0" borderId="0" xfId="53" applyFont="1" applyFill="1">
      <alignment/>
      <protection/>
    </xf>
    <xf numFmtId="0" fontId="3" fillId="0" borderId="0" xfId="53" applyFont="1" applyFill="1" applyAlignment="1">
      <alignment/>
      <protection/>
    </xf>
    <xf numFmtId="0" fontId="2" fillId="0" borderId="0" xfId="53" applyFont="1" applyFill="1" applyAlignment="1">
      <alignment horizontal="left"/>
      <protection/>
    </xf>
    <xf numFmtId="0" fontId="6" fillId="0" borderId="0" xfId="53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53" applyFont="1" applyFill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1" fillId="0" borderId="0" xfId="53" applyFont="1" applyAlignment="1">
      <alignment horizont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0" fillId="0" borderId="0" xfId="53" applyFont="1" applyAlignment="1">
      <alignment horizontal="center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 vertical="center" wrapText="1"/>
      <protection/>
    </xf>
    <xf numFmtId="0" fontId="1" fillId="0" borderId="19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 vertical="center" wrapText="1"/>
      <protection/>
    </xf>
    <xf numFmtId="0" fontId="2" fillId="0" borderId="0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1" fillId="33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36" borderId="11" xfId="53" applyFont="1" applyFill="1" applyBorder="1" applyAlignment="1">
      <alignment horizontal="center" vertical="center" wrapText="1"/>
      <protection/>
    </xf>
    <xf numFmtId="0" fontId="2" fillId="36" borderId="15" xfId="53" applyFont="1" applyFill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left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4" xfId="53" applyFont="1" applyBorder="1" applyAlignment="1">
      <alignment horizontal="center" vertical="center" wrapText="1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4" xfId="53" applyFont="1" applyFill="1" applyBorder="1" applyAlignment="1">
      <alignment horizontal="center" vertical="center" wrapText="1"/>
      <protection/>
    </xf>
    <xf numFmtId="0" fontId="6" fillId="33" borderId="15" xfId="53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center" vertical="center" wrapText="1"/>
      <protection/>
    </xf>
    <xf numFmtId="4" fontId="6" fillId="36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41;&#1102;&#1076;&#1078;&#1077;&#1090;%20%202014\&#1056;&#1030;&#1064;&#1045;&#1053;&#1053;&#1071;\&#1079;&#1084;&#1110;&#1085;&#1080;%20&#1076;&#1086;%20&#1087;&#1088;&#1086;&#1075;&#1088;&#1072;&#1084;&#1080;%20&#1088;&#1077;&#1092;&#1086;&#1088;&#1084;&#1091;&#1074;&#1072;&#1085;&#1085;&#1103;%2026.11.14\&#1076;&#1086;&#1076;&#1072;&#1090;&#1086;&#1082;%20%20&#1076;&#1086;%20&#1079;%202%20&#1087;&#1086;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76;&#1086;&#1076;&#1072;&#1090;&#1086;&#108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(додаток 4)"/>
      <sheetName val="дрожній рух (додаток 3"/>
      <sheetName val="загальна (додаток 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Шляхрембуд дороги"/>
      <sheetName val="міськсвітло"/>
      <sheetName val="зеленбуд"/>
      <sheetName val="спецкомбінат"/>
      <sheetName val="саночистка"/>
      <sheetName val="поточний ремонт"/>
      <sheetName val="евтаназія"/>
      <sheetName val="капітальний ремонт"/>
      <sheetName val="житло"/>
      <sheetName val="святкове"/>
      <sheetName val="водоканал"/>
      <sheetName val="оренда"/>
    </sheetNames>
    <sheetDataSet>
      <sheetData sheetId="2">
        <row r="22">
          <cell r="E22">
            <v>16775</v>
          </cell>
        </row>
      </sheetData>
      <sheetData sheetId="3">
        <row r="44">
          <cell r="E44">
            <v>7480.3</v>
          </cell>
        </row>
      </sheetData>
      <sheetData sheetId="5">
        <row r="27">
          <cell r="E27">
            <v>1035</v>
          </cell>
        </row>
      </sheetData>
      <sheetData sheetId="7">
        <row r="26">
          <cell r="E26">
            <v>400</v>
          </cell>
          <cell r="F26">
            <v>480</v>
          </cell>
          <cell r="I26">
            <v>580</v>
          </cell>
        </row>
      </sheetData>
      <sheetData sheetId="8">
        <row r="20">
          <cell r="E20">
            <v>3365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W86"/>
  <sheetViews>
    <sheetView view="pageBreakPreview" zoomScale="80" zoomScaleSheetLayoutView="80" zoomScalePageLayoutView="0" workbookViewId="0" topLeftCell="C32">
      <selection activeCell="G37" sqref="G37"/>
    </sheetView>
  </sheetViews>
  <sheetFormatPr defaultColWidth="9.140625" defaultRowHeight="12.75"/>
  <cols>
    <col min="1" max="1" width="5.00390625" style="0" customWidth="1"/>
    <col min="2" max="2" width="64.140625" style="0" customWidth="1"/>
    <col min="3" max="3" width="21.57421875" style="0" customWidth="1"/>
    <col min="4" max="4" width="13.421875" style="0" hidden="1" customWidth="1"/>
    <col min="5" max="5" width="14.7109375" style="0" customWidth="1"/>
    <col min="6" max="6" width="12.8515625" style="0" customWidth="1"/>
    <col min="7" max="7" width="16.00390625" style="0" customWidth="1"/>
    <col min="8" max="8" width="15.28125" style="0" customWidth="1"/>
    <col min="9" max="9" width="12.421875" style="0" customWidth="1"/>
    <col min="10" max="10" width="14.140625" style="0" customWidth="1"/>
    <col min="11" max="11" width="12.421875" style="0" hidden="1" customWidth="1"/>
    <col min="12" max="12" width="14.8515625" style="0" customWidth="1"/>
    <col min="13" max="13" width="14.28125" style="0" customWidth="1"/>
    <col min="14" max="14" width="22.7109375" style="0" customWidth="1"/>
    <col min="15" max="15" width="6.140625" style="0" hidden="1" customWidth="1"/>
    <col min="16" max="16" width="17.421875" style="0" customWidth="1"/>
    <col min="17" max="17" width="15.140625" style="0" customWidth="1"/>
    <col min="18" max="18" width="14.140625" style="0" customWidth="1"/>
    <col min="19" max="19" width="17.28125" style="0" customWidth="1"/>
    <col min="21" max="21" width="10.7109375" style="0" bestFit="1" customWidth="1"/>
  </cols>
  <sheetData>
    <row r="1" spans="1:19" ht="18.7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62" t="s">
        <v>80</v>
      </c>
      <c r="N1" s="262"/>
      <c r="O1" s="262"/>
      <c r="P1" s="262"/>
      <c r="Q1" s="262"/>
      <c r="R1" s="262"/>
      <c r="S1" s="262"/>
    </row>
    <row r="2" spans="1:19" ht="18.75">
      <c r="A2" s="1"/>
      <c r="B2" s="1"/>
      <c r="C2" s="1"/>
      <c r="D2" s="1"/>
      <c r="E2" s="1"/>
      <c r="F2" s="1"/>
      <c r="G2" s="1"/>
      <c r="H2" s="3"/>
      <c r="I2" s="3"/>
      <c r="J2" s="3"/>
      <c r="K2" s="3"/>
      <c r="L2" s="3"/>
      <c r="M2" s="261" t="s">
        <v>62</v>
      </c>
      <c r="N2" s="261"/>
      <c r="O2" s="261"/>
      <c r="P2" s="261"/>
      <c r="Q2" s="261"/>
      <c r="R2" s="261"/>
      <c r="S2" s="261"/>
    </row>
    <row r="3" spans="1:19" ht="18.75">
      <c r="A3" s="1"/>
      <c r="B3" s="1"/>
      <c r="C3" s="1"/>
      <c r="D3" s="1"/>
      <c r="E3" s="1"/>
      <c r="F3" s="1"/>
      <c r="G3" s="1"/>
      <c r="H3" s="3"/>
      <c r="I3" s="3"/>
      <c r="J3" s="3"/>
      <c r="K3" s="3"/>
      <c r="L3" s="3"/>
      <c r="M3" s="261" t="s">
        <v>82</v>
      </c>
      <c r="N3" s="261"/>
      <c r="O3" s="261"/>
      <c r="P3" s="261"/>
      <c r="Q3" s="261"/>
      <c r="R3" s="261"/>
      <c r="S3" s="261"/>
    </row>
    <row r="4" spans="1:19" ht="18.75">
      <c r="A4" s="1"/>
      <c r="B4" s="1"/>
      <c r="C4" s="1"/>
      <c r="D4" s="1"/>
      <c r="E4" s="1"/>
      <c r="F4" s="1"/>
      <c r="G4" s="1"/>
      <c r="H4" s="3"/>
      <c r="I4" s="3"/>
      <c r="J4" s="3"/>
      <c r="K4" s="3"/>
      <c r="L4" s="3"/>
      <c r="M4" s="261" t="s">
        <v>63</v>
      </c>
      <c r="N4" s="261"/>
      <c r="O4" s="261"/>
      <c r="P4" s="261"/>
      <c r="Q4" s="261"/>
      <c r="R4" s="261"/>
      <c r="S4" s="261"/>
    </row>
    <row r="5" spans="1:19" ht="18.75">
      <c r="A5" s="1"/>
      <c r="B5" s="1"/>
      <c r="C5" s="1"/>
      <c r="D5" s="1"/>
      <c r="E5" s="1"/>
      <c r="F5" s="1"/>
      <c r="G5" s="1"/>
      <c r="H5" s="3"/>
      <c r="I5" s="3"/>
      <c r="J5" s="3"/>
      <c r="K5" s="3"/>
      <c r="L5" s="3"/>
      <c r="M5" s="261" t="s">
        <v>56</v>
      </c>
      <c r="N5" s="261"/>
      <c r="O5" s="261"/>
      <c r="P5" s="261"/>
      <c r="Q5" s="261"/>
      <c r="R5" s="261"/>
      <c r="S5" s="261"/>
    </row>
    <row r="6" spans="1:19" ht="18.75">
      <c r="A6" s="1"/>
      <c r="B6" s="1"/>
      <c r="C6" s="1"/>
      <c r="D6" s="1"/>
      <c r="E6" s="1"/>
      <c r="F6" s="1"/>
      <c r="G6" s="1"/>
      <c r="H6" s="3"/>
      <c r="I6" s="3"/>
      <c r="J6" s="3"/>
      <c r="K6" s="3"/>
      <c r="L6" s="3"/>
      <c r="M6" s="261" t="s">
        <v>84</v>
      </c>
      <c r="N6" s="261"/>
      <c r="O6" s="261"/>
      <c r="P6" s="261"/>
      <c r="Q6" s="261"/>
      <c r="R6" s="261"/>
      <c r="S6" s="261"/>
    </row>
    <row r="7" spans="1:19" ht="15.75" customHeight="1">
      <c r="A7" s="1"/>
      <c r="B7" s="1"/>
      <c r="C7" s="1"/>
      <c r="D7" s="1"/>
      <c r="E7" s="1"/>
      <c r="F7" s="1"/>
      <c r="G7" s="1"/>
      <c r="H7" s="3"/>
      <c r="I7" s="3"/>
      <c r="J7" s="3"/>
      <c r="K7" s="3"/>
      <c r="L7" s="3"/>
      <c r="M7" s="260" t="s">
        <v>315</v>
      </c>
      <c r="N7" s="261"/>
      <c r="O7" s="108" t="s">
        <v>85</v>
      </c>
      <c r="P7" s="108" t="s">
        <v>316</v>
      </c>
      <c r="Q7" s="108"/>
      <c r="R7" s="108"/>
      <c r="S7" s="108"/>
    </row>
    <row r="8" spans="1:17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9" ht="18" customHeight="1">
      <c r="A9" s="253" t="s">
        <v>71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</row>
    <row r="10" spans="1:19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254" t="s">
        <v>64</v>
      </c>
      <c r="L10" s="254"/>
      <c r="M10" s="254"/>
      <c r="N10" s="254"/>
      <c r="O10" s="254"/>
      <c r="P10" s="254"/>
      <c r="Q10" s="254"/>
      <c r="R10" s="254"/>
      <c r="S10" s="254"/>
    </row>
    <row r="11" spans="1:19" ht="19.5" customHeight="1">
      <c r="A11" s="255" t="s">
        <v>54</v>
      </c>
      <c r="B11" s="255" t="s">
        <v>65</v>
      </c>
      <c r="C11" s="251" t="s">
        <v>66</v>
      </c>
      <c r="D11" s="111"/>
      <c r="E11" s="252" t="s">
        <v>67</v>
      </c>
      <c r="F11" s="258"/>
      <c r="G11" s="259"/>
      <c r="H11" s="251" t="s">
        <v>57</v>
      </c>
      <c r="I11" s="251"/>
      <c r="J11" s="251"/>
      <c r="K11" s="251"/>
      <c r="L11" s="255"/>
      <c r="M11" s="255"/>
      <c r="N11" s="255"/>
      <c r="O11" s="251"/>
      <c r="P11" s="251"/>
      <c r="Q11" s="251"/>
      <c r="R11" s="251"/>
      <c r="S11" s="251"/>
    </row>
    <row r="12" spans="1:19" ht="21" customHeight="1">
      <c r="A12" s="256"/>
      <c r="B12" s="256"/>
      <c r="C12" s="251"/>
      <c r="D12" s="109"/>
      <c r="E12" s="255" t="s">
        <v>68</v>
      </c>
      <c r="F12" s="255" t="s">
        <v>69</v>
      </c>
      <c r="G12" s="255" t="s">
        <v>70</v>
      </c>
      <c r="H12" s="251" t="s">
        <v>58</v>
      </c>
      <c r="I12" s="251"/>
      <c r="J12" s="251"/>
      <c r="K12" s="252" t="s">
        <v>61</v>
      </c>
      <c r="L12" s="246" t="s">
        <v>59</v>
      </c>
      <c r="M12" s="246"/>
      <c r="N12" s="246"/>
      <c r="O12" s="246"/>
      <c r="P12" s="246"/>
      <c r="Q12" s="251" t="s">
        <v>60</v>
      </c>
      <c r="R12" s="251"/>
      <c r="S12" s="251"/>
    </row>
    <row r="13" spans="1:19" ht="46.5" customHeight="1">
      <c r="A13" s="257"/>
      <c r="B13" s="257"/>
      <c r="C13" s="255"/>
      <c r="D13" s="113"/>
      <c r="E13" s="257"/>
      <c r="F13" s="257"/>
      <c r="G13" s="257"/>
      <c r="H13" s="110" t="s">
        <v>68</v>
      </c>
      <c r="I13" s="110" t="s">
        <v>69</v>
      </c>
      <c r="J13" s="110" t="s">
        <v>70</v>
      </c>
      <c r="K13" s="252"/>
      <c r="L13" s="114" t="s">
        <v>68</v>
      </c>
      <c r="M13" s="114" t="s">
        <v>69</v>
      </c>
      <c r="N13" s="114" t="s">
        <v>70</v>
      </c>
      <c r="O13" s="115"/>
      <c r="P13" s="115" t="s">
        <v>103</v>
      </c>
      <c r="Q13" s="110" t="s">
        <v>68</v>
      </c>
      <c r="R13" s="110" t="s">
        <v>69</v>
      </c>
      <c r="S13" s="110" t="s">
        <v>70</v>
      </c>
    </row>
    <row r="14" spans="1:21" ht="43.5" customHeight="1">
      <c r="A14" s="102">
        <v>1</v>
      </c>
      <c r="B14" s="116" t="s">
        <v>72</v>
      </c>
      <c r="C14" s="117">
        <f>E14+F14+G14</f>
        <v>634099.05</v>
      </c>
      <c r="D14" s="117">
        <f>E14+F14+G14</f>
        <v>634099.05</v>
      </c>
      <c r="E14" s="117">
        <f>H14</f>
        <v>2117.8</v>
      </c>
      <c r="F14" s="117"/>
      <c r="G14" s="117">
        <f>J14+N14+S14</f>
        <v>631981.25</v>
      </c>
      <c r="H14" s="118">
        <f>2117.8</f>
        <v>2117.8</v>
      </c>
      <c r="I14" s="118"/>
      <c r="J14" s="119">
        <f>119401.9-1000-3-127.9-13</f>
        <v>118258</v>
      </c>
      <c r="K14" s="118" t="e">
        <f>#REF!</f>
        <v>#REF!</v>
      </c>
      <c r="L14" s="118"/>
      <c r="M14" s="118"/>
      <c r="N14" s="118">
        <v>212869.75</v>
      </c>
      <c r="O14" s="118" t="e">
        <f>#REF!</f>
        <v>#REF!</v>
      </c>
      <c r="P14" s="118"/>
      <c r="Q14" s="118"/>
      <c r="R14" s="118"/>
      <c r="S14" s="118">
        <f>188088+200+8000+4000+41000+59565.5</f>
        <v>300853.5</v>
      </c>
      <c r="U14" s="6"/>
    </row>
    <row r="15" spans="1:19" ht="34.5" customHeight="1">
      <c r="A15" s="102">
        <f>A14+1</f>
        <v>2</v>
      </c>
      <c r="B15" s="116" t="s">
        <v>73</v>
      </c>
      <c r="C15" s="117">
        <f aca="true" t="shared" si="0" ref="C15:C27">E15+F15+G15</f>
        <v>89175</v>
      </c>
      <c r="D15" s="117">
        <f aca="true" t="shared" si="1" ref="D15:D25">E15+F15+G15</f>
        <v>89175</v>
      </c>
      <c r="E15" s="117"/>
      <c r="F15" s="117"/>
      <c r="G15" s="117">
        <f aca="true" t="shared" si="2" ref="G15:G37">J15+N15+S15</f>
        <v>89175</v>
      </c>
      <c r="H15" s="118"/>
      <c r="I15" s="118"/>
      <c r="J15" s="119">
        <f>'[2]міськсвітло'!E22</f>
        <v>16775</v>
      </c>
      <c r="K15" s="118">
        <v>4760</v>
      </c>
      <c r="L15" s="118">
        <v>1700</v>
      </c>
      <c r="M15" s="118">
        <v>20</v>
      </c>
      <c r="N15" s="118">
        <f>22600+3000+2100+600+100</f>
        <v>28400</v>
      </c>
      <c r="O15" s="118">
        <v>4807</v>
      </c>
      <c r="P15" s="118"/>
      <c r="Q15" s="118"/>
      <c r="R15" s="118"/>
      <c r="S15" s="118">
        <f>33000+3000+8000</f>
        <v>44000</v>
      </c>
    </row>
    <row r="16" spans="1:19" ht="59.25" customHeight="1">
      <c r="A16" s="102">
        <f aca="true" t="shared" si="3" ref="A16:A23">A15+1</f>
        <v>3</v>
      </c>
      <c r="B16" s="116" t="s">
        <v>123</v>
      </c>
      <c r="C16" s="117">
        <f>E16+F16+G16</f>
        <v>30461.9</v>
      </c>
      <c r="D16" s="117">
        <f t="shared" si="1"/>
        <v>30461.9</v>
      </c>
      <c r="E16" s="117"/>
      <c r="F16" s="117">
        <f>I16+M16+R16</f>
        <v>2.5</v>
      </c>
      <c r="G16" s="117">
        <f>J16+N16+S16</f>
        <v>30459.4</v>
      </c>
      <c r="H16" s="118"/>
      <c r="I16" s="118"/>
      <c r="J16" s="118">
        <f>'[2]зеленбуд'!E44</f>
        <v>7480.3</v>
      </c>
      <c r="K16" s="118">
        <v>13299.9</v>
      </c>
      <c r="L16" s="118"/>
      <c r="M16" s="118">
        <v>2.5</v>
      </c>
      <c r="N16" s="118">
        <f>9615.2+128</f>
        <v>9743.2</v>
      </c>
      <c r="O16" s="118">
        <v>11861</v>
      </c>
      <c r="P16" s="118"/>
      <c r="Q16" s="118"/>
      <c r="R16" s="118"/>
      <c r="S16" s="118">
        <f>12875.9+100+150+110</f>
        <v>13235.9</v>
      </c>
    </row>
    <row r="17" spans="1:19" ht="60.75" customHeight="1">
      <c r="A17" s="102">
        <f t="shared" si="3"/>
        <v>4</v>
      </c>
      <c r="B17" s="116" t="s">
        <v>124</v>
      </c>
      <c r="C17" s="117">
        <f t="shared" si="0"/>
        <v>36896.9</v>
      </c>
      <c r="D17" s="117">
        <f t="shared" si="1"/>
        <v>36896.9</v>
      </c>
      <c r="E17" s="117"/>
      <c r="F17" s="117"/>
      <c r="G17" s="117">
        <f t="shared" si="2"/>
        <v>36896.9</v>
      </c>
      <c r="H17" s="118"/>
      <c r="I17" s="118"/>
      <c r="J17" s="118">
        <v>6413</v>
      </c>
      <c r="K17" s="118">
        <v>117795.5</v>
      </c>
      <c r="L17" s="118"/>
      <c r="M17" s="118"/>
      <c r="N17" s="118">
        <f>10231.5+1</f>
        <v>10232.5</v>
      </c>
      <c r="O17" s="118">
        <v>130320.5</v>
      </c>
      <c r="P17" s="118"/>
      <c r="Q17" s="118"/>
      <c r="R17" s="118"/>
      <c r="S17" s="118">
        <f>19791.4+410+50</f>
        <v>20251.4</v>
      </c>
    </row>
    <row r="18" spans="1:19" ht="27" customHeight="1">
      <c r="A18" s="102">
        <f t="shared" si="3"/>
        <v>5</v>
      </c>
      <c r="B18" s="116" t="s">
        <v>74</v>
      </c>
      <c r="C18" s="117">
        <f t="shared" si="0"/>
        <v>4020.08</v>
      </c>
      <c r="D18" s="117">
        <f t="shared" si="1"/>
        <v>4020.08</v>
      </c>
      <c r="E18" s="117"/>
      <c r="F18" s="117"/>
      <c r="G18" s="117">
        <f t="shared" si="2"/>
        <v>4020.08</v>
      </c>
      <c r="H18" s="118"/>
      <c r="I18" s="118"/>
      <c r="J18" s="118">
        <f>'[2]саночистка'!E27</f>
        <v>1035</v>
      </c>
      <c r="K18" s="118">
        <v>7405.3</v>
      </c>
      <c r="L18" s="118"/>
      <c r="M18" s="118"/>
      <c r="N18" s="118">
        <f>1140+365.08</f>
        <v>1505.08</v>
      </c>
      <c r="O18" s="118">
        <v>8198.7</v>
      </c>
      <c r="P18" s="118"/>
      <c r="Q18" s="118"/>
      <c r="R18" s="118"/>
      <c r="S18" s="118">
        <f>1770-290</f>
        <v>1480</v>
      </c>
    </row>
    <row r="19" spans="1:19" ht="35.25" customHeight="1">
      <c r="A19" s="102">
        <f t="shared" si="3"/>
        <v>6</v>
      </c>
      <c r="B19" s="116" t="s">
        <v>75</v>
      </c>
      <c r="C19" s="117">
        <f t="shared" si="0"/>
        <v>12833.1</v>
      </c>
      <c r="D19" s="117">
        <f t="shared" si="1"/>
        <v>12833.1</v>
      </c>
      <c r="E19" s="117"/>
      <c r="F19" s="117"/>
      <c r="G19" s="117">
        <f t="shared" si="2"/>
        <v>12833.1</v>
      </c>
      <c r="H19" s="118"/>
      <c r="I19" s="118"/>
      <c r="J19" s="118">
        <f>2957.5+100</f>
        <v>3057.5</v>
      </c>
      <c r="K19" s="118">
        <v>22035.5</v>
      </c>
      <c r="L19" s="118"/>
      <c r="M19" s="118"/>
      <c r="N19" s="118">
        <v>3781.6</v>
      </c>
      <c r="O19" s="118">
        <v>21202</v>
      </c>
      <c r="P19" s="118"/>
      <c r="Q19" s="118"/>
      <c r="R19" s="118"/>
      <c r="S19" s="118">
        <f>4869-200+200+250+500+50+125+200</f>
        <v>5994</v>
      </c>
    </row>
    <row r="20" spans="1:19" ht="39" customHeight="1">
      <c r="A20" s="102">
        <f t="shared" si="3"/>
        <v>7</v>
      </c>
      <c r="B20" s="116" t="s">
        <v>76</v>
      </c>
      <c r="C20" s="117">
        <f t="shared" si="0"/>
        <v>1460</v>
      </c>
      <c r="D20" s="117">
        <f t="shared" si="1"/>
        <v>1460</v>
      </c>
      <c r="E20" s="117"/>
      <c r="F20" s="117"/>
      <c r="G20" s="117">
        <f t="shared" si="2"/>
        <v>1460</v>
      </c>
      <c r="H20" s="118"/>
      <c r="I20" s="118"/>
      <c r="J20" s="118">
        <f>'[2]евтаназія'!E26</f>
        <v>400</v>
      </c>
      <c r="K20" s="118">
        <v>13568.2</v>
      </c>
      <c r="L20" s="118"/>
      <c r="M20" s="118"/>
      <c r="N20" s="118">
        <f>'[2]евтаназія'!F26</f>
        <v>480</v>
      </c>
      <c r="O20" s="118">
        <v>9730.1</v>
      </c>
      <c r="P20" s="118"/>
      <c r="Q20" s="118"/>
      <c r="R20" s="118"/>
      <c r="S20" s="118">
        <f>'[2]евтаназія'!I26</f>
        <v>580</v>
      </c>
    </row>
    <row r="21" spans="1:19" ht="44.25" customHeight="1">
      <c r="A21" s="102">
        <f t="shared" si="3"/>
        <v>8</v>
      </c>
      <c r="B21" s="116" t="s">
        <v>77</v>
      </c>
      <c r="C21" s="117">
        <f t="shared" si="0"/>
        <v>25772</v>
      </c>
      <c r="D21" s="117">
        <f t="shared" si="1"/>
        <v>25772</v>
      </c>
      <c r="E21" s="117"/>
      <c r="F21" s="117"/>
      <c r="G21" s="117">
        <f t="shared" si="2"/>
        <v>25772</v>
      </c>
      <c r="H21" s="118"/>
      <c r="I21" s="118"/>
      <c r="J21" s="118">
        <f>'[2]капітальний ремонт'!E20</f>
        <v>3365</v>
      </c>
      <c r="K21" s="118">
        <v>2008.9</v>
      </c>
      <c r="L21" s="118"/>
      <c r="M21" s="118"/>
      <c r="N21" s="118">
        <v>4482</v>
      </c>
      <c r="O21" s="118">
        <v>1978.9</v>
      </c>
      <c r="P21" s="118"/>
      <c r="Q21" s="118"/>
      <c r="R21" s="118"/>
      <c r="S21" s="118">
        <f>19236.2+400+125+500+1500-125-500-341-2750.2+1000-1120</f>
        <v>17925</v>
      </c>
    </row>
    <row r="22" spans="1:19" ht="37.5" customHeight="1">
      <c r="A22" s="102">
        <f t="shared" si="3"/>
        <v>9</v>
      </c>
      <c r="B22" s="121" t="s">
        <v>102</v>
      </c>
      <c r="C22" s="122">
        <f>E22+F22+G22</f>
        <v>241485</v>
      </c>
      <c r="D22" s="122">
        <f t="shared" si="1"/>
        <v>241485</v>
      </c>
      <c r="E22" s="122">
        <f>H22+L22+Q22</f>
        <v>4800</v>
      </c>
      <c r="F22" s="122">
        <f>I22+M22+R22</f>
        <v>5000</v>
      </c>
      <c r="G22" s="122">
        <f>J22+N22+S22</f>
        <v>231685</v>
      </c>
      <c r="H22" s="119">
        <v>4800</v>
      </c>
      <c r="I22" s="119">
        <v>2500</v>
      </c>
      <c r="J22" s="119">
        <f>19978-250+23500</f>
        <v>43228</v>
      </c>
      <c r="K22" s="119">
        <v>882.7</v>
      </c>
      <c r="L22" s="119"/>
      <c r="M22" s="119">
        <v>2500</v>
      </c>
      <c r="N22" s="118">
        <f>94070+1902+1000+85</f>
        <v>97057</v>
      </c>
      <c r="O22" s="118">
        <v>469.8</v>
      </c>
      <c r="P22" s="118"/>
      <c r="Q22" s="118"/>
      <c r="R22" s="118"/>
      <c r="S22" s="118">
        <f>91800-400+2500-2500</f>
        <v>91400</v>
      </c>
    </row>
    <row r="23" spans="1:19" ht="62.25" customHeight="1">
      <c r="A23" s="102">
        <f t="shared" si="3"/>
        <v>10</v>
      </c>
      <c r="B23" s="116" t="s">
        <v>78</v>
      </c>
      <c r="C23" s="117">
        <f t="shared" si="0"/>
        <v>9135.99</v>
      </c>
      <c r="D23" s="117">
        <f t="shared" si="1"/>
        <v>9135.99</v>
      </c>
      <c r="E23" s="117"/>
      <c r="F23" s="117"/>
      <c r="G23" s="117">
        <f t="shared" si="2"/>
        <v>9135.99</v>
      </c>
      <c r="H23" s="118"/>
      <c r="I23" s="118"/>
      <c r="J23" s="118">
        <v>2423.76</v>
      </c>
      <c r="K23" s="118">
        <v>1969.3</v>
      </c>
      <c r="L23" s="118"/>
      <c r="M23" s="118"/>
      <c r="N23" s="118">
        <v>3218.51</v>
      </c>
      <c r="O23" s="118">
        <v>2146</v>
      </c>
      <c r="P23" s="118"/>
      <c r="Q23" s="118"/>
      <c r="R23" s="118"/>
      <c r="S23" s="118">
        <f>3333.72+100+25.2+34.8</f>
        <v>3493.72</v>
      </c>
    </row>
    <row r="24" spans="1:19" ht="45.75" customHeight="1">
      <c r="A24" s="102">
        <v>11</v>
      </c>
      <c r="B24" s="116" t="s">
        <v>79</v>
      </c>
      <c r="C24" s="117">
        <f t="shared" si="0"/>
        <v>20428.87</v>
      </c>
      <c r="D24" s="117">
        <f t="shared" si="1"/>
        <v>20428.87</v>
      </c>
      <c r="E24" s="117"/>
      <c r="F24" s="117"/>
      <c r="G24" s="117">
        <f t="shared" si="2"/>
        <v>20428.87</v>
      </c>
      <c r="H24" s="118"/>
      <c r="I24" s="118"/>
      <c r="J24" s="118">
        <f>1470.4+1000+127.9+224.2-120</f>
        <v>2702.5</v>
      </c>
      <c r="K24" s="118"/>
      <c r="L24" s="118"/>
      <c r="M24" s="118"/>
      <c r="N24" s="118">
        <f>1850+70.1+50.1+500+3129.5+300.7+664.534+174.6+2729+200.666+1057.61+230-50</f>
        <v>10906.81</v>
      </c>
      <c r="O24" s="118"/>
      <c r="P24" s="118"/>
      <c r="Q24" s="118"/>
      <c r="R24" s="118"/>
      <c r="S24" s="118">
        <f>6169.56+180+50+20+200+200</f>
        <v>6819.56</v>
      </c>
    </row>
    <row r="25" spans="1:19" s="18" customFormat="1" ht="39" customHeight="1">
      <c r="A25" s="99">
        <v>12</v>
      </c>
      <c r="B25" s="121" t="s">
        <v>87</v>
      </c>
      <c r="C25" s="122">
        <f t="shared" si="0"/>
        <v>3131.84</v>
      </c>
      <c r="D25" s="122">
        <f t="shared" si="1"/>
        <v>3131.84</v>
      </c>
      <c r="E25" s="122"/>
      <c r="F25" s="122"/>
      <c r="G25" s="122">
        <f t="shared" si="2"/>
        <v>3131.84</v>
      </c>
      <c r="H25" s="119"/>
      <c r="I25" s="119"/>
      <c r="J25" s="118">
        <f>583.8+1589</f>
        <v>2172.8</v>
      </c>
      <c r="K25" s="118"/>
      <c r="L25" s="118"/>
      <c r="M25" s="118"/>
      <c r="N25" s="118">
        <f>298.34+46</f>
        <v>344.34</v>
      </c>
      <c r="O25" s="118"/>
      <c r="P25" s="118"/>
      <c r="Q25" s="118"/>
      <c r="R25" s="118"/>
      <c r="S25" s="118">
        <f>94.7+370+150</f>
        <v>614.7</v>
      </c>
    </row>
    <row r="26" spans="1:19" ht="24.75" customHeight="1">
      <c r="A26" s="102">
        <v>13</v>
      </c>
      <c r="B26" s="116" t="s">
        <v>83</v>
      </c>
      <c r="C26" s="117">
        <f t="shared" si="0"/>
        <v>8371.50029</v>
      </c>
      <c r="D26" s="117"/>
      <c r="E26" s="117"/>
      <c r="F26" s="117"/>
      <c r="G26" s="117">
        <f t="shared" si="2"/>
        <v>8371.50029</v>
      </c>
      <c r="H26" s="118"/>
      <c r="I26" s="118"/>
      <c r="J26" s="118">
        <f>3+3</f>
        <v>6</v>
      </c>
      <c r="K26" s="118"/>
      <c r="L26" s="118"/>
      <c r="M26" s="118"/>
      <c r="N26" s="123">
        <f>4461+34.53529-1500-2500.035</f>
        <v>495.50028999999995</v>
      </c>
      <c r="O26" s="118"/>
      <c r="P26" s="118"/>
      <c r="Q26" s="118"/>
      <c r="R26" s="118"/>
      <c r="S26" s="118">
        <f>7800+70</f>
        <v>7870</v>
      </c>
    </row>
    <row r="27" spans="1:19" ht="18.75">
      <c r="A27" s="102">
        <v>14</v>
      </c>
      <c r="B27" s="116" t="s">
        <v>101</v>
      </c>
      <c r="C27" s="117">
        <f t="shared" si="0"/>
        <v>21294</v>
      </c>
      <c r="D27" s="117"/>
      <c r="E27" s="117"/>
      <c r="F27" s="124"/>
      <c r="G27" s="117">
        <f t="shared" si="2"/>
        <v>21294</v>
      </c>
      <c r="H27" s="120"/>
      <c r="I27" s="118"/>
      <c r="J27" s="118">
        <v>1214</v>
      </c>
      <c r="K27" s="118"/>
      <c r="L27" s="118"/>
      <c r="M27" s="118"/>
      <c r="N27" s="118">
        <f>8000+80</f>
        <v>8080</v>
      </c>
      <c r="O27" s="118"/>
      <c r="P27" s="118"/>
      <c r="Q27" s="118"/>
      <c r="R27" s="118"/>
      <c r="S27" s="118">
        <v>12000</v>
      </c>
    </row>
    <row r="28" spans="1:19" ht="18.75">
      <c r="A28" s="102">
        <v>15</v>
      </c>
      <c r="B28" s="116" t="s">
        <v>92</v>
      </c>
      <c r="C28" s="117">
        <f aca="true" t="shared" si="4" ref="C28:C37">G28</f>
        <v>2200</v>
      </c>
      <c r="D28" s="117"/>
      <c r="E28" s="117"/>
      <c r="F28" s="117"/>
      <c r="G28" s="117">
        <f t="shared" si="2"/>
        <v>2200</v>
      </c>
      <c r="H28" s="118"/>
      <c r="I28" s="118"/>
      <c r="J28" s="118">
        <f>200-200</f>
        <v>0</v>
      </c>
      <c r="K28" s="118"/>
      <c r="L28" s="118"/>
      <c r="M28" s="118"/>
      <c r="N28" s="118">
        <f>500+200+500</f>
        <v>1200</v>
      </c>
      <c r="O28" s="118"/>
      <c r="P28" s="118"/>
      <c r="Q28" s="118"/>
      <c r="R28" s="118"/>
      <c r="S28" s="118">
        <v>1000</v>
      </c>
    </row>
    <row r="29" spans="1:19" ht="37.5">
      <c r="A29" s="102">
        <v>16</v>
      </c>
      <c r="B29" s="116" t="s">
        <v>88</v>
      </c>
      <c r="C29" s="117">
        <f t="shared" si="4"/>
        <v>5784.42</v>
      </c>
      <c r="D29" s="117"/>
      <c r="E29" s="117"/>
      <c r="F29" s="117"/>
      <c r="G29" s="117">
        <f t="shared" si="2"/>
        <v>5784.42</v>
      </c>
      <c r="H29" s="118"/>
      <c r="I29" s="118"/>
      <c r="J29" s="118">
        <v>1084.42</v>
      </c>
      <c r="K29" s="118"/>
      <c r="L29" s="118"/>
      <c r="M29" s="118"/>
      <c r="N29" s="118">
        <v>3700</v>
      </c>
      <c r="O29" s="118"/>
      <c r="P29" s="118"/>
      <c r="Q29" s="118"/>
      <c r="R29" s="118"/>
      <c r="S29" s="118">
        <v>1000</v>
      </c>
    </row>
    <row r="30" spans="1:19" ht="49.5" customHeight="1">
      <c r="A30" s="102">
        <v>17</v>
      </c>
      <c r="B30" s="116" t="s">
        <v>89</v>
      </c>
      <c r="C30" s="117">
        <f t="shared" si="4"/>
        <v>1479.4</v>
      </c>
      <c r="D30" s="117"/>
      <c r="E30" s="117"/>
      <c r="F30" s="117"/>
      <c r="G30" s="117">
        <f t="shared" si="2"/>
        <v>1479.4</v>
      </c>
      <c r="H30" s="118"/>
      <c r="I30" s="118"/>
      <c r="J30" s="118"/>
      <c r="K30" s="118"/>
      <c r="L30" s="118"/>
      <c r="M30" s="118"/>
      <c r="N30" s="118">
        <f>465+4461-4461+200+34.4</f>
        <v>699.4</v>
      </c>
      <c r="O30" s="118"/>
      <c r="P30" s="118"/>
      <c r="Q30" s="118"/>
      <c r="R30" s="118"/>
      <c r="S30" s="118">
        <f>650+130</f>
        <v>780</v>
      </c>
    </row>
    <row r="31" spans="1:19" ht="65.25" customHeight="1">
      <c r="A31" s="102">
        <v>18</v>
      </c>
      <c r="B31" s="116" t="s">
        <v>91</v>
      </c>
      <c r="C31" s="117">
        <f t="shared" si="4"/>
        <v>213260.715</v>
      </c>
      <c r="D31" s="117"/>
      <c r="E31" s="117"/>
      <c r="F31" s="117"/>
      <c r="G31" s="117">
        <f t="shared" si="2"/>
        <v>213260.715</v>
      </c>
      <c r="H31" s="118"/>
      <c r="I31" s="118"/>
      <c r="J31" s="118"/>
      <c r="K31" s="118"/>
      <c r="L31" s="118"/>
      <c r="M31" s="118"/>
      <c r="N31" s="123">
        <f>49855.6+12000+250+339.9+1116.3+677.7+277.2+14.159+17.372+292+5+2725+1800+1470+21+72.61+1134.95+5798.8+317.6+470+49.8+700</f>
        <v>79404.99100000001</v>
      </c>
      <c r="O31" s="118"/>
      <c r="P31" s="118">
        <v>47</v>
      </c>
      <c r="Q31" s="118"/>
      <c r="R31" s="118"/>
      <c r="S31" s="123">
        <f>88015.624+13700+4000+178.8+1092+1250+233+3000+1780+400+15700+434.8+543+370+2200+3000-2041.5</f>
        <v>133855.724</v>
      </c>
    </row>
    <row r="32" spans="1:19" ht="48.75" customHeight="1">
      <c r="A32" s="102">
        <v>19</v>
      </c>
      <c r="B32" s="116" t="s">
        <v>90</v>
      </c>
      <c r="C32" s="117">
        <f t="shared" si="4"/>
        <v>3410</v>
      </c>
      <c r="D32" s="117"/>
      <c r="E32" s="117"/>
      <c r="F32" s="117"/>
      <c r="G32" s="117">
        <f t="shared" si="2"/>
        <v>3410</v>
      </c>
      <c r="H32" s="118"/>
      <c r="I32" s="118"/>
      <c r="J32" s="118"/>
      <c r="K32" s="118"/>
      <c r="L32" s="118"/>
      <c r="M32" s="118"/>
      <c r="N32" s="118">
        <f>980+450</f>
        <v>1430</v>
      </c>
      <c r="O32" s="118"/>
      <c r="P32" s="118"/>
      <c r="Q32" s="118"/>
      <c r="R32" s="118"/>
      <c r="S32" s="118">
        <f>1000+980</f>
        <v>1980</v>
      </c>
    </row>
    <row r="33" spans="1:23" ht="65.25" customHeight="1">
      <c r="A33" s="102">
        <v>20</v>
      </c>
      <c r="B33" s="116" t="s">
        <v>93</v>
      </c>
      <c r="C33" s="117">
        <f t="shared" si="4"/>
        <v>5200</v>
      </c>
      <c r="D33" s="117"/>
      <c r="E33" s="117"/>
      <c r="F33" s="117"/>
      <c r="G33" s="117">
        <f t="shared" si="2"/>
        <v>5200</v>
      </c>
      <c r="H33" s="118"/>
      <c r="I33" s="118"/>
      <c r="J33" s="118"/>
      <c r="K33" s="118"/>
      <c r="L33" s="118"/>
      <c r="M33" s="118"/>
      <c r="N33" s="118">
        <f>4461-2461</f>
        <v>2000</v>
      </c>
      <c r="O33" s="118"/>
      <c r="P33" s="118"/>
      <c r="Q33" s="118"/>
      <c r="R33" s="118"/>
      <c r="S33" s="118">
        <v>3200</v>
      </c>
      <c r="W33" s="15"/>
    </row>
    <row r="34" spans="1:23" ht="75">
      <c r="A34" s="102">
        <v>21</v>
      </c>
      <c r="B34" s="116" t="s">
        <v>298</v>
      </c>
      <c r="C34" s="117">
        <f t="shared" si="4"/>
        <v>17661</v>
      </c>
      <c r="D34" s="117"/>
      <c r="E34" s="117"/>
      <c r="F34" s="117"/>
      <c r="G34" s="117">
        <f t="shared" si="2"/>
        <v>17661</v>
      </c>
      <c r="H34" s="118"/>
      <c r="I34" s="118"/>
      <c r="J34" s="118"/>
      <c r="K34" s="118"/>
      <c r="L34" s="118"/>
      <c r="M34" s="118"/>
      <c r="N34" s="118">
        <f>541+78.8</f>
        <v>619.8</v>
      </c>
      <c r="O34" s="118"/>
      <c r="P34" s="118"/>
      <c r="Q34" s="118"/>
      <c r="R34" s="118"/>
      <c r="S34" s="118">
        <f>6000+750+500+2500+500+341+2750.2+3700</f>
        <v>17041.2</v>
      </c>
      <c r="W34" s="15"/>
    </row>
    <row r="35" spans="1:23" ht="24.75" customHeight="1">
      <c r="A35" s="102">
        <v>22</v>
      </c>
      <c r="B35" s="116" t="s">
        <v>104</v>
      </c>
      <c r="C35" s="117">
        <f t="shared" si="4"/>
        <v>8248</v>
      </c>
      <c r="D35" s="117"/>
      <c r="E35" s="117"/>
      <c r="F35" s="117"/>
      <c r="G35" s="117">
        <f t="shared" si="2"/>
        <v>8248</v>
      </c>
      <c r="H35" s="118"/>
      <c r="I35" s="118"/>
      <c r="J35" s="118"/>
      <c r="K35" s="118"/>
      <c r="L35" s="118"/>
      <c r="M35" s="118"/>
      <c r="N35" s="118">
        <v>1473</v>
      </c>
      <c r="O35" s="118"/>
      <c r="P35" s="118"/>
      <c r="Q35" s="118"/>
      <c r="R35" s="118"/>
      <c r="S35" s="123">
        <f>5200+1575</f>
        <v>6775</v>
      </c>
      <c r="W35" s="15"/>
    </row>
    <row r="36" spans="1:23" ht="40.5" customHeight="1">
      <c r="A36" s="102">
        <v>23</v>
      </c>
      <c r="B36" s="116" t="s">
        <v>126</v>
      </c>
      <c r="C36" s="117">
        <f t="shared" si="4"/>
        <v>-4908.092000000001</v>
      </c>
      <c r="D36" s="117"/>
      <c r="E36" s="117"/>
      <c r="F36" s="117"/>
      <c r="G36" s="117">
        <f t="shared" si="2"/>
        <v>-4908.092000000001</v>
      </c>
      <c r="H36" s="118"/>
      <c r="I36" s="118"/>
      <c r="J36" s="118"/>
      <c r="K36" s="118"/>
      <c r="L36" s="118"/>
      <c r="M36" s="118"/>
      <c r="N36" s="118">
        <v>-2804</v>
      </c>
      <c r="O36" s="118"/>
      <c r="P36" s="118"/>
      <c r="Q36" s="118"/>
      <c r="R36" s="118"/>
      <c r="S36" s="123">
        <v>-2104.092</v>
      </c>
      <c r="W36" s="15"/>
    </row>
    <row r="37" spans="1:23" ht="39.75" customHeight="1">
      <c r="A37" s="102">
        <v>24</v>
      </c>
      <c r="B37" s="116" t="s">
        <v>127</v>
      </c>
      <c r="C37" s="117">
        <f t="shared" si="4"/>
        <v>5568</v>
      </c>
      <c r="D37" s="117"/>
      <c r="E37" s="117"/>
      <c r="F37" s="117"/>
      <c r="G37" s="117">
        <f t="shared" si="2"/>
        <v>5568</v>
      </c>
      <c r="H37" s="118"/>
      <c r="I37" s="118"/>
      <c r="J37" s="118"/>
      <c r="K37" s="118"/>
      <c r="L37" s="118"/>
      <c r="M37" s="118"/>
      <c r="N37" s="118">
        <v>238</v>
      </c>
      <c r="O37" s="118"/>
      <c r="P37" s="118"/>
      <c r="Q37" s="118"/>
      <c r="R37" s="118"/>
      <c r="S37" s="123">
        <f>5080+75+175</f>
        <v>5330</v>
      </c>
      <c r="W37" s="15"/>
    </row>
    <row r="38" spans="1:19" ht="18.75">
      <c r="A38" s="246" t="s">
        <v>53</v>
      </c>
      <c r="B38" s="246"/>
      <c r="C38" s="117">
        <f>G38+F38+E38</f>
        <v>1396468.67329</v>
      </c>
      <c r="D38" s="117">
        <f>SUM(D14:D25)</f>
        <v>1108899.7300000002</v>
      </c>
      <c r="E38" s="117">
        <f>SUM(E14:E25)+E26+E27+E28+E29+E30+E31+E32+E33</f>
        <v>6917.8</v>
      </c>
      <c r="F38" s="117">
        <f>SUM(F14:F25)+F26+F27+F28+F29+F30+F31+F32+F33</f>
        <v>5002.5</v>
      </c>
      <c r="G38" s="117">
        <f>J38+N38+S38</f>
        <v>1384548.37329</v>
      </c>
      <c r="H38" s="117">
        <f>SUM(H14:H25)+H26+H27+H28+H29+H30+H31+H32+H33</f>
        <v>6917.8</v>
      </c>
      <c r="I38" s="117">
        <f>SUM(I14:I25)+I26+I27+I28+I29+I30+I31+I32+I33</f>
        <v>2500</v>
      </c>
      <c r="J38" s="117">
        <f>J14+J15+J16+J17+J18+J19+J20+J21+J22+J23+J24+J25+J26+J27+J28+J29+J30+J31+J32+J33</f>
        <v>209615.28</v>
      </c>
      <c r="K38" s="117" t="e">
        <f>SUM(K14:K25)</f>
        <v>#REF!</v>
      </c>
      <c r="L38" s="117">
        <f>SUM(L14:L25)+L26+L27+L28+L29+L30+L31+L32+L33+L34</f>
        <v>1700</v>
      </c>
      <c r="M38" s="117">
        <f>SUM(M14:M25)+M26+M27+M28+M29+M30+M31+M32+M33</f>
        <v>2522.5</v>
      </c>
      <c r="N38" s="117">
        <f>N14+N15+N16+N17+N18+N19+N20+N21+N22+N23+N24+N25+N28+N29+N30+N31+N32+N33+N26+N27+N34+N35+N36+N37</f>
        <v>479557.4812900001</v>
      </c>
      <c r="O38" s="117" t="e">
        <f>O14+O15+O16+O17+O18+O19+O20+O21+O22+O23+O24+O25+O28+O29+O30+O31+O32+O33+O26+O27</f>
        <v>#REF!</v>
      </c>
      <c r="P38" s="117">
        <f>P14+P15+P16+P17+P18+P19+P20+P21+P22+P23+P24+P25+P28+P29+P30+P31+P32+P33+P26+P27</f>
        <v>47</v>
      </c>
      <c r="Q38" s="117">
        <f>SUM(Q14:Q25)+Q26+Q27+Q28+Q29+Q30+Q31+Q32+Q33</f>
        <v>0</v>
      </c>
      <c r="R38" s="117">
        <f>SUM(R14:R25)+R26+R27+R28+R29+R30+R31+R32+R33</f>
        <v>0</v>
      </c>
      <c r="S38" s="117">
        <f>S14+S15+S16+S17+S18+S19+S20+S21+S22+S23+S25+S28+S29+S30+S31+S32+S33+S24+S26+S34+S35+S36+S37+S27</f>
        <v>695375.6120000001</v>
      </c>
    </row>
    <row r="39" spans="1:19" ht="15.75">
      <c r="A39" s="22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15.75">
      <c r="A40" s="22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15.75">
      <c r="A41" s="22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6.5" customHeight="1">
      <c r="A42" s="4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4"/>
      <c r="O42" s="7"/>
      <c r="P42" s="26"/>
      <c r="Q42" s="25"/>
      <c r="S42" s="27"/>
    </row>
    <row r="43" spans="1:21" ht="25.5" customHeight="1">
      <c r="A43" s="247" t="s">
        <v>105</v>
      </c>
      <c r="B43" s="247"/>
      <c r="C43" s="19"/>
      <c r="D43" s="9"/>
      <c r="E43" s="11"/>
      <c r="F43" s="9"/>
      <c r="G43" s="9"/>
      <c r="H43" s="7"/>
      <c r="I43" s="7"/>
      <c r="J43" s="7"/>
      <c r="N43" s="15"/>
      <c r="P43" s="15"/>
      <c r="Q43" s="248" t="s">
        <v>55</v>
      </c>
      <c r="R43" s="248"/>
      <c r="S43" s="30"/>
      <c r="T43" s="5"/>
      <c r="U43" s="5"/>
    </row>
    <row r="44" spans="1:21" ht="25.5" customHeight="1">
      <c r="A44" s="20"/>
      <c r="B44" s="20"/>
      <c r="C44" s="19"/>
      <c r="D44" s="9"/>
      <c r="E44" s="11"/>
      <c r="F44" s="9"/>
      <c r="G44" s="9"/>
      <c r="H44" s="7"/>
      <c r="I44" s="7"/>
      <c r="J44" s="7"/>
      <c r="N44" s="15"/>
      <c r="Q44" s="21"/>
      <c r="R44" s="21"/>
      <c r="S44" s="29"/>
      <c r="T44" s="5"/>
      <c r="U44" s="5"/>
    </row>
    <row r="45" spans="1:20" ht="15" customHeight="1">
      <c r="A45" s="249" t="s">
        <v>86</v>
      </c>
      <c r="B45" s="249"/>
      <c r="C45" s="12"/>
      <c r="D45" s="8"/>
      <c r="E45" s="8"/>
      <c r="F45" s="1"/>
      <c r="G45" s="1"/>
      <c r="H45" s="250"/>
      <c r="I45" s="250"/>
      <c r="J45" s="250"/>
      <c r="K45" s="250"/>
      <c r="L45" s="250"/>
      <c r="M45" s="250"/>
      <c r="N45" s="250"/>
      <c r="O45" s="250"/>
      <c r="P45" s="10"/>
      <c r="Q45" s="10"/>
      <c r="R45" s="14"/>
      <c r="T45" s="10"/>
    </row>
    <row r="46" spans="1:19" ht="29.25" customHeight="1">
      <c r="A46" s="13" t="s">
        <v>81</v>
      </c>
      <c r="B46" s="13"/>
      <c r="C46" s="15"/>
      <c r="D46" s="15"/>
      <c r="E46" s="15"/>
      <c r="F46" s="15"/>
      <c r="G46" s="15"/>
      <c r="S46" s="245"/>
    </row>
    <row r="47" spans="1:17" ht="12.75" hidden="1">
      <c r="A47" s="16"/>
      <c r="B47" s="17"/>
      <c r="O47" s="15"/>
      <c r="P47" s="15"/>
      <c r="Q47" s="15"/>
    </row>
    <row r="48" spans="1:2" ht="12.75">
      <c r="A48" s="16"/>
      <c r="B48" s="16"/>
    </row>
    <row r="49" spans="1:19" ht="12.75">
      <c r="A49" s="16"/>
      <c r="B49" s="1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2" ht="12.75">
      <c r="A50" s="16"/>
      <c r="B50" s="16"/>
    </row>
    <row r="51" spans="1:2" ht="12.75">
      <c r="A51" s="16"/>
      <c r="B51" s="16"/>
    </row>
    <row r="52" spans="1:17" ht="12.75">
      <c r="A52" s="16"/>
      <c r="B52" s="16"/>
      <c r="O52" s="15"/>
      <c r="P52" s="15"/>
      <c r="Q52" s="15"/>
    </row>
    <row r="53" spans="1:17" ht="12.75">
      <c r="A53" s="16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2.75">
      <c r="A54" s="16"/>
      <c r="B54" s="16"/>
      <c r="C54" s="15"/>
      <c r="D54" s="15"/>
      <c r="E54" s="15"/>
      <c r="F54" s="15"/>
      <c r="G54" s="15"/>
      <c r="O54" s="15"/>
      <c r="P54" s="15"/>
      <c r="Q54" s="15"/>
    </row>
    <row r="55" spans="1:2" ht="12.75">
      <c r="A55" s="16"/>
      <c r="B55" s="16"/>
    </row>
    <row r="56" spans="1:2" ht="12.75">
      <c r="A56" s="16"/>
      <c r="B56" s="16"/>
    </row>
    <row r="57" spans="1:17" ht="12.75">
      <c r="A57" s="16"/>
      <c r="B57" s="16"/>
      <c r="O57" s="15" t="e">
        <f>O54+O14+929.5+692.9</f>
        <v>#REF!</v>
      </c>
      <c r="P57" s="15"/>
      <c r="Q57" s="15"/>
    </row>
    <row r="58" spans="1:2" ht="12.75">
      <c r="A58" s="16"/>
      <c r="B58" s="16"/>
    </row>
    <row r="59" spans="1:17" ht="12.75">
      <c r="A59" s="16"/>
      <c r="B59" s="16"/>
      <c r="O59" s="15" t="e">
        <f>O57+16506</f>
        <v>#REF!</v>
      </c>
      <c r="P59" s="15"/>
      <c r="Q59" s="15"/>
    </row>
    <row r="60" spans="1:2" ht="12.75">
      <c r="A60" s="16"/>
      <c r="B60" s="16"/>
    </row>
    <row r="61" spans="1:2" ht="12.75">
      <c r="A61" s="16"/>
      <c r="B61" s="16"/>
    </row>
    <row r="62" spans="1:2" ht="12.75">
      <c r="A62" s="16"/>
      <c r="B62" s="16"/>
    </row>
    <row r="63" spans="1:2" ht="12.75">
      <c r="A63" s="16"/>
      <c r="B63" s="16"/>
    </row>
    <row r="64" spans="1:2" ht="12.75">
      <c r="A64" s="16"/>
      <c r="B64" s="16"/>
    </row>
    <row r="65" spans="1:2" ht="12.75">
      <c r="A65" s="16"/>
      <c r="B65" s="16"/>
    </row>
    <row r="66" spans="1:2" ht="12.75">
      <c r="A66" s="16"/>
      <c r="B66" s="16"/>
    </row>
    <row r="67" spans="1:2" ht="12.75">
      <c r="A67" s="16"/>
      <c r="B67" s="16"/>
    </row>
    <row r="68" spans="1:2" ht="12.75">
      <c r="A68" s="16"/>
      <c r="B68" s="16"/>
    </row>
    <row r="69" spans="1:2" ht="12.75">
      <c r="A69" s="16"/>
      <c r="B69" s="16"/>
    </row>
    <row r="70" spans="1:2" ht="12.75">
      <c r="A70" s="16"/>
      <c r="B70" s="16"/>
    </row>
    <row r="71" spans="1:2" ht="12.75">
      <c r="A71" s="16"/>
      <c r="B71" s="16"/>
    </row>
    <row r="72" spans="1:2" ht="12.75">
      <c r="A72" s="16"/>
      <c r="B72" s="16"/>
    </row>
    <row r="73" spans="1:2" ht="12.75">
      <c r="A73" s="16"/>
      <c r="B73" s="16"/>
    </row>
    <row r="74" spans="1:2" ht="12.75">
      <c r="A74" s="16"/>
      <c r="B74" s="16"/>
    </row>
    <row r="75" spans="1:2" ht="12.75">
      <c r="A75" s="16"/>
      <c r="B75" s="16"/>
    </row>
    <row r="76" spans="1:2" ht="12.75">
      <c r="A76" s="16"/>
      <c r="B76" s="16"/>
    </row>
    <row r="77" spans="1:2" ht="12.75">
      <c r="A77" s="16"/>
      <c r="B77" s="16"/>
    </row>
    <row r="78" spans="1:2" ht="12.75">
      <c r="A78" s="16"/>
      <c r="B78" s="16"/>
    </row>
    <row r="79" spans="1:2" ht="12.75">
      <c r="A79" s="16"/>
      <c r="B79" s="16"/>
    </row>
    <row r="80" spans="1:2" ht="12.75">
      <c r="A80" s="16"/>
      <c r="B80" s="16"/>
    </row>
    <row r="81" spans="1:2" ht="12.75">
      <c r="A81" s="16"/>
      <c r="B81" s="16"/>
    </row>
    <row r="82" spans="1:2" ht="12.75">
      <c r="A82" s="16"/>
      <c r="B82" s="16"/>
    </row>
    <row r="83" spans="1:2" ht="12.75">
      <c r="A83" s="16"/>
      <c r="B83" s="16"/>
    </row>
    <row r="84" spans="1:2" ht="12.75">
      <c r="A84" s="16"/>
      <c r="B84" s="16"/>
    </row>
    <row r="85" spans="1:2" ht="12.75">
      <c r="A85" s="16"/>
      <c r="B85" s="16"/>
    </row>
    <row r="86" ht="12.75">
      <c r="A86" s="16"/>
    </row>
  </sheetData>
  <sheetProtection/>
  <mergeCells count="26">
    <mergeCell ref="M7:N7"/>
    <mergeCell ref="M5:S5"/>
    <mergeCell ref="M6:S6"/>
    <mergeCell ref="M1:S1"/>
    <mergeCell ref="M2:S2"/>
    <mergeCell ref="M3:S3"/>
    <mergeCell ref="M4:S4"/>
    <mergeCell ref="A9:S9"/>
    <mergeCell ref="K10:S10"/>
    <mergeCell ref="A11:A13"/>
    <mergeCell ref="B11:B13"/>
    <mergeCell ref="C11:C13"/>
    <mergeCell ref="E11:G11"/>
    <mergeCell ref="H11:S11"/>
    <mergeCell ref="E12:E13"/>
    <mergeCell ref="F12:F13"/>
    <mergeCell ref="G12:G13"/>
    <mergeCell ref="L12:P12"/>
    <mergeCell ref="A43:B43"/>
    <mergeCell ref="Q43:R43"/>
    <mergeCell ref="A45:B45"/>
    <mergeCell ref="H45:O45"/>
    <mergeCell ref="H12:J12"/>
    <mergeCell ref="K12:K13"/>
    <mergeCell ref="Q12:S12"/>
    <mergeCell ref="A38:B38"/>
  </mergeCells>
  <printOptions horizontalCentered="1"/>
  <pageMargins left="0" right="0" top="0" bottom="0.1968503937007874" header="0" footer="0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44"/>
  <sheetViews>
    <sheetView view="pageBreakPreview" zoomScale="78" zoomScaleSheetLayoutView="78" zoomScalePageLayoutView="0" workbookViewId="0" topLeftCell="A22">
      <selection activeCell="E27" sqref="E27"/>
    </sheetView>
  </sheetViews>
  <sheetFormatPr defaultColWidth="9.140625" defaultRowHeight="12.75"/>
  <cols>
    <col min="1" max="1" width="4.140625" style="32" customWidth="1"/>
    <col min="2" max="2" width="54.00390625" style="32" customWidth="1"/>
    <col min="3" max="3" width="23.00390625" style="32" customWidth="1"/>
    <col min="4" max="4" width="17.57421875" style="32" customWidth="1"/>
    <col min="5" max="5" width="14.421875" style="32" customWidth="1"/>
    <col min="6" max="6" width="11.421875" style="32" bestFit="1" customWidth="1"/>
    <col min="7" max="8" width="11.57421875" style="32" hidden="1" customWidth="1"/>
    <col min="9" max="9" width="12.57421875" style="32" hidden="1" customWidth="1"/>
    <col min="10" max="10" width="14.57421875" style="32" customWidth="1"/>
    <col min="11" max="11" width="49.140625" style="32" customWidth="1"/>
    <col min="12" max="13" width="9.140625" style="32" hidden="1" customWidth="1"/>
    <col min="14" max="14" width="9.8515625" style="32" hidden="1" customWidth="1"/>
    <col min="15" max="15" width="10.140625" style="32" customWidth="1"/>
    <col min="16" max="16384" width="9.140625" style="32" customWidth="1"/>
  </cols>
  <sheetData>
    <row r="1" spans="2:12" ht="18.75">
      <c r="B1" s="33"/>
      <c r="C1" s="33"/>
      <c r="D1" s="33"/>
      <c r="E1" s="33"/>
      <c r="F1" s="33"/>
      <c r="G1" s="33"/>
      <c r="H1" s="33"/>
      <c r="I1" s="31" t="s">
        <v>106</v>
      </c>
      <c r="J1" s="263" t="s">
        <v>366</v>
      </c>
      <c r="K1" s="263"/>
      <c r="L1" s="31" t="s">
        <v>106</v>
      </c>
    </row>
    <row r="2" spans="2:12" ht="18.75">
      <c r="B2" s="33"/>
      <c r="C2" s="33"/>
      <c r="D2" s="33"/>
      <c r="E2" s="33"/>
      <c r="F2" s="33"/>
      <c r="G2" s="33"/>
      <c r="H2" s="33"/>
      <c r="I2" s="28" t="s">
        <v>94</v>
      </c>
      <c r="J2" s="264" t="s">
        <v>94</v>
      </c>
      <c r="K2" s="264"/>
      <c r="L2" s="28" t="s">
        <v>94</v>
      </c>
    </row>
    <row r="3" spans="2:12" ht="18.75">
      <c r="B3" s="33"/>
      <c r="C3" s="33"/>
      <c r="D3" s="33"/>
      <c r="E3" s="33"/>
      <c r="F3" s="33"/>
      <c r="G3" s="33"/>
      <c r="H3" s="33"/>
      <c r="I3" s="28" t="s">
        <v>107</v>
      </c>
      <c r="J3" s="125" t="s">
        <v>108</v>
      </c>
      <c r="K3" s="125"/>
      <c r="L3" s="28" t="s">
        <v>107</v>
      </c>
    </row>
    <row r="4" spans="2:12" ht="18.75">
      <c r="B4" s="33"/>
      <c r="C4" s="33"/>
      <c r="D4" s="33"/>
      <c r="E4" s="33"/>
      <c r="F4" s="33"/>
      <c r="G4" s="33"/>
      <c r="H4" s="33"/>
      <c r="I4" s="28" t="s">
        <v>109</v>
      </c>
      <c r="J4" s="125" t="s">
        <v>110</v>
      </c>
      <c r="K4" s="125"/>
      <c r="L4" s="28" t="s">
        <v>109</v>
      </c>
    </row>
    <row r="5" spans="2:12" ht="18.75">
      <c r="B5" s="33"/>
      <c r="C5" s="33"/>
      <c r="D5" s="33"/>
      <c r="E5" s="33"/>
      <c r="F5" s="33"/>
      <c r="G5" s="33"/>
      <c r="H5" s="33"/>
      <c r="I5" s="28" t="s">
        <v>111</v>
      </c>
      <c r="J5" s="125" t="s">
        <v>112</v>
      </c>
      <c r="K5" s="125"/>
      <c r="L5" s="28" t="s">
        <v>111</v>
      </c>
    </row>
    <row r="6" spans="2:12" ht="18.75">
      <c r="B6" s="33"/>
      <c r="C6" s="33"/>
      <c r="D6" s="33"/>
      <c r="E6" s="33"/>
      <c r="F6" s="33"/>
      <c r="G6" s="33"/>
      <c r="H6" s="34"/>
      <c r="I6" s="28" t="s">
        <v>113</v>
      </c>
      <c r="J6" s="125" t="s">
        <v>114</v>
      </c>
      <c r="K6" s="125"/>
      <c r="L6" s="28" t="s">
        <v>113</v>
      </c>
    </row>
    <row r="7" spans="2:15" ht="15.75" customHeight="1">
      <c r="B7" s="33"/>
      <c r="C7" s="33"/>
      <c r="D7" s="33"/>
      <c r="E7" s="33"/>
      <c r="F7" s="33"/>
      <c r="G7" s="33"/>
      <c r="H7" s="34"/>
      <c r="I7" s="28" t="s">
        <v>115</v>
      </c>
      <c r="J7" s="260" t="s">
        <v>338</v>
      </c>
      <c r="K7" s="261"/>
      <c r="L7" s="35"/>
      <c r="M7" s="35"/>
      <c r="N7" s="35"/>
      <c r="O7" s="35"/>
    </row>
    <row r="8" spans="2:12" ht="15.7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2:12" ht="18.75" customHeight="1">
      <c r="B9" s="265" t="s">
        <v>142</v>
      </c>
      <c r="C9" s="265"/>
      <c r="D9" s="265"/>
      <c r="E9" s="265"/>
      <c r="F9" s="265"/>
      <c r="G9" s="265"/>
      <c r="H9" s="265"/>
      <c r="I9" s="265"/>
      <c r="J9" s="265"/>
      <c r="K9" s="265"/>
      <c r="L9" s="33"/>
    </row>
    <row r="10" spans="2:12" ht="15.75">
      <c r="B10" s="33"/>
      <c r="C10" s="33"/>
      <c r="D10" s="269"/>
      <c r="E10" s="269"/>
      <c r="F10" s="269"/>
      <c r="G10" s="269"/>
      <c r="H10" s="269"/>
      <c r="I10" s="33"/>
      <c r="J10" s="33"/>
      <c r="K10" s="53" t="s">
        <v>116</v>
      </c>
      <c r="L10" s="33"/>
    </row>
    <row r="11" spans="1:12" ht="15.75" customHeight="1">
      <c r="A11" s="267" t="s">
        <v>54</v>
      </c>
      <c r="B11" s="267" t="s">
        <v>95</v>
      </c>
      <c r="C11" s="267" t="s">
        <v>96</v>
      </c>
      <c r="D11" s="267" t="s">
        <v>97</v>
      </c>
      <c r="E11" s="271" t="s">
        <v>57</v>
      </c>
      <c r="F11" s="271"/>
      <c r="G11" s="271"/>
      <c r="H11" s="271"/>
      <c r="I11" s="271"/>
      <c r="J11" s="272"/>
      <c r="K11" s="266" t="s">
        <v>98</v>
      </c>
      <c r="L11" s="33"/>
    </row>
    <row r="12" spans="1:12" ht="15.75">
      <c r="A12" s="270"/>
      <c r="B12" s="270"/>
      <c r="C12" s="270"/>
      <c r="D12" s="270"/>
      <c r="E12" s="267" t="s">
        <v>58</v>
      </c>
      <c r="F12" s="267" t="s">
        <v>59</v>
      </c>
      <c r="G12" s="267" t="s">
        <v>117</v>
      </c>
      <c r="H12" s="267" t="s">
        <v>118</v>
      </c>
      <c r="I12" s="267" t="s">
        <v>119</v>
      </c>
      <c r="J12" s="266" t="s">
        <v>120</v>
      </c>
      <c r="K12" s="266"/>
      <c r="L12" s="33"/>
    </row>
    <row r="13" spans="1:12" ht="15.75">
      <c r="A13" s="268"/>
      <c r="B13" s="268"/>
      <c r="C13" s="268"/>
      <c r="D13" s="268"/>
      <c r="E13" s="268"/>
      <c r="F13" s="268"/>
      <c r="G13" s="268"/>
      <c r="H13" s="268"/>
      <c r="I13" s="268"/>
      <c r="J13" s="266"/>
      <c r="K13" s="266"/>
      <c r="L13" s="33"/>
    </row>
    <row r="14" spans="1:12" ht="61.5" customHeight="1">
      <c r="A14" s="54">
        <v>1</v>
      </c>
      <c r="B14" s="127" t="s">
        <v>143</v>
      </c>
      <c r="C14" s="54" t="s">
        <v>99</v>
      </c>
      <c r="D14" s="128">
        <f>SUM(E14:J14)</f>
        <v>1015</v>
      </c>
      <c r="E14" s="129">
        <v>565</v>
      </c>
      <c r="F14" s="130">
        <v>250</v>
      </c>
      <c r="G14" s="129"/>
      <c r="H14" s="129"/>
      <c r="I14" s="129"/>
      <c r="J14" s="129">
        <f>200</f>
        <v>200</v>
      </c>
      <c r="K14" s="54" t="s">
        <v>122</v>
      </c>
      <c r="L14" s="33"/>
    </row>
    <row r="15" spans="1:14" ht="64.5" customHeight="1">
      <c r="A15" s="54">
        <v>2</v>
      </c>
      <c r="B15" s="127" t="s">
        <v>144</v>
      </c>
      <c r="C15" s="54" t="s">
        <v>99</v>
      </c>
      <c r="D15" s="128">
        <f>SUM(E15:J15)</f>
        <v>12700</v>
      </c>
      <c r="E15" s="130">
        <v>2500</v>
      </c>
      <c r="F15" s="129">
        <v>1200</v>
      </c>
      <c r="G15" s="129"/>
      <c r="H15" s="129"/>
      <c r="I15" s="129"/>
      <c r="J15" s="129">
        <f>9000</f>
        <v>9000</v>
      </c>
      <c r="K15" s="54" t="s">
        <v>122</v>
      </c>
      <c r="L15" s="33"/>
      <c r="N15" s="51">
        <v>441</v>
      </c>
    </row>
    <row r="16" spans="1:14" ht="69" customHeight="1">
      <c r="A16" s="54">
        <v>3</v>
      </c>
      <c r="B16" s="127" t="s">
        <v>308</v>
      </c>
      <c r="C16" s="54" t="s">
        <v>99</v>
      </c>
      <c r="D16" s="128">
        <f>SUM(E16:J16)</f>
        <v>3900</v>
      </c>
      <c r="E16" s="130">
        <v>300</v>
      </c>
      <c r="F16" s="129">
        <v>600</v>
      </c>
      <c r="G16" s="129"/>
      <c r="H16" s="129"/>
      <c r="I16" s="129"/>
      <c r="J16" s="129">
        <v>3000</v>
      </c>
      <c r="K16" s="54" t="s">
        <v>122</v>
      </c>
      <c r="L16" s="33"/>
      <c r="N16" s="51"/>
    </row>
    <row r="17" spans="1:14" ht="67.5" customHeight="1">
      <c r="A17" s="54">
        <v>4</v>
      </c>
      <c r="B17" s="131" t="s">
        <v>145</v>
      </c>
      <c r="C17" s="54" t="s">
        <v>99</v>
      </c>
      <c r="D17" s="128">
        <f>SUM(E17:J17)</f>
        <v>1000</v>
      </c>
      <c r="E17" s="130"/>
      <c r="F17" s="129">
        <v>500</v>
      </c>
      <c r="G17" s="129"/>
      <c r="H17" s="129"/>
      <c r="I17" s="129"/>
      <c r="J17" s="129">
        <v>500</v>
      </c>
      <c r="K17" s="54" t="s">
        <v>122</v>
      </c>
      <c r="L17" s="33"/>
      <c r="N17" s="51"/>
    </row>
    <row r="18" spans="1:14" ht="65.25" customHeight="1">
      <c r="A18" s="54">
        <v>5</v>
      </c>
      <c r="B18" s="132" t="s">
        <v>146</v>
      </c>
      <c r="C18" s="133" t="s">
        <v>99</v>
      </c>
      <c r="D18" s="134">
        <f>SUM(E18:J18)</f>
        <v>650</v>
      </c>
      <c r="E18" s="135"/>
      <c r="F18" s="55">
        <v>500</v>
      </c>
      <c r="G18" s="129"/>
      <c r="H18" s="129"/>
      <c r="I18" s="129"/>
      <c r="J18" s="135">
        <v>150</v>
      </c>
      <c r="K18" s="54" t="s">
        <v>122</v>
      </c>
      <c r="L18" s="33"/>
      <c r="N18" s="51"/>
    </row>
    <row r="19" spans="1:14" ht="63.75" customHeight="1">
      <c r="A19" s="54">
        <v>6</v>
      </c>
      <c r="B19" s="132" t="s">
        <v>147</v>
      </c>
      <c r="C19" s="54" t="s">
        <v>99</v>
      </c>
      <c r="D19" s="134">
        <f aca="true" t="shared" si="0" ref="D19:D32">SUM(E19:J19)</f>
        <v>597</v>
      </c>
      <c r="E19" s="135"/>
      <c r="F19" s="55">
        <v>597</v>
      </c>
      <c r="G19" s="129"/>
      <c r="H19" s="129"/>
      <c r="I19" s="129"/>
      <c r="J19" s="129"/>
      <c r="K19" s="54" t="s">
        <v>122</v>
      </c>
      <c r="L19" s="33"/>
      <c r="N19" s="51"/>
    </row>
    <row r="20" spans="1:14" ht="62.25" customHeight="1">
      <c r="A20" s="54">
        <v>7</v>
      </c>
      <c r="B20" s="132" t="s">
        <v>148</v>
      </c>
      <c r="C20" s="133" t="s">
        <v>99</v>
      </c>
      <c r="D20" s="134">
        <f t="shared" si="0"/>
        <v>200</v>
      </c>
      <c r="E20" s="135"/>
      <c r="F20" s="55">
        <v>200</v>
      </c>
      <c r="G20" s="129"/>
      <c r="H20" s="129"/>
      <c r="I20" s="129"/>
      <c r="J20" s="129"/>
      <c r="K20" s="54" t="s">
        <v>122</v>
      </c>
      <c r="L20" s="33"/>
      <c r="N20" s="51"/>
    </row>
    <row r="21" spans="1:14" ht="37.5" customHeight="1" hidden="1">
      <c r="A21" s="54">
        <v>8</v>
      </c>
      <c r="B21" s="136"/>
      <c r="C21" s="54" t="s">
        <v>99</v>
      </c>
      <c r="D21" s="134">
        <f t="shared" si="0"/>
        <v>0</v>
      </c>
      <c r="E21" s="135"/>
      <c r="F21" s="55"/>
      <c r="G21" s="129"/>
      <c r="H21" s="129"/>
      <c r="I21" s="129"/>
      <c r="J21" s="129">
        <v>0</v>
      </c>
      <c r="K21" s="54" t="s">
        <v>122</v>
      </c>
      <c r="L21" s="33"/>
      <c r="N21" s="51"/>
    </row>
    <row r="22" spans="1:14" ht="52.5" customHeight="1">
      <c r="A22" s="54">
        <v>8</v>
      </c>
      <c r="B22" s="132" t="s">
        <v>149</v>
      </c>
      <c r="C22" s="54" t="s">
        <v>99</v>
      </c>
      <c r="D22" s="134">
        <f t="shared" si="0"/>
        <v>1605</v>
      </c>
      <c r="E22" s="135"/>
      <c r="F22" s="55">
        <v>635</v>
      </c>
      <c r="G22" s="129"/>
      <c r="H22" s="129"/>
      <c r="I22" s="129"/>
      <c r="J22" s="129">
        <v>970</v>
      </c>
      <c r="K22" s="54" t="s">
        <v>122</v>
      </c>
      <c r="L22" s="33"/>
      <c r="N22" s="51"/>
    </row>
    <row r="23" spans="1:14" ht="55.5" customHeight="1" hidden="1">
      <c r="A23" s="54">
        <v>10</v>
      </c>
      <c r="B23" s="136"/>
      <c r="C23" s="133" t="s">
        <v>99</v>
      </c>
      <c r="D23" s="134">
        <f t="shared" si="0"/>
        <v>0</v>
      </c>
      <c r="E23" s="135"/>
      <c r="F23" s="55"/>
      <c r="G23" s="129"/>
      <c r="H23" s="129"/>
      <c r="I23" s="129"/>
      <c r="J23" s="129">
        <v>0</v>
      </c>
      <c r="K23" s="54" t="s">
        <v>122</v>
      </c>
      <c r="L23" s="33"/>
      <c r="N23" s="51"/>
    </row>
    <row r="24" spans="1:14" ht="75.75" customHeight="1">
      <c r="A24" s="54">
        <v>9</v>
      </c>
      <c r="B24" s="132" t="s">
        <v>150</v>
      </c>
      <c r="C24" s="133" t="s">
        <v>99</v>
      </c>
      <c r="D24" s="134">
        <f t="shared" si="0"/>
        <v>300</v>
      </c>
      <c r="E24" s="135"/>
      <c r="F24" s="55"/>
      <c r="G24" s="129"/>
      <c r="H24" s="129"/>
      <c r="I24" s="129"/>
      <c r="J24" s="55">
        <v>300</v>
      </c>
      <c r="K24" s="54" t="s">
        <v>122</v>
      </c>
      <c r="L24" s="33"/>
      <c r="N24" s="51"/>
    </row>
    <row r="25" spans="1:14" ht="75" customHeight="1">
      <c r="A25" s="54">
        <v>10</v>
      </c>
      <c r="B25" s="132" t="s">
        <v>151</v>
      </c>
      <c r="C25" s="54" t="s">
        <v>99</v>
      </c>
      <c r="D25" s="134">
        <f t="shared" si="0"/>
        <v>150</v>
      </c>
      <c r="E25" s="135"/>
      <c r="F25" s="55"/>
      <c r="G25" s="129"/>
      <c r="H25" s="129"/>
      <c r="I25" s="129"/>
      <c r="J25" s="55">
        <v>150</v>
      </c>
      <c r="K25" s="54" t="s">
        <v>122</v>
      </c>
      <c r="L25" s="33"/>
      <c r="N25" s="51"/>
    </row>
    <row r="26" spans="1:14" ht="54.75" customHeight="1">
      <c r="A26" s="54">
        <v>11</v>
      </c>
      <c r="B26" s="132" t="s">
        <v>152</v>
      </c>
      <c r="C26" s="133" t="s">
        <v>99</v>
      </c>
      <c r="D26" s="134">
        <f t="shared" si="0"/>
        <v>80</v>
      </c>
      <c r="E26" s="135"/>
      <c r="F26" s="55"/>
      <c r="G26" s="129"/>
      <c r="H26" s="129"/>
      <c r="I26" s="129"/>
      <c r="J26" s="55">
        <v>80</v>
      </c>
      <c r="K26" s="54" t="s">
        <v>122</v>
      </c>
      <c r="L26" s="33"/>
      <c r="N26" s="51"/>
    </row>
    <row r="27" spans="1:14" ht="71.25" customHeight="1">
      <c r="A27" s="54">
        <v>12</v>
      </c>
      <c r="B27" s="132" t="s">
        <v>280</v>
      </c>
      <c r="C27" s="54" t="s">
        <v>99</v>
      </c>
      <c r="D27" s="134">
        <f t="shared" si="0"/>
        <v>275</v>
      </c>
      <c r="E27" s="135"/>
      <c r="F27" s="55"/>
      <c r="G27" s="129"/>
      <c r="H27" s="129"/>
      <c r="I27" s="129"/>
      <c r="J27" s="55">
        <f>150+125</f>
        <v>275</v>
      </c>
      <c r="K27" s="54" t="s">
        <v>122</v>
      </c>
      <c r="L27" s="33"/>
      <c r="N27" s="51"/>
    </row>
    <row r="28" spans="1:14" ht="48" customHeight="1" hidden="1">
      <c r="A28" s="56">
        <v>15</v>
      </c>
      <c r="B28" s="132" t="s">
        <v>153</v>
      </c>
      <c r="C28" s="133" t="s">
        <v>99</v>
      </c>
      <c r="D28" s="134">
        <f t="shared" si="0"/>
        <v>0</v>
      </c>
      <c r="E28" s="135"/>
      <c r="F28" s="55"/>
      <c r="G28" s="129"/>
      <c r="H28" s="129"/>
      <c r="I28" s="129"/>
      <c r="J28" s="55">
        <v>0</v>
      </c>
      <c r="K28" s="54" t="s">
        <v>122</v>
      </c>
      <c r="L28" s="33"/>
      <c r="N28" s="51"/>
    </row>
    <row r="29" spans="1:14" ht="48" customHeight="1">
      <c r="A29" s="56">
        <v>13</v>
      </c>
      <c r="B29" s="132" t="s">
        <v>154</v>
      </c>
      <c r="C29" s="133" t="s">
        <v>99</v>
      </c>
      <c r="D29" s="134">
        <f t="shared" si="0"/>
        <v>1400</v>
      </c>
      <c r="E29" s="135"/>
      <c r="F29" s="55"/>
      <c r="G29" s="129"/>
      <c r="H29" s="129"/>
      <c r="I29" s="129"/>
      <c r="J29" s="57">
        <v>1400</v>
      </c>
      <c r="K29" s="54" t="s">
        <v>122</v>
      </c>
      <c r="L29" s="33"/>
      <c r="N29" s="51"/>
    </row>
    <row r="30" spans="1:14" ht="48" customHeight="1" hidden="1">
      <c r="A30" s="56">
        <v>17</v>
      </c>
      <c r="B30" s="132" t="s">
        <v>279</v>
      </c>
      <c r="C30" s="133" t="s">
        <v>99</v>
      </c>
      <c r="D30" s="134">
        <f t="shared" si="0"/>
        <v>0</v>
      </c>
      <c r="E30" s="135"/>
      <c r="F30" s="55"/>
      <c r="G30" s="129"/>
      <c r="H30" s="129"/>
      <c r="I30" s="129"/>
      <c r="J30" s="57">
        <v>0</v>
      </c>
      <c r="K30" s="54" t="s">
        <v>122</v>
      </c>
      <c r="L30" s="33"/>
      <c r="N30" s="51"/>
    </row>
    <row r="31" spans="1:14" ht="48" customHeight="1">
      <c r="A31" s="56">
        <v>14</v>
      </c>
      <c r="B31" s="137" t="s">
        <v>173</v>
      </c>
      <c r="C31" s="133" t="s">
        <v>99</v>
      </c>
      <c r="D31" s="134">
        <f t="shared" si="0"/>
        <v>400</v>
      </c>
      <c r="E31" s="135"/>
      <c r="F31" s="55"/>
      <c r="G31" s="129"/>
      <c r="H31" s="129"/>
      <c r="I31" s="129"/>
      <c r="J31" s="57">
        <v>400</v>
      </c>
      <c r="K31" s="54" t="s">
        <v>122</v>
      </c>
      <c r="L31" s="33"/>
      <c r="N31" s="51"/>
    </row>
    <row r="32" spans="1:14" ht="48" customHeight="1">
      <c r="A32" s="56">
        <v>15</v>
      </c>
      <c r="B32" s="137" t="s">
        <v>297</v>
      </c>
      <c r="C32" s="133" t="s">
        <v>99</v>
      </c>
      <c r="D32" s="134">
        <f t="shared" si="0"/>
        <v>1500</v>
      </c>
      <c r="E32" s="135"/>
      <c r="F32" s="55"/>
      <c r="G32" s="129"/>
      <c r="H32" s="129"/>
      <c r="I32" s="129"/>
      <c r="J32" s="57">
        <v>1500</v>
      </c>
      <c r="K32" s="54" t="s">
        <v>122</v>
      </c>
      <c r="L32" s="33"/>
      <c r="N32" s="51"/>
    </row>
    <row r="33" spans="1:12" ht="27.75" customHeight="1">
      <c r="A33" s="138"/>
      <c r="B33" s="126" t="s">
        <v>53</v>
      </c>
      <c r="C33" s="139"/>
      <c r="D33" s="128">
        <f>D14+D15+D16+D17+D18+D19+D20+D21+D22+D23+D24+D25+D26+D27+D28+D29+D30+D31+D32</f>
        <v>25772</v>
      </c>
      <c r="E33" s="128">
        <f>E14+E15+E16+E17+E18</f>
        <v>3365</v>
      </c>
      <c r="F33" s="128">
        <f>F14+F15+F16+F17+F18+F19+F20+F21+F23+F22</f>
        <v>4482</v>
      </c>
      <c r="G33" s="128">
        <f>G14+G15+G16+G17+G18</f>
        <v>0</v>
      </c>
      <c r="H33" s="128">
        <f>H14+H15+H16+H17+H18</f>
        <v>0</v>
      </c>
      <c r="I33" s="128">
        <f>I14+I15+I16+I17+I18</f>
        <v>0</v>
      </c>
      <c r="J33" s="128">
        <f>J14+J15+J16+J17+J18+J23+J21+J24+J25+J26+J27+J28+J22+J29+J30+J31+J32</f>
        <v>17925</v>
      </c>
      <c r="K33" s="140"/>
      <c r="L33" s="33"/>
    </row>
    <row r="34" spans="1:12" ht="17.25" customHeight="1">
      <c r="A34" s="58"/>
      <c r="B34" s="36"/>
      <c r="C34" s="36"/>
      <c r="D34" s="59"/>
      <c r="E34" s="59"/>
      <c r="F34" s="59"/>
      <c r="G34" s="59"/>
      <c r="H34" s="59"/>
      <c r="I34" s="59"/>
      <c r="J34" s="59"/>
      <c r="K34" s="38"/>
      <c r="L34" s="33"/>
    </row>
    <row r="35" spans="1:12" ht="53.25" customHeight="1">
      <c r="A35" s="58"/>
      <c r="C35" s="36"/>
      <c r="D35" s="37"/>
      <c r="E35" s="37"/>
      <c r="F35" s="37"/>
      <c r="G35" s="37"/>
      <c r="H35" s="37"/>
      <c r="I35" s="37"/>
      <c r="J35" s="37"/>
      <c r="K35" s="38"/>
      <c r="L35" s="33"/>
    </row>
    <row r="36" spans="2:12" ht="48" customHeight="1">
      <c r="B36" s="39" t="s">
        <v>105</v>
      </c>
      <c r="C36" s="39"/>
      <c r="D36" s="39"/>
      <c r="E36" s="40"/>
      <c r="F36" s="40"/>
      <c r="J36" s="41"/>
      <c r="K36" s="42" t="s">
        <v>121</v>
      </c>
      <c r="L36" s="41"/>
    </row>
    <row r="37" spans="2:12" ht="29.25" customHeight="1">
      <c r="B37" s="39"/>
      <c r="C37" s="39"/>
      <c r="D37" s="39"/>
      <c r="E37" s="40"/>
      <c r="F37" s="40"/>
      <c r="J37" s="41"/>
      <c r="K37" s="42"/>
      <c r="L37" s="41"/>
    </row>
    <row r="38" spans="2:11" ht="18.75">
      <c r="B38" s="103" t="s">
        <v>100</v>
      </c>
      <c r="C38" s="103"/>
      <c r="D38" s="43"/>
      <c r="E38" s="44"/>
      <c r="F38" s="44"/>
      <c r="G38" s="44"/>
      <c r="H38" s="44"/>
      <c r="I38" s="44"/>
      <c r="J38" s="33"/>
      <c r="K38" s="33"/>
    </row>
    <row r="39" spans="2:13" ht="15.75">
      <c r="B39" s="45" t="s">
        <v>81</v>
      </c>
      <c r="C39" s="45"/>
      <c r="D39" s="44"/>
      <c r="E39" s="44"/>
      <c r="F39" s="44"/>
      <c r="G39" s="44"/>
      <c r="H39" s="44"/>
      <c r="I39" s="44"/>
      <c r="J39" s="33"/>
      <c r="K39" s="33"/>
      <c r="M39" s="28"/>
    </row>
    <row r="40" spans="2:11" ht="15.75">
      <c r="B40" s="46"/>
      <c r="C40" s="47"/>
      <c r="D40" s="48"/>
      <c r="E40" s="44"/>
      <c r="F40" s="44"/>
      <c r="G40" s="44"/>
      <c r="H40" s="44"/>
      <c r="I40" s="44"/>
      <c r="J40" s="33"/>
      <c r="K40" s="33"/>
    </row>
    <row r="41" spans="3:10" ht="15.75">
      <c r="C41" s="48"/>
      <c r="D41" s="44"/>
      <c r="E41" s="44"/>
      <c r="F41" s="44"/>
      <c r="G41" s="44"/>
      <c r="H41" s="44"/>
      <c r="I41" s="44"/>
      <c r="J41" s="44"/>
    </row>
    <row r="42" spans="3:10" ht="15.75">
      <c r="C42" s="49"/>
      <c r="D42" s="44"/>
      <c r="E42" s="44"/>
      <c r="F42" s="44"/>
      <c r="G42" s="44"/>
      <c r="H42" s="44"/>
      <c r="I42" s="44"/>
      <c r="J42" s="44"/>
    </row>
    <row r="44" ht="12.75">
      <c r="H44" s="50"/>
    </row>
  </sheetData>
  <sheetProtection/>
  <mergeCells count="17">
    <mergeCell ref="A11:A13"/>
    <mergeCell ref="B11:B13"/>
    <mergeCell ref="C11:C13"/>
    <mergeCell ref="D11:D13"/>
    <mergeCell ref="E11:J11"/>
    <mergeCell ref="H12:H13"/>
    <mergeCell ref="I12:I13"/>
    <mergeCell ref="J12:J13"/>
    <mergeCell ref="J1:K1"/>
    <mergeCell ref="J2:K2"/>
    <mergeCell ref="J7:K7"/>
    <mergeCell ref="B9:K9"/>
    <mergeCell ref="K11:K13"/>
    <mergeCell ref="E12:E13"/>
    <mergeCell ref="F12:F13"/>
    <mergeCell ref="G12:G13"/>
    <mergeCell ref="D10:H10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138"/>
  <sheetViews>
    <sheetView view="pageBreakPreview" zoomScaleSheetLayoutView="100" zoomScalePageLayoutView="0" workbookViewId="0" topLeftCell="A37">
      <selection activeCell="D22" sqref="D22"/>
    </sheetView>
  </sheetViews>
  <sheetFormatPr defaultColWidth="9.140625" defaultRowHeight="12.75"/>
  <cols>
    <col min="1" max="1" width="5.7109375" style="32" customWidth="1"/>
    <col min="2" max="2" width="48.140625" style="32" customWidth="1"/>
    <col min="3" max="3" width="18.28125" style="32" customWidth="1"/>
    <col min="4" max="4" width="14.8515625" style="32" customWidth="1"/>
    <col min="5" max="5" width="17.140625" style="32" customWidth="1"/>
    <col min="6" max="6" width="16.8515625" style="32" customWidth="1"/>
    <col min="7" max="7" width="15.7109375" style="32" customWidth="1"/>
    <col min="8" max="8" width="63.8515625" style="32" customWidth="1"/>
    <col min="9" max="10" width="9.140625" style="32" hidden="1" customWidth="1"/>
    <col min="11" max="16384" width="9.140625" style="32" customWidth="1"/>
  </cols>
  <sheetData>
    <row r="1" spans="8:11" ht="18.75">
      <c r="H1" s="244" t="s">
        <v>155</v>
      </c>
      <c r="I1" s="125"/>
      <c r="J1" s="28"/>
      <c r="K1" s="28"/>
    </row>
    <row r="2" spans="8:11" ht="18.75">
      <c r="H2" s="125" t="s">
        <v>94</v>
      </c>
      <c r="I2" s="125"/>
      <c r="J2" s="28"/>
      <c r="K2" s="28"/>
    </row>
    <row r="3" spans="8:11" ht="18.75">
      <c r="H3" s="264" t="s">
        <v>128</v>
      </c>
      <c r="I3" s="264"/>
      <c r="J3" s="28"/>
      <c r="K3" s="28"/>
    </row>
    <row r="4" spans="8:11" ht="18.75">
      <c r="H4" s="264" t="s">
        <v>129</v>
      </c>
      <c r="I4" s="264"/>
      <c r="J4" s="28"/>
      <c r="K4" s="28"/>
    </row>
    <row r="5" spans="8:13" ht="18.75">
      <c r="H5" s="141" t="s">
        <v>56</v>
      </c>
      <c r="I5" s="141"/>
      <c r="J5" s="35"/>
      <c r="K5" s="35"/>
      <c r="L5" s="35"/>
      <c r="M5" s="35"/>
    </row>
    <row r="6" spans="2:11" ht="18.75">
      <c r="B6" s="33"/>
      <c r="C6" s="33"/>
      <c r="D6" s="33"/>
      <c r="H6" s="264" t="s">
        <v>130</v>
      </c>
      <c r="I6" s="264"/>
      <c r="J6" s="28"/>
      <c r="K6" s="28"/>
    </row>
    <row r="7" spans="2:13" ht="15.75" customHeight="1">
      <c r="B7" s="33"/>
      <c r="C7" s="33"/>
      <c r="D7" s="33"/>
      <c r="H7" s="260" t="s">
        <v>339</v>
      </c>
      <c r="I7" s="261"/>
      <c r="J7" s="35"/>
      <c r="K7" s="35"/>
      <c r="L7" s="35"/>
      <c r="M7" s="35"/>
    </row>
    <row r="8" spans="2:9" ht="12" customHeight="1">
      <c r="B8" s="33"/>
      <c r="C8" s="33"/>
      <c r="D8" s="33"/>
      <c r="E8" s="33"/>
      <c r="F8" s="33"/>
      <c r="G8" s="33"/>
      <c r="H8" s="28"/>
      <c r="I8" s="28"/>
    </row>
    <row r="9" spans="2:9" ht="17.25" customHeight="1">
      <c r="B9" s="265" t="s">
        <v>156</v>
      </c>
      <c r="C9" s="265"/>
      <c r="D9" s="265"/>
      <c r="E9" s="265"/>
      <c r="F9" s="265"/>
      <c r="G9" s="265"/>
      <c r="H9" s="265"/>
      <c r="I9" s="33"/>
    </row>
    <row r="10" spans="2:9" ht="13.5" customHeight="1">
      <c r="B10" s="52"/>
      <c r="C10" s="52"/>
      <c r="D10" s="52"/>
      <c r="E10" s="52"/>
      <c r="F10" s="52"/>
      <c r="G10" s="52"/>
      <c r="H10" s="52"/>
      <c r="I10" s="33"/>
    </row>
    <row r="11" spans="1:9" ht="19.5" customHeight="1">
      <c r="A11" s="267" t="s">
        <v>125</v>
      </c>
      <c r="B11" s="267" t="s">
        <v>95</v>
      </c>
      <c r="C11" s="267" t="s">
        <v>96</v>
      </c>
      <c r="D11" s="267" t="s">
        <v>97</v>
      </c>
      <c r="E11" s="266" t="s">
        <v>57</v>
      </c>
      <c r="F11" s="266"/>
      <c r="G11" s="266"/>
      <c r="H11" s="266" t="s">
        <v>98</v>
      </c>
      <c r="I11" s="33"/>
    </row>
    <row r="12" spans="1:9" ht="15.75" customHeight="1">
      <c r="A12" s="270"/>
      <c r="B12" s="270"/>
      <c r="C12" s="270"/>
      <c r="D12" s="270"/>
      <c r="E12" s="267" t="s">
        <v>58</v>
      </c>
      <c r="F12" s="267" t="s">
        <v>59</v>
      </c>
      <c r="G12" s="267" t="s">
        <v>60</v>
      </c>
      <c r="H12" s="266"/>
      <c r="I12" s="33"/>
    </row>
    <row r="13" spans="1:9" ht="12" customHeight="1">
      <c r="A13" s="268"/>
      <c r="B13" s="268"/>
      <c r="C13" s="268"/>
      <c r="D13" s="268"/>
      <c r="E13" s="268"/>
      <c r="F13" s="268"/>
      <c r="G13" s="268"/>
      <c r="H13" s="266"/>
      <c r="I13" s="33"/>
    </row>
    <row r="14" spans="1:9" ht="33.75" customHeight="1" hidden="1">
      <c r="A14" s="133">
        <v>1</v>
      </c>
      <c r="B14" s="127" t="s">
        <v>131</v>
      </c>
      <c r="C14" s="54" t="s">
        <v>99</v>
      </c>
      <c r="D14" s="142" t="e">
        <f>#REF!+E14+F14+G14</f>
        <v>#REF!</v>
      </c>
      <c r="E14" s="142"/>
      <c r="F14" s="142"/>
      <c r="G14" s="142"/>
      <c r="H14" s="54" t="s">
        <v>132</v>
      </c>
      <c r="I14" s="33"/>
    </row>
    <row r="15" spans="1:9" ht="52.5" customHeight="1">
      <c r="A15" s="133">
        <v>1</v>
      </c>
      <c r="B15" s="127" t="s">
        <v>157</v>
      </c>
      <c r="C15" s="54" t="s">
        <v>99</v>
      </c>
      <c r="D15" s="128">
        <f>E15+F15+G15</f>
        <v>128517.8</v>
      </c>
      <c r="E15" s="143">
        <f>15000+7500+2117.8</f>
        <v>24617.8</v>
      </c>
      <c r="F15" s="143">
        <f>45000+26500</f>
        <v>71500</v>
      </c>
      <c r="G15" s="143">
        <f>21600+10800</f>
        <v>32400</v>
      </c>
      <c r="H15" s="54" t="s">
        <v>158</v>
      </c>
      <c r="I15" s="33"/>
    </row>
    <row r="16" spans="1:9" ht="34.5" customHeight="1" hidden="1">
      <c r="A16" s="133">
        <f>A15+1</f>
        <v>2</v>
      </c>
      <c r="B16" s="127" t="s">
        <v>133</v>
      </c>
      <c r="C16" s="54" t="s">
        <v>99</v>
      </c>
      <c r="D16" s="128">
        <f aca="true" t="shared" si="0" ref="D16:D32">E16+F16+G16</f>
        <v>0</v>
      </c>
      <c r="E16" s="143"/>
      <c r="F16" s="143"/>
      <c r="G16" s="143"/>
      <c r="H16" s="54" t="s">
        <v>132</v>
      </c>
      <c r="I16" s="33"/>
    </row>
    <row r="17" spans="1:9" ht="57" customHeight="1">
      <c r="A17" s="133">
        <v>2</v>
      </c>
      <c r="B17" s="127" t="s">
        <v>159</v>
      </c>
      <c r="C17" s="54" t="s">
        <v>99</v>
      </c>
      <c r="D17" s="128">
        <f t="shared" si="0"/>
        <v>110380</v>
      </c>
      <c r="E17" s="143">
        <f>22000+7500</f>
        <v>29500</v>
      </c>
      <c r="F17" s="143">
        <f>26400+12000</f>
        <v>38400</v>
      </c>
      <c r="G17" s="143">
        <f>31680+10800</f>
        <v>42480</v>
      </c>
      <c r="H17" s="54" t="s">
        <v>158</v>
      </c>
      <c r="I17" s="33"/>
    </row>
    <row r="18" spans="1:9" ht="58.5" customHeight="1">
      <c r="A18" s="133">
        <v>3</v>
      </c>
      <c r="B18" s="127" t="s">
        <v>160</v>
      </c>
      <c r="C18" s="54" t="s">
        <v>99</v>
      </c>
      <c r="D18" s="128">
        <f t="shared" si="0"/>
        <v>69160</v>
      </c>
      <c r="E18" s="143">
        <v>19000</v>
      </c>
      <c r="F18" s="55">
        <v>22800</v>
      </c>
      <c r="G18" s="143">
        <v>27360</v>
      </c>
      <c r="H18" s="54" t="s">
        <v>158</v>
      </c>
      <c r="I18" s="33"/>
    </row>
    <row r="19" spans="1:9" ht="56.25">
      <c r="A19" s="133">
        <v>4</v>
      </c>
      <c r="B19" s="127" t="s">
        <v>161</v>
      </c>
      <c r="C19" s="54" t="s">
        <v>99</v>
      </c>
      <c r="D19" s="134">
        <f t="shared" si="0"/>
        <v>37</v>
      </c>
      <c r="E19" s="143">
        <v>37</v>
      </c>
      <c r="F19" s="55"/>
      <c r="G19" s="143"/>
      <c r="H19" s="54" t="s">
        <v>311</v>
      </c>
      <c r="I19" s="33"/>
    </row>
    <row r="20" spans="1:9" ht="56.25">
      <c r="A20" s="133">
        <v>5</v>
      </c>
      <c r="B20" s="127" t="s">
        <v>162</v>
      </c>
      <c r="C20" s="54" t="s">
        <v>99</v>
      </c>
      <c r="D20" s="134">
        <f>E20+F20+G20</f>
        <v>310</v>
      </c>
      <c r="E20" s="143"/>
      <c r="F20" s="57">
        <v>200</v>
      </c>
      <c r="G20" s="143">
        <f>50+60</f>
        <v>110</v>
      </c>
      <c r="H20" s="54" t="s">
        <v>311</v>
      </c>
      <c r="I20" s="33"/>
    </row>
    <row r="21" spans="1:9" ht="75" customHeight="1">
      <c r="A21" s="54">
        <v>6</v>
      </c>
      <c r="B21" s="127" t="s">
        <v>163</v>
      </c>
      <c r="C21" s="54" t="s">
        <v>99</v>
      </c>
      <c r="D21" s="128">
        <f t="shared" si="0"/>
        <v>67652.7</v>
      </c>
      <c r="E21" s="55">
        <v>6352.7</v>
      </c>
      <c r="F21" s="57">
        <f>9600</f>
        <v>9600</v>
      </c>
      <c r="G21" s="316">
        <f>11500+200+40000</f>
        <v>51700</v>
      </c>
      <c r="H21" s="54" t="s">
        <v>322</v>
      </c>
      <c r="I21" s="33"/>
    </row>
    <row r="22" spans="1:9" ht="76.5" customHeight="1">
      <c r="A22" s="54">
        <v>7</v>
      </c>
      <c r="B22" s="127" t="s">
        <v>164</v>
      </c>
      <c r="C22" s="54" t="s">
        <v>99</v>
      </c>
      <c r="D22" s="128">
        <f t="shared" si="0"/>
        <v>205747.41</v>
      </c>
      <c r="E22" s="55">
        <v>32417.8</v>
      </c>
      <c r="F22" s="57">
        <f>49409.11+6755</f>
        <v>56164.11</v>
      </c>
      <c r="G22" s="316">
        <f>44600+12000+41000+10000+9565.5</f>
        <v>117165.5</v>
      </c>
      <c r="H22" s="54" t="s">
        <v>372</v>
      </c>
      <c r="I22" s="33"/>
    </row>
    <row r="23" spans="1:9" ht="18" customHeight="1" hidden="1">
      <c r="A23" s="54"/>
      <c r="B23" s="127" t="s">
        <v>134</v>
      </c>
      <c r="C23" s="144"/>
      <c r="D23" s="128">
        <f t="shared" si="0"/>
        <v>0</v>
      </c>
      <c r="E23" s="143"/>
      <c r="F23" s="55"/>
      <c r="G23" s="143"/>
      <c r="H23" s="54" t="s">
        <v>135</v>
      </c>
      <c r="I23" s="33"/>
    </row>
    <row r="24" spans="1:9" ht="20.25" customHeight="1" hidden="1">
      <c r="A24" s="54"/>
      <c r="B24" s="127" t="s">
        <v>136</v>
      </c>
      <c r="C24" s="144"/>
      <c r="D24" s="128">
        <f t="shared" si="0"/>
        <v>0</v>
      </c>
      <c r="E24" s="143"/>
      <c r="F24" s="55"/>
      <c r="G24" s="143"/>
      <c r="H24" s="54" t="s">
        <v>135</v>
      </c>
      <c r="I24" s="33"/>
    </row>
    <row r="25" spans="1:9" ht="21" customHeight="1" hidden="1">
      <c r="A25" s="54"/>
      <c r="B25" s="127" t="s">
        <v>137</v>
      </c>
      <c r="C25" s="144"/>
      <c r="D25" s="128">
        <f t="shared" si="0"/>
        <v>0</v>
      </c>
      <c r="E25" s="143"/>
      <c r="F25" s="55"/>
      <c r="G25" s="143"/>
      <c r="H25" s="54" t="s">
        <v>135</v>
      </c>
      <c r="I25" s="33"/>
    </row>
    <row r="26" spans="1:9" ht="30.75" customHeight="1" hidden="1">
      <c r="A26" s="54"/>
      <c r="B26" s="127" t="s">
        <v>138</v>
      </c>
      <c r="C26" s="54" t="s">
        <v>99</v>
      </c>
      <c r="D26" s="128">
        <f t="shared" si="0"/>
        <v>0</v>
      </c>
      <c r="E26" s="143"/>
      <c r="F26" s="143"/>
      <c r="G26" s="143"/>
      <c r="H26" s="54" t="s">
        <v>135</v>
      </c>
      <c r="I26" s="33"/>
    </row>
    <row r="27" spans="1:9" ht="18" customHeight="1" hidden="1">
      <c r="A27" s="54"/>
      <c r="B27" s="127" t="s">
        <v>139</v>
      </c>
      <c r="C27" s="54" t="s">
        <v>99</v>
      </c>
      <c r="D27" s="128">
        <f t="shared" si="0"/>
        <v>0</v>
      </c>
      <c r="E27" s="143"/>
      <c r="F27" s="143"/>
      <c r="G27" s="143"/>
      <c r="H27" s="54" t="s">
        <v>135</v>
      </c>
      <c r="I27" s="33"/>
    </row>
    <row r="28" spans="1:9" ht="56.25">
      <c r="A28" s="54">
        <v>8</v>
      </c>
      <c r="B28" s="127" t="s">
        <v>165</v>
      </c>
      <c r="C28" s="54" t="s">
        <v>99</v>
      </c>
      <c r="D28" s="128">
        <f t="shared" si="0"/>
        <v>22200</v>
      </c>
      <c r="E28" s="143">
        <v>5000</v>
      </c>
      <c r="F28" s="143">
        <v>10000</v>
      </c>
      <c r="G28" s="143">
        <v>7200</v>
      </c>
      <c r="H28" s="54" t="s">
        <v>323</v>
      </c>
      <c r="I28" s="33"/>
    </row>
    <row r="29" spans="1:9" ht="60" customHeight="1">
      <c r="A29" s="54">
        <v>9</v>
      </c>
      <c r="B29" s="127" t="s">
        <v>166</v>
      </c>
      <c r="C29" s="54" t="s">
        <v>99</v>
      </c>
      <c r="D29" s="128">
        <f t="shared" si="0"/>
        <v>14789.2</v>
      </c>
      <c r="E29" s="143">
        <v>5436</v>
      </c>
      <c r="F29" s="143">
        <v>3883.2</v>
      </c>
      <c r="G29" s="143">
        <v>5470</v>
      </c>
      <c r="H29" s="54" t="s">
        <v>323</v>
      </c>
      <c r="I29" s="33"/>
    </row>
    <row r="30" spans="1:9" ht="56.25" customHeight="1">
      <c r="A30" s="275">
        <v>10</v>
      </c>
      <c r="B30" s="275" t="s">
        <v>167</v>
      </c>
      <c r="C30" s="275" t="s">
        <v>99</v>
      </c>
      <c r="D30" s="128">
        <f t="shared" si="0"/>
        <v>304.74</v>
      </c>
      <c r="E30" s="143">
        <f>110+22.3</f>
        <v>132.3</v>
      </c>
      <c r="F30" s="143">
        <f>135+37.44</f>
        <v>172.44</v>
      </c>
      <c r="G30" s="143"/>
      <c r="H30" s="54" t="s">
        <v>324</v>
      </c>
      <c r="I30" s="33"/>
    </row>
    <row r="31" spans="1:9" ht="60" customHeight="1">
      <c r="A31" s="276"/>
      <c r="B31" s="276"/>
      <c r="C31" s="276"/>
      <c r="D31" s="128">
        <f>G31</f>
        <v>168</v>
      </c>
      <c r="E31" s="143"/>
      <c r="F31" s="143"/>
      <c r="G31" s="143">
        <v>168</v>
      </c>
      <c r="H31" s="54" t="s">
        <v>168</v>
      </c>
      <c r="I31" s="33"/>
    </row>
    <row r="32" spans="1:9" ht="78" customHeight="1">
      <c r="A32" s="54">
        <v>11</v>
      </c>
      <c r="B32" s="127" t="s">
        <v>169</v>
      </c>
      <c r="C32" s="54" t="s">
        <v>99</v>
      </c>
      <c r="D32" s="128">
        <f t="shared" si="0"/>
        <v>16950</v>
      </c>
      <c r="E32" s="143"/>
      <c r="F32" s="143">
        <v>150</v>
      </c>
      <c r="G32" s="143">
        <v>16800</v>
      </c>
      <c r="H32" s="54" t="s">
        <v>325</v>
      </c>
      <c r="I32" s="33"/>
    </row>
    <row r="33" spans="1:9" ht="18.75">
      <c r="A33" s="145"/>
      <c r="B33" s="146" t="s">
        <v>53</v>
      </c>
      <c r="C33" s="146"/>
      <c r="D33" s="128">
        <f>D15+D17+D18+D19+D21+D22+D28+D29+D30+D20+D31</f>
        <v>619266.85</v>
      </c>
      <c r="E33" s="128">
        <f>E15+E17+E18+E19+E21+E22+E28+E29+E30+E20</f>
        <v>122493.6</v>
      </c>
      <c r="F33" s="128">
        <f>F15+F17+F18+F19+F21+F22+F28+F29+F30+F20+F32</f>
        <v>212869.75</v>
      </c>
      <c r="G33" s="128">
        <f>G15+G17+G18+G19+G21+G22+G28+G29+G30+G20+G32+G31</f>
        <v>300853.5</v>
      </c>
      <c r="H33" s="140"/>
      <c r="I33" s="33"/>
    </row>
    <row r="34" spans="1:9" ht="15.75">
      <c r="A34" s="60"/>
      <c r="B34" s="61"/>
      <c r="C34" s="61"/>
      <c r="D34" s="37"/>
      <c r="E34" s="37"/>
      <c r="F34" s="37"/>
      <c r="G34" s="37"/>
      <c r="H34" s="38"/>
      <c r="I34" s="33"/>
    </row>
    <row r="35" spans="1:9" ht="15.75">
      <c r="A35" s="60"/>
      <c r="B35" s="61"/>
      <c r="C35" s="61"/>
      <c r="D35" s="37"/>
      <c r="E35" s="37"/>
      <c r="F35" s="37"/>
      <c r="G35" s="37"/>
      <c r="H35" s="38"/>
      <c r="I35" s="33"/>
    </row>
    <row r="36" spans="1:9" ht="15.75">
      <c r="A36" s="60"/>
      <c r="B36" s="61"/>
      <c r="C36" s="61"/>
      <c r="D36" s="37"/>
      <c r="E36" s="37"/>
      <c r="F36" s="37"/>
      <c r="G36" s="37"/>
      <c r="H36" s="38"/>
      <c r="I36" s="33"/>
    </row>
    <row r="37" spans="2:9" ht="15.75">
      <c r="B37" s="33"/>
      <c r="C37" s="33"/>
      <c r="D37" s="33"/>
      <c r="E37" s="33"/>
      <c r="F37" s="33"/>
      <c r="G37" s="33"/>
      <c r="H37" s="33"/>
      <c r="I37" s="33"/>
    </row>
    <row r="38" spans="2:11" ht="18.75">
      <c r="B38" s="273" t="s">
        <v>105</v>
      </c>
      <c r="C38" s="273"/>
      <c r="D38" s="39"/>
      <c r="E38" s="40"/>
      <c r="F38" s="62"/>
      <c r="H38" s="63" t="s">
        <v>55</v>
      </c>
      <c r="J38" s="41"/>
      <c r="K38" s="42"/>
    </row>
    <row r="39" spans="2:11" ht="18.75">
      <c r="B39" s="39"/>
      <c r="C39" s="39"/>
      <c r="D39" s="39"/>
      <c r="E39" s="40"/>
      <c r="F39" s="62"/>
      <c r="H39" s="63"/>
      <c r="J39" s="41"/>
      <c r="K39" s="42"/>
    </row>
    <row r="40" spans="2:11" ht="18.75">
      <c r="B40" s="39"/>
      <c r="C40" s="39"/>
      <c r="D40" s="39"/>
      <c r="E40" s="40"/>
      <c r="F40" s="62"/>
      <c r="H40" s="63"/>
      <c r="J40" s="41"/>
      <c r="K40" s="42"/>
    </row>
    <row r="41" spans="2:11" ht="18.75">
      <c r="B41" s="274" t="s">
        <v>100</v>
      </c>
      <c r="C41" s="274"/>
      <c r="D41" s="43"/>
      <c r="E41" s="44"/>
      <c r="F41" s="44"/>
      <c r="G41" s="44"/>
      <c r="H41" s="44"/>
      <c r="I41" s="44"/>
      <c r="J41" s="33"/>
      <c r="K41" s="33"/>
    </row>
    <row r="42" spans="2:11" ht="28.5" customHeight="1">
      <c r="B42" s="45" t="s">
        <v>141</v>
      </c>
      <c r="C42" s="45"/>
      <c r="D42" s="44"/>
      <c r="E42" s="44"/>
      <c r="F42" s="44"/>
      <c r="G42" s="44"/>
      <c r="H42" s="44"/>
      <c r="I42" s="44"/>
      <c r="J42" s="33"/>
      <c r="K42" s="33"/>
    </row>
    <row r="43" spans="2:9" ht="15.75">
      <c r="B43" s="33"/>
      <c r="C43" s="33"/>
      <c r="D43" s="33"/>
      <c r="E43" s="33"/>
      <c r="F43" s="33"/>
      <c r="G43" s="33"/>
      <c r="H43" s="33"/>
      <c r="I43" s="33"/>
    </row>
    <row r="44" spans="2:9" ht="15.75">
      <c r="B44" s="33"/>
      <c r="C44" s="33"/>
      <c r="D44" s="33"/>
      <c r="E44" s="33"/>
      <c r="F44" s="33"/>
      <c r="G44" s="33"/>
      <c r="H44" s="33"/>
      <c r="I44" s="33"/>
    </row>
    <row r="45" spans="2:9" ht="15.75">
      <c r="B45" s="33"/>
      <c r="C45" s="33"/>
      <c r="D45" s="33"/>
      <c r="E45" s="33"/>
      <c r="F45" s="33"/>
      <c r="G45" s="33"/>
      <c r="H45" s="33"/>
      <c r="I45" s="33"/>
    </row>
    <row r="46" spans="2:9" ht="15.75">
      <c r="B46" s="33"/>
      <c r="C46" s="33"/>
      <c r="D46" s="33"/>
      <c r="E46" s="33"/>
      <c r="F46" s="33"/>
      <c r="G46" s="33"/>
      <c r="H46" s="33"/>
      <c r="I46" s="33"/>
    </row>
    <row r="47" spans="2:9" ht="15.75">
      <c r="B47" s="33"/>
      <c r="C47" s="33"/>
      <c r="D47" s="33"/>
      <c r="E47" s="33"/>
      <c r="F47" s="33"/>
      <c r="G47" s="33"/>
      <c r="H47" s="33"/>
      <c r="I47" s="33"/>
    </row>
    <row r="48" spans="2:9" ht="15.75">
      <c r="B48" s="33"/>
      <c r="C48" s="33"/>
      <c r="D48" s="33"/>
      <c r="E48" s="33"/>
      <c r="F48" s="33"/>
      <c r="G48" s="33"/>
      <c r="H48" s="33"/>
      <c r="I48" s="33"/>
    </row>
    <row r="49" spans="2:9" ht="15.75">
      <c r="B49" s="33"/>
      <c r="C49" s="33"/>
      <c r="D49" s="33"/>
      <c r="E49" s="33"/>
      <c r="F49" s="33"/>
      <c r="G49" s="33"/>
      <c r="H49" s="33"/>
      <c r="I49" s="33"/>
    </row>
    <row r="50" spans="2:9" ht="15.75">
      <c r="B50" s="33"/>
      <c r="C50" s="33"/>
      <c r="D50" s="33"/>
      <c r="E50" s="33"/>
      <c r="F50" s="33"/>
      <c r="G50" s="33"/>
      <c r="H50" s="33"/>
      <c r="I50" s="33"/>
    </row>
    <row r="51" spans="2:9" ht="15.75">
      <c r="B51" s="33"/>
      <c r="C51" s="33"/>
      <c r="D51" s="33"/>
      <c r="E51" s="33"/>
      <c r="F51" s="33"/>
      <c r="G51" s="33"/>
      <c r="H51" s="33"/>
      <c r="I51" s="33"/>
    </row>
    <row r="52" spans="2:9" ht="15.75">
      <c r="B52" s="33"/>
      <c r="C52" s="33"/>
      <c r="D52" s="33"/>
      <c r="E52" s="33"/>
      <c r="F52" s="33"/>
      <c r="G52" s="33"/>
      <c r="H52" s="33"/>
      <c r="I52" s="33"/>
    </row>
    <row r="53" spans="2:9" ht="15.75">
      <c r="B53" s="33"/>
      <c r="C53" s="33"/>
      <c r="D53" s="33"/>
      <c r="E53" s="33"/>
      <c r="F53" s="33"/>
      <c r="G53" s="33"/>
      <c r="H53" s="33"/>
      <c r="I53" s="33"/>
    </row>
    <row r="54" spans="2:9" ht="15.75">
      <c r="B54" s="33"/>
      <c r="C54" s="33"/>
      <c r="D54" s="33"/>
      <c r="E54" s="33"/>
      <c r="F54" s="33"/>
      <c r="G54" s="33"/>
      <c r="H54" s="33"/>
      <c r="I54" s="33"/>
    </row>
    <row r="55" spans="2:9" ht="15.75">
      <c r="B55" s="33"/>
      <c r="C55" s="33"/>
      <c r="D55" s="33"/>
      <c r="E55" s="33"/>
      <c r="F55" s="33"/>
      <c r="G55" s="33"/>
      <c r="H55" s="33"/>
      <c r="I55" s="33"/>
    </row>
    <row r="56" spans="2:9" ht="15.75">
      <c r="B56" s="33"/>
      <c r="C56" s="33"/>
      <c r="D56" s="33"/>
      <c r="E56" s="33"/>
      <c r="F56" s="33"/>
      <c r="G56" s="33"/>
      <c r="H56" s="33"/>
      <c r="I56" s="33"/>
    </row>
    <row r="57" spans="2:9" ht="15.75">
      <c r="B57" s="33"/>
      <c r="C57" s="33"/>
      <c r="D57" s="33"/>
      <c r="E57" s="33"/>
      <c r="F57" s="33"/>
      <c r="G57" s="33"/>
      <c r="H57" s="33"/>
      <c r="I57" s="33"/>
    </row>
    <row r="58" spans="2:9" ht="15.75">
      <c r="B58" s="33"/>
      <c r="C58" s="33"/>
      <c r="D58" s="33"/>
      <c r="E58" s="33"/>
      <c r="F58" s="33"/>
      <c r="G58" s="33"/>
      <c r="H58" s="33"/>
      <c r="I58" s="33"/>
    </row>
    <row r="59" spans="2:9" ht="15.75">
      <c r="B59" s="33"/>
      <c r="C59" s="33"/>
      <c r="D59" s="33"/>
      <c r="E59" s="33"/>
      <c r="F59" s="33"/>
      <c r="G59" s="33"/>
      <c r="H59" s="33"/>
      <c r="I59" s="33"/>
    </row>
    <row r="60" spans="2:9" ht="15.75">
      <c r="B60" s="33"/>
      <c r="C60" s="33"/>
      <c r="D60" s="33"/>
      <c r="E60" s="33"/>
      <c r="F60" s="33"/>
      <c r="G60" s="33"/>
      <c r="H60" s="33"/>
      <c r="I60" s="33"/>
    </row>
    <row r="61" spans="2:9" ht="15.75">
      <c r="B61" s="33"/>
      <c r="C61" s="33"/>
      <c r="D61" s="33"/>
      <c r="E61" s="33"/>
      <c r="F61" s="33"/>
      <c r="G61" s="33"/>
      <c r="H61" s="33"/>
      <c r="I61" s="33"/>
    </row>
    <row r="62" spans="2:9" ht="15.75">
      <c r="B62" s="33"/>
      <c r="C62" s="33"/>
      <c r="D62" s="33"/>
      <c r="E62" s="33"/>
      <c r="F62" s="33"/>
      <c r="G62" s="33"/>
      <c r="H62" s="33"/>
      <c r="I62" s="33"/>
    </row>
    <row r="63" spans="2:9" ht="15.75">
      <c r="B63" s="33"/>
      <c r="C63" s="33"/>
      <c r="D63" s="33"/>
      <c r="E63" s="33"/>
      <c r="F63" s="33"/>
      <c r="G63" s="33"/>
      <c r="H63" s="33"/>
      <c r="I63" s="33"/>
    </row>
    <row r="64" spans="2:9" ht="15.75">
      <c r="B64" s="33"/>
      <c r="C64" s="33"/>
      <c r="D64" s="33"/>
      <c r="E64" s="33"/>
      <c r="F64" s="33"/>
      <c r="G64" s="33"/>
      <c r="H64" s="33"/>
      <c r="I64" s="33"/>
    </row>
    <row r="65" spans="2:9" ht="15.75">
      <c r="B65" s="33"/>
      <c r="C65" s="33"/>
      <c r="D65" s="33"/>
      <c r="E65" s="33"/>
      <c r="F65" s="33"/>
      <c r="G65" s="33"/>
      <c r="H65" s="33"/>
      <c r="I65" s="33"/>
    </row>
    <row r="66" spans="2:9" ht="15.75">
      <c r="B66" s="33"/>
      <c r="C66" s="33"/>
      <c r="D66" s="33"/>
      <c r="E66" s="33"/>
      <c r="F66" s="33"/>
      <c r="G66" s="33"/>
      <c r="H66" s="33"/>
      <c r="I66" s="33"/>
    </row>
    <row r="67" spans="2:9" ht="15.75">
      <c r="B67" s="33"/>
      <c r="C67" s="33"/>
      <c r="D67" s="33"/>
      <c r="E67" s="33"/>
      <c r="F67" s="33"/>
      <c r="G67" s="33"/>
      <c r="H67" s="33"/>
      <c r="I67" s="33"/>
    </row>
    <row r="68" spans="2:9" ht="15.75">
      <c r="B68" s="33"/>
      <c r="C68" s="33"/>
      <c r="D68" s="33"/>
      <c r="E68" s="33"/>
      <c r="F68" s="33"/>
      <c r="G68" s="33"/>
      <c r="H68" s="33"/>
      <c r="I68" s="33"/>
    </row>
    <row r="69" spans="2:9" ht="15.75">
      <c r="B69" s="33"/>
      <c r="C69" s="33"/>
      <c r="D69" s="33"/>
      <c r="E69" s="33"/>
      <c r="F69" s="33"/>
      <c r="G69" s="33"/>
      <c r="H69" s="33"/>
      <c r="I69" s="33"/>
    </row>
    <row r="70" spans="2:9" ht="15.75">
      <c r="B70" s="33"/>
      <c r="C70" s="33"/>
      <c r="D70" s="33"/>
      <c r="E70" s="33"/>
      <c r="F70" s="33"/>
      <c r="G70" s="33"/>
      <c r="H70" s="33"/>
      <c r="I70" s="33"/>
    </row>
    <row r="71" spans="2:9" ht="15.75">
      <c r="B71" s="33"/>
      <c r="C71" s="33"/>
      <c r="D71" s="33"/>
      <c r="E71" s="33"/>
      <c r="F71" s="33"/>
      <c r="G71" s="33"/>
      <c r="H71" s="33"/>
      <c r="I71" s="33"/>
    </row>
    <row r="72" spans="2:9" ht="15.75">
      <c r="B72" s="33"/>
      <c r="C72" s="33"/>
      <c r="D72" s="33"/>
      <c r="E72" s="33"/>
      <c r="F72" s="33"/>
      <c r="G72" s="33"/>
      <c r="H72" s="33"/>
      <c r="I72" s="33"/>
    </row>
    <row r="73" spans="2:9" ht="15.75">
      <c r="B73" s="33"/>
      <c r="C73" s="33"/>
      <c r="D73" s="33"/>
      <c r="E73" s="33"/>
      <c r="F73" s="33"/>
      <c r="G73" s="33"/>
      <c r="H73" s="33"/>
      <c r="I73" s="33"/>
    </row>
    <row r="74" spans="2:9" ht="15.75">
      <c r="B74" s="33"/>
      <c r="C74" s="33"/>
      <c r="D74" s="33"/>
      <c r="E74" s="33"/>
      <c r="F74" s="33"/>
      <c r="G74" s="33"/>
      <c r="H74" s="33"/>
      <c r="I74" s="33"/>
    </row>
    <row r="75" spans="2:9" ht="15.75">
      <c r="B75" s="33"/>
      <c r="C75" s="33"/>
      <c r="D75" s="33"/>
      <c r="E75" s="33"/>
      <c r="F75" s="33"/>
      <c r="G75" s="33"/>
      <c r="H75" s="33"/>
      <c r="I75" s="33"/>
    </row>
    <row r="76" spans="2:9" ht="15.75">
      <c r="B76" s="33"/>
      <c r="C76" s="33"/>
      <c r="D76" s="33"/>
      <c r="E76" s="33"/>
      <c r="F76" s="33"/>
      <c r="G76" s="33"/>
      <c r="H76" s="33"/>
      <c r="I76" s="33"/>
    </row>
    <row r="77" spans="2:9" ht="15.75">
      <c r="B77" s="33"/>
      <c r="C77" s="33"/>
      <c r="D77" s="33"/>
      <c r="E77" s="33"/>
      <c r="F77" s="33"/>
      <c r="G77" s="33"/>
      <c r="H77" s="33"/>
      <c r="I77" s="33"/>
    </row>
    <row r="78" spans="2:9" ht="15.75">
      <c r="B78" s="33"/>
      <c r="C78" s="33"/>
      <c r="D78" s="33"/>
      <c r="E78" s="33"/>
      <c r="F78" s="33"/>
      <c r="G78" s="33"/>
      <c r="H78" s="33"/>
      <c r="I78" s="33"/>
    </row>
    <row r="79" spans="2:9" ht="15.75">
      <c r="B79" s="33"/>
      <c r="C79" s="33"/>
      <c r="D79" s="33"/>
      <c r="E79" s="33"/>
      <c r="F79" s="33"/>
      <c r="G79" s="33"/>
      <c r="H79" s="33"/>
      <c r="I79" s="33"/>
    </row>
    <row r="80" spans="2:9" ht="15.75">
      <c r="B80" s="33"/>
      <c r="C80" s="33"/>
      <c r="D80" s="33"/>
      <c r="E80" s="33"/>
      <c r="F80" s="33"/>
      <c r="G80" s="33"/>
      <c r="H80" s="33"/>
      <c r="I80" s="33"/>
    </row>
    <row r="81" spans="2:9" ht="15.75">
      <c r="B81" s="33"/>
      <c r="C81" s="33"/>
      <c r="D81" s="33"/>
      <c r="E81" s="33"/>
      <c r="F81" s="33"/>
      <c r="G81" s="33"/>
      <c r="H81" s="33"/>
      <c r="I81" s="33"/>
    </row>
    <row r="82" spans="2:9" ht="15.75">
      <c r="B82" s="33"/>
      <c r="C82" s="33"/>
      <c r="D82" s="33"/>
      <c r="E82" s="33"/>
      <c r="F82" s="33"/>
      <c r="G82" s="33"/>
      <c r="H82" s="33"/>
      <c r="I82" s="33"/>
    </row>
    <row r="83" spans="2:9" ht="15.75">
      <c r="B83" s="33"/>
      <c r="C83" s="33"/>
      <c r="D83" s="33"/>
      <c r="E83" s="33"/>
      <c r="F83" s="33"/>
      <c r="G83" s="33"/>
      <c r="H83" s="33"/>
      <c r="I83" s="33"/>
    </row>
    <row r="84" spans="2:9" ht="15.75">
      <c r="B84" s="33"/>
      <c r="C84" s="33"/>
      <c r="D84" s="33"/>
      <c r="E84" s="33"/>
      <c r="F84" s="33"/>
      <c r="G84" s="33"/>
      <c r="H84" s="33"/>
      <c r="I84" s="33"/>
    </row>
    <row r="85" spans="2:9" ht="15.75">
      <c r="B85" s="33"/>
      <c r="C85" s="33"/>
      <c r="D85" s="33"/>
      <c r="E85" s="33"/>
      <c r="F85" s="33"/>
      <c r="G85" s="33"/>
      <c r="H85" s="33"/>
      <c r="I85" s="33"/>
    </row>
    <row r="86" spans="2:9" ht="15.75">
      <c r="B86" s="33"/>
      <c r="C86" s="33"/>
      <c r="D86" s="33"/>
      <c r="E86" s="33"/>
      <c r="F86" s="33"/>
      <c r="G86" s="33"/>
      <c r="H86" s="33"/>
      <c r="I86" s="33"/>
    </row>
    <row r="87" spans="2:9" ht="15.75">
      <c r="B87" s="33"/>
      <c r="C87" s="33"/>
      <c r="D87" s="33"/>
      <c r="E87" s="33"/>
      <c r="F87" s="33"/>
      <c r="G87" s="33"/>
      <c r="H87" s="33"/>
      <c r="I87" s="33"/>
    </row>
    <row r="88" spans="2:9" ht="15.75">
      <c r="B88" s="33"/>
      <c r="C88" s="33"/>
      <c r="D88" s="33"/>
      <c r="E88" s="33"/>
      <c r="F88" s="33"/>
      <c r="G88" s="33"/>
      <c r="H88" s="33"/>
      <c r="I88" s="33"/>
    </row>
    <row r="89" spans="2:9" ht="15.75">
      <c r="B89" s="33"/>
      <c r="C89" s="33"/>
      <c r="D89" s="33"/>
      <c r="E89" s="33"/>
      <c r="F89" s="33"/>
      <c r="G89" s="33"/>
      <c r="H89" s="33"/>
      <c r="I89" s="33"/>
    </row>
    <row r="90" spans="2:9" ht="15.75">
      <c r="B90" s="33"/>
      <c r="C90" s="33"/>
      <c r="D90" s="33"/>
      <c r="E90" s="33"/>
      <c r="F90" s="33"/>
      <c r="G90" s="33"/>
      <c r="H90" s="33"/>
      <c r="I90" s="33"/>
    </row>
    <row r="91" spans="2:9" ht="15.75">
      <c r="B91" s="33"/>
      <c r="C91" s="33"/>
      <c r="D91" s="33"/>
      <c r="E91" s="33"/>
      <c r="F91" s="33"/>
      <c r="G91" s="33"/>
      <c r="H91" s="33"/>
      <c r="I91" s="33"/>
    </row>
    <row r="92" spans="2:9" ht="15.75">
      <c r="B92" s="33"/>
      <c r="C92" s="33"/>
      <c r="D92" s="33"/>
      <c r="E92" s="33"/>
      <c r="F92" s="33"/>
      <c r="G92" s="33"/>
      <c r="H92" s="33"/>
      <c r="I92" s="33"/>
    </row>
    <row r="93" spans="2:9" ht="15.75">
      <c r="B93" s="33"/>
      <c r="C93" s="33"/>
      <c r="D93" s="33"/>
      <c r="E93" s="33"/>
      <c r="F93" s="33"/>
      <c r="G93" s="33"/>
      <c r="H93" s="33"/>
      <c r="I93" s="33"/>
    </row>
    <row r="94" spans="2:9" ht="15.75">
      <c r="B94" s="33"/>
      <c r="C94" s="33"/>
      <c r="D94" s="33"/>
      <c r="E94" s="33"/>
      <c r="F94" s="33"/>
      <c r="G94" s="33"/>
      <c r="H94" s="33"/>
      <c r="I94" s="33"/>
    </row>
    <row r="95" spans="2:9" ht="15.75">
      <c r="B95" s="33"/>
      <c r="C95" s="33"/>
      <c r="D95" s="33"/>
      <c r="E95" s="33"/>
      <c r="F95" s="33"/>
      <c r="G95" s="33"/>
      <c r="H95" s="33"/>
      <c r="I95" s="33"/>
    </row>
    <row r="96" spans="2:9" ht="15.75">
      <c r="B96" s="33"/>
      <c r="C96" s="33"/>
      <c r="D96" s="33"/>
      <c r="E96" s="33"/>
      <c r="F96" s="33"/>
      <c r="G96" s="33"/>
      <c r="H96" s="33"/>
      <c r="I96" s="33"/>
    </row>
    <row r="97" spans="2:9" ht="15.75">
      <c r="B97" s="33"/>
      <c r="C97" s="33"/>
      <c r="D97" s="33"/>
      <c r="E97" s="33"/>
      <c r="F97" s="33"/>
      <c r="G97" s="33"/>
      <c r="H97" s="33"/>
      <c r="I97" s="33"/>
    </row>
    <row r="98" spans="2:9" ht="15.75">
      <c r="B98" s="33"/>
      <c r="C98" s="33"/>
      <c r="D98" s="33"/>
      <c r="E98" s="33"/>
      <c r="F98" s="33"/>
      <c r="G98" s="33"/>
      <c r="H98" s="33"/>
      <c r="I98" s="33"/>
    </row>
    <row r="99" spans="2:9" ht="15.75">
      <c r="B99" s="33"/>
      <c r="C99" s="33"/>
      <c r="D99" s="33"/>
      <c r="E99" s="33"/>
      <c r="F99" s="33"/>
      <c r="G99" s="33"/>
      <c r="H99" s="33"/>
      <c r="I99" s="33"/>
    </row>
    <row r="100" spans="2:9" ht="15.75">
      <c r="B100" s="33"/>
      <c r="C100" s="33"/>
      <c r="D100" s="33"/>
      <c r="E100" s="33"/>
      <c r="F100" s="33"/>
      <c r="G100" s="33"/>
      <c r="H100" s="33"/>
      <c r="I100" s="33"/>
    </row>
    <row r="101" spans="2:9" ht="15.75">
      <c r="B101" s="33"/>
      <c r="C101" s="33"/>
      <c r="D101" s="33"/>
      <c r="E101" s="33"/>
      <c r="F101" s="33"/>
      <c r="G101" s="33"/>
      <c r="H101" s="33"/>
      <c r="I101" s="33"/>
    </row>
    <row r="102" spans="2:9" ht="15.75">
      <c r="B102" s="33"/>
      <c r="C102" s="33"/>
      <c r="D102" s="33"/>
      <c r="E102" s="33"/>
      <c r="F102" s="33"/>
      <c r="G102" s="33"/>
      <c r="H102" s="33"/>
      <c r="I102" s="33"/>
    </row>
    <row r="103" spans="2:9" ht="15.75">
      <c r="B103" s="33"/>
      <c r="C103" s="33"/>
      <c r="D103" s="33"/>
      <c r="E103" s="33"/>
      <c r="F103" s="33"/>
      <c r="G103" s="33"/>
      <c r="H103" s="33"/>
      <c r="I103" s="33"/>
    </row>
    <row r="104" spans="2:9" ht="15.75">
      <c r="B104" s="33"/>
      <c r="C104" s="33"/>
      <c r="D104" s="33"/>
      <c r="E104" s="33"/>
      <c r="F104" s="33"/>
      <c r="G104" s="33"/>
      <c r="H104" s="33"/>
      <c r="I104" s="33"/>
    </row>
    <row r="105" spans="2:9" ht="15.75">
      <c r="B105" s="33"/>
      <c r="C105" s="33"/>
      <c r="D105" s="33"/>
      <c r="E105" s="33"/>
      <c r="F105" s="33"/>
      <c r="G105" s="33"/>
      <c r="H105" s="33"/>
      <c r="I105" s="33"/>
    </row>
    <row r="106" spans="2:9" ht="15.75">
      <c r="B106" s="33"/>
      <c r="C106" s="33"/>
      <c r="D106" s="33"/>
      <c r="E106" s="33"/>
      <c r="F106" s="33"/>
      <c r="G106" s="33"/>
      <c r="H106" s="33"/>
      <c r="I106" s="33"/>
    </row>
    <row r="107" spans="2:9" ht="15.75">
      <c r="B107" s="33"/>
      <c r="C107" s="33"/>
      <c r="D107" s="33"/>
      <c r="E107" s="33"/>
      <c r="F107" s="33"/>
      <c r="G107" s="33"/>
      <c r="H107" s="33"/>
      <c r="I107" s="33"/>
    </row>
    <row r="108" spans="2:9" ht="15.75">
      <c r="B108" s="33"/>
      <c r="C108" s="33"/>
      <c r="D108" s="33"/>
      <c r="E108" s="33"/>
      <c r="F108" s="33"/>
      <c r="G108" s="33"/>
      <c r="H108" s="33"/>
      <c r="I108" s="33"/>
    </row>
    <row r="109" spans="2:9" ht="15.75">
      <c r="B109" s="33"/>
      <c r="C109" s="33"/>
      <c r="D109" s="33"/>
      <c r="E109" s="33"/>
      <c r="F109" s="33"/>
      <c r="G109" s="33"/>
      <c r="H109" s="33"/>
      <c r="I109" s="33"/>
    </row>
    <row r="110" spans="2:9" ht="15.75">
      <c r="B110" s="33"/>
      <c r="C110" s="33"/>
      <c r="D110" s="33"/>
      <c r="E110" s="33"/>
      <c r="F110" s="33"/>
      <c r="G110" s="33"/>
      <c r="H110" s="33"/>
      <c r="I110" s="33"/>
    </row>
    <row r="111" spans="2:9" ht="15.75">
      <c r="B111" s="33"/>
      <c r="C111" s="33"/>
      <c r="D111" s="33"/>
      <c r="E111" s="33"/>
      <c r="F111" s="33"/>
      <c r="G111" s="33"/>
      <c r="H111" s="33"/>
      <c r="I111" s="33"/>
    </row>
    <row r="112" spans="2:9" ht="15.75">
      <c r="B112" s="33"/>
      <c r="C112" s="33"/>
      <c r="D112" s="33"/>
      <c r="E112" s="33"/>
      <c r="F112" s="33"/>
      <c r="G112" s="33"/>
      <c r="H112" s="33"/>
      <c r="I112" s="33"/>
    </row>
    <row r="113" spans="2:9" ht="15.75">
      <c r="B113" s="33"/>
      <c r="C113" s="33"/>
      <c r="D113" s="33"/>
      <c r="E113" s="33"/>
      <c r="F113" s="33"/>
      <c r="G113" s="33"/>
      <c r="H113" s="33"/>
      <c r="I113" s="33"/>
    </row>
    <row r="114" spans="2:9" ht="15.75">
      <c r="B114" s="33"/>
      <c r="C114" s="33"/>
      <c r="D114" s="33"/>
      <c r="E114" s="33"/>
      <c r="F114" s="33"/>
      <c r="G114" s="33"/>
      <c r="H114" s="33"/>
      <c r="I114" s="33"/>
    </row>
    <row r="115" spans="2:9" ht="15.75">
      <c r="B115" s="33"/>
      <c r="C115" s="33"/>
      <c r="D115" s="33"/>
      <c r="E115" s="33"/>
      <c r="F115" s="33"/>
      <c r="G115" s="33"/>
      <c r="H115" s="33"/>
      <c r="I115" s="33"/>
    </row>
    <row r="116" spans="2:9" ht="15.75">
      <c r="B116" s="33"/>
      <c r="C116" s="33"/>
      <c r="D116" s="33"/>
      <c r="E116" s="33"/>
      <c r="F116" s="33"/>
      <c r="G116" s="33"/>
      <c r="H116" s="33"/>
      <c r="I116" s="33"/>
    </row>
    <row r="117" spans="2:9" ht="15.75">
      <c r="B117" s="33"/>
      <c r="C117" s="33"/>
      <c r="D117" s="33"/>
      <c r="E117" s="33"/>
      <c r="F117" s="33"/>
      <c r="G117" s="33"/>
      <c r="H117" s="33"/>
      <c r="I117" s="33"/>
    </row>
    <row r="118" spans="2:9" ht="15.75">
      <c r="B118" s="33"/>
      <c r="C118" s="33"/>
      <c r="D118" s="33"/>
      <c r="E118" s="33"/>
      <c r="F118" s="33"/>
      <c r="G118" s="33"/>
      <c r="H118" s="33"/>
      <c r="I118" s="33"/>
    </row>
    <row r="119" spans="2:9" ht="15.75">
      <c r="B119" s="33"/>
      <c r="C119" s="33"/>
      <c r="D119" s="33"/>
      <c r="E119" s="33"/>
      <c r="F119" s="33"/>
      <c r="G119" s="33"/>
      <c r="H119" s="33"/>
      <c r="I119" s="33"/>
    </row>
    <row r="120" spans="2:9" ht="15.75">
      <c r="B120" s="33"/>
      <c r="C120" s="33"/>
      <c r="D120" s="33"/>
      <c r="E120" s="33"/>
      <c r="F120" s="33"/>
      <c r="G120" s="33"/>
      <c r="H120" s="33"/>
      <c r="I120" s="33"/>
    </row>
    <row r="121" spans="2:9" ht="15.75">
      <c r="B121" s="33"/>
      <c r="C121" s="33"/>
      <c r="D121" s="33"/>
      <c r="E121" s="33"/>
      <c r="F121" s="33"/>
      <c r="G121" s="33"/>
      <c r="H121" s="33"/>
      <c r="I121" s="33"/>
    </row>
    <row r="122" spans="2:9" ht="15.75">
      <c r="B122" s="33"/>
      <c r="C122" s="33"/>
      <c r="D122" s="33"/>
      <c r="E122" s="33"/>
      <c r="F122" s="33"/>
      <c r="G122" s="33"/>
      <c r="H122" s="33"/>
      <c r="I122" s="33"/>
    </row>
    <row r="123" spans="2:9" ht="15.75">
      <c r="B123" s="33"/>
      <c r="C123" s="33"/>
      <c r="D123" s="33"/>
      <c r="E123" s="33"/>
      <c r="F123" s="33"/>
      <c r="G123" s="33"/>
      <c r="H123" s="33"/>
      <c r="I123" s="33"/>
    </row>
    <row r="124" spans="2:9" ht="15.75">
      <c r="B124" s="33"/>
      <c r="C124" s="33"/>
      <c r="D124" s="33"/>
      <c r="E124" s="33"/>
      <c r="F124" s="33"/>
      <c r="G124" s="33"/>
      <c r="H124" s="33"/>
      <c r="I124" s="33"/>
    </row>
    <row r="125" spans="2:9" ht="15.75">
      <c r="B125" s="33"/>
      <c r="C125" s="33"/>
      <c r="D125" s="33"/>
      <c r="E125" s="33"/>
      <c r="F125" s="33"/>
      <c r="G125" s="33"/>
      <c r="H125" s="33"/>
      <c r="I125" s="33"/>
    </row>
    <row r="126" spans="2:9" ht="15.75">
      <c r="B126" s="33"/>
      <c r="C126" s="33"/>
      <c r="D126" s="33"/>
      <c r="E126" s="33"/>
      <c r="F126" s="33"/>
      <c r="G126" s="33"/>
      <c r="H126" s="33"/>
      <c r="I126" s="33"/>
    </row>
    <row r="127" spans="2:9" ht="15.75">
      <c r="B127" s="33"/>
      <c r="C127" s="33"/>
      <c r="D127" s="33"/>
      <c r="E127" s="33"/>
      <c r="F127" s="33"/>
      <c r="G127" s="33"/>
      <c r="H127" s="33"/>
      <c r="I127" s="33"/>
    </row>
    <row r="128" spans="2:9" ht="15.75">
      <c r="B128" s="33"/>
      <c r="C128" s="33"/>
      <c r="D128" s="33"/>
      <c r="E128" s="33"/>
      <c r="F128" s="33"/>
      <c r="G128" s="33"/>
      <c r="H128" s="33"/>
      <c r="I128" s="33"/>
    </row>
    <row r="129" spans="2:9" ht="15.75">
      <c r="B129" s="33"/>
      <c r="C129" s="33"/>
      <c r="D129" s="33"/>
      <c r="E129" s="33"/>
      <c r="F129" s="33"/>
      <c r="G129" s="33"/>
      <c r="H129" s="33"/>
      <c r="I129" s="33"/>
    </row>
    <row r="130" spans="2:9" ht="15.75">
      <c r="B130" s="33"/>
      <c r="C130" s="33"/>
      <c r="D130" s="33"/>
      <c r="E130" s="33"/>
      <c r="F130" s="33"/>
      <c r="G130" s="33"/>
      <c r="H130" s="33"/>
      <c r="I130" s="33"/>
    </row>
    <row r="131" spans="2:9" ht="15.75">
      <c r="B131" s="33"/>
      <c r="C131" s="33"/>
      <c r="D131" s="33"/>
      <c r="E131" s="33"/>
      <c r="F131" s="33"/>
      <c r="G131" s="33"/>
      <c r="H131" s="33"/>
      <c r="I131" s="33"/>
    </row>
    <row r="132" spans="2:9" ht="15.75">
      <c r="B132" s="33"/>
      <c r="C132" s="33"/>
      <c r="D132" s="33"/>
      <c r="E132" s="33"/>
      <c r="F132" s="33"/>
      <c r="G132" s="33"/>
      <c r="H132" s="33"/>
      <c r="I132" s="33"/>
    </row>
    <row r="133" spans="2:9" ht="15.75">
      <c r="B133" s="33"/>
      <c r="C133" s="33"/>
      <c r="D133" s="33"/>
      <c r="E133" s="33"/>
      <c r="F133" s="33"/>
      <c r="G133" s="33"/>
      <c r="H133" s="33"/>
      <c r="I133" s="33"/>
    </row>
    <row r="134" spans="2:9" ht="15.75">
      <c r="B134" s="33"/>
      <c r="C134" s="33"/>
      <c r="D134" s="33"/>
      <c r="E134" s="33"/>
      <c r="F134" s="33"/>
      <c r="G134" s="33"/>
      <c r="H134" s="33"/>
      <c r="I134" s="33"/>
    </row>
    <row r="135" spans="2:9" ht="15.75">
      <c r="B135" s="33"/>
      <c r="C135" s="33"/>
      <c r="D135" s="33"/>
      <c r="E135" s="33"/>
      <c r="F135" s="33"/>
      <c r="G135" s="33"/>
      <c r="H135" s="33"/>
      <c r="I135" s="33"/>
    </row>
    <row r="136" spans="2:9" ht="15.75">
      <c r="B136" s="33"/>
      <c r="C136" s="33"/>
      <c r="D136" s="33"/>
      <c r="E136" s="33"/>
      <c r="F136" s="33"/>
      <c r="G136" s="33"/>
      <c r="H136" s="33"/>
      <c r="I136" s="33"/>
    </row>
    <row r="137" spans="2:9" ht="15.75">
      <c r="B137" s="33"/>
      <c r="C137" s="33"/>
      <c r="D137" s="33"/>
      <c r="E137" s="33"/>
      <c r="F137" s="33"/>
      <c r="G137" s="33"/>
      <c r="H137" s="33"/>
      <c r="I137" s="33"/>
    </row>
    <row r="138" spans="2:9" ht="15.75">
      <c r="B138" s="33"/>
      <c r="C138" s="33"/>
      <c r="D138" s="33"/>
      <c r="E138" s="33"/>
      <c r="F138" s="33"/>
      <c r="G138" s="33"/>
      <c r="H138" s="33"/>
      <c r="I138" s="33"/>
    </row>
  </sheetData>
  <sheetProtection/>
  <mergeCells count="19">
    <mergeCell ref="H11:H13"/>
    <mergeCell ref="H3:I3"/>
    <mergeCell ref="H4:I4"/>
    <mergeCell ref="H6:I6"/>
    <mergeCell ref="B9:H9"/>
    <mergeCell ref="G12:G13"/>
    <mergeCell ref="D11:D13"/>
    <mergeCell ref="E11:G11"/>
    <mergeCell ref="H7:I7"/>
    <mergeCell ref="B38:C38"/>
    <mergeCell ref="B41:C41"/>
    <mergeCell ref="E12:E13"/>
    <mergeCell ref="F12:F13"/>
    <mergeCell ref="A30:A31"/>
    <mergeCell ref="B30:B31"/>
    <mergeCell ref="C30:C31"/>
    <mergeCell ref="A11:A13"/>
    <mergeCell ref="B11:B13"/>
    <mergeCell ref="C11:C13"/>
  </mergeCells>
  <printOptions horizontalCentered="1"/>
  <pageMargins left="0" right="0" top="0" bottom="0" header="0" footer="0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208"/>
  <sheetViews>
    <sheetView tabSelected="1" view="pageBreakPreview" zoomScale="89" zoomScaleSheetLayoutView="89" zoomScalePageLayoutView="0" workbookViewId="0" topLeftCell="B3">
      <selection activeCell="D152" sqref="D152"/>
    </sheetView>
  </sheetViews>
  <sheetFormatPr defaultColWidth="9.140625" defaultRowHeight="12.75"/>
  <cols>
    <col min="1" max="1" width="4.140625" style="11" customWidth="1"/>
    <col min="2" max="2" width="77.28125" style="96" customWidth="1"/>
    <col min="3" max="3" width="19.8515625" style="11" customWidth="1"/>
    <col min="4" max="4" width="14.28125" style="11" customWidth="1"/>
    <col min="5" max="5" width="17.28125" style="11" customWidth="1"/>
    <col min="6" max="6" width="10.421875" style="11" customWidth="1"/>
    <col min="7" max="7" width="14.28125" style="11" bestFit="1" customWidth="1"/>
    <col min="8" max="9" width="11.57421875" style="11" hidden="1" customWidth="1"/>
    <col min="10" max="10" width="16.8515625" style="11" customWidth="1"/>
    <col min="11" max="11" width="17.00390625" style="11" customWidth="1"/>
    <col min="12" max="12" width="16.7109375" style="11" customWidth="1"/>
    <col min="13" max="13" width="43.28125" style="11" customWidth="1"/>
    <col min="14" max="15" width="9.140625" style="11" hidden="1" customWidth="1"/>
    <col min="16" max="16" width="9.8515625" style="11" hidden="1" customWidth="1"/>
    <col min="17" max="17" width="10.140625" style="11" customWidth="1"/>
    <col min="18" max="19" width="9.140625" style="11" customWidth="1"/>
  </cols>
  <sheetData>
    <row r="1" spans="2:14" ht="18.75">
      <c r="B1" s="79"/>
      <c r="C1" s="1"/>
      <c r="D1" s="1"/>
      <c r="E1" s="1"/>
      <c r="F1" s="1"/>
      <c r="G1" s="1"/>
      <c r="H1" s="1"/>
      <c r="I1" s="1"/>
      <c r="J1" s="2"/>
      <c r="K1" s="80"/>
      <c r="L1" s="263" t="s">
        <v>289</v>
      </c>
      <c r="M1" s="263"/>
      <c r="N1" s="2" t="s">
        <v>106</v>
      </c>
    </row>
    <row r="2" spans="2:14" ht="18.75">
      <c r="B2" s="79"/>
      <c r="C2" s="1"/>
      <c r="D2" s="1"/>
      <c r="E2" s="1"/>
      <c r="F2" s="1"/>
      <c r="G2" s="1"/>
      <c r="H2" s="1"/>
      <c r="I2" s="1"/>
      <c r="J2" s="3"/>
      <c r="K2" s="80"/>
      <c r="L2" s="264" t="s">
        <v>94</v>
      </c>
      <c r="M2" s="264"/>
      <c r="N2" s="3" t="s">
        <v>94</v>
      </c>
    </row>
    <row r="3" spans="2:14" ht="18.75">
      <c r="B3" s="79"/>
      <c r="C3" s="1"/>
      <c r="D3" s="1"/>
      <c r="E3" s="1"/>
      <c r="F3" s="1"/>
      <c r="G3" s="1"/>
      <c r="H3" s="1"/>
      <c r="I3" s="1"/>
      <c r="J3" s="3"/>
      <c r="K3" s="80"/>
      <c r="L3" s="125" t="s">
        <v>108</v>
      </c>
      <c r="M3" s="125"/>
      <c r="N3" s="3" t="s">
        <v>107</v>
      </c>
    </row>
    <row r="4" spans="2:14" ht="18.75">
      <c r="B4" s="79"/>
      <c r="C4" s="1"/>
      <c r="D4" s="1"/>
      <c r="E4" s="1"/>
      <c r="F4" s="1"/>
      <c r="G4" s="1"/>
      <c r="H4" s="1"/>
      <c r="I4" s="1"/>
      <c r="J4" s="3"/>
      <c r="K4" s="80"/>
      <c r="L4" s="125" t="s">
        <v>110</v>
      </c>
      <c r="M4" s="125"/>
      <c r="N4" s="3" t="s">
        <v>109</v>
      </c>
    </row>
    <row r="5" spans="2:14" ht="18.75">
      <c r="B5" s="79"/>
      <c r="C5" s="1"/>
      <c r="D5" s="1"/>
      <c r="E5" s="1"/>
      <c r="F5" s="1"/>
      <c r="G5" s="1"/>
      <c r="H5" s="1"/>
      <c r="I5" s="1"/>
      <c r="J5" s="3"/>
      <c r="K5" s="80"/>
      <c r="L5" s="125" t="s">
        <v>112</v>
      </c>
      <c r="M5" s="125"/>
      <c r="N5" s="3" t="s">
        <v>111</v>
      </c>
    </row>
    <row r="6" spans="2:14" ht="18.75">
      <c r="B6" s="79"/>
      <c r="C6" s="1"/>
      <c r="D6" s="1"/>
      <c r="E6" s="1"/>
      <c r="F6" s="1"/>
      <c r="G6" s="1"/>
      <c r="H6" s="1"/>
      <c r="J6" s="3"/>
      <c r="K6" s="80"/>
      <c r="L6" s="125" t="s">
        <v>114</v>
      </c>
      <c r="M6" s="125"/>
      <c r="N6" s="3" t="s">
        <v>113</v>
      </c>
    </row>
    <row r="7" spans="2:17" ht="15.75" customHeight="1">
      <c r="B7" s="79"/>
      <c r="C7" s="1"/>
      <c r="D7" s="1"/>
      <c r="E7" s="1"/>
      <c r="F7" s="1"/>
      <c r="G7" s="1"/>
      <c r="H7" s="1"/>
      <c r="J7" s="3"/>
      <c r="K7" s="80"/>
      <c r="L7" s="260" t="s">
        <v>340</v>
      </c>
      <c r="M7" s="261"/>
      <c r="N7" s="13"/>
      <c r="O7" s="13"/>
      <c r="P7" s="13"/>
      <c r="Q7" s="13"/>
    </row>
    <row r="8" spans="2:14" ht="15.75">
      <c r="B8" s="7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8.75">
      <c r="B9" s="277" t="s">
        <v>91</v>
      </c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1"/>
    </row>
    <row r="10" spans="2:14" ht="15.75">
      <c r="B10" s="79"/>
      <c r="C10" s="1"/>
      <c r="D10" s="278"/>
      <c r="E10" s="278"/>
      <c r="F10" s="278"/>
      <c r="G10" s="278"/>
      <c r="H10" s="278"/>
      <c r="I10" s="278"/>
      <c r="J10" s="1"/>
      <c r="K10" s="1"/>
      <c r="L10" s="1"/>
      <c r="M10" s="81" t="s">
        <v>116</v>
      </c>
      <c r="N10" s="1"/>
    </row>
    <row r="11" spans="1:14" ht="15.75" customHeight="1">
      <c r="A11" s="251" t="s">
        <v>54</v>
      </c>
      <c r="B11" s="246" t="s">
        <v>95</v>
      </c>
      <c r="C11" s="279" t="s">
        <v>96</v>
      </c>
      <c r="D11" s="279" t="s">
        <v>97</v>
      </c>
      <c r="E11" s="282"/>
      <c r="F11" s="252" t="s">
        <v>57</v>
      </c>
      <c r="G11" s="258"/>
      <c r="H11" s="258"/>
      <c r="I11" s="258"/>
      <c r="J11" s="258"/>
      <c r="K11" s="258"/>
      <c r="L11" s="259"/>
      <c r="M11" s="251" t="s">
        <v>98</v>
      </c>
      <c r="N11" s="1"/>
    </row>
    <row r="12" spans="1:14" ht="15.75" customHeight="1">
      <c r="A12" s="251"/>
      <c r="B12" s="246"/>
      <c r="C12" s="280"/>
      <c r="D12" s="280"/>
      <c r="E12" s="283"/>
      <c r="F12" s="251" t="s">
        <v>58</v>
      </c>
      <c r="G12" s="251" t="s">
        <v>59</v>
      </c>
      <c r="H12" s="251"/>
      <c r="I12" s="251"/>
      <c r="J12" s="251"/>
      <c r="K12" s="252" t="s">
        <v>120</v>
      </c>
      <c r="L12" s="259"/>
      <c r="M12" s="251"/>
      <c r="N12" s="1"/>
    </row>
    <row r="13" spans="1:14" ht="75">
      <c r="A13" s="251"/>
      <c r="B13" s="246"/>
      <c r="C13" s="281"/>
      <c r="D13" s="82" t="s">
        <v>99</v>
      </c>
      <c r="E13" s="82" t="s">
        <v>175</v>
      </c>
      <c r="F13" s="251"/>
      <c r="G13" s="82" t="s">
        <v>99</v>
      </c>
      <c r="H13" s="82" t="s">
        <v>175</v>
      </c>
      <c r="I13" s="154"/>
      <c r="J13" s="82" t="s">
        <v>175</v>
      </c>
      <c r="K13" s="82" t="s">
        <v>99</v>
      </c>
      <c r="L13" s="82" t="s">
        <v>175</v>
      </c>
      <c r="M13" s="251"/>
      <c r="N13" s="1"/>
    </row>
    <row r="14" spans="1:14" ht="56.25">
      <c r="A14" s="82">
        <v>1</v>
      </c>
      <c r="B14" s="116" t="s">
        <v>176</v>
      </c>
      <c r="C14" s="82"/>
      <c r="D14" s="152">
        <f>SUM(F14:J14)</f>
        <v>30010.6</v>
      </c>
      <c r="E14" s="152">
        <v>0</v>
      </c>
      <c r="F14" s="155"/>
      <c r="G14" s="152">
        <f>G15+G16+G17+G18+G19+G20+G21+G22+G24+G25+G26+G27+G28+G29+G30+G31+G32+G33+G34+G35+G36+G38+G39+G40+G41+G42</f>
        <v>30010.6</v>
      </c>
      <c r="H14" s="152">
        <f>H15+H16+H17+H18+H19+H20+H21+H22+H24+H25+H26+H27+H28+H29+H30+H31+H32+H33+H34+H35+H36+H38+H39+H40</f>
        <v>0</v>
      </c>
      <c r="I14" s="152">
        <f>I15+I16+I17+I18+I19+I20+I21+I22+I24+I25+I26+I27+I28+I29+I30+I31+I32+I33+I34+I35+I36+I38+I39+I40</f>
        <v>0</v>
      </c>
      <c r="J14" s="152">
        <f>J15+J16+J17+J18+J19+J20+J21+J22+J24+J25+J26+J27+J28+J29+J30+J31+J32+J33+J34+J35+J36+J38+J39+J40</f>
        <v>0</v>
      </c>
      <c r="K14" s="155"/>
      <c r="L14" s="155"/>
      <c r="M14" s="82" t="s">
        <v>177</v>
      </c>
      <c r="N14" s="1"/>
    </row>
    <row r="15" spans="1:14" ht="18.75">
      <c r="A15" s="82"/>
      <c r="B15" s="156" t="s">
        <v>178</v>
      </c>
      <c r="C15" s="82"/>
      <c r="D15" s="152"/>
      <c r="E15" s="152"/>
      <c r="F15" s="155"/>
      <c r="G15" s="155">
        <v>1800</v>
      </c>
      <c r="H15" s="155"/>
      <c r="I15" s="155"/>
      <c r="J15" s="155"/>
      <c r="K15" s="155"/>
      <c r="L15" s="155"/>
      <c r="M15" s="82"/>
      <c r="N15" s="1"/>
    </row>
    <row r="16" spans="1:14" ht="18.75">
      <c r="A16" s="82"/>
      <c r="B16" s="156" t="s">
        <v>179</v>
      </c>
      <c r="C16" s="82"/>
      <c r="D16" s="152"/>
      <c r="E16" s="152"/>
      <c r="F16" s="155"/>
      <c r="G16" s="155">
        <v>1200</v>
      </c>
      <c r="H16" s="155"/>
      <c r="I16" s="155"/>
      <c r="J16" s="155"/>
      <c r="K16" s="155"/>
      <c r="L16" s="155"/>
      <c r="M16" s="82"/>
      <c r="N16" s="1"/>
    </row>
    <row r="17" spans="1:14" ht="33" customHeight="1">
      <c r="A17" s="82"/>
      <c r="B17" s="156" t="s">
        <v>180</v>
      </c>
      <c r="C17" s="82"/>
      <c r="D17" s="152"/>
      <c r="E17" s="152"/>
      <c r="F17" s="155"/>
      <c r="G17" s="155">
        <v>2670</v>
      </c>
      <c r="H17" s="155"/>
      <c r="I17" s="155"/>
      <c r="J17" s="155"/>
      <c r="K17" s="155"/>
      <c r="L17" s="155"/>
      <c r="M17" s="82"/>
      <c r="N17" s="1"/>
    </row>
    <row r="18" spans="1:14" ht="18.75">
      <c r="A18" s="82"/>
      <c r="B18" s="156" t="s">
        <v>181</v>
      </c>
      <c r="C18" s="82"/>
      <c r="D18" s="152"/>
      <c r="E18" s="152"/>
      <c r="F18" s="155"/>
      <c r="G18" s="155">
        <f>2300+250</f>
        <v>2550</v>
      </c>
      <c r="H18" s="155"/>
      <c r="I18" s="155"/>
      <c r="J18" s="155"/>
      <c r="K18" s="155"/>
      <c r="L18" s="155"/>
      <c r="M18" s="82"/>
      <c r="N18" s="1"/>
    </row>
    <row r="19" spans="1:14" ht="31.5" customHeight="1">
      <c r="A19" s="82"/>
      <c r="B19" s="156" t="s">
        <v>182</v>
      </c>
      <c r="C19" s="82"/>
      <c r="D19" s="152"/>
      <c r="E19" s="152"/>
      <c r="F19" s="155"/>
      <c r="G19" s="155">
        <v>1000</v>
      </c>
      <c r="H19" s="155"/>
      <c r="I19" s="155"/>
      <c r="J19" s="155"/>
      <c r="K19" s="155"/>
      <c r="L19" s="155"/>
      <c r="M19" s="82"/>
      <c r="N19" s="1"/>
    </row>
    <row r="20" spans="1:14" ht="18.75">
      <c r="A20" s="82"/>
      <c r="B20" s="156" t="s">
        <v>183</v>
      </c>
      <c r="C20" s="82"/>
      <c r="D20" s="152"/>
      <c r="E20" s="152"/>
      <c r="F20" s="155"/>
      <c r="G20" s="155">
        <v>147</v>
      </c>
      <c r="H20" s="155"/>
      <c r="I20" s="155"/>
      <c r="J20" s="155"/>
      <c r="K20" s="155"/>
      <c r="L20" s="155"/>
      <c r="M20" s="82"/>
      <c r="N20" s="1"/>
    </row>
    <row r="21" spans="1:14" ht="18.75">
      <c r="A21" s="82"/>
      <c r="B21" s="156" t="s">
        <v>184</v>
      </c>
      <c r="C21" s="82"/>
      <c r="D21" s="152"/>
      <c r="E21" s="152"/>
      <c r="F21" s="155"/>
      <c r="G21" s="155">
        <v>145</v>
      </c>
      <c r="H21" s="155"/>
      <c r="I21" s="155"/>
      <c r="J21" s="155"/>
      <c r="K21" s="155"/>
      <c r="L21" s="155"/>
      <c r="M21" s="82"/>
      <c r="N21" s="1"/>
    </row>
    <row r="22" spans="1:14" ht="32.25" customHeight="1">
      <c r="A22" s="82"/>
      <c r="B22" s="156" t="s">
        <v>185</v>
      </c>
      <c r="C22" s="82"/>
      <c r="D22" s="152"/>
      <c r="E22" s="152"/>
      <c r="F22" s="155"/>
      <c r="G22" s="155">
        <v>185</v>
      </c>
      <c r="H22" s="155"/>
      <c r="I22" s="155"/>
      <c r="J22" s="155"/>
      <c r="K22" s="155"/>
      <c r="L22" s="155"/>
      <c r="M22" s="82"/>
      <c r="N22" s="1"/>
    </row>
    <row r="23" spans="1:14" ht="55.5" customHeight="1" hidden="1">
      <c r="A23" s="82"/>
      <c r="B23" s="156" t="s">
        <v>186</v>
      </c>
      <c r="C23" s="82"/>
      <c r="D23" s="152"/>
      <c r="E23" s="152"/>
      <c r="F23" s="155"/>
      <c r="G23" s="155">
        <v>493.4</v>
      </c>
      <c r="H23" s="155"/>
      <c r="I23" s="155"/>
      <c r="J23" s="155"/>
      <c r="K23" s="155"/>
      <c r="L23" s="155"/>
      <c r="M23" s="82"/>
      <c r="N23" s="1"/>
    </row>
    <row r="24" spans="1:14" ht="27.75" customHeight="1">
      <c r="A24" s="82"/>
      <c r="B24" s="156" t="s">
        <v>187</v>
      </c>
      <c r="C24" s="102"/>
      <c r="D24" s="117"/>
      <c r="E24" s="117"/>
      <c r="F24" s="118"/>
      <c r="G24" s="118">
        <f>493.4-62.5</f>
        <v>430.9</v>
      </c>
      <c r="H24" s="118"/>
      <c r="I24" s="118"/>
      <c r="J24" s="118"/>
      <c r="K24" s="155"/>
      <c r="L24" s="155"/>
      <c r="M24" s="82"/>
      <c r="N24" s="1"/>
    </row>
    <row r="25" spans="1:14" ht="50.25" customHeight="1">
      <c r="A25" s="82"/>
      <c r="B25" s="156" t="s">
        <v>188</v>
      </c>
      <c r="C25" s="102"/>
      <c r="D25" s="117"/>
      <c r="E25" s="117"/>
      <c r="F25" s="118"/>
      <c r="G25" s="118">
        <f>3145.6+2.24</f>
        <v>3147.8399999999997</v>
      </c>
      <c r="H25" s="118"/>
      <c r="I25" s="118"/>
      <c r="J25" s="118"/>
      <c r="K25" s="155"/>
      <c r="L25" s="155"/>
      <c r="M25" s="82"/>
      <c r="N25" s="1"/>
    </row>
    <row r="26" spans="1:14" ht="42" customHeight="1">
      <c r="A26" s="82"/>
      <c r="B26" s="156" t="s">
        <v>189</v>
      </c>
      <c r="C26" s="157"/>
      <c r="D26" s="158"/>
      <c r="E26" s="158"/>
      <c r="F26" s="159"/>
      <c r="G26" s="159">
        <v>652.01</v>
      </c>
      <c r="H26" s="155"/>
      <c r="I26" s="155"/>
      <c r="J26" s="155"/>
      <c r="K26" s="155"/>
      <c r="L26" s="155"/>
      <c r="M26" s="82"/>
      <c r="N26" s="1"/>
    </row>
    <row r="27" spans="1:14" ht="37.5">
      <c r="A27" s="82"/>
      <c r="B27" s="156" t="s">
        <v>190</v>
      </c>
      <c r="C27" s="157"/>
      <c r="D27" s="158"/>
      <c r="E27" s="158"/>
      <c r="F27" s="159"/>
      <c r="G27" s="159">
        <v>669.25</v>
      </c>
      <c r="H27" s="155"/>
      <c r="I27" s="155"/>
      <c r="J27" s="155"/>
      <c r="K27" s="155"/>
      <c r="L27" s="155"/>
      <c r="M27" s="82"/>
      <c r="N27" s="1"/>
    </row>
    <row r="28" spans="1:14" ht="37.5">
      <c r="A28" s="82"/>
      <c r="B28" s="156" t="s">
        <v>191</v>
      </c>
      <c r="C28" s="82"/>
      <c r="D28" s="152"/>
      <c r="E28" s="152"/>
      <c r="F28" s="155"/>
      <c r="G28" s="155">
        <v>2340</v>
      </c>
      <c r="H28" s="155"/>
      <c r="I28" s="155"/>
      <c r="J28" s="155"/>
      <c r="K28" s="155"/>
      <c r="L28" s="155"/>
      <c r="M28" s="82"/>
      <c r="N28" s="1"/>
    </row>
    <row r="29" spans="1:14" ht="56.25">
      <c r="A29" s="82"/>
      <c r="B29" s="156" t="s">
        <v>192</v>
      </c>
      <c r="C29" s="82"/>
      <c r="D29" s="152"/>
      <c r="E29" s="152"/>
      <c r="F29" s="155"/>
      <c r="G29" s="155">
        <v>2368.9</v>
      </c>
      <c r="H29" s="155"/>
      <c r="I29" s="155"/>
      <c r="J29" s="155"/>
      <c r="K29" s="155"/>
      <c r="L29" s="155"/>
      <c r="M29" s="82"/>
      <c r="N29" s="1"/>
    </row>
    <row r="30" spans="1:14" ht="37.5">
      <c r="A30" s="82"/>
      <c r="B30" s="156" t="s">
        <v>193</v>
      </c>
      <c r="C30" s="82"/>
      <c r="D30" s="152"/>
      <c r="E30" s="152"/>
      <c r="F30" s="155"/>
      <c r="G30" s="155">
        <f>445.7+5</f>
        <v>450.7</v>
      </c>
      <c r="H30" s="155"/>
      <c r="I30" s="155"/>
      <c r="J30" s="155"/>
      <c r="K30" s="155"/>
      <c r="L30" s="155"/>
      <c r="M30" s="82"/>
      <c r="N30" s="1"/>
    </row>
    <row r="31" spans="1:14" ht="56.25">
      <c r="A31" s="82"/>
      <c r="B31" s="156" t="s">
        <v>312</v>
      </c>
      <c r="C31" s="82"/>
      <c r="D31" s="152"/>
      <c r="E31" s="152"/>
      <c r="F31" s="155"/>
      <c r="G31" s="155">
        <v>350.1</v>
      </c>
      <c r="H31" s="155"/>
      <c r="I31" s="155"/>
      <c r="J31" s="155"/>
      <c r="K31" s="155"/>
      <c r="L31" s="155"/>
      <c r="M31" s="82"/>
      <c r="N31" s="1"/>
    </row>
    <row r="32" spans="1:14" ht="56.25">
      <c r="A32" s="82"/>
      <c r="B32" s="156" t="s">
        <v>313</v>
      </c>
      <c r="C32" s="82"/>
      <c r="D32" s="152"/>
      <c r="E32" s="152"/>
      <c r="F32" s="155"/>
      <c r="G32" s="155">
        <v>792.1</v>
      </c>
      <c r="H32" s="155"/>
      <c r="I32" s="155"/>
      <c r="J32" s="155"/>
      <c r="K32" s="155"/>
      <c r="L32" s="155"/>
      <c r="M32" s="82"/>
      <c r="N32" s="1"/>
    </row>
    <row r="33" spans="1:14" ht="37.5">
      <c r="A33" s="82"/>
      <c r="B33" s="156" t="s">
        <v>194</v>
      </c>
      <c r="C33" s="82"/>
      <c r="D33" s="152"/>
      <c r="E33" s="152"/>
      <c r="F33" s="155"/>
      <c r="G33" s="155">
        <v>161</v>
      </c>
      <c r="H33" s="155"/>
      <c r="I33" s="155"/>
      <c r="J33" s="155"/>
      <c r="K33" s="155"/>
      <c r="L33" s="155"/>
      <c r="M33" s="82"/>
      <c r="N33" s="1"/>
    </row>
    <row r="34" spans="1:14" ht="37.5">
      <c r="A34" s="82"/>
      <c r="B34" s="156" t="s">
        <v>195</v>
      </c>
      <c r="C34" s="82"/>
      <c r="D34" s="152"/>
      <c r="E34" s="152"/>
      <c r="F34" s="155"/>
      <c r="G34" s="155">
        <v>251.6</v>
      </c>
      <c r="H34" s="155"/>
      <c r="I34" s="155"/>
      <c r="J34" s="155"/>
      <c r="K34" s="155"/>
      <c r="L34" s="155"/>
      <c r="M34" s="82"/>
      <c r="N34" s="1"/>
    </row>
    <row r="35" spans="1:14" ht="37.5">
      <c r="A35" s="82"/>
      <c r="B35" s="116" t="s">
        <v>196</v>
      </c>
      <c r="C35" s="82"/>
      <c r="D35" s="152"/>
      <c r="E35" s="152"/>
      <c r="F35" s="155"/>
      <c r="G35" s="155">
        <v>3220</v>
      </c>
      <c r="H35" s="155"/>
      <c r="I35" s="155"/>
      <c r="J35" s="155"/>
      <c r="K35" s="155"/>
      <c r="L35" s="155"/>
      <c r="M35" s="82"/>
      <c r="N35" s="1"/>
    </row>
    <row r="36" spans="1:14" ht="37.5">
      <c r="A36" s="82"/>
      <c r="B36" s="116" t="s">
        <v>197</v>
      </c>
      <c r="C36" s="82"/>
      <c r="D36" s="152"/>
      <c r="E36" s="152"/>
      <c r="F36" s="155"/>
      <c r="G36" s="155">
        <v>1000</v>
      </c>
      <c r="H36" s="155"/>
      <c r="I36" s="155"/>
      <c r="J36" s="155"/>
      <c r="K36" s="155"/>
      <c r="L36" s="155"/>
      <c r="M36" s="82"/>
      <c r="N36" s="1"/>
    </row>
    <row r="37" spans="1:14" ht="55.5" customHeight="1" hidden="1">
      <c r="A37" s="82"/>
      <c r="B37" s="116"/>
      <c r="C37" s="82"/>
      <c r="D37" s="152"/>
      <c r="E37" s="152"/>
      <c r="F37" s="155"/>
      <c r="G37" s="155"/>
      <c r="H37" s="155"/>
      <c r="I37" s="155"/>
      <c r="J37" s="155"/>
      <c r="K37" s="155"/>
      <c r="L37" s="155"/>
      <c r="M37" s="82"/>
      <c r="N37" s="1"/>
    </row>
    <row r="38" spans="1:14" ht="18.75">
      <c r="A38" s="82"/>
      <c r="B38" s="116" t="s">
        <v>198</v>
      </c>
      <c r="C38" s="82"/>
      <c r="D38" s="152"/>
      <c r="E38" s="152"/>
      <c r="F38" s="155"/>
      <c r="G38" s="155">
        <v>190</v>
      </c>
      <c r="H38" s="155"/>
      <c r="I38" s="155"/>
      <c r="J38" s="155"/>
      <c r="K38" s="155"/>
      <c r="L38" s="155"/>
      <c r="M38" s="82"/>
      <c r="N38" s="1"/>
    </row>
    <row r="39" spans="1:14" ht="18.75">
      <c r="A39" s="82"/>
      <c r="B39" s="116" t="s">
        <v>199</v>
      </c>
      <c r="C39" s="82"/>
      <c r="D39" s="152"/>
      <c r="E39" s="152"/>
      <c r="F39" s="155"/>
      <c r="G39" s="155">
        <v>59.5</v>
      </c>
      <c r="H39" s="155"/>
      <c r="I39" s="155"/>
      <c r="J39" s="155"/>
      <c r="K39" s="155"/>
      <c r="L39" s="155"/>
      <c r="M39" s="82"/>
      <c r="N39" s="1"/>
    </row>
    <row r="40" spans="1:14" ht="18.75">
      <c r="A40" s="82"/>
      <c r="B40" s="116" t="s">
        <v>200</v>
      </c>
      <c r="C40" s="82"/>
      <c r="D40" s="152"/>
      <c r="E40" s="152"/>
      <c r="F40" s="155"/>
      <c r="G40" s="155">
        <v>69.7</v>
      </c>
      <c r="H40" s="155"/>
      <c r="I40" s="155"/>
      <c r="J40" s="155"/>
      <c r="K40" s="155"/>
      <c r="L40" s="155"/>
      <c r="M40" s="82"/>
      <c r="N40" s="1"/>
    </row>
    <row r="41" spans="1:14" ht="18.75">
      <c r="A41" s="82"/>
      <c r="B41" s="116" t="s">
        <v>201</v>
      </c>
      <c r="C41" s="82"/>
      <c r="D41" s="152"/>
      <c r="E41" s="152"/>
      <c r="F41" s="155"/>
      <c r="G41" s="155">
        <v>3690</v>
      </c>
      <c r="H41" s="155"/>
      <c r="I41" s="155"/>
      <c r="J41" s="155"/>
      <c r="K41" s="155"/>
      <c r="L41" s="155"/>
      <c r="M41" s="82"/>
      <c r="N41" s="1"/>
    </row>
    <row r="42" spans="1:14" ht="37.5">
      <c r="A42" s="82"/>
      <c r="B42" s="116" t="s">
        <v>202</v>
      </c>
      <c r="C42" s="82"/>
      <c r="D42" s="152"/>
      <c r="E42" s="152"/>
      <c r="F42" s="155"/>
      <c r="G42" s="155">
        <v>470</v>
      </c>
      <c r="H42" s="155"/>
      <c r="I42" s="155"/>
      <c r="J42" s="155"/>
      <c r="K42" s="155"/>
      <c r="L42" s="155"/>
      <c r="M42" s="82"/>
      <c r="N42" s="1"/>
    </row>
    <row r="43" spans="1:16" ht="56.25">
      <c r="A43" s="82">
        <v>2</v>
      </c>
      <c r="B43" s="116" t="s">
        <v>203</v>
      </c>
      <c r="C43" s="82" t="s">
        <v>99</v>
      </c>
      <c r="D43" s="152">
        <f>SUM(F43:J43)</f>
        <v>5747.1</v>
      </c>
      <c r="E43" s="152">
        <v>0</v>
      </c>
      <c r="F43" s="119"/>
      <c r="G43" s="152">
        <f>SUM(G44:G61)+G62</f>
        <v>5747.1</v>
      </c>
      <c r="H43" s="155"/>
      <c r="I43" s="155"/>
      <c r="J43" s="155">
        <v>0</v>
      </c>
      <c r="K43" s="155"/>
      <c r="L43" s="155"/>
      <c r="M43" s="82" t="s">
        <v>204</v>
      </c>
      <c r="N43" s="1"/>
      <c r="P43" s="83">
        <v>441</v>
      </c>
    </row>
    <row r="44" spans="1:16" ht="18.75">
      <c r="A44" s="82"/>
      <c r="B44" s="156" t="s">
        <v>205</v>
      </c>
      <c r="C44" s="82"/>
      <c r="D44" s="152"/>
      <c r="E44" s="152"/>
      <c r="F44" s="119"/>
      <c r="G44" s="155">
        <v>1525.2</v>
      </c>
      <c r="H44" s="155"/>
      <c r="I44" s="155"/>
      <c r="J44" s="155"/>
      <c r="K44" s="155"/>
      <c r="L44" s="155"/>
      <c r="M44" s="82"/>
      <c r="N44" s="1"/>
      <c r="P44" s="83"/>
    </row>
    <row r="45" spans="1:16" ht="18.75">
      <c r="A45" s="82"/>
      <c r="B45" s="156" t="s">
        <v>206</v>
      </c>
      <c r="C45" s="82"/>
      <c r="D45" s="152"/>
      <c r="E45" s="152"/>
      <c r="F45" s="119"/>
      <c r="G45" s="155">
        <f>2446.1+339.9-407.7-50-30-63</f>
        <v>2235.3</v>
      </c>
      <c r="H45" s="155"/>
      <c r="I45" s="155"/>
      <c r="J45" s="155"/>
      <c r="K45" s="155"/>
      <c r="L45" s="155"/>
      <c r="M45" s="82"/>
      <c r="N45" s="1"/>
      <c r="P45" s="83"/>
    </row>
    <row r="46" spans="1:16" ht="18.75">
      <c r="A46" s="82"/>
      <c r="B46" s="156" t="s">
        <v>207</v>
      </c>
      <c r="C46" s="82"/>
      <c r="D46" s="152"/>
      <c r="E46" s="152"/>
      <c r="F46" s="119"/>
      <c r="G46" s="155">
        <f>549.1+317.6</f>
        <v>866.7</v>
      </c>
      <c r="H46" s="155"/>
      <c r="I46" s="155"/>
      <c r="J46" s="155"/>
      <c r="K46" s="155"/>
      <c r="L46" s="155"/>
      <c r="M46" s="82"/>
      <c r="N46" s="1"/>
      <c r="P46" s="83"/>
    </row>
    <row r="47" spans="1:16" ht="18.75">
      <c r="A47" s="82"/>
      <c r="B47" s="156" t="s">
        <v>208</v>
      </c>
      <c r="C47" s="82"/>
      <c r="D47" s="152"/>
      <c r="E47" s="152"/>
      <c r="F47" s="119"/>
      <c r="G47" s="155">
        <v>24.818</v>
      </c>
      <c r="H47" s="155"/>
      <c r="I47" s="155"/>
      <c r="J47" s="155"/>
      <c r="K47" s="155"/>
      <c r="L47" s="155"/>
      <c r="M47" s="82"/>
      <c r="N47" s="1"/>
      <c r="P47" s="83"/>
    </row>
    <row r="48" spans="1:16" ht="18.75">
      <c r="A48" s="82"/>
      <c r="B48" s="156" t="s">
        <v>209</v>
      </c>
      <c r="C48" s="82"/>
      <c r="D48" s="152"/>
      <c r="E48" s="152"/>
      <c r="F48" s="119"/>
      <c r="G48" s="155">
        <v>22.025</v>
      </c>
      <c r="H48" s="155"/>
      <c r="I48" s="155"/>
      <c r="J48" s="155"/>
      <c r="K48" s="155"/>
      <c r="L48" s="155"/>
      <c r="M48" s="82"/>
      <c r="N48" s="1"/>
      <c r="P48" s="83"/>
    </row>
    <row r="49" spans="1:16" ht="23.25" customHeight="1">
      <c r="A49" s="82"/>
      <c r="B49" s="156" t="s">
        <v>210</v>
      </c>
      <c r="C49" s="82"/>
      <c r="D49" s="152"/>
      <c r="E49" s="152"/>
      <c r="F49" s="119"/>
      <c r="G49" s="155">
        <f>15.118*6</f>
        <v>90.708</v>
      </c>
      <c r="H49" s="155"/>
      <c r="I49" s="155"/>
      <c r="J49" s="155"/>
      <c r="K49" s="155"/>
      <c r="L49" s="155"/>
      <c r="M49" s="82"/>
      <c r="N49" s="1"/>
      <c r="P49" s="83"/>
    </row>
    <row r="50" spans="1:16" ht="26.25" customHeight="1">
      <c r="A50" s="82"/>
      <c r="B50" s="156" t="s">
        <v>211</v>
      </c>
      <c r="C50" s="82"/>
      <c r="D50" s="152"/>
      <c r="E50" s="152"/>
      <c r="F50" s="119"/>
      <c r="G50" s="155">
        <v>3.6</v>
      </c>
      <c r="H50" s="155"/>
      <c r="I50" s="155"/>
      <c r="J50" s="155"/>
      <c r="K50" s="155"/>
      <c r="L50" s="155"/>
      <c r="M50" s="82"/>
      <c r="N50" s="1"/>
      <c r="P50" s="83"/>
    </row>
    <row r="51" spans="1:16" ht="18.75">
      <c r="A51" s="82"/>
      <c r="B51" s="156" t="s">
        <v>212</v>
      </c>
      <c r="C51" s="82"/>
      <c r="D51" s="152"/>
      <c r="E51" s="152"/>
      <c r="F51" s="119"/>
      <c r="G51" s="155">
        <v>6.899</v>
      </c>
      <c r="H51" s="155"/>
      <c r="I51" s="155"/>
      <c r="J51" s="155"/>
      <c r="K51" s="155"/>
      <c r="L51" s="155"/>
      <c r="M51" s="82"/>
      <c r="N51" s="1"/>
      <c r="P51" s="83"/>
    </row>
    <row r="52" spans="1:16" ht="37.5">
      <c r="A52" s="82"/>
      <c r="B52" s="156" t="s">
        <v>213</v>
      </c>
      <c r="C52" s="82"/>
      <c r="D52" s="152"/>
      <c r="E52" s="152"/>
      <c r="F52" s="119"/>
      <c r="G52" s="155">
        <v>6.26</v>
      </c>
      <c r="H52" s="155"/>
      <c r="I52" s="155"/>
      <c r="J52" s="155"/>
      <c r="K52" s="155"/>
      <c r="L52" s="155"/>
      <c r="M52" s="82"/>
      <c r="N52" s="1"/>
      <c r="P52" s="83"/>
    </row>
    <row r="53" spans="1:16" ht="37.5">
      <c r="A53" s="82"/>
      <c r="B53" s="156" t="s">
        <v>214</v>
      </c>
      <c r="C53" s="82"/>
      <c r="D53" s="152"/>
      <c r="E53" s="152"/>
      <c r="F53" s="119"/>
      <c r="G53" s="155">
        <v>10.678</v>
      </c>
      <c r="H53" s="155"/>
      <c r="I53" s="155"/>
      <c r="J53" s="155"/>
      <c r="K53" s="155"/>
      <c r="L53" s="155"/>
      <c r="M53" s="82"/>
      <c r="N53" s="1"/>
      <c r="P53" s="83"/>
    </row>
    <row r="54" spans="1:16" ht="38.25" customHeight="1">
      <c r="A54" s="82"/>
      <c r="B54" s="156" t="s">
        <v>215</v>
      </c>
      <c r="C54" s="82"/>
      <c r="D54" s="152"/>
      <c r="E54" s="152"/>
      <c r="F54" s="119"/>
      <c r="G54" s="155">
        <v>7.372</v>
      </c>
      <c r="H54" s="155"/>
      <c r="I54" s="155"/>
      <c r="J54" s="155"/>
      <c r="K54" s="155"/>
      <c r="L54" s="155"/>
      <c r="M54" s="82"/>
      <c r="N54" s="1"/>
      <c r="P54" s="83"/>
    </row>
    <row r="55" spans="1:16" ht="39.75" customHeight="1">
      <c r="A55" s="82"/>
      <c r="B55" s="156" t="s">
        <v>314</v>
      </c>
      <c r="C55" s="82"/>
      <c r="D55" s="152"/>
      <c r="E55" s="152"/>
      <c r="F55" s="119"/>
      <c r="G55" s="155">
        <v>2.692</v>
      </c>
      <c r="H55" s="155"/>
      <c r="I55" s="155"/>
      <c r="J55" s="155"/>
      <c r="K55" s="155"/>
      <c r="L55" s="155"/>
      <c r="M55" s="82"/>
      <c r="N55" s="1"/>
      <c r="P55" s="83"/>
    </row>
    <row r="56" spans="1:16" ht="18.75">
      <c r="A56" s="82"/>
      <c r="B56" s="156" t="s">
        <v>216</v>
      </c>
      <c r="C56" s="82"/>
      <c r="D56" s="152"/>
      <c r="E56" s="152"/>
      <c r="F56" s="119"/>
      <c r="G56" s="155">
        <v>102.148</v>
      </c>
      <c r="H56" s="155"/>
      <c r="I56" s="155"/>
      <c r="J56" s="155"/>
      <c r="K56" s="155"/>
      <c r="L56" s="155"/>
      <c r="M56" s="82"/>
      <c r="N56" s="1"/>
      <c r="P56" s="83"/>
    </row>
    <row r="57" spans="1:16" ht="37.5">
      <c r="A57" s="82"/>
      <c r="B57" s="156" t="s">
        <v>217</v>
      </c>
      <c r="C57" s="82"/>
      <c r="D57" s="152"/>
      <c r="E57" s="152"/>
      <c r="F57" s="119"/>
      <c r="G57" s="160">
        <f>292-4.58312</f>
        <v>287.41688</v>
      </c>
      <c r="H57" s="155"/>
      <c r="I57" s="155"/>
      <c r="J57" s="155"/>
      <c r="K57" s="155"/>
      <c r="L57" s="155"/>
      <c r="M57" s="82"/>
      <c r="N57" s="1"/>
      <c r="P57" s="83"/>
    </row>
    <row r="58" spans="1:16" ht="18.75">
      <c r="A58" s="82"/>
      <c r="B58" s="156" t="s">
        <v>218</v>
      </c>
      <c r="C58" s="82"/>
      <c r="D58" s="152"/>
      <c r="E58" s="152"/>
      <c r="F58" s="119"/>
      <c r="G58" s="155">
        <v>407.7</v>
      </c>
      <c r="H58" s="155"/>
      <c r="I58" s="155"/>
      <c r="J58" s="155"/>
      <c r="K58" s="155"/>
      <c r="L58" s="155"/>
      <c r="M58" s="82"/>
      <c r="N58" s="1"/>
      <c r="P58" s="83"/>
    </row>
    <row r="59" spans="1:16" ht="18.75">
      <c r="A59" s="82"/>
      <c r="B59" s="156" t="s">
        <v>219</v>
      </c>
      <c r="C59" s="82"/>
      <c r="D59" s="152"/>
      <c r="E59" s="152"/>
      <c r="F59" s="119"/>
      <c r="G59" s="155">
        <f>50-2</f>
        <v>48</v>
      </c>
      <c r="H59" s="155"/>
      <c r="I59" s="155"/>
      <c r="J59" s="155"/>
      <c r="K59" s="155"/>
      <c r="L59" s="155"/>
      <c r="M59" s="82"/>
      <c r="N59" s="1"/>
      <c r="P59" s="83"/>
    </row>
    <row r="60" spans="1:16" ht="18.75">
      <c r="A60" s="82"/>
      <c r="B60" s="156" t="s">
        <v>220</v>
      </c>
      <c r="C60" s="82"/>
      <c r="D60" s="152"/>
      <c r="E60" s="152"/>
      <c r="F60" s="119"/>
      <c r="G60" s="160">
        <f>30-3.99996</f>
        <v>26.00004</v>
      </c>
      <c r="H60" s="155"/>
      <c r="I60" s="155"/>
      <c r="J60" s="155"/>
      <c r="K60" s="155"/>
      <c r="L60" s="155"/>
      <c r="M60" s="82"/>
      <c r="N60" s="1"/>
      <c r="P60" s="83"/>
    </row>
    <row r="61" spans="1:16" ht="18.75">
      <c r="A61" s="82"/>
      <c r="B61" s="156" t="s">
        <v>221</v>
      </c>
      <c r="C61" s="82"/>
      <c r="D61" s="152"/>
      <c r="E61" s="152"/>
      <c r="F61" s="119"/>
      <c r="G61" s="161">
        <f>63-1.072</f>
        <v>61.928</v>
      </c>
      <c r="H61" s="155"/>
      <c r="I61" s="155"/>
      <c r="J61" s="155"/>
      <c r="K61" s="155"/>
      <c r="L61" s="155"/>
      <c r="M61" s="82"/>
      <c r="N61" s="1"/>
      <c r="P61" s="83"/>
    </row>
    <row r="62" spans="1:16" ht="18.75">
      <c r="A62" s="82"/>
      <c r="B62" s="156" t="s">
        <v>222</v>
      </c>
      <c r="C62" s="82"/>
      <c r="D62" s="152"/>
      <c r="E62" s="152"/>
      <c r="F62" s="119"/>
      <c r="G62" s="160">
        <f>2+3.99996+1.072+4.58312</f>
        <v>11.65508</v>
      </c>
      <c r="H62" s="155"/>
      <c r="I62" s="155"/>
      <c r="J62" s="155"/>
      <c r="K62" s="155"/>
      <c r="L62" s="155"/>
      <c r="M62" s="82"/>
      <c r="N62" s="1"/>
      <c r="P62" s="83"/>
    </row>
    <row r="63" spans="1:16" ht="55.5" customHeight="1">
      <c r="A63" s="82">
        <v>3</v>
      </c>
      <c r="B63" s="116" t="s">
        <v>51</v>
      </c>
      <c r="C63" s="82" t="s">
        <v>99</v>
      </c>
      <c r="D63" s="152">
        <f>G63</f>
        <v>8070.100000000001</v>
      </c>
      <c r="E63" s="152">
        <f>J63</f>
        <v>47</v>
      </c>
      <c r="F63" s="119"/>
      <c r="G63" s="152">
        <f>G64+G66+G67+G68+G72+G73+G74+G75+G76+G69+G70+G71</f>
        <v>8070.100000000001</v>
      </c>
      <c r="H63" s="152">
        <f>H64+H66+H67+H68+H72</f>
        <v>0</v>
      </c>
      <c r="I63" s="152">
        <f>I64+I66+I67+I68+I72</f>
        <v>0</v>
      </c>
      <c r="J63" s="152">
        <f>J64+J66+J67+J68+J72</f>
        <v>47</v>
      </c>
      <c r="K63" s="155"/>
      <c r="L63" s="155"/>
      <c r="M63" s="82" t="s">
        <v>223</v>
      </c>
      <c r="N63" s="1"/>
      <c r="P63" s="83"/>
    </row>
    <row r="64" spans="1:16" ht="18.75">
      <c r="A64" s="82"/>
      <c r="B64" s="156" t="s">
        <v>224</v>
      </c>
      <c r="C64" s="82"/>
      <c r="D64" s="152"/>
      <c r="E64" s="152"/>
      <c r="F64" s="119"/>
      <c r="G64" s="155">
        <v>2250</v>
      </c>
      <c r="H64" s="155"/>
      <c r="I64" s="155"/>
      <c r="J64" s="155"/>
      <c r="K64" s="155"/>
      <c r="L64" s="155"/>
      <c r="M64" s="82"/>
      <c r="N64" s="1"/>
      <c r="P64" s="83"/>
    </row>
    <row r="65" spans="1:16" ht="17.25" customHeight="1" hidden="1">
      <c r="A65" s="82"/>
      <c r="B65" s="162" t="s">
        <v>225</v>
      </c>
      <c r="C65" s="82"/>
      <c r="D65" s="152"/>
      <c r="E65" s="152"/>
      <c r="F65" s="119"/>
      <c r="G65" s="155"/>
      <c r="H65" s="155"/>
      <c r="I65" s="155"/>
      <c r="J65" s="155"/>
      <c r="K65" s="155"/>
      <c r="L65" s="155"/>
      <c r="M65" s="82"/>
      <c r="N65" s="1"/>
      <c r="P65" s="83"/>
    </row>
    <row r="66" spans="1:16" ht="18.75">
      <c r="A66" s="82"/>
      <c r="B66" s="156" t="s">
        <v>226</v>
      </c>
      <c r="C66" s="82"/>
      <c r="D66" s="152"/>
      <c r="E66" s="152"/>
      <c r="F66" s="119"/>
      <c r="G66" s="155">
        <v>1715.3</v>
      </c>
      <c r="H66" s="155"/>
      <c r="I66" s="155"/>
      <c r="J66" s="155"/>
      <c r="K66" s="155"/>
      <c r="L66" s="155"/>
      <c r="M66" s="82"/>
      <c r="N66" s="1"/>
      <c r="P66" s="83"/>
    </row>
    <row r="67" spans="1:16" ht="18.75" customHeight="1">
      <c r="A67" s="82"/>
      <c r="B67" s="156" t="s">
        <v>227</v>
      </c>
      <c r="C67" s="82"/>
      <c r="D67" s="152"/>
      <c r="E67" s="152"/>
      <c r="F67" s="119"/>
      <c r="G67" s="155">
        <v>446.3</v>
      </c>
      <c r="H67" s="155"/>
      <c r="I67" s="155"/>
      <c r="J67" s="155"/>
      <c r="K67" s="155"/>
      <c r="L67" s="155"/>
      <c r="M67" s="82"/>
      <c r="N67" s="1"/>
      <c r="P67" s="83"/>
    </row>
    <row r="68" spans="1:16" ht="18.75">
      <c r="A68" s="82"/>
      <c r="B68" s="156" t="s">
        <v>228</v>
      </c>
      <c r="C68" s="82"/>
      <c r="D68" s="152"/>
      <c r="E68" s="152"/>
      <c r="F68" s="119"/>
      <c r="G68" s="161">
        <f>1699.002</f>
        <v>1699.002</v>
      </c>
      <c r="H68" s="155"/>
      <c r="I68" s="155"/>
      <c r="J68" s="155"/>
      <c r="K68" s="155"/>
      <c r="L68" s="155"/>
      <c r="M68" s="82"/>
      <c r="N68" s="1"/>
      <c r="P68" s="83"/>
    </row>
    <row r="69" spans="1:16" ht="18.75">
      <c r="A69" s="82"/>
      <c r="B69" s="156" t="s">
        <v>229</v>
      </c>
      <c r="C69" s="82"/>
      <c r="D69" s="152"/>
      <c r="E69" s="152"/>
      <c r="F69" s="119"/>
      <c r="G69" s="161">
        <f>100.998-1.998</f>
        <v>99</v>
      </c>
      <c r="H69" s="155"/>
      <c r="I69" s="155"/>
      <c r="J69" s="155"/>
      <c r="K69" s="155"/>
      <c r="L69" s="155"/>
      <c r="M69" s="82"/>
      <c r="N69" s="1"/>
      <c r="P69" s="83"/>
    </row>
    <row r="70" spans="1:16" ht="18.75">
      <c r="A70" s="82"/>
      <c r="B70" s="156" t="s">
        <v>230</v>
      </c>
      <c r="C70" s="82"/>
      <c r="D70" s="152"/>
      <c r="E70" s="152"/>
      <c r="F70" s="119"/>
      <c r="G70" s="155">
        <f>13-0.401</f>
        <v>12.599</v>
      </c>
      <c r="H70" s="155"/>
      <c r="I70" s="155"/>
      <c r="J70" s="155"/>
      <c r="K70" s="155"/>
      <c r="L70" s="155"/>
      <c r="M70" s="82"/>
      <c r="N70" s="1"/>
      <c r="P70" s="83"/>
    </row>
    <row r="71" spans="1:16" ht="18.75">
      <c r="A71" s="82"/>
      <c r="B71" s="116" t="s">
        <v>231</v>
      </c>
      <c r="C71" s="82"/>
      <c r="D71" s="152"/>
      <c r="E71" s="152"/>
      <c r="F71" s="119"/>
      <c r="G71" s="161">
        <f>17+1.998+0.401</f>
        <v>19.399</v>
      </c>
      <c r="H71" s="155"/>
      <c r="I71" s="155"/>
      <c r="J71" s="155"/>
      <c r="K71" s="155"/>
      <c r="L71" s="155"/>
      <c r="M71" s="82"/>
      <c r="N71" s="1"/>
      <c r="P71" s="83"/>
    </row>
    <row r="72" spans="1:16" ht="18.75">
      <c r="A72" s="82"/>
      <c r="B72" s="116" t="s">
        <v>232</v>
      </c>
      <c r="C72" s="82"/>
      <c r="D72" s="152"/>
      <c r="E72" s="152"/>
      <c r="F72" s="119"/>
      <c r="G72" s="155">
        <v>358.5</v>
      </c>
      <c r="H72" s="155"/>
      <c r="I72" s="155"/>
      <c r="J72" s="155">
        <v>47</v>
      </c>
      <c r="K72" s="155"/>
      <c r="L72" s="155"/>
      <c r="M72" s="82"/>
      <c r="N72" s="1"/>
      <c r="P72" s="83"/>
    </row>
    <row r="73" spans="1:16" ht="42" customHeight="1">
      <c r="A73" s="82"/>
      <c r="B73" s="116" t="s">
        <v>233</v>
      </c>
      <c r="C73" s="82"/>
      <c r="D73" s="152"/>
      <c r="E73" s="152"/>
      <c r="F73" s="119"/>
      <c r="G73" s="155">
        <v>1470</v>
      </c>
      <c r="H73" s="155"/>
      <c r="I73" s="155"/>
      <c r="J73" s="155"/>
      <c r="K73" s="155"/>
      <c r="L73" s="155"/>
      <c r="M73" s="82"/>
      <c r="N73" s="1"/>
      <c r="P73" s="83"/>
    </row>
    <row r="74" spans="1:16" ht="37.5" hidden="1">
      <c r="A74" s="82"/>
      <c r="B74" s="116" t="s">
        <v>234</v>
      </c>
      <c r="C74" s="82"/>
      <c r="D74" s="152"/>
      <c r="E74" s="152"/>
      <c r="F74" s="119"/>
      <c r="G74" s="155"/>
      <c r="H74" s="155"/>
      <c r="I74" s="155"/>
      <c r="J74" s="155"/>
      <c r="K74" s="155"/>
      <c r="L74" s="155"/>
      <c r="M74" s="82"/>
      <c r="N74" s="1"/>
      <c r="P74" s="83"/>
    </row>
    <row r="75" spans="1:16" ht="18.75" hidden="1">
      <c r="A75" s="82"/>
      <c r="B75" s="116" t="s">
        <v>230</v>
      </c>
      <c r="C75" s="82"/>
      <c r="D75" s="152"/>
      <c r="E75" s="152"/>
      <c r="F75" s="119"/>
      <c r="G75" s="155"/>
      <c r="H75" s="155"/>
      <c r="I75" s="155"/>
      <c r="J75" s="155"/>
      <c r="K75" s="155"/>
      <c r="L75" s="155"/>
      <c r="M75" s="82"/>
      <c r="N75" s="1"/>
      <c r="P75" s="83"/>
    </row>
    <row r="76" spans="1:16" ht="0.75" customHeight="1" hidden="1">
      <c r="A76" s="82"/>
      <c r="B76" s="116" t="s">
        <v>235</v>
      </c>
      <c r="C76" s="82"/>
      <c r="D76" s="152"/>
      <c r="E76" s="152"/>
      <c r="F76" s="119"/>
      <c r="G76" s="155"/>
      <c r="H76" s="155"/>
      <c r="I76" s="155"/>
      <c r="J76" s="155"/>
      <c r="K76" s="155"/>
      <c r="L76" s="155"/>
      <c r="M76" s="82"/>
      <c r="N76" s="1"/>
      <c r="P76" s="83"/>
    </row>
    <row r="77" spans="1:16" ht="55.5" customHeight="1">
      <c r="A77" s="82">
        <v>4</v>
      </c>
      <c r="B77" s="116" t="s">
        <v>236</v>
      </c>
      <c r="C77" s="82" t="s">
        <v>99</v>
      </c>
      <c r="D77" s="152">
        <f>G77</f>
        <v>8900</v>
      </c>
      <c r="E77" s="152"/>
      <c r="F77" s="119"/>
      <c r="G77" s="152">
        <f>G78+G79+G80+G81</f>
        <v>8900</v>
      </c>
      <c r="H77" s="152">
        <v>8200</v>
      </c>
      <c r="I77" s="152">
        <v>8200</v>
      </c>
      <c r="J77" s="152">
        <v>0</v>
      </c>
      <c r="K77" s="155"/>
      <c r="L77" s="155"/>
      <c r="M77" s="82" t="s">
        <v>237</v>
      </c>
      <c r="N77" s="1"/>
      <c r="P77" s="83"/>
    </row>
    <row r="78" spans="1:16" ht="16.5" customHeight="1">
      <c r="A78" s="82"/>
      <c r="B78" s="156" t="s">
        <v>238</v>
      </c>
      <c r="C78" s="82"/>
      <c r="D78" s="152"/>
      <c r="E78" s="152"/>
      <c r="F78" s="119"/>
      <c r="G78" s="155">
        <v>5000</v>
      </c>
      <c r="H78" s="155"/>
      <c r="I78" s="155"/>
      <c r="J78" s="155"/>
      <c r="K78" s="155"/>
      <c r="L78" s="155"/>
      <c r="M78" s="82"/>
      <c r="N78" s="1"/>
      <c r="P78" s="83"/>
    </row>
    <row r="79" spans="1:16" ht="18.75">
      <c r="A79" s="82"/>
      <c r="B79" s="156" t="s">
        <v>239</v>
      </c>
      <c r="C79" s="82"/>
      <c r="D79" s="152"/>
      <c r="E79" s="152"/>
      <c r="F79" s="119"/>
      <c r="G79" s="155">
        <v>3000</v>
      </c>
      <c r="H79" s="155"/>
      <c r="I79" s="155"/>
      <c r="J79" s="155"/>
      <c r="K79" s="155"/>
      <c r="L79" s="155"/>
      <c r="M79" s="82"/>
      <c r="N79" s="1"/>
      <c r="P79" s="83"/>
    </row>
    <row r="80" spans="1:16" ht="18.75">
      <c r="A80" s="82"/>
      <c r="B80" s="156" t="s">
        <v>240</v>
      </c>
      <c r="C80" s="82"/>
      <c r="D80" s="152"/>
      <c r="E80" s="152"/>
      <c r="F80" s="119"/>
      <c r="G80" s="155">
        <v>200</v>
      </c>
      <c r="H80" s="155"/>
      <c r="I80" s="155"/>
      <c r="J80" s="155"/>
      <c r="K80" s="155"/>
      <c r="L80" s="155"/>
      <c r="M80" s="82"/>
      <c r="N80" s="1"/>
      <c r="P80" s="83"/>
    </row>
    <row r="81" spans="1:16" ht="24" customHeight="1">
      <c r="A81" s="82"/>
      <c r="B81" s="156" t="s">
        <v>241</v>
      </c>
      <c r="C81" s="82"/>
      <c r="D81" s="152"/>
      <c r="E81" s="147"/>
      <c r="F81" s="149"/>
      <c r="G81" s="148">
        <v>700</v>
      </c>
      <c r="H81" s="148"/>
      <c r="I81" s="148"/>
      <c r="J81" s="148"/>
      <c r="K81" s="148"/>
      <c r="L81" s="148"/>
      <c r="M81" s="82"/>
      <c r="N81" s="1"/>
      <c r="P81" s="83"/>
    </row>
    <row r="82" spans="1:16" ht="55.5" customHeight="1">
      <c r="A82" s="82">
        <v>5</v>
      </c>
      <c r="B82" s="156" t="s">
        <v>242</v>
      </c>
      <c r="C82" s="85" t="s">
        <v>99</v>
      </c>
      <c r="D82" s="163">
        <f>F82+G82+J82</f>
        <v>39.731</v>
      </c>
      <c r="E82" s="164">
        <v>0</v>
      </c>
      <c r="F82" s="165"/>
      <c r="G82" s="166">
        <f>G83+G84+G85</f>
        <v>39.731</v>
      </c>
      <c r="H82" s="148"/>
      <c r="I82" s="148"/>
      <c r="J82" s="147">
        <v>0</v>
      </c>
      <c r="K82" s="148"/>
      <c r="L82" s="148"/>
      <c r="M82" s="82" t="s">
        <v>243</v>
      </c>
      <c r="N82" s="1"/>
      <c r="P82" s="83"/>
    </row>
    <row r="83" spans="1:16" ht="18.75">
      <c r="A83" s="82"/>
      <c r="B83" s="156" t="s">
        <v>244</v>
      </c>
      <c r="C83" s="85"/>
      <c r="D83" s="118"/>
      <c r="E83" s="151"/>
      <c r="F83" s="151"/>
      <c r="G83" s="148">
        <v>8.2</v>
      </c>
      <c r="H83" s="148"/>
      <c r="I83" s="148"/>
      <c r="J83" s="148"/>
      <c r="K83" s="148"/>
      <c r="L83" s="148"/>
      <c r="M83" s="82"/>
      <c r="N83" s="1"/>
      <c r="P83" s="83"/>
    </row>
    <row r="84" spans="1:16" ht="18.75">
      <c r="A84" s="82"/>
      <c r="B84" s="156" t="s">
        <v>245</v>
      </c>
      <c r="C84" s="85"/>
      <c r="D84" s="118"/>
      <c r="E84" s="151"/>
      <c r="F84" s="151"/>
      <c r="G84" s="148">
        <v>14.159</v>
      </c>
      <c r="H84" s="148"/>
      <c r="I84" s="148"/>
      <c r="J84" s="148"/>
      <c r="K84" s="148"/>
      <c r="L84" s="148"/>
      <c r="M84" s="82"/>
      <c r="N84" s="1"/>
      <c r="P84" s="83"/>
    </row>
    <row r="85" spans="1:16" ht="18.75">
      <c r="A85" s="82"/>
      <c r="B85" s="156" t="s">
        <v>246</v>
      </c>
      <c r="C85" s="85"/>
      <c r="D85" s="118"/>
      <c r="E85" s="151"/>
      <c r="F85" s="151"/>
      <c r="G85" s="148">
        <v>17.372</v>
      </c>
      <c r="H85" s="148"/>
      <c r="I85" s="148"/>
      <c r="J85" s="148"/>
      <c r="K85" s="148"/>
      <c r="L85" s="148"/>
      <c r="M85" s="82"/>
      <c r="N85" s="1"/>
      <c r="P85" s="83"/>
    </row>
    <row r="86" spans="1:16" ht="63" customHeight="1">
      <c r="A86" s="82">
        <v>6</v>
      </c>
      <c r="B86" s="116" t="s">
        <v>247</v>
      </c>
      <c r="C86" s="102" t="s">
        <v>99</v>
      </c>
      <c r="D86" s="117">
        <f>SUM(F86:J86)</f>
        <v>7649.8</v>
      </c>
      <c r="E86" s="117">
        <v>0</v>
      </c>
      <c r="F86" s="118"/>
      <c r="G86" s="152">
        <f>7600+G92</f>
        <v>7649.8</v>
      </c>
      <c r="H86" s="155"/>
      <c r="I86" s="155"/>
      <c r="J86" s="152">
        <v>0</v>
      </c>
      <c r="K86" s="155"/>
      <c r="L86" s="155"/>
      <c r="M86" s="82" t="s">
        <v>248</v>
      </c>
      <c r="N86" s="1"/>
      <c r="P86" s="83"/>
    </row>
    <row r="87" spans="1:16" ht="18.75">
      <c r="A87" s="82"/>
      <c r="B87" s="156" t="s">
        <v>238</v>
      </c>
      <c r="C87" s="102"/>
      <c r="D87" s="117"/>
      <c r="E87" s="117"/>
      <c r="F87" s="118"/>
      <c r="G87" s="155">
        <v>1300</v>
      </c>
      <c r="H87" s="155"/>
      <c r="I87" s="155"/>
      <c r="J87" s="155"/>
      <c r="K87" s="155"/>
      <c r="L87" s="155"/>
      <c r="M87" s="82"/>
      <c r="N87" s="1"/>
      <c r="P87" s="83"/>
    </row>
    <row r="88" spans="1:16" ht="20.25" customHeight="1">
      <c r="A88" s="82"/>
      <c r="B88" s="156" t="s">
        <v>249</v>
      </c>
      <c r="C88" s="102"/>
      <c r="D88" s="117"/>
      <c r="E88" s="117"/>
      <c r="F88" s="118"/>
      <c r="G88" s="155">
        <v>3200</v>
      </c>
      <c r="H88" s="155"/>
      <c r="I88" s="155"/>
      <c r="J88" s="155"/>
      <c r="K88" s="155"/>
      <c r="L88" s="155"/>
      <c r="M88" s="82"/>
      <c r="N88" s="1"/>
      <c r="P88" s="83"/>
    </row>
    <row r="89" spans="1:16" ht="18" customHeight="1">
      <c r="A89" s="82"/>
      <c r="B89" s="156" t="s">
        <v>250</v>
      </c>
      <c r="C89" s="102"/>
      <c r="D89" s="117"/>
      <c r="E89" s="117"/>
      <c r="F89" s="118"/>
      <c r="G89" s="155">
        <v>700</v>
      </c>
      <c r="H89" s="155"/>
      <c r="I89" s="155"/>
      <c r="J89" s="155"/>
      <c r="K89" s="155"/>
      <c r="L89" s="155"/>
      <c r="M89" s="82"/>
      <c r="N89" s="1"/>
      <c r="P89" s="83"/>
    </row>
    <row r="90" spans="1:16" ht="16.5" customHeight="1">
      <c r="A90" s="82"/>
      <c r="B90" s="156" t="s">
        <v>251</v>
      </c>
      <c r="C90" s="102"/>
      <c r="D90" s="117"/>
      <c r="E90" s="117"/>
      <c r="F90" s="118"/>
      <c r="G90" s="155">
        <v>1500</v>
      </c>
      <c r="H90" s="155"/>
      <c r="I90" s="155"/>
      <c r="J90" s="155"/>
      <c r="K90" s="155"/>
      <c r="L90" s="155"/>
      <c r="M90" s="82"/>
      <c r="N90" s="1"/>
      <c r="P90" s="83"/>
    </row>
    <row r="91" spans="1:16" ht="16.5" customHeight="1">
      <c r="A91" s="82"/>
      <c r="B91" s="156" t="s">
        <v>252</v>
      </c>
      <c r="C91" s="102"/>
      <c r="D91" s="117"/>
      <c r="E91" s="117"/>
      <c r="F91" s="118"/>
      <c r="G91" s="155">
        <v>900</v>
      </c>
      <c r="H91" s="155"/>
      <c r="I91" s="155"/>
      <c r="J91" s="155"/>
      <c r="K91" s="155"/>
      <c r="L91" s="155"/>
      <c r="M91" s="82"/>
      <c r="N91" s="1"/>
      <c r="P91" s="83"/>
    </row>
    <row r="92" spans="1:16" ht="24.75" customHeight="1">
      <c r="A92" s="82"/>
      <c r="B92" s="156" t="s">
        <v>253</v>
      </c>
      <c r="C92" s="102"/>
      <c r="D92" s="117"/>
      <c r="E92" s="117"/>
      <c r="F92" s="118"/>
      <c r="G92" s="155">
        <v>49.8</v>
      </c>
      <c r="H92" s="155"/>
      <c r="I92" s="155"/>
      <c r="J92" s="155"/>
      <c r="K92" s="155"/>
      <c r="L92" s="155"/>
      <c r="M92" s="82"/>
      <c r="N92" s="1"/>
      <c r="P92" s="83"/>
    </row>
    <row r="93" spans="1:16" ht="71.25" customHeight="1">
      <c r="A93" s="82">
        <v>7</v>
      </c>
      <c r="B93" s="116" t="s">
        <v>254</v>
      </c>
      <c r="C93" s="102" t="s">
        <v>99</v>
      </c>
      <c r="D93" s="117">
        <f>SUM(F93:J93)</f>
        <v>17798.8</v>
      </c>
      <c r="E93" s="117">
        <v>0</v>
      </c>
      <c r="F93" s="118"/>
      <c r="G93" s="152">
        <f>G94+G95+G96+G97+G105+G106</f>
        <v>17798.8</v>
      </c>
      <c r="H93" s="155"/>
      <c r="I93" s="155"/>
      <c r="J93" s="152">
        <v>0</v>
      </c>
      <c r="K93" s="155"/>
      <c r="L93" s="155"/>
      <c r="M93" s="82" t="s">
        <v>255</v>
      </c>
      <c r="N93" s="1"/>
      <c r="P93" s="83"/>
    </row>
    <row r="94" spans="1:16" ht="16.5" customHeight="1">
      <c r="A94" s="82"/>
      <c r="B94" s="156" t="s">
        <v>256</v>
      </c>
      <c r="C94" s="102"/>
      <c r="D94" s="117"/>
      <c r="E94" s="117"/>
      <c r="F94" s="118"/>
      <c r="G94" s="155">
        <v>2800</v>
      </c>
      <c r="H94" s="155"/>
      <c r="I94" s="155"/>
      <c r="J94" s="155"/>
      <c r="K94" s="155"/>
      <c r="L94" s="155"/>
      <c r="M94" s="82"/>
      <c r="N94" s="1"/>
      <c r="P94" s="83"/>
    </row>
    <row r="95" spans="1:16" ht="15.75" customHeight="1">
      <c r="A95" s="82"/>
      <c r="B95" s="156" t="s">
        <v>257</v>
      </c>
      <c r="C95" s="102"/>
      <c r="D95" s="117"/>
      <c r="E95" s="117"/>
      <c r="F95" s="118"/>
      <c r="G95" s="155">
        <v>3800</v>
      </c>
      <c r="H95" s="155"/>
      <c r="I95" s="155"/>
      <c r="J95" s="155"/>
      <c r="K95" s="155"/>
      <c r="L95" s="155"/>
      <c r="M95" s="82"/>
      <c r="N95" s="1"/>
      <c r="P95" s="83"/>
    </row>
    <row r="96" spans="1:16" ht="16.5" customHeight="1" hidden="1">
      <c r="A96" s="82"/>
      <c r="B96" s="156" t="s">
        <v>258</v>
      </c>
      <c r="C96" s="102"/>
      <c r="D96" s="117"/>
      <c r="E96" s="117"/>
      <c r="F96" s="118"/>
      <c r="G96" s="155">
        <v>0</v>
      </c>
      <c r="H96" s="155"/>
      <c r="I96" s="155"/>
      <c r="J96" s="155"/>
      <c r="K96" s="155"/>
      <c r="L96" s="155"/>
      <c r="M96" s="82"/>
      <c r="N96" s="1"/>
      <c r="P96" s="83"/>
    </row>
    <row r="97" spans="1:16" ht="35.25" customHeight="1">
      <c r="A97" s="82"/>
      <c r="B97" s="156" t="s">
        <v>259</v>
      </c>
      <c r="C97" s="102"/>
      <c r="D97" s="117"/>
      <c r="E97" s="117"/>
      <c r="F97" s="118"/>
      <c r="G97" s="155">
        <v>5400</v>
      </c>
      <c r="H97" s="155"/>
      <c r="I97" s="155"/>
      <c r="J97" s="155"/>
      <c r="K97" s="155"/>
      <c r="L97" s="155"/>
      <c r="M97" s="82"/>
      <c r="N97" s="1"/>
      <c r="P97" s="83"/>
    </row>
    <row r="98" spans="1:16" ht="16.5" customHeight="1" hidden="1">
      <c r="A98" s="82"/>
      <c r="B98" s="156" t="s">
        <v>252</v>
      </c>
      <c r="C98" s="167"/>
      <c r="D98" s="117"/>
      <c r="E98" s="168"/>
      <c r="F98" s="151"/>
      <c r="G98" s="148">
        <v>900</v>
      </c>
      <c r="H98" s="148"/>
      <c r="I98" s="148"/>
      <c r="J98" s="148"/>
      <c r="K98" s="148"/>
      <c r="L98" s="148"/>
      <c r="M98" s="82"/>
      <c r="N98" s="1"/>
      <c r="P98" s="83"/>
    </row>
    <row r="99" spans="1:16" ht="16.5" customHeight="1" hidden="1">
      <c r="A99" s="82"/>
      <c r="B99" s="156"/>
      <c r="C99" s="167"/>
      <c r="D99" s="117"/>
      <c r="E99" s="168"/>
      <c r="F99" s="151"/>
      <c r="G99" s="148"/>
      <c r="H99" s="148"/>
      <c r="I99" s="148"/>
      <c r="J99" s="148"/>
      <c r="K99" s="148"/>
      <c r="L99" s="148"/>
      <c r="M99" s="82"/>
      <c r="N99" s="1"/>
      <c r="P99" s="83"/>
    </row>
    <row r="100" spans="1:16" ht="16.5" customHeight="1" hidden="1">
      <c r="A100" s="82"/>
      <c r="B100" s="156"/>
      <c r="C100" s="167"/>
      <c r="D100" s="117"/>
      <c r="E100" s="168"/>
      <c r="F100" s="151"/>
      <c r="G100" s="148"/>
      <c r="H100" s="148"/>
      <c r="I100" s="148"/>
      <c r="J100" s="148"/>
      <c r="K100" s="148"/>
      <c r="L100" s="148"/>
      <c r="M100" s="82"/>
      <c r="N100" s="1"/>
      <c r="P100" s="83"/>
    </row>
    <row r="101" spans="1:16" ht="16.5" customHeight="1" hidden="1">
      <c r="A101" s="82"/>
      <c r="B101" s="156"/>
      <c r="C101" s="167"/>
      <c r="D101" s="117"/>
      <c r="E101" s="168"/>
      <c r="F101" s="151"/>
      <c r="G101" s="148"/>
      <c r="H101" s="148"/>
      <c r="I101" s="148"/>
      <c r="J101" s="148"/>
      <c r="K101" s="148"/>
      <c r="L101" s="148"/>
      <c r="M101" s="82"/>
      <c r="N101" s="1"/>
      <c r="P101" s="83"/>
    </row>
    <row r="102" spans="1:16" ht="16.5" customHeight="1" hidden="1">
      <c r="A102" s="82"/>
      <c r="B102" s="156"/>
      <c r="C102" s="167"/>
      <c r="D102" s="117"/>
      <c r="E102" s="168"/>
      <c r="F102" s="151"/>
      <c r="G102" s="148"/>
      <c r="H102" s="148"/>
      <c r="I102" s="148"/>
      <c r="J102" s="148"/>
      <c r="K102" s="148"/>
      <c r="L102" s="148"/>
      <c r="M102" s="82"/>
      <c r="N102" s="1"/>
      <c r="P102" s="83"/>
    </row>
    <row r="103" spans="1:16" ht="16.5" customHeight="1" hidden="1">
      <c r="A103" s="82"/>
      <c r="B103" s="156"/>
      <c r="C103" s="167"/>
      <c r="D103" s="117"/>
      <c r="E103" s="168"/>
      <c r="F103" s="151"/>
      <c r="G103" s="148"/>
      <c r="H103" s="148"/>
      <c r="I103" s="148"/>
      <c r="J103" s="148"/>
      <c r="K103" s="148"/>
      <c r="L103" s="148"/>
      <c r="M103" s="82"/>
      <c r="N103" s="1"/>
      <c r="P103" s="83"/>
    </row>
    <row r="104" spans="1:16" ht="16.5" customHeight="1" hidden="1">
      <c r="A104" s="82"/>
      <c r="B104" s="156"/>
      <c r="C104" s="167"/>
      <c r="D104" s="117"/>
      <c r="E104" s="168"/>
      <c r="F104" s="151"/>
      <c r="G104" s="148"/>
      <c r="H104" s="148"/>
      <c r="I104" s="148"/>
      <c r="J104" s="148"/>
      <c r="K104" s="148"/>
      <c r="L104" s="148"/>
      <c r="M104" s="82"/>
      <c r="N104" s="1"/>
      <c r="P104" s="83"/>
    </row>
    <row r="105" spans="1:16" ht="18.75">
      <c r="A105" s="82"/>
      <c r="B105" s="156" t="s">
        <v>259</v>
      </c>
      <c r="C105" s="167"/>
      <c r="D105" s="117"/>
      <c r="E105" s="168"/>
      <c r="F105" s="151"/>
      <c r="G105" s="148">
        <f>2899.4*2-14.8</f>
        <v>5784</v>
      </c>
      <c r="H105" s="148"/>
      <c r="I105" s="148"/>
      <c r="J105" s="148"/>
      <c r="K105" s="148"/>
      <c r="L105" s="148"/>
      <c r="M105" s="82"/>
      <c r="N105" s="1"/>
      <c r="P105" s="83"/>
    </row>
    <row r="106" spans="1:16" ht="18.75">
      <c r="A106" s="82"/>
      <c r="B106" s="156" t="s">
        <v>260</v>
      </c>
      <c r="C106" s="167"/>
      <c r="D106" s="168"/>
      <c r="E106" s="168"/>
      <c r="F106" s="151"/>
      <c r="G106" s="148">
        <v>14.8</v>
      </c>
      <c r="H106" s="148"/>
      <c r="I106" s="148"/>
      <c r="J106" s="148"/>
      <c r="K106" s="148"/>
      <c r="L106" s="148"/>
      <c r="M106" s="82"/>
      <c r="N106" s="1"/>
      <c r="P106" s="83"/>
    </row>
    <row r="107" spans="1:16" ht="56.25">
      <c r="A107" s="82">
        <v>8</v>
      </c>
      <c r="B107" s="116" t="s">
        <v>261</v>
      </c>
      <c r="C107" s="102" t="s">
        <v>99</v>
      </c>
      <c r="D107" s="147">
        <f>G107</f>
        <v>1188.86</v>
      </c>
      <c r="E107" s="147">
        <v>0</v>
      </c>
      <c r="F107" s="147"/>
      <c r="G107" s="147">
        <f>G108+G109+G110+G111+G112+G113+G114+G115+G116</f>
        <v>1188.86</v>
      </c>
      <c r="H107" s="148"/>
      <c r="I107" s="148"/>
      <c r="J107" s="147">
        <v>0</v>
      </c>
      <c r="K107" s="148"/>
      <c r="L107" s="148"/>
      <c r="M107" s="82" t="s">
        <v>262</v>
      </c>
      <c r="N107" s="1"/>
      <c r="P107" s="83"/>
    </row>
    <row r="108" spans="1:16" ht="16.5" customHeight="1">
      <c r="A108" s="82"/>
      <c r="B108" s="156" t="s">
        <v>263</v>
      </c>
      <c r="C108" s="167"/>
      <c r="D108" s="117"/>
      <c r="E108" s="168"/>
      <c r="F108" s="151"/>
      <c r="G108" s="148">
        <v>330</v>
      </c>
      <c r="H108" s="148"/>
      <c r="I108" s="148"/>
      <c r="J108" s="148"/>
      <c r="K108" s="148"/>
      <c r="L108" s="148"/>
      <c r="M108" s="82"/>
      <c r="N108" s="1"/>
      <c r="P108" s="83"/>
    </row>
    <row r="109" spans="1:16" ht="16.5" customHeight="1">
      <c r="A109" s="82"/>
      <c r="B109" s="156" t="s">
        <v>263</v>
      </c>
      <c r="C109" s="167"/>
      <c r="D109" s="117"/>
      <c r="E109" s="168"/>
      <c r="F109" s="151"/>
      <c r="G109" s="148">
        <v>450</v>
      </c>
      <c r="H109" s="148"/>
      <c r="I109" s="148"/>
      <c r="J109" s="148"/>
      <c r="K109" s="148"/>
      <c r="L109" s="148"/>
      <c r="M109" s="82"/>
      <c r="N109" s="1"/>
      <c r="P109" s="83"/>
    </row>
    <row r="110" spans="1:16" ht="16.5" customHeight="1">
      <c r="A110" s="82"/>
      <c r="B110" s="156" t="s">
        <v>264</v>
      </c>
      <c r="C110" s="167"/>
      <c r="D110" s="117"/>
      <c r="E110" s="168"/>
      <c r="F110" s="151"/>
      <c r="G110" s="148">
        <f>48.4+1.5</f>
        <v>49.9</v>
      </c>
      <c r="H110" s="148"/>
      <c r="I110" s="148"/>
      <c r="J110" s="148"/>
      <c r="K110" s="148"/>
      <c r="L110" s="148"/>
      <c r="M110" s="82"/>
      <c r="N110" s="1"/>
      <c r="P110" s="83"/>
    </row>
    <row r="111" spans="1:16" ht="16.5" customHeight="1">
      <c r="A111" s="82"/>
      <c r="B111" s="156" t="s">
        <v>265</v>
      </c>
      <c r="C111" s="167"/>
      <c r="D111" s="117"/>
      <c r="E111" s="168"/>
      <c r="F111" s="151"/>
      <c r="G111" s="148">
        <f>19.7+7.05</f>
        <v>26.75</v>
      </c>
      <c r="H111" s="148"/>
      <c r="I111" s="148"/>
      <c r="J111" s="148"/>
      <c r="K111" s="148"/>
      <c r="L111" s="148"/>
      <c r="M111" s="82"/>
      <c r="N111" s="1"/>
      <c r="P111" s="83"/>
    </row>
    <row r="112" spans="1:16" ht="16.5" customHeight="1">
      <c r="A112" s="82"/>
      <c r="B112" s="156" t="s">
        <v>266</v>
      </c>
      <c r="C112" s="167"/>
      <c r="D112" s="117"/>
      <c r="E112" s="168"/>
      <c r="F112" s="151"/>
      <c r="G112" s="148">
        <f>14.2+35.2</f>
        <v>49.400000000000006</v>
      </c>
      <c r="H112" s="148"/>
      <c r="I112" s="148"/>
      <c r="J112" s="148"/>
      <c r="K112" s="148"/>
      <c r="L112" s="148"/>
      <c r="M112" s="82"/>
      <c r="N112" s="1"/>
      <c r="P112" s="83"/>
    </row>
    <row r="113" spans="1:16" ht="16.5" customHeight="1">
      <c r="A113" s="82"/>
      <c r="B113" s="156" t="s">
        <v>267</v>
      </c>
      <c r="C113" s="167"/>
      <c r="D113" s="117"/>
      <c r="E113" s="168"/>
      <c r="F113" s="151"/>
      <c r="G113" s="148">
        <f>22.4+1.95</f>
        <v>24.349999999999998</v>
      </c>
      <c r="H113" s="148"/>
      <c r="I113" s="148"/>
      <c r="J113" s="148"/>
      <c r="K113" s="148"/>
      <c r="L113" s="148"/>
      <c r="M113" s="82"/>
      <c r="N113" s="1"/>
      <c r="P113" s="83"/>
    </row>
    <row r="114" spans="1:16" ht="16.5" customHeight="1">
      <c r="A114" s="82"/>
      <c r="B114" s="156" t="s">
        <v>268</v>
      </c>
      <c r="C114" s="167"/>
      <c r="D114" s="117"/>
      <c r="E114" s="168"/>
      <c r="F114" s="151"/>
      <c r="G114" s="148">
        <f>106.95-45.7</f>
        <v>61.25</v>
      </c>
      <c r="H114" s="148"/>
      <c r="I114" s="148"/>
      <c r="J114" s="148"/>
      <c r="K114" s="148"/>
      <c r="L114" s="148"/>
      <c r="M114" s="82"/>
      <c r="N114" s="1"/>
      <c r="P114" s="83"/>
    </row>
    <row r="115" spans="1:16" ht="16.5" customHeight="1">
      <c r="A115" s="82"/>
      <c r="B115" s="156" t="s">
        <v>269</v>
      </c>
      <c r="C115" s="167"/>
      <c r="D115" s="117"/>
      <c r="E115" s="168"/>
      <c r="F115" s="151"/>
      <c r="G115" s="148">
        <v>124.6</v>
      </c>
      <c r="H115" s="148"/>
      <c r="I115" s="148"/>
      <c r="J115" s="148"/>
      <c r="K115" s="148"/>
      <c r="L115" s="148"/>
      <c r="M115" s="82"/>
      <c r="N115" s="1"/>
      <c r="P115" s="83"/>
    </row>
    <row r="116" spans="1:16" ht="50.25" customHeight="1">
      <c r="A116" s="82"/>
      <c r="B116" s="116" t="s">
        <v>270</v>
      </c>
      <c r="C116" s="167"/>
      <c r="D116" s="117"/>
      <c r="E116" s="168"/>
      <c r="F116" s="151"/>
      <c r="G116" s="148">
        <v>72.61</v>
      </c>
      <c r="H116" s="148"/>
      <c r="I116" s="148"/>
      <c r="J116" s="148"/>
      <c r="K116" s="148"/>
      <c r="L116" s="148"/>
      <c r="M116" s="82"/>
      <c r="N116" s="1"/>
      <c r="P116" s="83"/>
    </row>
    <row r="117" spans="1:16" ht="61.5" customHeight="1">
      <c r="A117" s="82">
        <v>1</v>
      </c>
      <c r="B117" s="169" t="s">
        <v>0</v>
      </c>
      <c r="C117" s="85"/>
      <c r="D117" s="170"/>
      <c r="E117" s="171"/>
      <c r="F117" s="118"/>
      <c r="G117" s="155"/>
      <c r="H117" s="148"/>
      <c r="I117" s="148"/>
      <c r="J117" s="148"/>
      <c r="K117" s="172">
        <f>K118+K119+K120+K121</f>
        <v>8927.9</v>
      </c>
      <c r="L117" s="148"/>
      <c r="M117" s="82" t="s">
        <v>204</v>
      </c>
      <c r="N117" s="1"/>
      <c r="P117" s="83"/>
    </row>
    <row r="118" spans="1:16" ht="48" customHeight="1">
      <c r="A118" s="84"/>
      <c r="B118" s="156" t="s">
        <v>294</v>
      </c>
      <c r="C118" s="85"/>
      <c r="D118" s="170"/>
      <c r="E118" s="171"/>
      <c r="F118" s="118"/>
      <c r="G118" s="155"/>
      <c r="H118" s="148"/>
      <c r="I118" s="148"/>
      <c r="J118" s="148"/>
      <c r="K118" s="175">
        <f>1785.2*2-1785.2+194.8</f>
        <v>1980</v>
      </c>
      <c r="L118" s="148"/>
      <c r="M118" s="82"/>
      <c r="N118" s="1"/>
      <c r="P118" s="83"/>
    </row>
    <row r="119" spans="1:16" ht="39.75" customHeight="1">
      <c r="A119" s="14"/>
      <c r="B119" s="156" t="s">
        <v>1</v>
      </c>
      <c r="C119" s="85"/>
      <c r="D119" s="170"/>
      <c r="E119" s="171"/>
      <c r="F119" s="118"/>
      <c r="G119" s="155"/>
      <c r="H119" s="148"/>
      <c r="I119" s="148"/>
      <c r="J119" s="148"/>
      <c r="K119" s="175">
        <f>866.7+233+348.2</f>
        <v>1447.9</v>
      </c>
      <c r="L119" s="148"/>
      <c r="M119" s="82"/>
      <c r="N119" s="1"/>
      <c r="P119" s="83"/>
    </row>
    <row r="120" spans="1:16" ht="38.25" customHeight="1">
      <c r="A120" s="82"/>
      <c r="B120" s="156" t="s">
        <v>2</v>
      </c>
      <c r="C120" s="85"/>
      <c r="D120" s="170"/>
      <c r="E120" s="171"/>
      <c r="F120" s="118"/>
      <c r="G120" s="155"/>
      <c r="H120" s="148"/>
      <c r="I120" s="148"/>
      <c r="J120" s="148"/>
      <c r="K120" s="173">
        <v>2500</v>
      </c>
      <c r="L120" s="148"/>
      <c r="M120" s="82"/>
      <c r="N120" s="1"/>
      <c r="P120" s="83"/>
    </row>
    <row r="121" spans="1:16" ht="38.25" customHeight="1">
      <c r="A121" s="82"/>
      <c r="B121" s="156" t="s">
        <v>296</v>
      </c>
      <c r="C121" s="85"/>
      <c r="D121" s="170"/>
      <c r="E121" s="171"/>
      <c r="F121" s="118"/>
      <c r="G121" s="155"/>
      <c r="H121" s="148"/>
      <c r="I121" s="148"/>
      <c r="J121" s="148"/>
      <c r="K121" s="173">
        <v>3000</v>
      </c>
      <c r="L121" s="148"/>
      <c r="M121" s="82"/>
      <c r="N121" s="1"/>
      <c r="P121" s="83"/>
    </row>
    <row r="122" spans="1:16" ht="57" customHeight="1">
      <c r="A122" s="82">
        <v>2</v>
      </c>
      <c r="B122" s="169" t="s">
        <v>3</v>
      </c>
      <c r="C122" s="85"/>
      <c r="D122" s="174"/>
      <c r="E122" s="171"/>
      <c r="F122" s="118"/>
      <c r="G122" s="155"/>
      <c r="H122" s="148"/>
      <c r="I122" s="148"/>
      <c r="J122" s="148"/>
      <c r="K122" s="201">
        <f>K123+K124+K125</f>
        <v>8800</v>
      </c>
      <c r="L122" s="148"/>
      <c r="M122" s="82" t="s">
        <v>237</v>
      </c>
      <c r="N122" s="1"/>
      <c r="P122" s="83"/>
    </row>
    <row r="123" spans="1:16" ht="45" customHeight="1">
      <c r="A123" s="82"/>
      <c r="B123" s="156" t="s">
        <v>4</v>
      </c>
      <c r="C123" s="85"/>
      <c r="D123" s="174"/>
      <c r="E123" s="171"/>
      <c r="F123" s="118"/>
      <c r="G123" s="155"/>
      <c r="H123" s="148"/>
      <c r="I123" s="148"/>
      <c r="J123" s="148"/>
      <c r="K123" s="175">
        <v>3000</v>
      </c>
      <c r="L123" s="148"/>
      <c r="M123" s="82"/>
      <c r="N123" s="1"/>
      <c r="P123" s="83"/>
    </row>
    <row r="124" spans="1:16" ht="33" customHeight="1">
      <c r="A124" s="82"/>
      <c r="B124" s="156" t="s">
        <v>5</v>
      </c>
      <c r="C124" s="85"/>
      <c r="D124" s="174"/>
      <c r="E124" s="171"/>
      <c r="F124" s="118"/>
      <c r="G124" s="155"/>
      <c r="H124" s="148"/>
      <c r="I124" s="148"/>
      <c r="J124" s="148"/>
      <c r="K124" s="175">
        <f>5000+400</f>
        <v>5400</v>
      </c>
      <c r="L124" s="148"/>
      <c r="M124" s="82"/>
      <c r="N124" s="1"/>
      <c r="P124" s="83"/>
    </row>
    <row r="125" spans="1:16" ht="45.75" customHeight="1">
      <c r="A125" s="82"/>
      <c r="B125" s="156" t="s">
        <v>6</v>
      </c>
      <c r="C125" s="85"/>
      <c r="D125" s="174"/>
      <c r="E125" s="171"/>
      <c r="F125" s="118"/>
      <c r="G125" s="155"/>
      <c r="H125" s="148"/>
      <c r="I125" s="148"/>
      <c r="J125" s="148"/>
      <c r="K125" s="175">
        <v>400</v>
      </c>
      <c r="L125" s="148"/>
      <c r="M125" s="82"/>
      <c r="N125" s="1"/>
      <c r="P125" s="83"/>
    </row>
    <row r="126" spans="1:16" ht="60" customHeight="1">
      <c r="A126" s="82">
        <v>3</v>
      </c>
      <c r="B126" s="169" t="s">
        <v>271</v>
      </c>
      <c r="C126" s="85"/>
      <c r="D126" s="174"/>
      <c r="E126" s="171"/>
      <c r="F126" s="118"/>
      <c r="G126" s="155"/>
      <c r="H126" s="148"/>
      <c r="I126" s="148"/>
      <c r="J126" s="148"/>
      <c r="K126" s="176">
        <f>K127+K128+K129+K130+K131</f>
        <v>11395</v>
      </c>
      <c r="L126" s="148"/>
      <c r="M126" s="82" t="s">
        <v>272</v>
      </c>
      <c r="N126" s="1"/>
      <c r="P126" s="83"/>
    </row>
    <row r="127" spans="1:16" ht="36.75" customHeight="1">
      <c r="A127" s="82"/>
      <c r="B127" s="156" t="s">
        <v>7</v>
      </c>
      <c r="C127" s="85"/>
      <c r="D127" s="174"/>
      <c r="E127" s="171"/>
      <c r="F127" s="118"/>
      <c r="G127" s="155"/>
      <c r="H127" s="148"/>
      <c r="I127" s="148"/>
      <c r="J127" s="148"/>
      <c r="K127" s="177">
        <v>2000</v>
      </c>
      <c r="L127" s="148"/>
      <c r="M127" s="82"/>
      <c r="N127" s="1"/>
      <c r="P127" s="83"/>
    </row>
    <row r="128" spans="1:16" ht="42.75" customHeight="1">
      <c r="A128" s="82"/>
      <c r="B128" s="156" t="s">
        <v>8</v>
      </c>
      <c r="C128" s="85"/>
      <c r="D128" s="174"/>
      <c r="E128" s="171"/>
      <c r="F128" s="118"/>
      <c r="G128" s="155"/>
      <c r="H128" s="148"/>
      <c r="I128" s="148"/>
      <c r="J128" s="148"/>
      <c r="K128" s="178">
        <v>1900</v>
      </c>
      <c r="L128" s="148"/>
      <c r="M128" s="82"/>
      <c r="N128" s="1"/>
      <c r="P128" s="83"/>
    </row>
    <row r="129" spans="1:16" ht="36.75" customHeight="1">
      <c r="A129" s="82"/>
      <c r="B129" s="179" t="s">
        <v>9</v>
      </c>
      <c r="C129" s="85"/>
      <c r="D129" s="174"/>
      <c r="E129" s="171"/>
      <c r="F129" s="118"/>
      <c r="G129" s="155"/>
      <c r="H129" s="148"/>
      <c r="I129" s="148"/>
      <c r="J129" s="148"/>
      <c r="K129" s="178">
        <v>1500</v>
      </c>
      <c r="L129" s="148"/>
      <c r="M129" s="82"/>
      <c r="N129" s="1"/>
      <c r="P129" s="83"/>
    </row>
    <row r="130" spans="1:16" ht="51" customHeight="1">
      <c r="A130" s="82"/>
      <c r="B130" s="179" t="s">
        <v>10</v>
      </c>
      <c r="C130" s="85"/>
      <c r="D130" s="174"/>
      <c r="E130" s="171"/>
      <c r="F130" s="118"/>
      <c r="G130" s="155"/>
      <c r="H130" s="148"/>
      <c r="I130" s="148"/>
      <c r="J130" s="148"/>
      <c r="K130" s="178">
        <v>5625</v>
      </c>
      <c r="L130" s="148"/>
      <c r="M130" s="82"/>
      <c r="N130" s="1"/>
      <c r="P130" s="83"/>
    </row>
    <row r="131" spans="1:16" ht="102.75" customHeight="1">
      <c r="A131" s="82"/>
      <c r="B131" s="179" t="s">
        <v>310</v>
      </c>
      <c r="C131" s="85"/>
      <c r="D131" s="174"/>
      <c r="E131" s="171"/>
      <c r="F131" s="118"/>
      <c r="G131" s="155"/>
      <c r="H131" s="148"/>
      <c r="I131" s="148"/>
      <c r="J131" s="148"/>
      <c r="K131" s="178">
        <v>370</v>
      </c>
      <c r="L131" s="148"/>
      <c r="M131" s="82"/>
      <c r="N131" s="1"/>
      <c r="P131" s="83"/>
    </row>
    <row r="132" spans="1:16" ht="67.5" customHeight="1">
      <c r="A132" s="82">
        <v>4</v>
      </c>
      <c r="B132" s="169" t="s">
        <v>11</v>
      </c>
      <c r="C132" s="180"/>
      <c r="D132" s="174"/>
      <c r="E132" s="171"/>
      <c r="F132" s="118"/>
      <c r="G132" s="155"/>
      <c r="H132" s="148"/>
      <c r="I132" s="148"/>
      <c r="J132" s="148"/>
      <c r="K132" s="176">
        <v>200</v>
      </c>
      <c r="L132" s="148"/>
      <c r="M132" s="82" t="s">
        <v>243</v>
      </c>
      <c r="N132" s="1"/>
      <c r="P132" s="83"/>
    </row>
    <row r="133" spans="1:16" ht="63" customHeight="1">
      <c r="A133" s="82"/>
      <c r="B133" s="156" t="s">
        <v>12</v>
      </c>
      <c r="C133" s="180"/>
      <c r="D133" s="174"/>
      <c r="E133" s="171"/>
      <c r="F133" s="118"/>
      <c r="G133" s="155"/>
      <c r="H133" s="148"/>
      <c r="I133" s="148"/>
      <c r="J133" s="148"/>
      <c r="K133" s="177">
        <v>200</v>
      </c>
      <c r="L133" s="148"/>
      <c r="M133" s="82"/>
      <c r="N133" s="1"/>
      <c r="P133" s="83"/>
    </row>
    <row r="134" spans="1:16" ht="62.25" customHeight="1">
      <c r="A134" s="82">
        <v>5</v>
      </c>
      <c r="B134" s="169" t="s">
        <v>13</v>
      </c>
      <c r="C134" s="180"/>
      <c r="D134" s="178"/>
      <c r="E134" s="171"/>
      <c r="F134" s="118"/>
      <c r="G134" s="155"/>
      <c r="H134" s="148"/>
      <c r="I134" s="148"/>
      <c r="J134" s="148"/>
      <c r="K134" s="176">
        <f>K135+K136+K137+K138+K139+K140+K141+K142+K143+K144+K145+K146+K147+K148+K149+K150+K151+K152+K153+K154</f>
        <v>20589</v>
      </c>
      <c r="L134" s="148"/>
      <c r="M134" s="82" t="s">
        <v>248</v>
      </c>
      <c r="N134" s="1"/>
      <c r="P134" s="83"/>
    </row>
    <row r="135" spans="1:16" ht="39" customHeight="1">
      <c r="A135" s="82"/>
      <c r="B135" s="156" t="s">
        <v>14</v>
      </c>
      <c r="C135" s="180"/>
      <c r="D135" s="178"/>
      <c r="E135" s="171"/>
      <c r="F135" s="118"/>
      <c r="G135" s="155"/>
      <c r="H135" s="148"/>
      <c r="I135" s="148"/>
      <c r="J135" s="148"/>
      <c r="K135" s="178">
        <f>1800*2</f>
        <v>3600</v>
      </c>
      <c r="L135" s="148"/>
      <c r="M135" s="82"/>
      <c r="N135" s="1"/>
      <c r="P135" s="83"/>
    </row>
    <row r="136" spans="1:16" ht="42" customHeight="1">
      <c r="A136" s="82"/>
      <c r="B136" s="156" t="s">
        <v>15</v>
      </c>
      <c r="C136" s="180"/>
      <c r="D136" s="178"/>
      <c r="E136" s="171"/>
      <c r="F136" s="118"/>
      <c r="G136" s="155"/>
      <c r="H136" s="148"/>
      <c r="I136" s="148"/>
      <c r="J136" s="148"/>
      <c r="K136" s="178">
        <v>1400</v>
      </c>
      <c r="L136" s="148"/>
      <c r="M136" s="82"/>
      <c r="N136" s="1"/>
      <c r="P136" s="83"/>
    </row>
    <row r="137" spans="1:16" ht="38.25" customHeight="1">
      <c r="A137" s="82"/>
      <c r="B137" s="156" t="s">
        <v>16</v>
      </c>
      <c r="C137" s="180"/>
      <c r="D137" s="178"/>
      <c r="E137" s="171"/>
      <c r="F137" s="118"/>
      <c r="G137" s="155"/>
      <c r="H137" s="148"/>
      <c r="I137" s="148"/>
      <c r="J137" s="148"/>
      <c r="K137" s="178">
        <v>4000</v>
      </c>
      <c r="L137" s="148"/>
      <c r="M137" s="82"/>
      <c r="N137" s="1"/>
      <c r="P137" s="83"/>
    </row>
    <row r="138" spans="1:16" ht="44.25" customHeight="1">
      <c r="A138" s="82"/>
      <c r="B138" s="156" t="s">
        <v>18</v>
      </c>
      <c r="C138" s="180"/>
      <c r="D138" s="178"/>
      <c r="E138" s="171"/>
      <c r="F138" s="118"/>
      <c r="G138" s="155"/>
      <c r="H138" s="148"/>
      <c r="I138" s="148"/>
      <c r="J138" s="148"/>
      <c r="K138" s="178">
        <v>761</v>
      </c>
      <c r="L138" s="148"/>
      <c r="M138" s="82"/>
      <c r="N138" s="1"/>
      <c r="P138" s="83"/>
    </row>
    <row r="139" spans="1:16" ht="42" customHeight="1">
      <c r="A139" s="82"/>
      <c r="B139" s="156" t="s">
        <v>19</v>
      </c>
      <c r="C139" s="180"/>
      <c r="D139" s="178"/>
      <c r="E139" s="171"/>
      <c r="F139" s="118"/>
      <c r="G139" s="155"/>
      <c r="H139" s="148"/>
      <c r="I139" s="148"/>
      <c r="J139" s="148"/>
      <c r="K139" s="178">
        <v>900</v>
      </c>
      <c r="L139" s="148"/>
      <c r="M139" s="82"/>
      <c r="N139" s="1"/>
      <c r="P139" s="83"/>
    </row>
    <row r="140" spans="1:16" ht="38.25" customHeight="1">
      <c r="A140" s="82"/>
      <c r="B140" s="156" t="s">
        <v>17</v>
      </c>
      <c r="C140" s="85"/>
      <c r="D140" s="178"/>
      <c r="E140" s="171"/>
      <c r="F140" s="118"/>
      <c r="G140" s="155"/>
      <c r="H140" s="148"/>
      <c r="I140" s="148"/>
      <c r="J140" s="148"/>
      <c r="K140" s="178">
        <v>3200</v>
      </c>
      <c r="L140" s="148"/>
      <c r="M140" s="82"/>
      <c r="N140" s="1"/>
      <c r="P140" s="83"/>
    </row>
    <row r="141" spans="1:16" ht="39" customHeight="1">
      <c r="A141" s="82"/>
      <c r="B141" s="156" t="s">
        <v>20</v>
      </c>
      <c r="C141" s="180"/>
      <c r="D141" s="178"/>
      <c r="E141" s="171"/>
      <c r="F141" s="118"/>
      <c r="G141" s="155"/>
      <c r="H141" s="148"/>
      <c r="I141" s="148"/>
      <c r="J141" s="148"/>
      <c r="K141" s="178">
        <v>35</v>
      </c>
      <c r="L141" s="148"/>
      <c r="M141" s="82"/>
      <c r="N141" s="1"/>
      <c r="P141" s="83"/>
    </row>
    <row r="142" spans="1:16" ht="41.25" customHeight="1">
      <c r="A142" s="82"/>
      <c r="B142" s="156" t="s">
        <v>22</v>
      </c>
      <c r="C142" s="180"/>
      <c r="D142" s="178"/>
      <c r="E142" s="171"/>
      <c r="F142" s="118"/>
      <c r="G142" s="155"/>
      <c r="H142" s="148"/>
      <c r="I142" s="148"/>
      <c r="J142" s="148"/>
      <c r="K142" s="178">
        <v>25</v>
      </c>
      <c r="L142" s="148"/>
      <c r="M142" s="82"/>
      <c r="N142" s="1"/>
      <c r="P142" s="83"/>
    </row>
    <row r="143" spans="1:16" ht="36.75" customHeight="1">
      <c r="A143" s="82"/>
      <c r="B143" s="156" t="s">
        <v>21</v>
      </c>
      <c r="C143" s="180"/>
      <c r="D143" s="178"/>
      <c r="E143" s="171"/>
      <c r="F143" s="118"/>
      <c r="G143" s="155"/>
      <c r="H143" s="148"/>
      <c r="I143" s="148"/>
      <c r="J143" s="148"/>
      <c r="K143" s="178">
        <v>500</v>
      </c>
      <c r="L143" s="148"/>
      <c r="M143" s="82"/>
      <c r="N143" s="1"/>
      <c r="P143" s="83"/>
    </row>
    <row r="144" spans="1:16" ht="36.75" customHeight="1">
      <c r="A144" s="82"/>
      <c r="B144" s="156" t="s">
        <v>23</v>
      </c>
      <c r="C144" s="85"/>
      <c r="D144" s="178"/>
      <c r="E144" s="171"/>
      <c r="F144" s="118"/>
      <c r="G144" s="155"/>
      <c r="H144" s="148"/>
      <c r="I144" s="148"/>
      <c r="J144" s="148"/>
      <c r="K144" s="178">
        <v>1100</v>
      </c>
      <c r="L144" s="148"/>
      <c r="M144" s="82"/>
      <c r="N144" s="1"/>
      <c r="P144" s="83"/>
    </row>
    <row r="145" spans="1:16" ht="48.75" customHeight="1">
      <c r="A145" s="82"/>
      <c r="B145" s="156" t="s">
        <v>24</v>
      </c>
      <c r="C145" s="181"/>
      <c r="D145" s="178"/>
      <c r="E145" s="171"/>
      <c r="F145" s="118"/>
      <c r="G145" s="155"/>
      <c r="H145" s="148"/>
      <c r="I145" s="148"/>
      <c r="J145" s="148"/>
      <c r="K145" s="182">
        <v>190</v>
      </c>
      <c r="L145" s="148"/>
      <c r="M145" s="82"/>
      <c r="N145" s="1"/>
      <c r="P145" s="83"/>
    </row>
    <row r="146" spans="1:16" ht="44.25" customHeight="1">
      <c r="A146" s="82"/>
      <c r="B146" s="156" t="s">
        <v>25</v>
      </c>
      <c r="C146" s="86"/>
      <c r="D146" s="178"/>
      <c r="E146" s="171"/>
      <c r="F146" s="118"/>
      <c r="G146" s="155"/>
      <c r="H146" s="148"/>
      <c r="I146" s="148"/>
      <c r="J146" s="148"/>
      <c r="K146" s="182">
        <v>200</v>
      </c>
      <c r="L146" s="148"/>
      <c r="M146" s="82"/>
      <c r="N146" s="1"/>
      <c r="P146" s="83"/>
    </row>
    <row r="147" spans="1:16" ht="48" customHeight="1">
      <c r="A147" s="82"/>
      <c r="B147" s="156" t="s">
        <v>27</v>
      </c>
      <c r="C147" s="86"/>
      <c r="D147" s="178"/>
      <c r="E147" s="171"/>
      <c r="F147" s="118"/>
      <c r="G147" s="155"/>
      <c r="H147" s="148"/>
      <c r="I147" s="148"/>
      <c r="J147" s="148"/>
      <c r="K147" s="182">
        <v>587.5</v>
      </c>
      <c r="L147" s="148"/>
      <c r="M147" s="82"/>
      <c r="N147" s="1"/>
      <c r="P147" s="83"/>
    </row>
    <row r="148" spans="1:16" ht="42" customHeight="1">
      <c r="A148" s="82"/>
      <c r="B148" s="156" t="s">
        <v>52</v>
      </c>
      <c r="C148" s="86"/>
      <c r="D148" s="178"/>
      <c r="E148" s="171"/>
      <c r="F148" s="118"/>
      <c r="G148" s="155"/>
      <c r="H148" s="148"/>
      <c r="I148" s="148"/>
      <c r="J148" s="148"/>
      <c r="K148" s="182">
        <f>12*12.25</f>
        <v>147</v>
      </c>
      <c r="L148" s="148"/>
      <c r="M148" s="82"/>
      <c r="N148" s="1"/>
      <c r="P148" s="83"/>
    </row>
    <row r="149" spans="1:16" ht="76.5" customHeight="1">
      <c r="A149" s="82"/>
      <c r="B149" s="156" t="s">
        <v>273</v>
      </c>
      <c r="C149" s="86"/>
      <c r="D149" s="178"/>
      <c r="E149" s="171"/>
      <c r="F149" s="118"/>
      <c r="G149" s="155"/>
      <c r="H149" s="148"/>
      <c r="I149" s="148"/>
      <c r="J149" s="148"/>
      <c r="K149" s="182">
        <v>144</v>
      </c>
      <c r="L149" s="148"/>
      <c r="M149" s="82"/>
      <c r="N149" s="1"/>
      <c r="P149" s="83"/>
    </row>
    <row r="150" spans="1:16" ht="40.5" customHeight="1">
      <c r="A150" s="82"/>
      <c r="B150" s="183" t="s">
        <v>290</v>
      </c>
      <c r="C150" s="86"/>
      <c r="D150" s="178"/>
      <c r="E150" s="171"/>
      <c r="F150" s="118"/>
      <c r="G150" s="155"/>
      <c r="H150" s="148"/>
      <c r="I150" s="148"/>
      <c r="J150" s="148"/>
      <c r="K150" s="182">
        <v>1250</v>
      </c>
      <c r="L150" s="148"/>
      <c r="M150" s="82"/>
      <c r="N150" s="1"/>
      <c r="P150" s="83"/>
    </row>
    <row r="151" spans="1:16" ht="59.25" customHeight="1">
      <c r="A151" s="82"/>
      <c r="B151" s="183" t="s">
        <v>337</v>
      </c>
      <c r="C151" s="86"/>
      <c r="D151" s="178"/>
      <c r="E151" s="171"/>
      <c r="F151" s="118"/>
      <c r="G151" s="155"/>
      <c r="H151" s="148"/>
      <c r="I151" s="148"/>
      <c r="J151" s="148"/>
      <c r="K151" s="182">
        <v>2500</v>
      </c>
      <c r="L151" s="148"/>
      <c r="M151" s="82"/>
      <c r="N151" s="1"/>
      <c r="P151" s="83"/>
    </row>
    <row r="152" spans="1:16" ht="59.25" customHeight="1">
      <c r="A152" s="82"/>
      <c r="B152" s="183" t="s">
        <v>368</v>
      </c>
      <c r="C152" s="86"/>
      <c r="D152" s="178"/>
      <c r="E152" s="171"/>
      <c r="F152" s="118"/>
      <c r="G152" s="155"/>
      <c r="H152" s="148"/>
      <c r="I152" s="148"/>
      <c r="J152" s="148"/>
      <c r="K152" s="182">
        <v>21</v>
      </c>
      <c r="L152" s="148"/>
      <c r="M152" s="82"/>
      <c r="N152" s="1"/>
      <c r="P152" s="83"/>
    </row>
    <row r="153" spans="1:16" ht="59.25" customHeight="1">
      <c r="A153" s="82"/>
      <c r="B153" s="183" t="s">
        <v>369</v>
      </c>
      <c r="C153" s="86"/>
      <c r="D153" s="178"/>
      <c r="E153" s="171"/>
      <c r="F153" s="118"/>
      <c r="G153" s="155"/>
      <c r="H153" s="148"/>
      <c r="I153" s="148"/>
      <c r="J153" s="148"/>
      <c r="K153" s="182">
        <v>15</v>
      </c>
      <c r="L153" s="148"/>
      <c r="M153" s="82"/>
      <c r="N153" s="1"/>
      <c r="P153" s="83"/>
    </row>
    <row r="154" spans="1:16" ht="59.25" customHeight="1">
      <c r="A154" s="82"/>
      <c r="B154" s="183" t="s">
        <v>370</v>
      </c>
      <c r="C154" s="86"/>
      <c r="D154" s="178"/>
      <c r="E154" s="171"/>
      <c r="F154" s="118"/>
      <c r="G154" s="155"/>
      <c r="H154" s="148"/>
      <c r="I154" s="148"/>
      <c r="J154" s="148"/>
      <c r="K154" s="182">
        <v>13.5</v>
      </c>
      <c r="L154" s="148"/>
      <c r="M154" s="82"/>
      <c r="N154" s="1"/>
      <c r="P154" s="83"/>
    </row>
    <row r="155" spans="1:16" ht="63" customHeight="1">
      <c r="A155" s="82">
        <v>6</v>
      </c>
      <c r="B155" s="169" t="s">
        <v>26</v>
      </c>
      <c r="C155" s="180"/>
      <c r="D155" s="170"/>
      <c r="E155" s="171"/>
      <c r="F155" s="118"/>
      <c r="G155" s="155"/>
      <c r="H155" s="148"/>
      <c r="I155" s="148"/>
      <c r="J155" s="148"/>
      <c r="K155" s="184">
        <f>K156+K157+K158+K159+K160+K161</f>
        <v>4546.4</v>
      </c>
      <c r="L155" s="148"/>
      <c r="M155" s="82" t="s">
        <v>262</v>
      </c>
      <c r="N155" s="1"/>
      <c r="P155" s="83"/>
    </row>
    <row r="156" spans="1:16" ht="56.25" customHeight="1">
      <c r="A156" s="82"/>
      <c r="B156" s="156" t="s">
        <v>28</v>
      </c>
      <c r="C156" s="180"/>
      <c r="D156" s="170"/>
      <c r="E156" s="171"/>
      <c r="F156" s="118"/>
      <c r="G156" s="155"/>
      <c r="H156" s="148"/>
      <c r="I156" s="148"/>
      <c r="J156" s="148"/>
      <c r="K156" s="173">
        <v>1149</v>
      </c>
      <c r="L156" s="148"/>
      <c r="M156" s="82"/>
      <c r="N156" s="1"/>
      <c r="P156" s="83"/>
    </row>
    <row r="157" spans="1:16" ht="53.25" customHeight="1">
      <c r="A157" s="82"/>
      <c r="B157" s="156" t="s">
        <v>274</v>
      </c>
      <c r="C157" s="180"/>
      <c r="D157" s="170"/>
      <c r="E157" s="171"/>
      <c r="F157" s="118"/>
      <c r="G157" s="155"/>
      <c r="H157" s="148"/>
      <c r="I157" s="148"/>
      <c r="J157" s="148"/>
      <c r="K157" s="173">
        <v>603.2</v>
      </c>
      <c r="L157" s="148"/>
      <c r="M157" s="82"/>
      <c r="N157" s="1"/>
      <c r="P157" s="83"/>
    </row>
    <row r="158" spans="1:16" ht="60" customHeight="1">
      <c r="A158" s="82"/>
      <c r="B158" s="156" t="s">
        <v>29</v>
      </c>
      <c r="C158" s="180"/>
      <c r="D158" s="170"/>
      <c r="E158" s="171"/>
      <c r="F158" s="118"/>
      <c r="G158" s="155"/>
      <c r="H158" s="148"/>
      <c r="I158" s="148"/>
      <c r="J158" s="148"/>
      <c r="K158" s="173">
        <v>373.7</v>
      </c>
      <c r="L158" s="148"/>
      <c r="M158" s="82"/>
      <c r="N158" s="1"/>
      <c r="P158" s="83"/>
    </row>
    <row r="159" spans="1:16" ht="54" customHeight="1">
      <c r="A159" s="82"/>
      <c r="B159" s="156" t="s">
        <v>30</v>
      </c>
      <c r="C159" s="180"/>
      <c r="D159" s="170"/>
      <c r="E159" s="171"/>
      <c r="F159" s="118"/>
      <c r="G159" s="155"/>
      <c r="H159" s="148"/>
      <c r="I159" s="148"/>
      <c r="J159" s="148"/>
      <c r="K159" s="173">
        <v>220.5</v>
      </c>
      <c r="L159" s="148"/>
      <c r="M159" s="82"/>
      <c r="N159" s="1"/>
      <c r="P159" s="83"/>
    </row>
    <row r="160" spans="1:16" ht="42.75" customHeight="1">
      <c r="A160" s="82"/>
      <c r="B160" s="156" t="s">
        <v>306</v>
      </c>
      <c r="C160" s="180"/>
      <c r="D160" s="170"/>
      <c r="E160" s="171"/>
      <c r="F160" s="118"/>
      <c r="G160" s="155"/>
      <c r="H160" s="148"/>
      <c r="I160" s="148"/>
      <c r="J160" s="148"/>
      <c r="K160" s="173">
        <v>1100</v>
      </c>
      <c r="L160" s="148"/>
      <c r="M160" s="82"/>
      <c r="N160" s="1"/>
      <c r="P160" s="83"/>
    </row>
    <row r="161" spans="1:16" ht="54.75" customHeight="1">
      <c r="A161" s="82"/>
      <c r="B161" s="156" t="s">
        <v>307</v>
      </c>
      <c r="C161" s="180"/>
      <c r="D161" s="170"/>
      <c r="E161" s="171"/>
      <c r="F161" s="118"/>
      <c r="G161" s="155"/>
      <c r="H161" s="148"/>
      <c r="I161" s="148"/>
      <c r="J161" s="148"/>
      <c r="K161" s="173">
        <v>1100</v>
      </c>
      <c r="L161" s="148"/>
      <c r="M161" s="82"/>
      <c r="N161" s="1"/>
      <c r="P161" s="83"/>
    </row>
    <row r="162" spans="1:16" ht="58.5" customHeight="1">
      <c r="A162" s="82">
        <v>7</v>
      </c>
      <c r="B162" s="185" t="s">
        <v>176</v>
      </c>
      <c r="C162" s="180"/>
      <c r="D162" s="170"/>
      <c r="E162" s="171"/>
      <c r="F162" s="118"/>
      <c r="G162" s="155"/>
      <c r="H162" s="148"/>
      <c r="I162" s="148"/>
      <c r="J162" s="148"/>
      <c r="K162" s="184">
        <f>K163+K164+K165+K166+K167+K168+K169+K170+K171+K172+K173+K174+K175+K176+K177+K178+K179+K180+K181+K182+K183+K184+K185+K186+K187+K188</f>
        <v>50547.424</v>
      </c>
      <c r="L162" s="148"/>
      <c r="M162" s="82" t="s">
        <v>177</v>
      </c>
      <c r="N162" s="1"/>
      <c r="P162" s="83"/>
    </row>
    <row r="163" spans="1:16" ht="54.75" customHeight="1">
      <c r="A163" s="82"/>
      <c r="B163" s="186" t="s">
        <v>31</v>
      </c>
      <c r="C163" s="180"/>
      <c r="D163" s="170"/>
      <c r="E163" s="171"/>
      <c r="F163" s="118"/>
      <c r="G163" s="155"/>
      <c r="H163" s="148"/>
      <c r="I163" s="148"/>
      <c r="J163" s="148"/>
      <c r="K163" s="187">
        <v>1418</v>
      </c>
      <c r="L163" s="148"/>
      <c r="M163" s="82"/>
      <c r="N163" s="1"/>
      <c r="P163" s="83"/>
    </row>
    <row r="164" spans="1:16" ht="57.75" customHeight="1">
      <c r="A164" s="82"/>
      <c r="B164" s="186" t="s">
        <v>275</v>
      </c>
      <c r="C164" s="180"/>
      <c r="D164" s="170"/>
      <c r="E164" s="171"/>
      <c r="F164" s="118"/>
      <c r="G164" s="155"/>
      <c r="H164" s="148"/>
      <c r="I164" s="148"/>
      <c r="J164" s="148"/>
      <c r="K164" s="187">
        <v>2198</v>
      </c>
      <c r="L164" s="148"/>
      <c r="M164" s="82"/>
      <c r="N164" s="1"/>
      <c r="P164" s="83"/>
    </row>
    <row r="165" spans="1:16" ht="39" customHeight="1">
      <c r="A165" s="82"/>
      <c r="B165" s="186" t="s">
        <v>32</v>
      </c>
      <c r="C165" s="180"/>
      <c r="D165" s="170"/>
      <c r="E165" s="171"/>
      <c r="F165" s="118"/>
      <c r="G165" s="155"/>
      <c r="H165" s="148"/>
      <c r="I165" s="148"/>
      <c r="J165" s="148"/>
      <c r="K165" s="187">
        <v>2300</v>
      </c>
      <c r="L165" s="148"/>
      <c r="M165" s="82"/>
      <c r="N165" s="1"/>
      <c r="P165" s="83"/>
    </row>
    <row r="166" spans="1:16" ht="48" customHeight="1">
      <c r="A166" s="82"/>
      <c r="B166" s="186" t="s">
        <v>33</v>
      </c>
      <c r="C166" s="180"/>
      <c r="D166" s="170"/>
      <c r="E166" s="171"/>
      <c r="F166" s="118"/>
      <c r="G166" s="155"/>
      <c r="H166" s="148"/>
      <c r="I166" s="148"/>
      <c r="J166" s="148"/>
      <c r="K166" s="187">
        <v>2403</v>
      </c>
      <c r="L166" s="148"/>
      <c r="M166" s="82"/>
      <c r="N166" s="1"/>
      <c r="P166" s="83"/>
    </row>
    <row r="167" spans="1:16" ht="54" customHeight="1">
      <c r="A167" s="82"/>
      <c r="B167" s="186" t="s">
        <v>34</v>
      </c>
      <c r="C167" s="180"/>
      <c r="D167" s="170"/>
      <c r="E167" s="171"/>
      <c r="F167" s="118"/>
      <c r="G167" s="155"/>
      <c r="H167" s="148"/>
      <c r="I167" s="148"/>
      <c r="J167" s="148"/>
      <c r="K167" s="187">
        <v>1260</v>
      </c>
      <c r="L167" s="148"/>
      <c r="M167" s="82"/>
      <c r="N167" s="1"/>
      <c r="P167" s="83"/>
    </row>
    <row r="168" spans="1:16" ht="48.75" customHeight="1">
      <c r="A168" s="82"/>
      <c r="B168" s="186" t="s">
        <v>35</v>
      </c>
      <c r="C168" s="180"/>
      <c r="D168" s="170"/>
      <c r="E168" s="171"/>
      <c r="F168" s="118"/>
      <c r="G168" s="155"/>
      <c r="H168" s="148"/>
      <c r="I168" s="148"/>
      <c r="J168" s="148"/>
      <c r="K168" s="187">
        <v>2511</v>
      </c>
      <c r="L168" s="148"/>
      <c r="M168" s="82"/>
      <c r="N168" s="1"/>
      <c r="P168" s="83"/>
    </row>
    <row r="169" spans="1:16" ht="43.5" customHeight="1">
      <c r="A169" s="82"/>
      <c r="B169" s="186" t="s">
        <v>36</v>
      </c>
      <c r="C169" s="180"/>
      <c r="D169" s="170"/>
      <c r="E169" s="171"/>
      <c r="F169" s="118"/>
      <c r="G169" s="155"/>
      <c r="H169" s="148"/>
      <c r="I169" s="148"/>
      <c r="J169" s="148"/>
      <c r="K169" s="187">
        <v>1998</v>
      </c>
      <c r="L169" s="148"/>
      <c r="M169" s="82"/>
      <c r="N169" s="1"/>
      <c r="P169" s="83"/>
    </row>
    <row r="170" spans="1:16" ht="36.75" customHeight="1">
      <c r="A170" s="82"/>
      <c r="B170" s="186" t="s">
        <v>37</v>
      </c>
      <c r="C170" s="180"/>
      <c r="D170" s="170"/>
      <c r="E170" s="171"/>
      <c r="F170" s="118"/>
      <c r="G170" s="155"/>
      <c r="H170" s="148"/>
      <c r="I170" s="148"/>
      <c r="J170" s="148"/>
      <c r="K170" s="187">
        <v>2943</v>
      </c>
      <c r="L170" s="148"/>
      <c r="M170" s="82"/>
      <c r="N170" s="1"/>
      <c r="P170" s="83"/>
    </row>
    <row r="171" spans="1:16" ht="51" customHeight="1">
      <c r="A171" s="82"/>
      <c r="B171" s="186" t="s">
        <v>38</v>
      </c>
      <c r="C171" s="180"/>
      <c r="D171" s="170"/>
      <c r="E171" s="171"/>
      <c r="F171" s="118"/>
      <c r="G171" s="155"/>
      <c r="H171" s="148"/>
      <c r="I171" s="148"/>
      <c r="J171" s="148"/>
      <c r="K171" s="187">
        <v>545</v>
      </c>
      <c r="L171" s="148"/>
      <c r="M171" s="82"/>
      <c r="N171" s="1"/>
      <c r="P171" s="83"/>
    </row>
    <row r="172" spans="1:16" ht="39" customHeight="1">
      <c r="A172" s="82"/>
      <c r="B172" s="186" t="s">
        <v>39</v>
      </c>
      <c r="C172" s="180"/>
      <c r="D172" s="170"/>
      <c r="E172" s="188"/>
      <c r="F172" s="118"/>
      <c r="G172" s="118"/>
      <c r="H172" s="151"/>
      <c r="I172" s="151"/>
      <c r="J172" s="151"/>
      <c r="K172" s="189">
        <v>4800</v>
      </c>
      <c r="L172" s="148"/>
      <c r="M172" s="82"/>
      <c r="N172" s="1"/>
      <c r="P172" s="83"/>
    </row>
    <row r="173" spans="1:16" ht="36.75" customHeight="1">
      <c r="A173" s="82"/>
      <c r="B173" s="186" t="s">
        <v>40</v>
      </c>
      <c r="C173" s="180"/>
      <c r="D173" s="170"/>
      <c r="E173" s="171"/>
      <c r="F173" s="118"/>
      <c r="G173" s="155"/>
      <c r="H173" s="148"/>
      <c r="I173" s="148"/>
      <c r="J173" s="148"/>
      <c r="K173" s="187">
        <v>567</v>
      </c>
      <c r="L173" s="148"/>
      <c r="M173" s="82"/>
      <c r="N173" s="1"/>
      <c r="P173" s="83"/>
    </row>
    <row r="174" spans="1:16" ht="38.25" customHeight="1">
      <c r="A174" s="82"/>
      <c r="B174" s="186" t="s">
        <v>41</v>
      </c>
      <c r="C174" s="180"/>
      <c r="D174" s="170"/>
      <c r="E174" s="171"/>
      <c r="F174" s="118"/>
      <c r="G174" s="155"/>
      <c r="H174" s="148"/>
      <c r="I174" s="148"/>
      <c r="J174" s="148"/>
      <c r="K174" s="187">
        <v>493.32</v>
      </c>
      <c r="L174" s="148"/>
      <c r="M174" s="82"/>
      <c r="N174" s="1"/>
      <c r="P174" s="83"/>
    </row>
    <row r="175" spans="1:16" ht="32.25" customHeight="1">
      <c r="A175" s="82"/>
      <c r="B175" s="186" t="s">
        <v>42</v>
      </c>
      <c r="C175" s="180"/>
      <c r="D175" s="170"/>
      <c r="E175" s="171"/>
      <c r="F175" s="118"/>
      <c r="G175" s="155"/>
      <c r="H175" s="148"/>
      <c r="I175" s="148"/>
      <c r="J175" s="148"/>
      <c r="K175" s="187">
        <v>2010</v>
      </c>
      <c r="L175" s="148"/>
      <c r="M175" s="82"/>
      <c r="N175" s="1"/>
      <c r="P175" s="83"/>
    </row>
    <row r="176" spans="1:16" ht="42.75" customHeight="1">
      <c r="A176" s="82"/>
      <c r="B176" s="186" t="s">
        <v>43</v>
      </c>
      <c r="C176" s="180"/>
      <c r="D176" s="170"/>
      <c r="E176" s="171"/>
      <c r="F176" s="118"/>
      <c r="G176" s="155"/>
      <c r="H176" s="148"/>
      <c r="I176" s="148"/>
      <c r="J176" s="148"/>
      <c r="K176" s="187">
        <v>2450</v>
      </c>
      <c r="L176" s="148"/>
      <c r="M176" s="82"/>
      <c r="N176" s="1"/>
      <c r="P176" s="83"/>
    </row>
    <row r="177" spans="1:16" ht="38.25" customHeight="1">
      <c r="A177" s="82"/>
      <c r="B177" s="186" t="s">
        <v>44</v>
      </c>
      <c r="C177" s="180"/>
      <c r="D177" s="170"/>
      <c r="E177" s="171"/>
      <c r="F177" s="118"/>
      <c r="G177" s="155"/>
      <c r="H177" s="148"/>
      <c r="I177" s="148"/>
      <c r="J177" s="148"/>
      <c r="K177" s="187">
        <v>344.304</v>
      </c>
      <c r="L177" s="148"/>
      <c r="M177" s="82"/>
      <c r="N177" s="1"/>
      <c r="P177" s="83"/>
    </row>
    <row r="178" spans="1:16" ht="38.25" customHeight="1">
      <c r="A178" s="82"/>
      <c r="B178" s="186" t="s">
        <v>45</v>
      </c>
      <c r="C178" s="180"/>
      <c r="D178" s="170"/>
      <c r="E178" s="171"/>
      <c r="F178" s="118"/>
      <c r="G178" s="155"/>
      <c r="H178" s="148"/>
      <c r="I178" s="148"/>
      <c r="J178" s="148"/>
      <c r="K178" s="187">
        <v>516</v>
      </c>
      <c r="L178" s="148"/>
      <c r="M178" s="82"/>
      <c r="N178" s="1"/>
      <c r="P178" s="83"/>
    </row>
    <row r="179" spans="1:16" ht="63.75" customHeight="1">
      <c r="A179" s="82"/>
      <c r="B179" s="190" t="s">
        <v>48</v>
      </c>
      <c r="C179" s="191"/>
      <c r="D179" s="170"/>
      <c r="E179" s="171"/>
      <c r="F179" s="118"/>
      <c r="G179" s="155"/>
      <c r="H179" s="148"/>
      <c r="I179" s="148"/>
      <c r="J179" s="148"/>
      <c r="K179" s="118">
        <v>2800</v>
      </c>
      <c r="L179" s="148"/>
      <c r="M179" s="82"/>
      <c r="N179" s="1"/>
      <c r="P179" s="83"/>
    </row>
    <row r="180" spans="1:16" ht="56.25" customHeight="1">
      <c r="A180" s="82"/>
      <c r="B180" s="190" t="s">
        <v>47</v>
      </c>
      <c r="C180" s="191"/>
      <c r="D180" s="170"/>
      <c r="E180" s="171"/>
      <c r="F180" s="118"/>
      <c r="G180" s="155"/>
      <c r="H180" s="148"/>
      <c r="I180" s="148"/>
      <c r="J180" s="148"/>
      <c r="K180" s="118">
        <v>1200</v>
      </c>
      <c r="L180" s="148"/>
      <c r="M180" s="82"/>
      <c r="N180" s="1"/>
      <c r="P180" s="83"/>
    </row>
    <row r="181" spans="1:16" ht="54.75" customHeight="1">
      <c r="A181" s="82"/>
      <c r="B181" s="190" t="s">
        <v>295</v>
      </c>
      <c r="C181" s="191"/>
      <c r="D181" s="170"/>
      <c r="E181" s="171"/>
      <c r="F181" s="118"/>
      <c r="G181" s="155"/>
      <c r="H181" s="148"/>
      <c r="I181" s="148"/>
      <c r="J181" s="148"/>
      <c r="K181" s="123">
        <v>220</v>
      </c>
      <c r="L181" s="148"/>
      <c r="M181" s="82"/>
      <c r="N181" s="1"/>
      <c r="P181" s="83"/>
    </row>
    <row r="182" spans="1:16" ht="75">
      <c r="A182" s="82"/>
      <c r="B182" s="192" t="s">
        <v>305</v>
      </c>
      <c r="C182" s="191"/>
      <c r="D182" s="170"/>
      <c r="E182" s="171"/>
      <c r="F182" s="118"/>
      <c r="G182" s="155"/>
      <c r="H182" s="148"/>
      <c r="I182" s="148"/>
      <c r="J182" s="148"/>
      <c r="K182" s="118">
        <v>1800</v>
      </c>
      <c r="L182" s="148"/>
      <c r="M182" s="82"/>
      <c r="N182" s="1"/>
      <c r="P182" s="83"/>
    </row>
    <row r="183" spans="1:16" ht="37.5">
      <c r="A183" s="82"/>
      <c r="B183" s="193" t="s">
        <v>46</v>
      </c>
      <c r="C183" s="191"/>
      <c r="D183" s="170"/>
      <c r="E183" s="171"/>
      <c r="F183" s="118"/>
      <c r="G183" s="155"/>
      <c r="H183" s="148"/>
      <c r="I183" s="148"/>
      <c r="J183" s="148"/>
      <c r="K183" s="118">
        <v>5000</v>
      </c>
      <c r="L183" s="148"/>
      <c r="M183" s="82"/>
      <c r="N183" s="1"/>
      <c r="P183" s="83"/>
    </row>
    <row r="184" spans="1:16" ht="75">
      <c r="A184" s="82"/>
      <c r="B184" s="193" t="s">
        <v>49</v>
      </c>
      <c r="C184" s="191"/>
      <c r="D184" s="170"/>
      <c r="E184" s="171"/>
      <c r="F184" s="118"/>
      <c r="G184" s="155"/>
      <c r="H184" s="148"/>
      <c r="I184" s="148"/>
      <c r="J184" s="148"/>
      <c r="K184" s="118">
        <v>2500</v>
      </c>
      <c r="L184" s="148"/>
      <c r="M184" s="82"/>
      <c r="N184" s="1"/>
      <c r="P184" s="83"/>
    </row>
    <row r="185" spans="1:16" ht="75">
      <c r="A185" s="82"/>
      <c r="B185" s="193" t="s">
        <v>50</v>
      </c>
      <c r="C185" s="191"/>
      <c r="D185" s="170"/>
      <c r="E185" s="171"/>
      <c r="F185" s="118"/>
      <c r="G185" s="155"/>
      <c r="H185" s="148"/>
      <c r="I185" s="148"/>
      <c r="J185" s="148"/>
      <c r="K185" s="118">
        <v>4000</v>
      </c>
      <c r="L185" s="148"/>
      <c r="M185" s="82"/>
      <c r="N185" s="1"/>
      <c r="P185" s="83"/>
    </row>
    <row r="186" spans="1:16" ht="56.25">
      <c r="A186" s="82"/>
      <c r="B186" s="190" t="s">
        <v>292</v>
      </c>
      <c r="C186" s="180"/>
      <c r="D186" s="170"/>
      <c r="E186" s="171"/>
      <c r="F186" s="118"/>
      <c r="G186" s="155"/>
      <c r="H186" s="148"/>
      <c r="I186" s="148"/>
      <c r="J186" s="148"/>
      <c r="K186" s="118">
        <v>178.8</v>
      </c>
      <c r="L186" s="148"/>
      <c r="M186" s="82"/>
      <c r="N186" s="1"/>
      <c r="P186" s="83"/>
    </row>
    <row r="187" spans="1:16" ht="56.25">
      <c r="A187" s="82"/>
      <c r="B187" s="194" t="s">
        <v>291</v>
      </c>
      <c r="C187" s="191"/>
      <c r="D187" s="170"/>
      <c r="E187" s="171"/>
      <c r="F187" s="118"/>
      <c r="G187" s="155"/>
      <c r="H187" s="148"/>
      <c r="I187" s="148"/>
      <c r="J187" s="148"/>
      <c r="K187" s="118">
        <v>1092</v>
      </c>
      <c r="L187" s="148"/>
      <c r="M187" s="82"/>
      <c r="N187" s="1"/>
      <c r="P187" s="83"/>
    </row>
    <row r="188" spans="1:16" ht="56.25">
      <c r="A188" s="82"/>
      <c r="B188" s="193" t="s">
        <v>309</v>
      </c>
      <c r="C188" s="191"/>
      <c r="D188" s="170"/>
      <c r="E188" s="171"/>
      <c r="F188" s="118"/>
      <c r="G188" s="155"/>
      <c r="H188" s="148"/>
      <c r="I188" s="148"/>
      <c r="J188" s="148"/>
      <c r="K188" s="118">
        <v>3000</v>
      </c>
      <c r="L188" s="148"/>
      <c r="M188" s="82"/>
      <c r="N188" s="1"/>
      <c r="P188" s="83"/>
    </row>
    <row r="189" spans="1:16" ht="75">
      <c r="A189" s="82">
        <v>8</v>
      </c>
      <c r="B189" s="195" t="s">
        <v>254</v>
      </c>
      <c r="C189" s="102" t="s">
        <v>99</v>
      </c>
      <c r="D189" s="170"/>
      <c r="E189" s="171"/>
      <c r="F189" s="118"/>
      <c r="G189" s="155"/>
      <c r="H189" s="148"/>
      <c r="I189" s="148"/>
      <c r="J189" s="148"/>
      <c r="K189" s="117">
        <f>K190+K191+K192+K193+K194</f>
        <v>28850</v>
      </c>
      <c r="L189" s="148"/>
      <c r="M189" s="82" t="s">
        <v>168</v>
      </c>
      <c r="N189" s="1"/>
      <c r="P189" s="83"/>
    </row>
    <row r="190" spans="1:16" ht="18.75">
      <c r="A190" s="82"/>
      <c r="B190" s="183" t="s">
        <v>317</v>
      </c>
      <c r="C190" s="102"/>
      <c r="D190" s="170"/>
      <c r="E190" s="171"/>
      <c r="F190" s="118"/>
      <c r="G190" s="155"/>
      <c r="H190" s="148"/>
      <c r="I190" s="148"/>
      <c r="J190" s="148"/>
      <c r="K190" s="118">
        <v>6598.5</v>
      </c>
      <c r="L190" s="148"/>
      <c r="M190" s="82"/>
      <c r="N190" s="1"/>
      <c r="P190" s="83"/>
    </row>
    <row r="191" spans="1:16" ht="18.75">
      <c r="A191" s="82"/>
      <c r="B191" s="183" t="s">
        <v>318</v>
      </c>
      <c r="C191" s="102"/>
      <c r="D191" s="170"/>
      <c r="E191" s="171"/>
      <c r="F191" s="118"/>
      <c r="G191" s="155"/>
      <c r="H191" s="148"/>
      <c r="I191" s="148"/>
      <c r="J191" s="148"/>
      <c r="K191" s="118">
        <v>3315</v>
      </c>
      <c r="L191" s="148"/>
      <c r="M191" s="82"/>
      <c r="N191" s="1"/>
      <c r="P191" s="83"/>
    </row>
    <row r="192" spans="1:16" ht="18.75">
      <c r="A192" s="82"/>
      <c r="B192" s="183" t="s">
        <v>319</v>
      </c>
      <c r="C192" s="167"/>
      <c r="D192" s="170"/>
      <c r="E192" s="171"/>
      <c r="F192" s="118"/>
      <c r="G192" s="155"/>
      <c r="H192" s="148"/>
      <c r="I192" s="148"/>
      <c r="J192" s="148"/>
      <c r="K192" s="118">
        <v>5241.5</v>
      </c>
      <c r="L192" s="148"/>
      <c r="M192" s="82"/>
      <c r="N192" s="1"/>
      <c r="P192" s="83"/>
    </row>
    <row r="193" spans="1:16" ht="18.75">
      <c r="A193" s="82"/>
      <c r="B193" s="183" t="s">
        <v>293</v>
      </c>
      <c r="C193" s="167"/>
      <c r="D193" s="170"/>
      <c r="E193" s="171"/>
      <c r="F193" s="118"/>
      <c r="G193" s="155"/>
      <c r="H193" s="148"/>
      <c r="I193" s="148"/>
      <c r="J193" s="148"/>
      <c r="K193" s="118">
        <v>13695</v>
      </c>
      <c r="L193" s="148"/>
      <c r="M193" s="82"/>
      <c r="N193" s="1"/>
      <c r="P193" s="83"/>
    </row>
    <row r="194" spans="1:16" ht="18.75">
      <c r="A194" s="82"/>
      <c r="B194" s="183"/>
      <c r="C194" s="167"/>
      <c r="D194" s="170"/>
      <c r="E194" s="171"/>
      <c r="F194" s="118"/>
      <c r="G194" s="155"/>
      <c r="H194" s="148"/>
      <c r="I194" s="148"/>
      <c r="J194" s="148"/>
      <c r="K194" s="118"/>
      <c r="L194" s="148"/>
      <c r="M194" s="82"/>
      <c r="N194" s="1"/>
      <c r="P194" s="83"/>
    </row>
    <row r="195" spans="1:14" ht="18.75">
      <c r="A195" s="196"/>
      <c r="B195" s="114" t="s">
        <v>53</v>
      </c>
      <c r="C195" s="112"/>
      <c r="D195" s="152">
        <f>D14+D43++D63+D77+D82+D86+D93+D107</f>
        <v>79404.991</v>
      </c>
      <c r="E195" s="152">
        <f>E14+E43++E63+E77+E82+E86+E93</f>
        <v>47</v>
      </c>
      <c r="F195" s="122">
        <f>F14+F43+F63+F77+F82</f>
        <v>0</v>
      </c>
      <c r="G195" s="197">
        <f>G14+G43+G63+G77+G82+G86+G93+G107</f>
        <v>79404.991</v>
      </c>
      <c r="H195" s="152">
        <f>H14+H43+H63</f>
        <v>0</v>
      </c>
      <c r="I195" s="152">
        <f>I14+I43+I63</f>
        <v>0</v>
      </c>
      <c r="J195" s="152">
        <f>J14+J43+J63</f>
        <v>47</v>
      </c>
      <c r="K195" s="198">
        <f>K162+K155+K132+K134+K126+K122+K117+K189</f>
        <v>133855.724</v>
      </c>
      <c r="L195" s="152"/>
      <c r="M195" s="153"/>
      <c r="N195" s="1"/>
    </row>
    <row r="196" spans="1:14" ht="15.75">
      <c r="A196" s="87"/>
      <c r="B196" s="22"/>
      <c r="C196" s="4"/>
      <c r="D196" s="7"/>
      <c r="E196" s="7"/>
      <c r="F196" s="88"/>
      <c r="G196" s="7"/>
      <c r="H196" s="7"/>
      <c r="I196" s="7"/>
      <c r="J196" s="7"/>
      <c r="K196" s="7"/>
      <c r="L196" s="7"/>
      <c r="M196" s="64"/>
      <c r="N196" s="1"/>
    </row>
    <row r="197" spans="1:14" ht="15.75">
      <c r="A197" s="87"/>
      <c r="B197" s="22"/>
      <c r="C197" s="4"/>
      <c r="D197" s="7"/>
      <c r="E197" s="7"/>
      <c r="F197" s="88"/>
      <c r="G197" s="7"/>
      <c r="H197" s="7"/>
      <c r="I197" s="7"/>
      <c r="J197" s="7"/>
      <c r="K197" s="7"/>
      <c r="L197" s="7"/>
      <c r="M197" s="64"/>
      <c r="N197" s="1"/>
    </row>
    <row r="198" spans="2:14" ht="15.75">
      <c r="B198" s="22"/>
      <c r="C198" s="4"/>
      <c r="D198" s="7"/>
      <c r="E198" s="7"/>
      <c r="F198" s="7"/>
      <c r="G198" s="7"/>
      <c r="H198" s="7"/>
      <c r="I198" s="7"/>
      <c r="J198" s="7"/>
      <c r="K198" s="7"/>
      <c r="L198" s="7"/>
      <c r="M198" s="64"/>
      <c r="N198" s="1"/>
    </row>
    <row r="199" spans="2:14" ht="48" customHeight="1">
      <c r="B199" s="247" t="s">
        <v>105</v>
      </c>
      <c r="C199" s="247"/>
      <c r="D199" s="20"/>
      <c r="E199" s="20"/>
      <c r="F199" s="9"/>
      <c r="G199" s="9"/>
      <c r="K199" s="89"/>
      <c r="L199" s="89"/>
      <c r="M199" s="90" t="s">
        <v>121</v>
      </c>
      <c r="N199" s="89"/>
    </row>
    <row r="200" spans="2:14" ht="16.5" customHeight="1">
      <c r="B200" s="91"/>
      <c r="C200" s="20"/>
      <c r="D200" s="20"/>
      <c r="E200" s="20"/>
      <c r="F200" s="9"/>
      <c r="G200" s="9"/>
      <c r="K200" s="89"/>
      <c r="L200" s="89"/>
      <c r="M200" s="90"/>
      <c r="N200" s="89"/>
    </row>
    <row r="201" spans="2:14" ht="18.75">
      <c r="B201" s="91"/>
      <c r="C201" s="20"/>
      <c r="D201" s="20"/>
      <c r="E201" s="20"/>
      <c r="F201" s="9"/>
      <c r="G201" s="9"/>
      <c r="K201" s="89"/>
      <c r="L201" s="89"/>
      <c r="M201" s="90"/>
      <c r="N201" s="89"/>
    </row>
    <row r="202" spans="2:13" ht="18.75">
      <c r="B202" s="284" t="s">
        <v>100</v>
      </c>
      <c r="C202" s="284"/>
      <c r="D202" s="92"/>
      <c r="E202" s="92"/>
      <c r="F202" s="8"/>
      <c r="G202" s="8"/>
      <c r="H202" s="8"/>
      <c r="I202" s="8"/>
      <c r="J202" s="8"/>
      <c r="K202" s="1"/>
      <c r="L202" s="1"/>
      <c r="M202" s="1"/>
    </row>
    <row r="203" spans="2:15" ht="27" customHeight="1">
      <c r="B203" s="93" t="s">
        <v>81</v>
      </c>
      <c r="C203" s="94"/>
      <c r="D203" s="8"/>
      <c r="E203" s="8"/>
      <c r="F203" s="8"/>
      <c r="G203" s="8"/>
      <c r="H203" s="8"/>
      <c r="I203" s="8"/>
      <c r="J203" s="8"/>
      <c r="K203" s="1"/>
      <c r="L203" s="1"/>
      <c r="M203" s="1"/>
      <c r="O203" s="3"/>
    </row>
    <row r="204" spans="2:13" ht="15.75">
      <c r="B204" s="95"/>
      <c r="C204" s="12"/>
      <c r="D204" s="77"/>
      <c r="E204" s="77"/>
      <c r="F204" s="8"/>
      <c r="G204" s="8"/>
      <c r="H204" s="8"/>
      <c r="I204" s="8"/>
      <c r="J204" s="8"/>
      <c r="K204" s="1"/>
      <c r="L204" s="1"/>
      <c r="M204" s="1"/>
    </row>
    <row r="205" spans="3:12" ht="15.75">
      <c r="C205" s="77"/>
      <c r="D205" s="8"/>
      <c r="E205" s="8"/>
      <c r="F205" s="8"/>
      <c r="G205" s="8"/>
      <c r="H205" s="8"/>
      <c r="I205" s="8"/>
      <c r="J205" s="8"/>
      <c r="K205" s="8"/>
      <c r="L205" s="8"/>
    </row>
    <row r="206" spans="3:12" ht="15.75">
      <c r="C206" s="78"/>
      <c r="D206" s="8"/>
      <c r="E206" s="8"/>
      <c r="F206" s="8"/>
      <c r="G206" s="8"/>
      <c r="H206" s="8"/>
      <c r="I206" s="8"/>
      <c r="J206" s="8"/>
      <c r="K206" s="8"/>
      <c r="L206" s="8"/>
    </row>
    <row r="208" ht="12.75">
      <c r="I208" s="97"/>
    </row>
  </sheetData>
  <sheetProtection/>
  <mergeCells count="16">
    <mergeCell ref="A11:A13"/>
    <mergeCell ref="B11:B13"/>
    <mergeCell ref="C11:C13"/>
    <mergeCell ref="D11:E12"/>
    <mergeCell ref="B199:C199"/>
    <mergeCell ref="B202:C202"/>
    <mergeCell ref="L1:M1"/>
    <mergeCell ref="L2:M2"/>
    <mergeCell ref="L7:M7"/>
    <mergeCell ref="B9:M9"/>
    <mergeCell ref="D10:I10"/>
    <mergeCell ref="F11:L11"/>
    <mergeCell ref="M11:M13"/>
    <mergeCell ref="F12:F13"/>
    <mergeCell ref="G12:J12"/>
    <mergeCell ref="K12:L12"/>
  </mergeCells>
  <printOptions horizontalCentered="1"/>
  <pageMargins left="0" right="0" top="0" bottom="0" header="0" footer="0"/>
  <pageSetup fitToHeight="4" fitToWidth="1" horizontalDpi="600" verticalDpi="600" orientation="portrait" paperSize="9" scale="40" r:id="rId1"/>
  <rowBreaks count="3" manualBreakCount="3">
    <brk id="72" max="12" man="1"/>
    <brk id="116" max="12" man="1"/>
    <brk id="15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40"/>
  <sheetViews>
    <sheetView view="pageBreakPreview" zoomScale="83" zoomScaleSheetLayoutView="83" zoomScalePageLayoutView="0" workbookViewId="0" topLeftCell="A16">
      <selection activeCell="J19" sqref="J19"/>
    </sheetView>
  </sheetViews>
  <sheetFormatPr defaultColWidth="9.140625" defaultRowHeight="12.75"/>
  <cols>
    <col min="1" max="1" width="5.28125" style="0" customWidth="1"/>
    <col min="2" max="2" width="46.140625" style="0" customWidth="1"/>
    <col min="3" max="3" width="17.57421875" style="0" customWidth="1"/>
    <col min="4" max="4" width="14.421875" style="0" customWidth="1"/>
    <col min="5" max="5" width="14.00390625" style="0" customWidth="1"/>
    <col min="6" max="6" width="14.28125" style="0" customWidth="1"/>
    <col min="7" max="8" width="11.57421875" style="0" hidden="1" customWidth="1"/>
    <col min="9" max="9" width="12.57421875" style="0" hidden="1" customWidth="1"/>
    <col min="10" max="10" width="12.7109375" style="0" customWidth="1"/>
    <col min="11" max="11" width="43.28125" style="0" customWidth="1"/>
  </cols>
  <sheetData>
    <row r="1" spans="2:11" ht="18.75">
      <c r="B1" s="1"/>
      <c r="C1" s="1"/>
      <c r="D1" s="1"/>
      <c r="E1" s="1"/>
      <c r="F1" s="1"/>
      <c r="G1" s="1"/>
      <c r="H1" s="1"/>
      <c r="I1" s="2" t="s">
        <v>106</v>
      </c>
      <c r="J1" s="285" t="s">
        <v>326</v>
      </c>
      <c r="K1" s="285"/>
    </row>
    <row r="2" spans="2:11" ht="18.75">
      <c r="B2" s="1"/>
      <c r="C2" s="1"/>
      <c r="D2" s="1"/>
      <c r="E2" s="1"/>
      <c r="F2" s="1"/>
      <c r="G2" s="1"/>
      <c r="H2" s="1"/>
      <c r="I2" s="3" t="s">
        <v>94</v>
      </c>
      <c r="J2" s="261" t="s">
        <v>94</v>
      </c>
      <c r="K2" s="261"/>
    </row>
    <row r="3" spans="2:11" ht="18.75">
      <c r="B3" s="1"/>
      <c r="C3" s="1"/>
      <c r="D3" s="1"/>
      <c r="E3" s="1"/>
      <c r="F3" s="1"/>
      <c r="G3" s="1"/>
      <c r="H3" s="1"/>
      <c r="I3" s="3" t="s">
        <v>107</v>
      </c>
      <c r="J3" s="107" t="s">
        <v>108</v>
      </c>
      <c r="K3" s="107"/>
    </row>
    <row r="4" spans="2:11" ht="18.75">
      <c r="B4" s="1"/>
      <c r="C4" s="1"/>
      <c r="D4" s="1"/>
      <c r="E4" s="1"/>
      <c r="F4" s="1"/>
      <c r="G4" s="1"/>
      <c r="H4" s="1"/>
      <c r="I4" s="3" t="s">
        <v>109</v>
      </c>
      <c r="J4" s="107" t="s">
        <v>110</v>
      </c>
      <c r="K4" s="107"/>
    </row>
    <row r="5" spans="2:11" ht="18.75">
      <c r="B5" s="1"/>
      <c r="C5" s="1"/>
      <c r="D5" s="1"/>
      <c r="E5" s="1"/>
      <c r="F5" s="1"/>
      <c r="G5" s="1"/>
      <c r="H5" s="1"/>
      <c r="I5" s="3" t="s">
        <v>111</v>
      </c>
      <c r="J5" s="107" t="s">
        <v>112</v>
      </c>
      <c r="K5" s="107"/>
    </row>
    <row r="6" spans="2:11" ht="18.75">
      <c r="B6" s="1"/>
      <c r="C6" s="1"/>
      <c r="D6" s="1"/>
      <c r="E6" s="1"/>
      <c r="F6" s="1"/>
      <c r="G6" s="1"/>
      <c r="H6" s="11"/>
      <c r="I6" s="3" t="s">
        <v>113</v>
      </c>
      <c r="J6" s="107" t="s">
        <v>114</v>
      </c>
      <c r="K6" s="107"/>
    </row>
    <row r="7" spans="2:11" ht="15.75" customHeight="1">
      <c r="B7" s="1"/>
      <c r="C7" s="1"/>
      <c r="D7" s="1"/>
      <c r="E7" s="1"/>
      <c r="F7" s="1"/>
      <c r="G7" s="1"/>
      <c r="H7" s="11"/>
      <c r="I7" s="3" t="s">
        <v>115</v>
      </c>
      <c r="J7" s="260" t="s">
        <v>321</v>
      </c>
      <c r="K7" s="261"/>
    </row>
    <row r="8" spans="2:11" ht="15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8.75">
      <c r="B9" s="286" t="s">
        <v>283</v>
      </c>
      <c r="C9" s="286"/>
      <c r="D9" s="286"/>
      <c r="E9" s="286"/>
      <c r="F9" s="286"/>
      <c r="G9" s="286"/>
      <c r="H9" s="286"/>
      <c r="I9" s="286"/>
      <c r="J9" s="286"/>
      <c r="K9" s="286"/>
    </row>
    <row r="10" spans="2:11" ht="15.75">
      <c r="B10" s="1"/>
      <c r="C10" s="1"/>
      <c r="D10" s="278"/>
      <c r="E10" s="278"/>
      <c r="F10" s="278"/>
      <c r="G10" s="278"/>
      <c r="H10" s="278"/>
      <c r="I10" s="1"/>
      <c r="J10" s="1"/>
      <c r="K10" s="81" t="s">
        <v>116</v>
      </c>
    </row>
    <row r="11" spans="1:11" ht="18.75">
      <c r="A11" s="255" t="s">
        <v>54</v>
      </c>
      <c r="B11" s="255" t="s">
        <v>95</v>
      </c>
      <c r="C11" s="255" t="s">
        <v>96</v>
      </c>
      <c r="D11" s="255" t="s">
        <v>97</v>
      </c>
      <c r="E11" s="287" t="s">
        <v>57</v>
      </c>
      <c r="F11" s="287"/>
      <c r="G11" s="287"/>
      <c r="H11" s="287"/>
      <c r="I11" s="287"/>
      <c r="J11" s="282"/>
      <c r="K11" s="251" t="s">
        <v>98</v>
      </c>
    </row>
    <row r="12" spans="1:11" ht="12.75">
      <c r="A12" s="256"/>
      <c r="B12" s="256"/>
      <c r="C12" s="256"/>
      <c r="D12" s="256"/>
      <c r="E12" s="255" t="s">
        <v>58</v>
      </c>
      <c r="F12" s="255" t="s">
        <v>59</v>
      </c>
      <c r="G12" s="255" t="s">
        <v>117</v>
      </c>
      <c r="H12" s="255" t="s">
        <v>118</v>
      </c>
      <c r="I12" s="255" t="s">
        <v>119</v>
      </c>
      <c r="J12" s="251" t="s">
        <v>120</v>
      </c>
      <c r="K12" s="251"/>
    </row>
    <row r="13" spans="1:11" ht="22.5" customHeight="1">
      <c r="A13" s="257"/>
      <c r="B13" s="257"/>
      <c r="C13" s="257"/>
      <c r="D13" s="257"/>
      <c r="E13" s="257"/>
      <c r="F13" s="257"/>
      <c r="G13" s="257"/>
      <c r="H13" s="257"/>
      <c r="I13" s="257"/>
      <c r="J13" s="251"/>
      <c r="K13" s="251"/>
    </row>
    <row r="14" spans="1:11" ht="75">
      <c r="A14" s="82">
        <v>1</v>
      </c>
      <c r="B14" s="137" t="s">
        <v>284</v>
      </c>
      <c r="C14" s="82" t="s">
        <v>99</v>
      </c>
      <c r="D14" s="152">
        <f aca="true" t="shared" si="0" ref="D14:D22">SUM(E14:J14)</f>
        <v>140</v>
      </c>
      <c r="E14" s="148"/>
      <c r="F14" s="151">
        <f>120-50</f>
        <v>70</v>
      </c>
      <c r="G14" s="148"/>
      <c r="H14" s="148"/>
      <c r="I14" s="148"/>
      <c r="J14" s="148">
        <f>50+20</f>
        <v>70</v>
      </c>
      <c r="K14" s="82" t="s">
        <v>277</v>
      </c>
    </row>
    <row r="15" spans="1:11" ht="168.75">
      <c r="A15" s="82">
        <v>2</v>
      </c>
      <c r="B15" s="137" t="s">
        <v>285</v>
      </c>
      <c r="C15" s="82" t="s">
        <v>99</v>
      </c>
      <c r="D15" s="152">
        <f t="shared" si="0"/>
        <v>14256.169999999998</v>
      </c>
      <c r="E15" s="149">
        <f>1200+1000</f>
        <v>2200</v>
      </c>
      <c r="F15" s="151">
        <f>2100+2729+1057.61</f>
        <v>5886.61</v>
      </c>
      <c r="G15" s="148"/>
      <c r="H15" s="148"/>
      <c r="I15" s="148"/>
      <c r="J15" s="148">
        <f>2970.96+3198.6</f>
        <v>6169.5599999999995</v>
      </c>
      <c r="K15" s="82" t="s">
        <v>277</v>
      </c>
    </row>
    <row r="16" spans="1:11" ht="75">
      <c r="A16" s="82">
        <v>3</v>
      </c>
      <c r="B16" s="137" t="s">
        <v>286</v>
      </c>
      <c r="C16" s="82" t="s">
        <v>99</v>
      </c>
      <c r="D16" s="152">
        <f t="shared" si="0"/>
        <v>150.4</v>
      </c>
      <c r="E16" s="149">
        <v>150.4</v>
      </c>
      <c r="F16" s="148"/>
      <c r="G16" s="148"/>
      <c r="H16" s="148"/>
      <c r="I16" s="148"/>
      <c r="J16" s="148"/>
      <c r="K16" s="82" t="s">
        <v>277</v>
      </c>
    </row>
    <row r="17" spans="1:11" ht="75">
      <c r="A17" s="82">
        <v>4</v>
      </c>
      <c r="B17" s="137" t="s">
        <v>276</v>
      </c>
      <c r="C17" s="82" t="s">
        <v>99</v>
      </c>
      <c r="D17" s="152">
        <f t="shared" si="0"/>
        <v>257.9</v>
      </c>
      <c r="E17" s="149">
        <v>127.9</v>
      </c>
      <c r="F17" s="151">
        <v>130</v>
      </c>
      <c r="G17" s="148"/>
      <c r="H17" s="148"/>
      <c r="I17" s="148"/>
      <c r="J17" s="148"/>
      <c r="K17" s="82" t="s">
        <v>277</v>
      </c>
    </row>
    <row r="18" spans="1:11" ht="75">
      <c r="A18" s="82">
        <v>5</v>
      </c>
      <c r="B18" s="116" t="s">
        <v>278</v>
      </c>
      <c r="C18" s="102" t="s">
        <v>99</v>
      </c>
      <c r="D18" s="117">
        <f t="shared" si="0"/>
        <v>524.2</v>
      </c>
      <c r="E18" s="151">
        <v>224.2</v>
      </c>
      <c r="F18" s="151"/>
      <c r="G18" s="148"/>
      <c r="H18" s="148"/>
      <c r="I18" s="148"/>
      <c r="J18" s="148">
        <f>200+100</f>
        <v>300</v>
      </c>
      <c r="K18" s="82" t="s">
        <v>277</v>
      </c>
    </row>
    <row r="19" spans="1:11" ht="93.75">
      <c r="A19" s="82">
        <v>6</v>
      </c>
      <c r="B19" s="116" t="s">
        <v>287</v>
      </c>
      <c r="C19" s="102" t="s">
        <v>99</v>
      </c>
      <c r="D19" s="117">
        <f t="shared" si="0"/>
        <v>70.1</v>
      </c>
      <c r="E19" s="151"/>
      <c r="F19" s="151">
        <v>70.1</v>
      </c>
      <c r="G19" s="148"/>
      <c r="H19" s="148"/>
      <c r="I19" s="148"/>
      <c r="J19" s="148"/>
      <c r="K19" s="82" t="s">
        <v>277</v>
      </c>
    </row>
    <row r="20" spans="1:11" ht="75">
      <c r="A20" s="82">
        <v>7</v>
      </c>
      <c r="B20" s="116" t="s">
        <v>288</v>
      </c>
      <c r="C20" s="102" t="s">
        <v>99</v>
      </c>
      <c r="D20" s="117">
        <f t="shared" si="0"/>
        <v>50.1</v>
      </c>
      <c r="E20" s="151"/>
      <c r="F20" s="151">
        <v>50.1</v>
      </c>
      <c r="G20" s="148"/>
      <c r="H20" s="148"/>
      <c r="I20" s="148"/>
      <c r="J20" s="148"/>
      <c r="K20" s="82" t="s">
        <v>277</v>
      </c>
    </row>
    <row r="21" spans="1:11" ht="75">
      <c r="A21" s="82">
        <v>8</v>
      </c>
      <c r="B21" s="116" t="s">
        <v>341</v>
      </c>
      <c r="C21" s="102" t="s">
        <v>99</v>
      </c>
      <c r="D21" s="117">
        <f t="shared" si="0"/>
        <v>4800</v>
      </c>
      <c r="E21" s="151"/>
      <c r="F21" s="151">
        <f>3129.5+300.7+664.534+174.6+200.666+230</f>
        <v>4700</v>
      </c>
      <c r="G21" s="148"/>
      <c r="H21" s="148"/>
      <c r="I21" s="148"/>
      <c r="J21" s="148">
        <v>100</v>
      </c>
      <c r="K21" s="82" t="s">
        <v>277</v>
      </c>
    </row>
    <row r="22" spans="1:11" ht="75">
      <c r="A22" s="82">
        <v>9</v>
      </c>
      <c r="B22" s="116" t="s">
        <v>320</v>
      </c>
      <c r="C22" s="102" t="s">
        <v>99</v>
      </c>
      <c r="D22" s="117">
        <f t="shared" si="0"/>
        <v>180</v>
      </c>
      <c r="E22" s="151"/>
      <c r="F22" s="151"/>
      <c r="G22" s="148"/>
      <c r="H22" s="148"/>
      <c r="I22" s="148"/>
      <c r="J22" s="148">
        <v>180</v>
      </c>
      <c r="K22" s="82" t="s">
        <v>277</v>
      </c>
    </row>
    <row r="23" spans="1:11" ht="18.75">
      <c r="A23" s="196"/>
      <c r="B23" s="110" t="s">
        <v>53</v>
      </c>
      <c r="C23" s="112"/>
      <c r="D23" s="152">
        <f aca="true" t="shared" si="1" ref="D23:I23">D14+D15+D16+D17+D18+D19+D20+D21</f>
        <v>20248.87</v>
      </c>
      <c r="E23" s="152">
        <f t="shared" si="1"/>
        <v>2702.5</v>
      </c>
      <c r="F23" s="197">
        <f t="shared" si="1"/>
        <v>10906.810000000001</v>
      </c>
      <c r="G23" s="152">
        <f t="shared" si="1"/>
        <v>0</v>
      </c>
      <c r="H23" s="152">
        <f t="shared" si="1"/>
        <v>0</v>
      </c>
      <c r="I23" s="152">
        <f t="shared" si="1"/>
        <v>0</v>
      </c>
      <c r="J23" s="152">
        <f>J14+J15+J16+J17+J18+J19+J20+J21+J22</f>
        <v>6819.5599999999995</v>
      </c>
      <c r="K23" s="153"/>
    </row>
    <row r="24" spans="1:11" ht="15.75">
      <c r="A24" s="98"/>
      <c r="B24" s="4"/>
      <c r="C24" s="4"/>
      <c r="D24" s="7"/>
      <c r="E24" s="7"/>
      <c r="F24" s="7"/>
      <c r="G24" s="7"/>
      <c r="H24" s="7"/>
      <c r="I24" s="7"/>
      <c r="J24" s="7"/>
      <c r="K24" s="64"/>
    </row>
    <row r="25" spans="1:11" ht="15.75">
      <c r="A25" s="98"/>
      <c r="B25" s="4"/>
      <c r="C25" s="4"/>
      <c r="D25" s="7"/>
      <c r="E25" s="7"/>
      <c r="F25" s="7"/>
      <c r="G25" s="7"/>
      <c r="H25" s="7"/>
      <c r="I25" s="7"/>
      <c r="J25" s="7"/>
      <c r="K25" s="64"/>
    </row>
    <row r="26" spans="1:11" ht="15.75">
      <c r="A26" s="98"/>
      <c r="B26" s="4"/>
      <c r="C26" s="4"/>
      <c r="D26" s="7"/>
      <c r="E26" s="7"/>
      <c r="F26" s="7"/>
      <c r="G26" s="7"/>
      <c r="H26" s="7"/>
      <c r="I26" s="7"/>
      <c r="J26" s="7"/>
      <c r="K26" s="64"/>
    </row>
    <row r="27" spans="2:11" ht="15.75">
      <c r="B27" s="4"/>
      <c r="C27" s="4"/>
      <c r="D27" s="7"/>
      <c r="E27" s="7"/>
      <c r="F27" s="7"/>
      <c r="G27" s="7"/>
      <c r="H27" s="7"/>
      <c r="I27" s="7"/>
      <c r="J27" s="7"/>
      <c r="K27" s="64"/>
    </row>
    <row r="28" spans="2:11" ht="18.75">
      <c r="B28" s="247" t="s">
        <v>105</v>
      </c>
      <c r="C28" s="247"/>
      <c r="D28" s="20"/>
      <c r="E28" s="9"/>
      <c r="F28" s="9"/>
      <c r="J28" s="89"/>
      <c r="K28" s="90" t="s">
        <v>121</v>
      </c>
    </row>
    <row r="29" spans="2:11" ht="18.75">
      <c r="B29" s="20"/>
      <c r="C29" s="20"/>
      <c r="D29" s="20"/>
      <c r="E29" s="9"/>
      <c r="F29" s="9"/>
      <c r="J29" s="89"/>
      <c r="K29" s="90"/>
    </row>
    <row r="30" spans="2:11" ht="18.75">
      <c r="B30" s="20"/>
      <c r="C30" s="20"/>
      <c r="D30" s="20"/>
      <c r="E30" s="9"/>
      <c r="F30" s="9"/>
      <c r="J30" s="89"/>
      <c r="K30" s="90"/>
    </row>
    <row r="31" spans="2:11" ht="18.75">
      <c r="B31" s="20"/>
      <c r="C31" s="20"/>
      <c r="D31" s="20"/>
      <c r="E31" s="9"/>
      <c r="F31" s="9"/>
      <c r="J31" s="89"/>
      <c r="K31" s="90"/>
    </row>
    <row r="32" spans="2:11" ht="18.75">
      <c r="B32" s="20"/>
      <c r="C32" s="20"/>
      <c r="D32" s="20"/>
      <c r="E32" s="9"/>
      <c r="F32" s="9"/>
      <c r="J32" s="89"/>
      <c r="K32" s="90"/>
    </row>
    <row r="33" spans="2:11" ht="18.75">
      <c r="B33" s="20"/>
      <c r="C33" s="20"/>
      <c r="D33" s="20"/>
      <c r="E33" s="9"/>
      <c r="F33" s="9"/>
      <c r="J33" s="89"/>
      <c r="K33" s="90"/>
    </row>
    <row r="34" spans="2:11" ht="18.75">
      <c r="B34" s="284" t="s">
        <v>100</v>
      </c>
      <c r="C34" s="284"/>
      <c r="D34" s="92"/>
      <c r="E34" s="8"/>
      <c r="F34" s="8"/>
      <c r="G34" s="8"/>
      <c r="H34" s="8"/>
      <c r="I34" s="8"/>
      <c r="J34" s="1"/>
      <c r="K34" s="1"/>
    </row>
    <row r="35" spans="2:11" ht="15.75">
      <c r="B35" s="94" t="s">
        <v>81</v>
      </c>
      <c r="C35" s="94"/>
      <c r="D35" s="8"/>
      <c r="E35" s="8"/>
      <c r="F35" s="8"/>
      <c r="G35" s="8"/>
      <c r="H35" s="8"/>
      <c r="I35" s="8"/>
      <c r="J35" s="1"/>
      <c r="K35" s="1"/>
    </row>
    <row r="36" spans="2:11" ht="15.75">
      <c r="B36" s="76"/>
      <c r="C36" s="12"/>
      <c r="D36" s="77"/>
      <c r="E36" s="8"/>
      <c r="F36" s="8"/>
      <c r="G36" s="8"/>
      <c r="H36" s="8"/>
      <c r="I36" s="8"/>
      <c r="J36" s="1"/>
      <c r="K36" s="1"/>
    </row>
    <row r="37" spans="3:10" ht="15.75">
      <c r="C37" s="77"/>
      <c r="D37" s="8"/>
      <c r="E37" s="8"/>
      <c r="F37" s="8"/>
      <c r="G37" s="8"/>
      <c r="H37" s="8"/>
      <c r="I37" s="8"/>
      <c r="J37" s="8"/>
    </row>
    <row r="38" spans="3:10" ht="15.75">
      <c r="C38" s="78"/>
      <c r="D38" s="8"/>
      <c r="E38" s="8"/>
      <c r="F38" s="8"/>
      <c r="G38" s="8"/>
      <c r="H38" s="8"/>
      <c r="I38" s="8"/>
      <c r="J38" s="8"/>
    </row>
    <row r="40" ht="12.75">
      <c r="H40" s="6"/>
    </row>
  </sheetData>
  <sheetProtection/>
  <mergeCells count="19"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  <mergeCell ref="B28:C28"/>
    <mergeCell ref="B34:C34"/>
    <mergeCell ref="K11:K13"/>
    <mergeCell ref="E12:E13"/>
    <mergeCell ref="F12:F13"/>
    <mergeCell ref="G12:G13"/>
    <mergeCell ref="H12:H13"/>
    <mergeCell ref="I12:I13"/>
    <mergeCell ref="J12:J13"/>
  </mergeCells>
  <printOptions horizont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K31"/>
  <sheetViews>
    <sheetView view="pageBreakPreview" zoomScaleSheetLayoutView="100" zoomScalePageLayoutView="0" workbookViewId="0" topLeftCell="A10">
      <selection activeCell="J14" sqref="J14"/>
    </sheetView>
  </sheetViews>
  <sheetFormatPr defaultColWidth="9.140625" defaultRowHeight="12.75"/>
  <cols>
    <col min="1" max="1" width="5.57421875" style="0" customWidth="1"/>
    <col min="2" max="2" width="50.00390625" style="0" bestFit="1" customWidth="1"/>
    <col min="3" max="3" width="21.8515625" style="0" customWidth="1"/>
    <col min="4" max="4" width="22.8515625" style="0" customWidth="1"/>
    <col min="5" max="5" width="14.00390625" style="0" customWidth="1"/>
    <col min="6" max="6" width="13.421875" style="0" customWidth="1"/>
    <col min="7" max="8" width="11.57421875" style="0" hidden="1" customWidth="1"/>
    <col min="9" max="9" width="12.57421875" style="0" hidden="1" customWidth="1"/>
    <col min="10" max="10" width="13.57421875" style="0" customWidth="1"/>
    <col min="11" max="11" width="43.28125" style="0" customWidth="1"/>
  </cols>
  <sheetData>
    <row r="1" spans="2:11" ht="18.75">
      <c r="B1" s="1"/>
      <c r="C1" s="1"/>
      <c r="D1" s="1"/>
      <c r="E1" s="1"/>
      <c r="F1" s="1"/>
      <c r="G1" s="1"/>
      <c r="H1" s="1"/>
      <c r="I1" s="2" t="s">
        <v>106</v>
      </c>
      <c r="J1" s="285" t="s">
        <v>371</v>
      </c>
      <c r="K1" s="285"/>
    </row>
    <row r="2" spans="2:11" ht="18.75">
      <c r="B2" s="1"/>
      <c r="C2" s="1"/>
      <c r="D2" s="1"/>
      <c r="E2" s="1"/>
      <c r="F2" s="1"/>
      <c r="G2" s="1"/>
      <c r="H2" s="1"/>
      <c r="I2" s="3" t="s">
        <v>94</v>
      </c>
      <c r="J2" s="261" t="s">
        <v>94</v>
      </c>
      <c r="K2" s="261"/>
    </row>
    <row r="3" spans="2:11" ht="18.75">
      <c r="B3" s="1"/>
      <c r="C3" s="1"/>
      <c r="D3" s="1"/>
      <c r="E3" s="1"/>
      <c r="F3" s="1"/>
      <c r="G3" s="1"/>
      <c r="H3" s="1"/>
      <c r="I3" s="3" t="s">
        <v>107</v>
      </c>
      <c r="J3" s="107" t="s">
        <v>108</v>
      </c>
      <c r="K3" s="107"/>
    </row>
    <row r="4" spans="2:11" ht="18.75">
      <c r="B4" s="1"/>
      <c r="C4" s="1"/>
      <c r="D4" s="1"/>
      <c r="E4" s="1"/>
      <c r="F4" s="1"/>
      <c r="G4" s="1"/>
      <c r="H4" s="1"/>
      <c r="I4" s="3" t="s">
        <v>109</v>
      </c>
      <c r="J4" s="107" t="s">
        <v>110</v>
      </c>
      <c r="K4" s="107"/>
    </row>
    <row r="5" spans="2:11" ht="18.75">
      <c r="B5" s="1"/>
      <c r="C5" s="1"/>
      <c r="D5" s="1"/>
      <c r="E5" s="1"/>
      <c r="F5" s="1"/>
      <c r="G5" s="1"/>
      <c r="H5" s="1"/>
      <c r="I5" s="3" t="s">
        <v>111</v>
      </c>
      <c r="J5" s="107" t="s">
        <v>170</v>
      </c>
      <c r="K5" s="107"/>
    </row>
    <row r="6" spans="2:11" ht="18.75">
      <c r="B6" s="1"/>
      <c r="C6" s="1"/>
      <c r="D6" s="1"/>
      <c r="E6" s="1"/>
      <c r="F6" s="1"/>
      <c r="G6" s="1"/>
      <c r="H6" s="11"/>
      <c r="I6" s="3" t="s">
        <v>113</v>
      </c>
      <c r="J6" s="107" t="s">
        <v>171</v>
      </c>
      <c r="K6" s="107"/>
    </row>
    <row r="7" spans="2:11" ht="15.75" customHeight="1">
      <c r="B7" s="1"/>
      <c r="C7" s="1"/>
      <c r="D7" s="1"/>
      <c r="E7" s="1"/>
      <c r="F7" s="1"/>
      <c r="G7" s="1"/>
      <c r="H7" s="11"/>
      <c r="I7" s="3" t="s">
        <v>115</v>
      </c>
      <c r="J7" s="260" t="s">
        <v>342</v>
      </c>
      <c r="K7" s="261"/>
    </row>
    <row r="8" spans="2:11" ht="15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8.75">
      <c r="B9" s="286" t="s">
        <v>299</v>
      </c>
      <c r="C9" s="286"/>
      <c r="D9" s="286"/>
      <c r="E9" s="286"/>
      <c r="F9" s="286"/>
      <c r="G9" s="286"/>
      <c r="H9" s="286"/>
      <c r="I9" s="286"/>
      <c r="J9" s="286"/>
      <c r="K9" s="286"/>
    </row>
    <row r="10" spans="2:11" ht="15.75">
      <c r="B10" s="1"/>
      <c r="C10" s="1"/>
      <c r="D10" s="278"/>
      <c r="E10" s="278"/>
      <c r="F10" s="278"/>
      <c r="G10" s="278"/>
      <c r="H10" s="278"/>
      <c r="I10" s="1"/>
      <c r="J10" s="1"/>
      <c r="K10" s="1"/>
    </row>
    <row r="11" spans="1:11" ht="18.75">
      <c r="A11" s="288" t="s">
        <v>54</v>
      </c>
      <c r="B11" s="255" t="s">
        <v>95</v>
      </c>
      <c r="C11" s="255" t="s">
        <v>96</v>
      </c>
      <c r="D11" s="255" t="s">
        <v>172</v>
      </c>
      <c r="E11" s="287" t="s">
        <v>57</v>
      </c>
      <c r="F11" s="287"/>
      <c r="G11" s="287"/>
      <c r="H11" s="287"/>
      <c r="I11" s="287"/>
      <c r="J11" s="282"/>
      <c r="K11" s="251" t="s">
        <v>98</v>
      </c>
    </row>
    <row r="12" spans="1:11" ht="17.25" customHeight="1">
      <c r="A12" s="289"/>
      <c r="B12" s="256"/>
      <c r="C12" s="256"/>
      <c r="D12" s="256"/>
      <c r="E12" s="255" t="s">
        <v>58</v>
      </c>
      <c r="F12" s="255" t="s">
        <v>59</v>
      </c>
      <c r="G12" s="255" t="s">
        <v>117</v>
      </c>
      <c r="H12" s="255" t="s">
        <v>118</v>
      </c>
      <c r="I12" s="255" t="s">
        <v>119</v>
      </c>
      <c r="J12" s="251" t="s">
        <v>60</v>
      </c>
      <c r="K12" s="251"/>
    </row>
    <row r="13" spans="1:11" ht="12.75">
      <c r="A13" s="290"/>
      <c r="B13" s="257"/>
      <c r="C13" s="257"/>
      <c r="D13" s="257"/>
      <c r="E13" s="257"/>
      <c r="F13" s="257"/>
      <c r="G13" s="257"/>
      <c r="H13" s="257"/>
      <c r="I13" s="257"/>
      <c r="J13" s="251"/>
      <c r="K13" s="251"/>
    </row>
    <row r="14" spans="1:11" ht="37.5">
      <c r="A14" s="105">
        <v>1</v>
      </c>
      <c r="B14" s="137" t="s">
        <v>300</v>
      </c>
      <c r="C14" s="82" t="s">
        <v>99</v>
      </c>
      <c r="D14" s="147">
        <f>F14+J14</f>
        <v>330</v>
      </c>
      <c r="E14" s="148"/>
      <c r="F14" s="148">
        <v>75</v>
      </c>
      <c r="G14" s="148"/>
      <c r="H14" s="148"/>
      <c r="I14" s="148"/>
      <c r="J14" s="148">
        <f>80+175</f>
        <v>255</v>
      </c>
      <c r="K14" s="82" t="s">
        <v>140</v>
      </c>
    </row>
    <row r="15" spans="1:11" ht="37.5">
      <c r="A15" s="82">
        <v>2</v>
      </c>
      <c r="B15" s="150" t="s">
        <v>301</v>
      </c>
      <c r="C15" s="82" t="s">
        <v>99</v>
      </c>
      <c r="D15" s="147">
        <f>E15+F15+J15</f>
        <v>5000</v>
      </c>
      <c r="E15" s="148"/>
      <c r="F15" s="148"/>
      <c r="G15" s="148"/>
      <c r="H15" s="148"/>
      <c r="I15" s="148"/>
      <c r="J15" s="148">
        <v>5000</v>
      </c>
      <c r="K15" s="82" t="s">
        <v>140</v>
      </c>
    </row>
    <row r="16" spans="1:11" ht="37.5">
      <c r="A16" s="82">
        <v>3</v>
      </c>
      <c r="B16" s="150" t="s">
        <v>302</v>
      </c>
      <c r="C16" s="82" t="s">
        <v>99</v>
      </c>
      <c r="D16" s="147">
        <f>E16+F16+J16</f>
        <v>163</v>
      </c>
      <c r="E16" s="148"/>
      <c r="F16" s="148">
        <v>163</v>
      </c>
      <c r="G16" s="148"/>
      <c r="H16" s="148"/>
      <c r="I16" s="148"/>
      <c r="J16" s="148"/>
      <c r="K16" s="82" t="s">
        <v>140</v>
      </c>
    </row>
    <row r="17" spans="1:11" ht="56.25">
      <c r="A17" s="82">
        <v>4</v>
      </c>
      <c r="B17" s="150" t="s">
        <v>303</v>
      </c>
      <c r="C17" s="82" t="s">
        <v>99</v>
      </c>
      <c r="D17" s="147">
        <f>E17+F17+J17</f>
        <v>75</v>
      </c>
      <c r="E17" s="148"/>
      <c r="F17" s="148"/>
      <c r="G17" s="148"/>
      <c r="H17" s="148"/>
      <c r="I17" s="148"/>
      <c r="J17" s="148">
        <v>75</v>
      </c>
      <c r="K17" s="82" t="s">
        <v>304</v>
      </c>
    </row>
    <row r="18" spans="1:11" ht="18.75">
      <c r="A18" s="200"/>
      <c r="B18" s="110" t="s">
        <v>53</v>
      </c>
      <c r="C18" s="112"/>
      <c r="D18" s="152">
        <f>D16+D15+D14+D17</f>
        <v>5568</v>
      </c>
      <c r="E18" s="152"/>
      <c r="F18" s="199">
        <f>F14+F15+F16</f>
        <v>238</v>
      </c>
      <c r="G18" s="152">
        <f>SUM(G14:G16)</f>
        <v>0</v>
      </c>
      <c r="H18" s="152">
        <f>SUM(H14:H16)</f>
        <v>0</v>
      </c>
      <c r="I18" s="152">
        <f>SUM(I14:I16)</f>
        <v>0</v>
      </c>
      <c r="J18" s="152">
        <f>J14+J15+J16+J17</f>
        <v>5330</v>
      </c>
      <c r="K18" s="153"/>
    </row>
    <row r="19" spans="2:11" ht="18.75">
      <c r="B19" s="104"/>
      <c r="C19" s="4"/>
      <c r="D19" s="7"/>
      <c r="E19" s="7"/>
      <c r="F19" s="7"/>
      <c r="G19" s="7"/>
      <c r="H19" s="7"/>
      <c r="I19" s="7"/>
      <c r="J19" s="7"/>
      <c r="K19" s="64"/>
    </row>
    <row r="20" spans="2:11" ht="15.75">
      <c r="B20" s="4"/>
      <c r="C20" s="4"/>
      <c r="D20" s="7"/>
      <c r="E20" s="7"/>
      <c r="F20" s="7"/>
      <c r="G20" s="7"/>
      <c r="H20" s="7"/>
      <c r="I20" s="7"/>
      <c r="J20" s="7"/>
      <c r="K20" s="64"/>
    </row>
    <row r="21" spans="2:11" ht="15.75">
      <c r="B21" s="4"/>
      <c r="C21" s="4"/>
      <c r="D21" s="7"/>
      <c r="E21" s="7"/>
      <c r="F21" s="7"/>
      <c r="G21" s="7"/>
      <c r="H21" s="7"/>
      <c r="I21" s="7"/>
      <c r="J21" s="7"/>
      <c r="K21" s="64"/>
    </row>
    <row r="22" spans="2:11" ht="18.75">
      <c r="B22" s="65"/>
      <c r="C22" s="66"/>
      <c r="E22" s="7"/>
      <c r="F22" s="7"/>
      <c r="G22" s="7"/>
      <c r="H22" s="7"/>
      <c r="I22" s="7"/>
      <c r="J22" s="7"/>
      <c r="K22" s="66"/>
    </row>
    <row r="23" spans="1:11" ht="18.75">
      <c r="A23" s="67"/>
      <c r="B23" s="68" t="s">
        <v>105</v>
      </c>
      <c r="C23" s="68"/>
      <c r="D23" s="67"/>
      <c r="E23" s="68"/>
      <c r="F23" s="291" t="s">
        <v>55</v>
      </c>
      <c r="G23" s="291"/>
      <c r="H23" s="291"/>
      <c r="I23" s="291"/>
      <c r="J23" s="291"/>
      <c r="K23" s="70"/>
    </row>
    <row r="24" spans="1:11" ht="30.75" customHeight="1">
      <c r="A24" s="67"/>
      <c r="B24" s="68"/>
      <c r="C24" s="68"/>
      <c r="D24" s="67"/>
      <c r="E24" s="68"/>
      <c r="F24" s="69"/>
      <c r="G24" s="69"/>
      <c r="H24" s="69"/>
      <c r="I24" s="69"/>
      <c r="J24" s="69"/>
      <c r="K24" s="70"/>
    </row>
    <row r="25" spans="1:11" ht="18.75">
      <c r="A25" s="67"/>
      <c r="B25" s="71" t="s">
        <v>174</v>
      </c>
      <c r="C25" s="71"/>
      <c r="D25" s="67"/>
      <c r="E25" s="72"/>
      <c r="F25" s="73"/>
      <c r="G25" s="73"/>
      <c r="H25" s="73"/>
      <c r="I25" s="73"/>
      <c r="J25" s="73"/>
      <c r="K25" s="74"/>
    </row>
    <row r="26" spans="1:11" ht="30.75" customHeight="1">
      <c r="A26" s="67"/>
      <c r="B26" s="75" t="s">
        <v>81</v>
      </c>
      <c r="C26" s="67"/>
      <c r="D26" s="75"/>
      <c r="E26" s="73"/>
      <c r="F26" s="73"/>
      <c r="G26" s="73"/>
      <c r="H26" s="73"/>
      <c r="I26" s="73"/>
      <c r="J26" s="73"/>
      <c r="K26" s="74"/>
    </row>
    <row r="27" spans="2:11" ht="15.75">
      <c r="B27" s="76"/>
      <c r="C27" s="12"/>
      <c r="D27" s="77"/>
      <c r="E27" s="8"/>
      <c r="F27" s="8"/>
      <c r="G27" s="8"/>
      <c r="H27" s="8"/>
      <c r="I27" s="8"/>
      <c r="J27" s="1"/>
      <c r="K27" s="1"/>
    </row>
    <row r="28" spans="3:10" ht="15.75">
      <c r="C28" s="77"/>
      <c r="D28" s="8"/>
      <c r="E28" s="8"/>
      <c r="F28" s="8"/>
      <c r="G28" s="8"/>
      <c r="H28" s="8"/>
      <c r="I28" s="8"/>
      <c r="J28" s="8"/>
    </row>
    <row r="29" spans="3:10" ht="15.75">
      <c r="C29" s="78"/>
      <c r="D29" s="8"/>
      <c r="E29" s="8"/>
      <c r="F29" s="8"/>
      <c r="G29" s="8"/>
      <c r="H29" s="8"/>
      <c r="I29" s="8"/>
      <c r="J29" s="8"/>
    </row>
    <row r="31" ht="12.75">
      <c r="H31" s="6"/>
    </row>
  </sheetData>
  <sheetProtection/>
  <mergeCells count="18">
    <mergeCell ref="F23:J23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984251968503937" right="0.984251968503937" top="1.1811023622047245" bottom="0.3937007874015748" header="0" footer="0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5"/>
  <sheetViews>
    <sheetView view="pageBreakPreview" zoomScaleSheetLayoutView="100" zoomScalePageLayoutView="0" workbookViewId="0" topLeftCell="A8">
      <selection activeCell="J19" sqref="J19"/>
    </sheetView>
  </sheetViews>
  <sheetFormatPr defaultColWidth="9.140625" defaultRowHeight="12.75"/>
  <cols>
    <col min="1" max="1" width="6.7109375" style="32" customWidth="1"/>
    <col min="2" max="2" width="45.28125" style="32" customWidth="1"/>
    <col min="3" max="3" width="18.00390625" style="32" customWidth="1"/>
    <col min="4" max="4" width="13.00390625" style="32" customWidth="1"/>
    <col min="5" max="5" width="9.7109375" style="32" customWidth="1"/>
    <col min="6" max="6" width="10.8515625" style="32" customWidth="1"/>
    <col min="7" max="8" width="11.57421875" style="32" hidden="1" customWidth="1"/>
    <col min="9" max="9" width="12.57421875" style="32" hidden="1" customWidth="1"/>
    <col min="10" max="10" width="10.00390625" style="32" customWidth="1"/>
    <col min="11" max="11" width="43.28125" style="32" customWidth="1"/>
    <col min="12" max="13" width="9.140625" style="32" hidden="1" customWidth="1"/>
    <col min="14" max="14" width="9.8515625" style="32" hidden="1" customWidth="1"/>
    <col min="15" max="15" width="10.140625" style="32" customWidth="1"/>
    <col min="16" max="16384" width="9.140625" style="32" customWidth="1"/>
  </cols>
  <sheetData>
    <row r="1" spans="2:12" ht="15.75">
      <c r="B1" s="33"/>
      <c r="C1" s="33"/>
      <c r="D1" s="33"/>
      <c r="E1" s="33"/>
      <c r="F1" s="33"/>
      <c r="G1" s="33"/>
      <c r="H1" s="33"/>
      <c r="I1" s="31" t="s">
        <v>106</v>
      </c>
      <c r="J1" s="296" t="s">
        <v>365</v>
      </c>
      <c r="K1" s="296"/>
      <c r="L1" s="31" t="s">
        <v>106</v>
      </c>
    </row>
    <row r="2" spans="2:12" ht="15.75">
      <c r="B2" s="33"/>
      <c r="C2" s="33"/>
      <c r="D2" s="33"/>
      <c r="E2" s="33"/>
      <c r="F2" s="33"/>
      <c r="G2" s="33"/>
      <c r="H2" s="33"/>
      <c r="I2" s="28" t="s">
        <v>94</v>
      </c>
      <c r="J2" s="297" t="s">
        <v>94</v>
      </c>
      <c r="K2" s="297"/>
      <c r="L2" s="28" t="s">
        <v>94</v>
      </c>
    </row>
    <row r="3" spans="2:12" ht="15.75">
      <c r="B3" s="33"/>
      <c r="C3" s="33"/>
      <c r="D3" s="33"/>
      <c r="E3" s="33"/>
      <c r="F3" s="33"/>
      <c r="G3" s="33"/>
      <c r="H3" s="33"/>
      <c r="I3" s="28" t="s">
        <v>107</v>
      </c>
      <c r="J3" s="28" t="s">
        <v>108</v>
      </c>
      <c r="K3" s="28"/>
      <c r="L3" s="28" t="s">
        <v>107</v>
      </c>
    </row>
    <row r="4" spans="2:12" ht="15.75">
      <c r="B4" s="33"/>
      <c r="C4" s="33"/>
      <c r="D4" s="33"/>
      <c r="E4" s="33"/>
      <c r="F4" s="33"/>
      <c r="G4" s="33"/>
      <c r="H4" s="33"/>
      <c r="I4" s="28" t="s">
        <v>109</v>
      </c>
      <c r="J4" s="28" t="s">
        <v>110</v>
      </c>
      <c r="K4" s="28"/>
      <c r="L4" s="28" t="s">
        <v>109</v>
      </c>
    </row>
    <row r="5" spans="2:12" ht="15.75">
      <c r="B5" s="33"/>
      <c r="C5" s="33"/>
      <c r="D5" s="33"/>
      <c r="E5" s="33"/>
      <c r="F5" s="33"/>
      <c r="G5" s="33"/>
      <c r="H5" s="33"/>
      <c r="I5" s="28" t="s">
        <v>111</v>
      </c>
      <c r="J5" s="28" t="s">
        <v>112</v>
      </c>
      <c r="K5" s="28"/>
      <c r="L5" s="28" t="s">
        <v>111</v>
      </c>
    </row>
    <row r="6" spans="2:12" ht="15.75">
      <c r="B6" s="33"/>
      <c r="C6" s="33"/>
      <c r="D6" s="33"/>
      <c r="E6" s="33"/>
      <c r="F6" s="33"/>
      <c r="G6" s="33"/>
      <c r="H6" s="34"/>
      <c r="I6" s="28" t="s">
        <v>113</v>
      </c>
      <c r="J6" s="28" t="s">
        <v>114</v>
      </c>
      <c r="K6" s="28"/>
      <c r="L6" s="28" t="s">
        <v>113</v>
      </c>
    </row>
    <row r="7" spans="2:15" ht="15.75" customHeight="1">
      <c r="B7" s="33"/>
      <c r="C7" s="33"/>
      <c r="D7" s="33"/>
      <c r="E7" s="33"/>
      <c r="F7" s="33"/>
      <c r="G7" s="33"/>
      <c r="H7" s="34"/>
      <c r="I7" s="28" t="s">
        <v>115</v>
      </c>
      <c r="J7" s="298" t="s">
        <v>335</v>
      </c>
      <c r="K7" s="299"/>
      <c r="L7" s="35"/>
      <c r="M7" s="35"/>
      <c r="N7" s="35"/>
      <c r="O7" s="35"/>
    </row>
    <row r="8" spans="2:12" ht="15.7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2:12" ht="60" customHeight="1">
      <c r="B9" s="265" t="s">
        <v>327</v>
      </c>
      <c r="C9" s="265"/>
      <c r="D9" s="265"/>
      <c r="E9" s="265"/>
      <c r="F9" s="265"/>
      <c r="G9" s="265"/>
      <c r="H9" s="265"/>
      <c r="I9" s="265"/>
      <c r="J9" s="265"/>
      <c r="K9" s="265"/>
      <c r="L9" s="33"/>
    </row>
    <row r="10" spans="2:12" ht="15.75">
      <c r="B10" s="33"/>
      <c r="C10" s="33"/>
      <c r="D10" s="269"/>
      <c r="E10" s="269"/>
      <c r="F10" s="269"/>
      <c r="G10" s="269"/>
      <c r="H10" s="269"/>
      <c r="I10" s="33"/>
      <c r="J10" s="33"/>
      <c r="K10" s="33"/>
      <c r="L10" s="33"/>
    </row>
    <row r="11" spans="1:12" ht="15.75" customHeight="1">
      <c r="A11" s="294" t="s">
        <v>125</v>
      </c>
      <c r="B11" s="294" t="s">
        <v>95</v>
      </c>
      <c r="C11" s="294" t="s">
        <v>96</v>
      </c>
      <c r="D11" s="294" t="s">
        <v>97</v>
      </c>
      <c r="E11" s="305" t="s">
        <v>57</v>
      </c>
      <c r="F11" s="305"/>
      <c r="G11" s="305"/>
      <c r="H11" s="305"/>
      <c r="I11" s="305"/>
      <c r="J11" s="306"/>
      <c r="K11" s="293" t="s">
        <v>98</v>
      </c>
      <c r="L11" s="33"/>
    </row>
    <row r="12" spans="1:12" ht="15.75">
      <c r="A12" s="304"/>
      <c r="B12" s="304"/>
      <c r="C12" s="304"/>
      <c r="D12" s="304"/>
      <c r="E12" s="294" t="s">
        <v>58</v>
      </c>
      <c r="F12" s="294" t="s">
        <v>59</v>
      </c>
      <c r="G12" s="294" t="s">
        <v>117</v>
      </c>
      <c r="H12" s="294" t="s">
        <v>118</v>
      </c>
      <c r="I12" s="294" t="s">
        <v>119</v>
      </c>
      <c r="J12" s="293" t="s">
        <v>60</v>
      </c>
      <c r="K12" s="293"/>
      <c r="L12" s="33"/>
    </row>
    <row r="13" spans="1:12" ht="15.75">
      <c r="A13" s="295"/>
      <c r="B13" s="295"/>
      <c r="C13" s="295"/>
      <c r="D13" s="295"/>
      <c r="E13" s="295"/>
      <c r="F13" s="295"/>
      <c r="G13" s="295"/>
      <c r="H13" s="295"/>
      <c r="I13" s="295"/>
      <c r="J13" s="293"/>
      <c r="K13" s="293"/>
      <c r="L13" s="33"/>
    </row>
    <row r="14" spans="1:12" ht="69.75" customHeight="1">
      <c r="A14" s="54">
        <v>1</v>
      </c>
      <c r="B14" s="204" t="s">
        <v>328</v>
      </c>
      <c r="C14" s="204" t="s">
        <v>99</v>
      </c>
      <c r="D14" s="205">
        <f aca="true" t="shared" si="0" ref="D14:D20">SUM(E14:J14)</f>
        <v>2130</v>
      </c>
      <c r="E14" s="206">
        <v>590</v>
      </c>
      <c r="F14" s="207">
        <v>700</v>
      </c>
      <c r="G14" s="206"/>
      <c r="H14" s="206"/>
      <c r="I14" s="206"/>
      <c r="J14" s="206">
        <v>840</v>
      </c>
      <c r="K14" s="204" t="s">
        <v>329</v>
      </c>
      <c r="L14" s="33"/>
    </row>
    <row r="15" spans="1:14" ht="47.25" hidden="1">
      <c r="A15" s="54">
        <v>2</v>
      </c>
      <c r="B15" s="208" t="s">
        <v>281</v>
      </c>
      <c r="C15" s="204" t="s">
        <v>99</v>
      </c>
      <c r="D15" s="205">
        <f t="shared" si="0"/>
        <v>0</v>
      </c>
      <c r="E15" s="207">
        <v>0</v>
      </c>
      <c r="F15" s="206"/>
      <c r="G15" s="206"/>
      <c r="H15" s="206"/>
      <c r="I15" s="206"/>
      <c r="J15" s="206"/>
      <c r="K15" s="204" t="s">
        <v>243</v>
      </c>
      <c r="L15" s="33"/>
      <c r="N15" s="106">
        <v>441</v>
      </c>
    </row>
    <row r="16" spans="1:14" ht="54" customHeight="1" hidden="1">
      <c r="A16" s="54">
        <v>3</v>
      </c>
      <c r="B16" s="209" t="s">
        <v>282</v>
      </c>
      <c r="C16" s="210" t="s">
        <v>99</v>
      </c>
      <c r="D16" s="205">
        <f t="shared" si="0"/>
        <v>0</v>
      </c>
      <c r="E16" s="211">
        <v>0</v>
      </c>
      <c r="F16" s="206"/>
      <c r="G16" s="206"/>
      <c r="H16" s="206"/>
      <c r="I16" s="206"/>
      <c r="J16" s="206"/>
      <c r="K16" s="204" t="s">
        <v>330</v>
      </c>
      <c r="L16" s="33"/>
      <c r="N16" s="106"/>
    </row>
    <row r="17" spans="1:14" ht="54" customHeight="1">
      <c r="A17" s="54">
        <v>2</v>
      </c>
      <c r="B17" s="212" t="s">
        <v>331</v>
      </c>
      <c r="C17" s="204" t="s">
        <v>99</v>
      </c>
      <c r="D17" s="205">
        <f t="shared" si="0"/>
        <v>100</v>
      </c>
      <c r="E17" s="213">
        <v>100</v>
      </c>
      <c r="F17" s="206"/>
      <c r="G17" s="206"/>
      <c r="H17" s="206"/>
      <c r="I17" s="206"/>
      <c r="J17" s="206"/>
      <c r="K17" s="204" t="s">
        <v>122</v>
      </c>
      <c r="L17" s="33"/>
      <c r="N17" s="106"/>
    </row>
    <row r="18" spans="1:14" ht="54" customHeight="1">
      <c r="A18" s="54">
        <v>3</v>
      </c>
      <c r="B18" s="212" t="s">
        <v>332</v>
      </c>
      <c r="C18" s="204" t="s">
        <v>99</v>
      </c>
      <c r="D18" s="205">
        <f t="shared" si="0"/>
        <v>375</v>
      </c>
      <c r="E18" s="213">
        <v>95</v>
      </c>
      <c r="F18" s="206">
        <v>140</v>
      </c>
      <c r="G18" s="206"/>
      <c r="H18" s="206"/>
      <c r="I18" s="206"/>
      <c r="J18" s="206">
        <v>140</v>
      </c>
      <c r="K18" s="204" t="s">
        <v>329</v>
      </c>
      <c r="L18" s="33"/>
      <c r="N18" s="106"/>
    </row>
    <row r="19" spans="1:14" ht="66.75" customHeight="1">
      <c r="A19" s="275">
        <v>4</v>
      </c>
      <c r="B19" s="300" t="s">
        <v>333</v>
      </c>
      <c r="C19" s="302" t="s">
        <v>99</v>
      </c>
      <c r="D19" s="205">
        <f t="shared" si="0"/>
        <v>950</v>
      </c>
      <c r="E19" s="213">
        <v>250</v>
      </c>
      <c r="F19" s="206">
        <v>300</v>
      </c>
      <c r="G19" s="206"/>
      <c r="H19" s="206"/>
      <c r="I19" s="206"/>
      <c r="J19" s="206">
        <v>400</v>
      </c>
      <c r="K19" s="204" t="s">
        <v>336</v>
      </c>
      <c r="L19" s="33"/>
      <c r="N19" s="106"/>
    </row>
    <row r="20" spans="1:14" ht="54" customHeight="1">
      <c r="A20" s="276"/>
      <c r="B20" s="301"/>
      <c r="C20" s="303"/>
      <c r="D20" s="205">
        <f t="shared" si="0"/>
        <v>465.08</v>
      </c>
      <c r="E20" s="213"/>
      <c r="F20" s="206">
        <v>365.08</v>
      </c>
      <c r="G20" s="206"/>
      <c r="H20" s="206"/>
      <c r="I20" s="206"/>
      <c r="J20" s="206">
        <v>100</v>
      </c>
      <c r="K20" s="204" t="s">
        <v>334</v>
      </c>
      <c r="L20" s="33"/>
      <c r="N20" s="106"/>
    </row>
    <row r="21" spans="1:12" ht="32.25" customHeight="1">
      <c r="A21" s="214"/>
      <c r="B21" s="203" t="s">
        <v>53</v>
      </c>
      <c r="C21" s="215"/>
      <c r="D21" s="205">
        <f>E21+F21+J21</f>
        <v>4020.08</v>
      </c>
      <c r="E21" s="205">
        <f>E14+E17+E18+E19+E20</f>
        <v>1035</v>
      </c>
      <c r="F21" s="205">
        <f>F14+F15+F16+F17+F18+F19+F20</f>
        <v>1505.08</v>
      </c>
      <c r="G21" s="205" t="e">
        <f>G14+G15+#REF!</f>
        <v>#REF!</v>
      </c>
      <c r="H21" s="205" t="e">
        <f>H14+H15+#REF!</f>
        <v>#REF!</v>
      </c>
      <c r="I21" s="205" t="e">
        <f>I14+I15+#REF!</f>
        <v>#REF!</v>
      </c>
      <c r="J21" s="205">
        <f>J14+J17+J18+J19+J20</f>
        <v>1480</v>
      </c>
      <c r="K21" s="204"/>
      <c r="L21" s="33"/>
    </row>
    <row r="22" spans="2:12" ht="15.75">
      <c r="B22" s="36"/>
      <c r="C22" s="216"/>
      <c r="D22" s="37"/>
      <c r="E22" s="37"/>
      <c r="F22" s="37"/>
      <c r="G22" s="37"/>
      <c r="H22" s="37"/>
      <c r="I22" s="37"/>
      <c r="J22" s="37"/>
      <c r="K22" s="217"/>
      <c r="L22" s="33"/>
    </row>
    <row r="23" spans="2:12" ht="15.75" hidden="1">
      <c r="B23" s="36"/>
      <c r="C23" s="36"/>
      <c r="D23" s="37"/>
      <c r="E23" s="37"/>
      <c r="F23" s="37"/>
      <c r="G23" s="37"/>
      <c r="H23" s="37"/>
      <c r="I23" s="37"/>
      <c r="J23" s="37"/>
      <c r="K23" s="38"/>
      <c r="L23" s="33"/>
    </row>
    <row r="24" spans="2:12" ht="15.75">
      <c r="B24" s="36"/>
      <c r="C24" s="36"/>
      <c r="D24" s="37"/>
      <c r="E24" s="37"/>
      <c r="F24" s="37"/>
      <c r="G24" s="37"/>
      <c r="H24" s="37"/>
      <c r="I24" s="37"/>
      <c r="J24" s="37"/>
      <c r="K24" s="38"/>
      <c r="L24" s="33"/>
    </row>
    <row r="25" spans="2:12" ht="15.75">
      <c r="B25" s="36"/>
      <c r="C25" s="36"/>
      <c r="D25" s="37"/>
      <c r="E25" s="37"/>
      <c r="F25" s="37"/>
      <c r="G25" s="37"/>
      <c r="H25" s="37"/>
      <c r="I25" s="37"/>
      <c r="J25" s="37"/>
      <c r="K25" s="38"/>
      <c r="L25" s="33"/>
    </row>
    <row r="26" spans="2:12" ht="18.75">
      <c r="B26" s="100"/>
      <c r="C26" s="101"/>
      <c r="E26" s="37"/>
      <c r="F26" s="37"/>
      <c r="G26" s="37"/>
      <c r="H26" s="37"/>
      <c r="I26" s="37"/>
      <c r="J26" s="37"/>
      <c r="K26" s="101"/>
      <c r="L26" s="33"/>
    </row>
    <row r="27" spans="2:12" ht="48" customHeight="1">
      <c r="B27" s="247" t="s">
        <v>105</v>
      </c>
      <c r="C27" s="247"/>
      <c r="D27" s="39"/>
      <c r="E27" s="40"/>
      <c r="F27" s="40"/>
      <c r="J27" s="41"/>
      <c r="K27" s="42" t="s">
        <v>55</v>
      </c>
      <c r="L27" s="41"/>
    </row>
    <row r="28" spans="2:12" ht="48" customHeight="1">
      <c r="B28" s="39"/>
      <c r="C28" s="39"/>
      <c r="D28" s="39"/>
      <c r="E28" s="40"/>
      <c r="F28" s="40"/>
      <c r="J28" s="41"/>
      <c r="K28" s="42"/>
      <c r="L28" s="41"/>
    </row>
    <row r="29" spans="2:11" ht="18.75">
      <c r="B29" s="292" t="s">
        <v>100</v>
      </c>
      <c r="C29" s="292"/>
      <c r="D29" s="43"/>
      <c r="E29" s="44"/>
      <c r="F29" s="44"/>
      <c r="G29" s="44"/>
      <c r="H29" s="44"/>
      <c r="I29" s="44"/>
      <c r="J29" s="33"/>
      <c r="K29" s="33"/>
    </row>
    <row r="30" spans="2:13" ht="15.75">
      <c r="B30" s="45" t="s">
        <v>81</v>
      </c>
      <c r="C30" s="45"/>
      <c r="D30" s="44"/>
      <c r="E30" s="44"/>
      <c r="F30" s="44"/>
      <c r="G30" s="44"/>
      <c r="H30" s="44"/>
      <c r="I30" s="44"/>
      <c r="J30" s="33"/>
      <c r="K30" s="33"/>
      <c r="M30" s="28"/>
    </row>
    <row r="31" spans="2:11" ht="15.75">
      <c r="B31" s="46"/>
      <c r="C31" s="47"/>
      <c r="D31" s="48"/>
      <c r="E31" s="44"/>
      <c r="F31" s="44"/>
      <c r="G31" s="44"/>
      <c r="H31" s="44"/>
      <c r="I31" s="44"/>
      <c r="J31" s="33"/>
      <c r="K31" s="33"/>
    </row>
    <row r="32" spans="3:10" ht="15.75">
      <c r="C32" s="48"/>
      <c r="D32" s="44"/>
      <c r="E32" s="44"/>
      <c r="F32" s="44"/>
      <c r="G32" s="44"/>
      <c r="H32" s="44"/>
      <c r="I32" s="44"/>
      <c r="J32" s="44"/>
    </row>
    <row r="33" spans="3:10" ht="15.75">
      <c r="C33" s="49"/>
      <c r="D33" s="44"/>
      <c r="E33" s="44"/>
      <c r="F33" s="44"/>
      <c r="G33" s="44"/>
      <c r="H33" s="44"/>
      <c r="I33" s="44"/>
      <c r="J33" s="44"/>
    </row>
    <row r="35" ht="12.75">
      <c r="H35" s="50"/>
    </row>
  </sheetData>
  <sheetProtection/>
  <mergeCells count="22">
    <mergeCell ref="I12:I13"/>
    <mergeCell ref="J12:J13"/>
    <mergeCell ref="J1:K1"/>
    <mergeCell ref="J2:K2"/>
    <mergeCell ref="J7:K7"/>
    <mergeCell ref="B9:K9"/>
    <mergeCell ref="D10:H10"/>
    <mergeCell ref="A19:A20"/>
    <mergeCell ref="B19:B20"/>
    <mergeCell ref="C19:C20"/>
    <mergeCell ref="A11:A13"/>
    <mergeCell ref="B11:B13"/>
    <mergeCell ref="B27:C27"/>
    <mergeCell ref="B29:C29"/>
    <mergeCell ref="K11:K13"/>
    <mergeCell ref="E12:E13"/>
    <mergeCell ref="F12:F13"/>
    <mergeCell ref="G12:G13"/>
    <mergeCell ref="H12:H13"/>
    <mergeCell ref="C11:C13"/>
    <mergeCell ref="D11:D13"/>
    <mergeCell ref="E11:J11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O46"/>
  <sheetViews>
    <sheetView view="pageBreakPreview" zoomScale="80" zoomScaleSheetLayoutView="80" zoomScalePageLayoutView="0" workbookViewId="0" topLeftCell="A25">
      <selection activeCell="B37" sqref="B37"/>
    </sheetView>
  </sheetViews>
  <sheetFormatPr defaultColWidth="9.140625" defaultRowHeight="12.75"/>
  <cols>
    <col min="1" max="1" width="5.57421875" style="32" customWidth="1"/>
    <col min="2" max="2" width="53.57421875" style="32" customWidth="1"/>
    <col min="3" max="3" width="18.00390625" style="32" customWidth="1"/>
    <col min="4" max="4" width="13.57421875" style="32" customWidth="1"/>
    <col min="5" max="5" width="14.57421875" style="32" customWidth="1"/>
    <col min="6" max="6" width="11.28125" style="32" bestFit="1" customWidth="1"/>
    <col min="7" max="8" width="11.57421875" style="32" hidden="1" customWidth="1"/>
    <col min="9" max="9" width="12.57421875" style="32" hidden="1" customWidth="1"/>
    <col min="10" max="10" width="13.57421875" style="32" customWidth="1"/>
    <col min="11" max="11" width="53.00390625" style="32" customWidth="1"/>
    <col min="12" max="13" width="9.140625" style="32" hidden="1" customWidth="1"/>
    <col min="14" max="14" width="9.8515625" style="32" customWidth="1"/>
    <col min="15" max="15" width="10.140625" style="32" customWidth="1"/>
    <col min="16" max="16384" width="9.140625" style="32" customWidth="1"/>
  </cols>
  <sheetData>
    <row r="1" spans="2:12" ht="18.75">
      <c r="B1" s="33"/>
      <c r="C1" s="33"/>
      <c r="D1" s="33"/>
      <c r="E1" s="33"/>
      <c r="F1" s="33"/>
      <c r="G1" s="33"/>
      <c r="H1" s="33"/>
      <c r="I1" s="31" t="s">
        <v>106</v>
      </c>
      <c r="J1" s="263" t="s">
        <v>367</v>
      </c>
      <c r="K1" s="263"/>
      <c r="L1" s="31" t="s">
        <v>106</v>
      </c>
    </row>
    <row r="2" spans="2:12" ht="18.75">
      <c r="B2" s="33"/>
      <c r="C2" s="33"/>
      <c r="D2" s="33"/>
      <c r="E2" s="33"/>
      <c r="F2" s="33"/>
      <c r="G2" s="33"/>
      <c r="H2" s="33"/>
      <c r="I2" s="28" t="s">
        <v>94</v>
      </c>
      <c r="J2" s="264" t="s">
        <v>94</v>
      </c>
      <c r="K2" s="264"/>
      <c r="L2" s="28" t="s">
        <v>94</v>
      </c>
    </row>
    <row r="3" spans="2:12" ht="18.75">
      <c r="B3" s="33"/>
      <c r="C3" s="33"/>
      <c r="D3" s="33"/>
      <c r="E3" s="33"/>
      <c r="F3" s="33"/>
      <c r="G3" s="33"/>
      <c r="H3" s="33"/>
      <c r="I3" s="28" t="s">
        <v>107</v>
      </c>
      <c r="J3" s="125" t="s">
        <v>108</v>
      </c>
      <c r="K3" s="125"/>
      <c r="L3" s="28" t="s">
        <v>107</v>
      </c>
    </row>
    <row r="4" spans="2:12" ht="18.75">
      <c r="B4" s="33"/>
      <c r="C4" s="33"/>
      <c r="D4" s="33"/>
      <c r="E4" s="33"/>
      <c r="F4" s="33"/>
      <c r="G4" s="33"/>
      <c r="H4" s="33"/>
      <c r="I4" s="28" t="s">
        <v>109</v>
      </c>
      <c r="J4" s="125" t="s">
        <v>110</v>
      </c>
      <c r="K4" s="125"/>
      <c r="L4" s="28" t="s">
        <v>109</v>
      </c>
    </row>
    <row r="5" spans="2:12" ht="18.75">
      <c r="B5" s="33"/>
      <c r="C5" s="33"/>
      <c r="D5" s="33"/>
      <c r="E5" s="33"/>
      <c r="F5" s="33"/>
      <c r="G5" s="33"/>
      <c r="H5" s="33"/>
      <c r="I5" s="28" t="s">
        <v>111</v>
      </c>
      <c r="J5" s="125" t="s">
        <v>170</v>
      </c>
      <c r="K5" s="125"/>
      <c r="L5" s="28" t="s">
        <v>111</v>
      </c>
    </row>
    <row r="6" spans="2:12" ht="18.75">
      <c r="B6" s="33"/>
      <c r="C6" s="33"/>
      <c r="D6" s="33"/>
      <c r="E6" s="33"/>
      <c r="F6" s="33"/>
      <c r="G6" s="33"/>
      <c r="H6" s="34"/>
      <c r="I6" s="28" t="s">
        <v>113</v>
      </c>
      <c r="J6" s="125" t="s">
        <v>171</v>
      </c>
      <c r="K6" s="125"/>
      <c r="L6" s="28" t="s">
        <v>113</v>
      </c>
    </row>
    <row r="7" spans="2:15" ht="15.75" customHeight="1">
      <c r="B7" s="33"/>
      <c r="C7" s="33"/>
      <c r="D7" s="33"/>
      <c r="E7" s="33"/>
      <c r="F7" s="33"/>
      <c r="G7" s="33"/>
      <c r="H7" s="34"/>
      <c r="I7" s="28" t="s">
        <v>115</v>
      </c>
      <c r="J7" s="307" t="s">
        <v>364</v>
      </c>
      <c r="K7" s="264"/>
      <c r="L7" s="35"/>
      <c r="M7" s="35"/>
      <c r="N7" s="35"/>
      <c r="O7" s="35"/>
    </row>
    <row r="8" spans="2:12" ht="15.7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2:12" ht="36" customHeight="1">
      <c r="B9" s="265" t="s">
        <v>343</v>
      </c>
      <c r="C9" s="265"/>
      <c r="D9" s="265"/>
      <c r="E9" s="265"/>
      <c r="F9" s="265"/>
      <c r="G9" s="265"/>
      <c r="H9" s="265"/>
      <c r="I9" s="265"/>
      <c r="J9" s="265"/>
      <c r="K9" s="265"/>
      <c r="L9" s="33"/>
    </row>
    <row r="10" spans="2:12" ht="15.75">
      <c r="B10" s="33"/>
      <c r="C10" s="33"/>
      <c r="D10" s="269"/>
      <c r="E10" s="269"/>
      <c r="F10" s="269"/>
      <c r="G10" s="269"/>
      <c r="H10" s="269"/>
      <c r="I10" s="33"/>
      <c r="J10" s="33"/>
      <c r="K10" s="33"/>
      <c r="L10" s="33"/>
    </row>
    <row r="11" spans="1:12" ht="15.75" customHeight="1">
      <c r="A11" s="308" t="s">
        <v>54</v>
      </c>
      <c r="B11" s="267" t="s">
        <v>95</v>
      </c>
      <c r="C11" s="267" t="s">
        <v>96</v>
      </c>
      <c r="D11" s="267" t="s">
        <v>172</v>
      </c>
      <c r="E11" s="271" t="s">
        <v>57</v>
      </c>
      <c r="F11" s="271"/>
      <c r="G11" s="271"/>
      <c r="H11" s="271"/>
      <c r="I11" s="271"/>
      <c r="J11" s="272"/>
      <c r="K11" s="266" t="s">
        <v>98</v>
      </c>
      <c r="L11" s="33"/>
    </row>
    <row r="12" spans="1:12" ht="15.75">
      <c r="A12" s="309"/>
      <c r="B12" s="270"/>
      <c r="C12" s="270"/>
      <c r="D12" s="270"/>
      <c r="E12" s="267" t="s">
        <v>58</v>
      </c>
      <c r="F12" s="267" t="s">
        <v>59</v>
      </c>
      <c r="G12" s="267" t="s">
        <v>117</v>
      </c>
      <c r="H12" s="267" t="s">
        <v>118</v>
      </c>
      <c r="I12" s="267" t="s">
        <v>119</v>
      </c>
      <c r="J12" s="266" t="s">
        <v>60</v>
      </c>
      <c r="K12" s="266"/>
      <c r="L12" s="33"/>
    </row>
    <row r="13" spans="1:12" ht="21.75" customHeight="1">
      <c r="A13" s="310"/>
      <c r="B13" s="268"/>
      <c r="C13" s="268"/>
      <c r="D13" s="268"/>
      <c r="E13" s="268"/>
      <c r="F13" s="268"/>
      <c r="G13" s="268"/>
      <c r="H13" s="268"/>
      <c r="I13" s="268"/>
      <c r="J13" s="266"/>
      <c r="K13" s="266"/>
      <c r="L13" s="33"/>
    </row>
    <row r="14" spans="1:12" ht="64.5" customHeight="1">
      <c r="A14" s="218">
        <v>1</v>
      </c>
      <c r="B14" s="219" t="s">
        <v>344</v>
      </c>
      <c r="C14" s="54" t="s">
        <v>99</v>
      </c>
      <c r="D14" s="220">
        <f aca="true" t="shared" si="0" ref="D14:D26">E14+F14+J14</f>
        <v>2200</v>
      </c>
      <c r="E14" s="129">
        <v>605</v>
      </c>
      <c r="F14" s="135">
        <v>725</v>
      </c>
      <c r="G14" s="135"/>
      <c r="H14" s="135"/>
      <c r="I14" s="135"/>
      <c r="J14" s="135">
        <v>870</v>
      </c>
      <c r="K14" s="54" t="s">
        <v>345</v>
      </c>
      <c r="L14" s="33"/>
    </row>
    <row r="15" spans="1:12" ht="75" hidden="1">
      <c r="A15" s="218"/>
      <c r="B15" s="219" t="s">
        <v>346</v>
      </c>
      <c r="C15" s="54" t="s">
        <v>99</v>
      </c>
      <c r="D15" s="220">
        <f t="shared" si="0"/>
        <v>0</v>
      </c>
      <c r="E15" s="129"/>
      <c r="F15" s="135"/>
      <c r="G15" s="135"/>
      <c r="H15" s="135"/>
      <c r="I15" s="135"/>
      <c r="J15" s="135"/>
      <c r="K15" s="56" t="s">
        <v>347</v>
      </c>
      <c r="L15" s="33"/>
    </row>
    <row r="16" spans="1:12" ht="62.25" customHeight="1">
      <c r="A16" s="221">
        <v>2</v>
      </c>
      <c r="B16" s="219" t="s">
        <v>348</v>
      </c>
      <c r="C16" s="54" t="s">
        <v>99</v>
      </c>
      <c r="D16" s="220">
        <f t="shared" si="0"/>
        <v>2835</v>
      </c>
      <c r="E16" s="129">
        <v>780</v>
      </c>
      <c r="F16" s="135">
        <v>935</v>
      </c>
      <c r="G16" s="135"/>
      <c r="H16" s="135"/>
      <c r="I16" s="135"/>
      <c r="J16" s="135">
        <v>1120</v>
      </c>
      <c r="K16" s="56" t="s">
        <v>349</v>
      </c>
      <c r="L16" s="33"/>
    </row>
    <row r="17" spans="1:12" ht="56.25">
      <c r="A17" s="221">
        <v>3</v>
      </c>
      <c r="B17" s="219" t="s">
        <v>350</v>
      </c>
      <c r="C17" s="54" t="s">
        <v>99</v>
      </c>
      <c r="D17" s="220">
        <f t="shared" si="0"/>
        <v>482.484</v>
      </c>
      <c r="E17" s="129">
        <f>100-0.216</f>
        <v>99.784</v>
      </c>
      <c r="F17" s="135">
        <f>100+82.7</f>
        <v>182.7</v>
      </c>
      <c r="G17" s="135"/>
      <c r="H17" s="135"/>
      <c r="I17" s="135"/>
      <c r="J17" s="135">
        <f>100+100</f>
        <v>200</v>
      </c>
      <c r="K17" s="54" t="s">
        <v>122</v>
      </c>
      <c r="L17" s="33"/>
    </row>
    <row r="18" spans="1:12" ht="65.25" customHeight="1">
      <c r="A18" s="221">
        <v>4</v>
      </c>
      <c r="B18" s="219" t="s">
        <v>351</v>
      </c>
      <c r="C18" s="54" t="s">
        <v>99</v>
      </c>
      <c r="D18" s="220">
        <f t="shared" si="0"/>
        <v>251.25</v>
      </c>
      <c r="E18" s="129">
        <v>251.25</v>
      </c>
      <c r="F18" s="135"/>
      <c r="G18" s="135"/>
      <c r="H18" s="135"/>
      <c r="I18" s="135"/>
      <c r="J18" s="135"/>
      <c r="K18" s="311" t="s">
        <v>352</v>
      </c>
      <c r="L18" s="33"/>
    </row>
    <row r="19" spans="1:12" ht="56.25">
      <c r="A19" s="221">
        <v>5</v>
      </c>
      <c r="B19" s="219" t="s">
        <v>353</v>
      </c>
      <c r="C19" s="54" t="s">
        <v>99</v>
      </c>
      <c r="D19" s="220">
        <f t="shared" si="0"/>
        <v>293.68</v>
      </c>
      <c r="E19" s="129">
        <v>293.68</v>
      </c>
      <c r="F19" s="135"/>
      <c r="G19" s="135"/>
      <c r="H19" s="135"/>
      <c r="I19" s="135"/>
      <c r="J19" s="135"/>
      <c r="K19" s="311"/>
      <c r="L19" s="33"/>
    </row>
    <row r="20" spans="1:12" ht="37.5" customHeight="1">
      <c r="A20" s="221">
        <v>6</v>
      </c>
      <c r="B20" s="127" t="s">
        <v>354</v>
      </c>
      <c r="C20" s="54" t="s">
        <v>99</v>
      </c>
      <c r="D20" s="220">
        <f t="shared" si="0"/>
        <v>180.69</v>
      </c>
      <c r="E20" s="130">
        <v>180.69</v>
      </c>
      <c r="F20" s="135"/>
      <c r="G20" s="135"/>
      <c r="H20" s="135"/>
      <c r="I20" s="135"/>
      <c r="J20" s="135"/>
      <c r="K20" s="311"/>
      <c r="L20" s="33"/>
    </row>
    <row r="21" spans="1:12" ht="51" customHeight="1">
      <c r="A21" s="221">
        <v>7</v>
      </c>
      <c r="B21" s="127" t="s">
        <v>355</v>
      </c>
      <c r="C21" s="54" t="s">
        <v>99</v>
      </c>
      <c r="D21" s="220">
        <f t="shared" si="0"/>
        <v>226.54</v>
      </c>
      <c r="E21" s="130">
        <v>162.14</v>
      </c>
      <c r="F21" s="135">
        <v>64.4</v>
      </c>
      <c r="G21" s="135"/>
      <c r="H21" s="135"/>
      <c r="I21" s="135"/>
      <c r="J21" s="135"/>
      <c r="K21" s="311"/>
      <c r="L21" s="33"/>
    </row>
    <row r="22" spans="1:12" ht="69" customHeight="1">
      <c r="A22" s="221" t="s">
        <v>356</v>
      </c>
      <c r="B22" s="219" t="s">
        <v>351</v>
      </c>
      <c r="C22" s="54" t="s">
        <v>99</v>
      </c>
      <c r="D22" s="220">
        <f t="shared" si="0"/>
        <v>502.5</v>
      </c>
      <c r="E22" s="130"/>
      <c r="F22" s="135">
        <v>251.25</v>
      </c>
      <c r="G22" s="135"/>
      <c r="H22" s="135"/>
      <c r="I22" s="135"/>
      <c r="J22" s="135">
        <v>251.25</v>
      </c>
      <c r="K22" s="312" t="s">
        <v>357</v>
      </c>
      <c r="L22" s="33"/>
    </row>
    <row r="23" spans="1:12" ht="56.25">
      <c r="A23" s="222">
        <v>9</v>
      </c>
      <c r="B23" s="219" t="s">
        <v>353</v>
      </c>
      <c r="C23" s="54" t="s">
        <v>99</v>
      </c>
      <c r="D23" s="220">
        <f t="shared" si="0"/>
        <v>399.213</v>
      </c>
      <c r="E23" s="130"/>
      <c r="F23" s="135">
        <v>100</v>
      </c>
      <c r="G23" s="135"/>
      <c r="H23" s="135"/>
      <c r="I23" s="135"/>
      <c r="J23" s="135">
        <v>299.213</v>
      </c>
      <c r="K23" s="313"/>
      <c r="L23" s="33"/>
    </row>
    <row r="24" spans="1:12" ht="37.5">
      <c r="A24" s="223">
        <v>10</v>
      </c>
      <c r="B24" s="127" t="s">
        <v>354</v>
      </c>
      <c r="C24" s="54" t="s">
        <v>99</v>
      </c>
      <c r="D24" s="220">
        <f t="shared" si="0"/>
        <v>361.38</v>
      </c>
      <c r="E24" s="130"/>
      <c r="F24" s="135">
        <v>180.69</v>
      </c>
      <c r="G24" s="135"/>
      <c r="H24" s="135"/>
      <c r="I24" s="135"/>
      <c r="J24" s="135">
        <v>180.69</v>
      </c>
      <c r="K24" s="313"/>
      <c r="L24" s="33"/>
    </row>
    <row r="25" spans="1:12" ht="37.5">
      <c r="A25" s="221">
        <v>11</v>
      </c>
      <c r="B25" s="127" t="s">
        <v>355</v>
      </c>
      <c r="C25" s="54" t="s">
        <v>99</v>
      </c>
      <c r="D25" s="220">
        <f t="shared" si="0"/>
        <v>450.74</v>
      </c>
      <c r="E25" s="130"/>
      <c r="F25" s="135">
        <v>193.17</v>
      </c>
      <c r="G25" s="135"/>
      <c r="H25" s="135"/>
      <c r="I25" s="135"/>
      <c r="J25" s="135">
        <v>257.57</v>
      </c>
      <c r="K25" s="313"/>
      <c r="L25" s="33"/>
    </row>
    <row r="26" spans="1:12" ht="75">
      <c r="A26" s="221">
        <v>12</v>
      </c>
      <c r="B26" s="127" t="s">
        <v>358</v>
      </c>
      <c r="C26" s="54" t="s">
        <v>99</v>
      </c>
      <c r="D26" s="220">
        <f t="shared" si="0"/>
        <v>199</v>
      </c>
      <c r="E26" s="130"/>
      <c r="F26" s="135">
        <v>199</v>
      </c>
      <c r="G26" s="135"/>
      <c r="H26" s="135"/>
      <c r="I26" s="135"/>
      <c r="J26" s="135"/>
      <c r="K26" s="313"/>
      <c r="L26" s="33"/>
    </row>
    <row r="27" spans="1:12" ht="56.25">
      <c r="A27" s="221">
        <v>13</v>
      </c>
      <c r="B27" s="144" t="s">
        <v>359</v>
      </c>
      <c r="C27" s="54" t="s">
        <v>99</v>
      </c>
      <c r="D27" s="224">
        <v>110</v>
      </c>
      <c r="E27" s="225"/>
      <c r="F27" s="226">
        <v>110</v>
      </c>
      <c r="G27" s="226"/>
      <c r="H27" s="226"/>
      <c r="I27" s="226"/>
      <c r="J27" s="226"/>
      <c r="K27" s="314"/>
      <c r="L27" s="33"/>
    </row>
    <row r="28" spans="1:12" s="231" customFormat="1" ht="54" customHeight="1">
      <c r="A28" s="222">
        <v>14</v>
      </c>
      <c r="B28" s="228" t="s">
        <v>360</v>
      </c>
      <c r="C28" s="227" t="s">
        <v>99</v>
      </c>
      <c r="D28" s="229">
        <f>E28+F28+J28</f>
        <v>339</v>
      </c>
      <c r="E28" s="135"/>
      <c r="F28" s="135">
        <f>105+64</f>
        <v>169</v>
      </c>
      <c r="G28" s="135"/>
      <c r="H28" s="135"/>
      <c r="I28" s="135"/>
      <c r="J28" s="135">
        <v>170</v>
      </c>
      <c r="K28" s="227" t="s">
        <v>140</v>
      </c>
      <c r="L28" s="230"/>
    </row>
    <row r="29" spans="1:12" ht="75.75" customHeight="1">
      <c r="A29" s="223">
        <v>10</v>
      </c>
      <c r="B29" s="127" t="s">
        <v>361</v>
      </c>
      <c r="C29" s="54" t="s">
        <v>99</v>
      </c>
      <c r="D29" s="220">
        <f>E29+F29+J29</f>
        <v>43.516</v>
      </c>
      <c r="E29" s="130">
        <v>0.216</v>
      </c>
      <c r="F29" s="135">
        <f>30+3.3</f>
        <v>33.3</v>
      </c>
      <c r="G29" s="135"/>
      <c r="H29" s="135"/>
      <c r="I29" s="135"/>
      <c r="J29" s="135">
        <v>10</v>
      </c>
      <c r="K29" s="202" t="s">
        <v>140</v>
      </c>
      <c r="L29" s="33"/>
    </row>
    <row r="30" spans="1:12" ht="69" customHeight="1">
      <c r="A30" s="223">
        <v>15</v>
      </c>
      <c r="B30" s="127" t="s">
        <v>362</v>
      </c>
      <c r="C30" s="54" t="s">
        <v>99</v>
      </c>
      <c r="D30" s="220">
        <f>E30+F30+J30</f>
        <v>201</v>
      </c>
      <c r="E30" s="130">
        <v>51</v>
      </c>
      <c r="F30" s="135">
        <v>75</v>
      </c>
      <c r="G30" s="135"/>
      <c r="H30" s="135"/>
      <c r="I30" s="135"/>
      <c r="J30" s="135">
        <v>75</v>
      </c>
      <c r="K30" s="202" t="s">
        <v>140</v>
      </c>
      <c r="L30" s="33"/>
    </row>
    <row r="31" spans="1:12" ht="69" customHeight="1">
      <c r="A31" s="223">
        <v>16</v>
      </c>
      <c r="B31" s="127" t="s">
        <v>363</v>
      </c>
      <c r="C31" s="54" t="s">
        <v>99</v>
      </c>
      <c r="D31" s="220">
        <f>E31+F31+J31</f>
        <v>60</v>
      </c>
      <c r="E31" s="130"/>
      <c r="F31" s="135"/>
      <c r="G31" s="135"/>
      <c r="H31" s="135"/>
      <c r="I31" s="135"/>
      <c r="J31" s="135">
        <v>60</v>
      </c>
      <c r="K31" s="202" t="s">
        <v>140</v>
      </c>
      <c r="L31" s="33"/>
    </row>
    <row r="32" spans="1:12" ht="32.25" customHeight="1">
      <c r="A32" s="145"/>
      <c r="B32" s="126" t="s">
        <v>53</v>
      </c>
      <c r="C32" s="139"/>
      <c r="D32" s="128">
        <f>D14+D16+D17+D18+D19+D20+D21+D28+D29+D27+D22+D23+D24+D25+D26+D30+D31</f>
        <v>9135.992999999999</v>
      </c>
      <c r="E32" s="128">
        <f>E14+E16+E17+E18+E19+E20+E21+E28+E29+E27+E22+E23+E24+E25+E26+E30</f>
        <v>2423.7599999999998</v>
      </c>
      <c r="F32" s="128">
        <f>F14+F16+F17+F18+F19+F20+F21+F22+F23+F24+F25+F26+F27+F28+F29+F30</f>
        <v>3218.5100000000007</v>
      </c>
      <c r="G32" s="128">
        <f>G14+G16+G17+G18+G19+G20+G21+G28+G29+G27+G22+G23+G24+G25+G26</f>
        <v>0</v>
      </c>
      <c r="H32" s="128">
        <f>H14+H16+H17+H18+H19+H20+H21+H28+H29+H27+H22+H23+H24+H25+H26</f>
        <v>0</v>
      </c>
      <c r="I32" s="128">
        <f>I14+I16+I17+I18+I19+I20+I21+I28+I29+I27+I22+I23+I24+I25+I26</f>
        <v>0</v>
      </c>
      <c r="J32" s="128">
        <f>J14+J16+J17+J18+J19+J20+J21+J28+J29+J27+J22+J23+J24+J25+J26+J30+J31</f>
        <v>3493.7230000000004</v>
      </c>
      <c r="K32" s="140"/>
      <c r="L32" s="33"/>
    </row>
    <row r="33" spans="1:12" ht="32.25" customHeight="1">
      <c r="A33" s="60"/>
      <c r="B33" s="36"/>
      <c r="C33" s="36"/>
      <c r="D33" s="232"/>
      <c r="E33" s="232"/>
      <c r="F33" s="232"/>
      <c r="G33" s="232"/>
      <c r="H33" s="232"/>
      <c r="I33" s="232"/>
      <c r="J33" s="232"/>
      <c r="K33" s="38"/>
      <c r="L33" s="33"/>
    </row>
    <row r="34" spans="1:12" ht="21.75" customHeight="1">
      <c r="A34" s="60"/>
      <c r="B34" s="36"/>
      <c r="C34" s="36"/>
      <c r="D34" s="232"/>
      <c r="E34" s="232"/>
      <c r="F34" s="232"/>
      <c r="G34" s="232"/>
      <c r="H34" s="232"/>
      <c r="I34" s="232"/>
      <c r="J34" s="232"/>
      <c r="K34" s="38"/>
      <c r="L34" s="33"/>
    </row>
    <row r="35" spans="2:12" ht="15.75">
      <c r="B35" s="36"/>
      <c r="C35" s="36"/>
      <c r="D35" s="37"/>
      <c r="E35" s="37"/>
      <c r="F35" s="37"/>
      <c r="G35" s="37"/>
      <c r="H35" s="37"/>
      <c r="I35" s="37"/>
      <c r="J35" s="37"/>
      <c r="K35" s="38"/>
      <c r="L35" s="33"/>
    </row>
    <row r="36" spans="2:12" ht="15.75" hidden="1">
      <c r="B36" s="36"/>
      <c r="C36" s="36"/>
      <c r="D36" s="37"/>
      <c r="E36" s="37"/>
      <c r="F36" s="37"/>
      <c r="G36" s="37"/>
      <c r="H36" s="37"/>
      <c r="I36" s="37"/>
      <c r="J36" s="37"/>
      <c r="K36" s="38"/>
      <c r="L36" s="33"/>
    </row>
    <row r="37" spans="2:12" ht="18.75">
      <c r="B37" s="100"/>
      <c r="C37" s="101"/>
      <c r="E37" s="37"/>
      <c r="F37" s="37"/>
      <c r="G37" s="37"/>
      <c r="H37" s="37"/>
      <c r="I37" s="37"/>
      <c r="J37" s="37"/>
      <c r="K37" s="101"/>
      <c r="L37" s="33"/>
    </row>
    <row r="38" spans="2:13" s="233" customFormat="1" ht="18.75" customHeight="1">
      <c r="B38" s="234" t="s">
        <v>105</v>
      </c>
      <c r="C38" s="234"/>
      <c r="E38" s="234"/>
      <c r="F38" s="315" t="s">
        <v>55</v>
      </c>
      <c r="G38" s="315"/>
      <c r="H38" s="315"/>
      <c r="I38" s="315"/>
      <c r="J38" s="315"/>
      <c r="K38" s="236"/>
      <c r="L38" s="237" t="s">
        <v>55</v>
      </c>
      <c r="M38" s="236"/>
    </row>
    <row r="39" spans="2:13" s="233" customFormat="1" ht="18.75" customHeight="1">
      <c r="B39" s="234"/>
      <c r="C39" s="234"/>
      <c r="E39" s="234"/>
      <c r="F39" s="235"/>
      <c r="G39" s="235"/>
      <c r="H39" s="235"/>
      <c r="I39" s="235"/>
      <c r="J39" s="235"/>
      <c r="K39" s="236"/>
      <c r="L39" s="237"/>
      <c r="M39" s="236"/>
    </row>
    <row r="40" spans="2:12" s="233" customFormat="1" ht="41.25" customHeight="1">
      <c r="B40" s="238" t="s">
        <v>174</v>
      </c>
      <c r="C40" s="238"/>
      <c r="E40" s="239"/>
      <c r="F40" s="240"/>
      <c r="G40" s="240"/>
      <c r="H40" s="240"/>
      <c r="I40" s="240"/>
      <c r="J40" s="240"/>
      <c r="K40" s="241"/>
      <c r="L40" s="241"/>
    </row>
    <row r="41" spans="2:14" s="233" customFormat="1" ht="42" customHeight="1">
      <c r="B41" s="242" t="s">
        <v>81</v>
      </c>
      <c r="D41" s="242"/>
      <c r="E41" s="240"/>
      <c r="F41" s="240"/>
      <c r="G41" s="240"/>
      <c r="H41" s="240"/>
      <c r="I41" s="240"/>
      <c r="J41" s="240"/>
      <c r="K41" s="241"/>
      <c r="L41" s="241"/>
      <c r="N41" s="243"/>
    </row>
    <row r="42" spans="2:11" ht="15.75">
      <c r="B42" s="46"/>
      <c r="C42" s="47"/>
      <c r="D42" s="48"/>
      <c r="E42" s="44"/>
      <c r="F42" s="44"/>
      <c r="G42" s="44"/>
      <c r="H42" s="44"/>
      <c r="I42" s="44"/>
      <c r="J42" s="33"/>
      <c r="K42" s="33"/>
    </row>
    <row r="43" spans="3:10" ht="15.75">
      <c r="C43" s="48"/>
      <c r="D43" s="44"/>
      <c r="E43" s="44"/>
      <c r="F43" s="44"/>
      <c r="G43" s="44"/>
      <c r="H43" s="44"/>
      <c r="I43" s="44"/>
      <c r="J43" s="44"/>
    </row>
    <row r="44" spans="3:10" ht="15.75">
      <c r="C44" s="49"/>
      <c r="D44" s="44"/>
      <c r="E44" s="44"/>
      <c r="F44" s="44"/>
      <c r="G44" s="44"/>
      <c r="H44" s="44"/>
      <c r="I44" s="44"/>
      <c r="J44" s="44"/>
    </row>
    <row r="46" ht="12.75">
      <c r="H46" s="50"/>
    </row>
  </sheetData>
  <sheetProtection/>
  <mergeCells count="20">
    <mergeCell ref="K18:K21"/>
    <mergeCell ref="K22:K27"/>
    <mergeCell ref="F38:J38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 verticalCentered="1"/>
  <pageMargins left="0" right="0" top="0" bottom="0" header="0" footer="0"/>
  <pageSetup horizontalDpi="600" verticalDpi="600" orientation="landscape" paperSize="9" scale="40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2017-04-20T08:06:11Z</cp:lastPrinted>
  <dcterms:created xsi:type="dcterms:W3CDTF">1996-10-08T23:32:33Z</dcterms:created>
  <dcterms:modified xsi:type="dcterms:W3CDTF">2017-04-20T12:33:50Z</dcterms:modified>
  <cp:category/>
  <cp:version/>
  <cp:contentType/>
  <cp:contentStatus/>
</cp:coreProperties>
</file>