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 7" sheetId="1" r:id="rId1"/>
  </sheets>
  <definedNames>
    <definedName name="_xlfn.AGGREGATE" hidden="1">#NAME?</definedName>
    <definedName name="_xlnm.Print_Titles" localSheetId="0">'дод. 7'!$10:$10</definedName>
    <definedName name="_xlnm.Print_Area" localSheetId="0">'дод. 7'!$A$1:$I$212</definedName>
  </definedNames>
  <calcPr fullCalcOnLoad="1"/>
</workbook>
</file>

<file path=xl/sharedStrings.xml><?xml version="1.0" encoding="utf-8"?>
<sst xmlns="http://schemas.openxmlformats.org/spreadsheetml/2006/main" count="788" uniqueCount="442">
  <si>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</si>
  <si>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</si>
  <si>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</si>
  <si>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</si>
  <si>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</si>
  <si>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</si>
  <si>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</si>
  <si>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</si>
  <si>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</si>
  <si>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</si>
  <si>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</si>
  <si>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</si>
  <si>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</si>
  <si>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</si>
  <si>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</si>
  <si>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</si>
  <si>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</si>
  <si>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</si>
  <si>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</si>
  <si>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</si>
  <si>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</si>
  <si>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</si>
  <si>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</si>
  <si>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</si>
  <si>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</si>
  <si>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</si>
  <si>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</si>
  <si>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</si>
  <si>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</si>
  <si>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</si>
  <si>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</si>
  <si>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</si>
  <si>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</si>
  <si>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</si>
  <si>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</si>
  <si>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</si>
  <si>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</si>
  <si>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</si>
  <si>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</si>
  <si>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</si>
  <si>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</si>
  <si>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</si>
  <si>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</si>
  <si>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</si>
  <si>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</si>
  <si>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</si>
  <si>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</si>
  <si>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</si>
  <si>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</si>
  <si>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</si>
  <si>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</si>
  <si>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</si>
  <si>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</si>
  <si>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</si>
  <si>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</si>
  <si>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</si>
  <si>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</si>
  <si>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</si>
  <si>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</si>
  <si>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</si>
  <si>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</si>
  <si>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</si>
  <si>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</si>
  <si>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</si>
  <si>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</si>
  <si>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</si>
  <si>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</si>
  <si>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</si>
  <si>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</si>
  <si>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</si>
  <si>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</si>
  <si>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</si>
  <si>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</si>
  <si>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</si>
  <si>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</si>
  <si>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</si>
  <si>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</si>
  <si>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</si>
  <si>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</si>
  <si>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</si>
  <si>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</si>
  <si>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</si>
  <si>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</si>
  <si>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</si>
  <si>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</si>
  <si>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</si>
  <si>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</si>
  <si>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</si>
  <si>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</si>
  <si>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</si>
  <si>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</si>
  <si>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</si>
  <si>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</si>
  <si>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</si>
  <si>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</si>
  <si>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</si>
  <si>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</si>
  <si>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</si>
  <si>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</si>
  <si>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</si>
  <si>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</si>
  <si>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</si>
  <si>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</si>
  <si>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</si>
  <si>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</si>
  <si>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</si>
  <si>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</si>
  <si>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</si>
  <si>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</si>
  <si>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</si>
  <si>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</si>
  <si>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</si>
  <si>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</si>
  <si>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</si>
  <si>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</si>
  <si>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</si>
  <si>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</si>
  <si>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</si>
  <si>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</si>
  <si>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</si>
  <si>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</si>
  <si>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</si>
  <si>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</si>
  <si>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</si>
  <si>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</si>
  <si>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</si>
  <si>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</si>
  <si>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</si>
  <si>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</si>
  <si>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</si>
  <si>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</si>
  <si>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</si>
  <si>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</si>
  <si>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</si>
  <si>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</si>
  <si>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</si>
  <si>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</si>
  <si>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</si>
  <si>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</si>
  <si>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</si>
  <si>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</si>
  <si>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</si>
  <si>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</si>
  <si>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</si>
  <si>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</si>
  <si>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</si>
  <si>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</si>
  <si>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</si>
  <si>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</si>
  <si>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</si>
  <si>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</si>
  <si>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</si>
  <si>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</si>
  <si>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</si>
  <si>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</si>
  <si>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</si>
  <si>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</si>
  <si>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</si>
  <si>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</si>
  <si>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</si>
  <si>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</si>
  <si>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</si>
  <si>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</si>
  <si>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</si>
  <si>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</si>
  <si>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</si>
  <si>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</si>
  <si>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</si>
  <si>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</si>
  <si>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</si>
  <si>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</si>
  <si>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</si>
  <si>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</si>
  <si>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</si>
  <si>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</si>
  <si>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</si>
  <si>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</si>
  <si>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</si>
  <si>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</si>
  <si>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</si>
  <si>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</si>
  <si>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</si>
  <si>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</si>
  <si>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</si>
  <si>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</si>
  <si>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</si>
  <si>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</si>
  <si>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</si>
  <si>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</si>
  <si>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</si>
  <si>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</si>
  <si>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</si>
  <si>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</si>
  <si>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</si>
  <si>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</si>
  <si>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</si>
  <si>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4712010</t>
  </si>
  <si>
    <t>4716060</t>
  </si>
  <si>
    <t>6310</t>
  </si>
  <si>
    <t>4716310</t>
  </si>
  <si>
    <t>Надання допомоги у вирішенні житлових питань</t>
  </si>
  <si>
    <t>6320</t>
  </si>
  <si>
    <t>4716320</t>
  </si>
  <si>
    <t>6324</t>
  </si>
  <si>
    <t>4716324</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</si>
  <si>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</si>
  <si>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</si>
  <si>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</si>
  <si>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</si>
  <si>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</si>
  <si>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</si>
  <si>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</si>
  <si>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</si>
  <si>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</si>
  <si>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</si>
  <si>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</si>
  <si>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</si>
  <si>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</si>
  <si>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</si>
  <si>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</si>
  <si>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</si>
  <si>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</si>
  <si>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</si>
  <si>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</si>
  <si>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</si>
  <si>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</si>
  <si>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</si>
  <si>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</si>
  <si>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</si>
  <si>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</si>
  <si>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</si>
  <si>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</si>
  <si>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</si>
  <si>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</si>
  <si>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</si>
  <si>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</si>
  <si>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</si>
  <si>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</si>
  <si>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</si>
  <si>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</si>
  <si>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</si>
  <si>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</si>
  <si>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</si>
  <si>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</si>
  <si>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</si>
  <si>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</si>
  <si>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</si>
  <si>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</si>
  <si>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</si>
  <si>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</si>
  <si>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</si>
  <si>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</si>
  <si>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</si>
  <si>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</si>
  <si>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</si>
  <si>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</si>
  <si>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</si>
  <si>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</si>
  <si>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</si>
  <si>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</si>
  <si>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</si>
  <si>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</si>
  <si>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</si>
  <si>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</si>
  <si>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</si>
  <si>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</si>
  <si>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</si>
  <si>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</si>
  <si>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</si>
  <si>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</si>
  <si>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</si>
  <si>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</si>
  <si>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</si>
  <si>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0315020</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</si>
  <si>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</si>
  <si>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</si>
  <si>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</si>
  <si>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</si>
  <si>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</si>
  <si>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</si>
  <si>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</si>
  <si>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</si>
  <si>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</si>
  <si>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</si>
  <si>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</si>
  <si>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</si>
  <si>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</si>
  <si>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</si>
  <si>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</si>
  <si>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</si>
  <si>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</si>
  <si>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</si>
  <si>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</si>
  <si>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</si>
  <si>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</si>
  <si>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</si>
  <si>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</si>
  <si>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</si>
  <si>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</si>
  <si>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</si>
  <si>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</si>
  <si>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</si>
  <si>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</si>
  <si>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</si>
  <si>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</si>
  <si>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</si>
  <si>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</si>
  <si>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</si>
  <si>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</si>
  <si>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</si>
  <si>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</si>
  <si>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</si>
  <si>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</si>
  <si>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</si>
  <si>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</si>
  <si>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</si>
  <si>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</si>
  <si>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</si>
  <si>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</si>
  <si>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</si>
  <si>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</si>
  <si>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</si>
  <si>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</si>
  <si>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</si>
  <si>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</si>
  <si>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</si>
  <si>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</si>
  <si>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</si>
  <si>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</si>
  <si>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 xml:space="preserve">Програма підвищення енергоефективності в бюджетній сфері міств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</si>
  <si>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</si>
  <si>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</si>
  <si>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</si>
  <si>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</si>
  <si>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</si>
  <si>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</si>
  <si>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</si>
  <si>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</si>
  <si>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</si>
  <si>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</si>
  <si>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</si>
  <si>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</si>
  <si>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</si>
  <si>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</si>
  <si>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</si>
  <si>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</si>
  <si>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</si>
  <si>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</si>
  <si>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</si>
  <si>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</si>
  <si>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</si>
  <si>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</si>
  <si>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</si>
  <si>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</si>
  <si>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</si>
  <si>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</si>
  <si>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</si>
  <si>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</si>
  <si>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</si>
  <si>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</si>
  <si>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</si>
  <si>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</si>
  <si>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</si>
  <si>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</si>
  <si>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</si>
  <si>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</si>
  <si>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</si>
  <si>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</si>
  <si>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</si>
  <si>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</si>
  <si>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</si>
  <si>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</si>
  <si>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</si>
  <si>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</si>
  <si>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</si>
  <si>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</si>
  <si>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</si>
  <si>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</si>
  <si>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</si>
  <si>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</si>
  <si>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</si>
  <si>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</si>
  <si>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Здійснення фізкультурно-спортивної та реабілітаційної роботи серед інвалідів</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</si>
  <si>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</si>
  <si>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</si>
  <si>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</si>
  <si>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</si>
  <si>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</si>
  <si>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</si>
  <si>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</si>
  <si>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</si>
  <si>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</si>
  <si>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</si>
  <si>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</si>
  <si>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</si>
  <si>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</si>
  <si>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</si>
  <si>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</si>
  <si>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</si>
  <si>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</si>
  <si>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</si>
  <si>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</si>
  <si>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</si>
  <si>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</si>
  <si>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</si>
  <si>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</si>
  <si>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</si>
  <si>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</si>
  <si>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</si>
  <si>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</si>
  <si>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</si>
  <si>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</si>
  <si>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Про затвердження Програми розвитку міського парку ім. І.М. Кожедуьа на 2017-2020 роки</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</si>
  <si>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</si>
  <si>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</si>
  <si>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</si>
  <si>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</si>
  <si>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</si>
  <si>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</si>
  <si>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</si>
  <si>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</si>
  <si>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</si>
  <si>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</si>
  <si>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</si>
  <si>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</si>
  <si>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</si>
  <si>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до  рішення Сумської  міської  ради</t>
  </si>
  <si>
    <t>«Про   внесення   змін   та  доповнень</t>
  </si>
  <si>
    <t>до   міського  бюджету  на  2017 рік»</t>
  </si>
  <si>
    <t>Сумський міський голова</t>
  </si>
  <si>
    <t>О.М. Лисенко</t>
  </si>
  <si>
    <t>Виконавець: Липова С.А.</t>
  </si>
  <si>
    <t>0318800</t>
  </si>
  <si>
    <t>Інші субвенції до обласного бюджету Сумської області</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</si>
  <si>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</si>
  <si>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</si>
  <si>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</si>
  <si>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</si>
  <si>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від                      року №      - МР</t>
  </si>
  <si>
    <t>Програма регулювання містобудівної діяльності</t>
  </si>
  <si>
    <t>Комплексна міська програма «Освіта м. Суми на 2016-2018 роки» (Підпрограма 6 «Сучасні інформаційні технології»)</t>
  </si>
  <si>
    <t xml:space="preserve">                Додаток № 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</si>
</sst>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60">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b/>
      <sz val="18"/>
      <name val="Times New Roman"/>
      <family val="0"/>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35"/>
      <color indexed="10"/>
      <name val="Times New Roman"/>
      <family val="1"/>
    </font>
    <font>
      <i/>
      <sz val="35"/>
      <name val="Times New Roman"/>
      <family val="1"/>
    </font>
    <font>
      <i/>
      <sz val="10"/>
      <name val="Times New Roman"/>
      <family val="1"/>
    </font>
    <font>
      <i/>
      <sz val="35"/>
      <color indexed="8"/>
      <name val="Times New Roman"/>
      <family val="1"/>
    </font>
    <font>
      <b/>
      <i/>
      <sz val="35"/>
      <color indexed="8"/>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2">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0" fontId="27" fillId="0" borderId="0" xfId="0" applyFont="1" applyFill="1" applyAlignment="1">
      <alignment/>
    </xf>
    <xf numFmtId="4" fontId="27" fillId="0" borderId="0" xfId="0" applyNumberFormat="1" applyFont="1" applyFill="1" applyAlignment="1">
      <alignment/>
    </xf>
    <xf numFmtId="3" fontId="29"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30"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2" fillId="0" borderId="12" xfId="95" applyNumberFormat="1" applyFont="1" applyFill="1" applyBorder="1" applyAlignment="1">
      <alignment vertical="center"/>
      <protection/>
    </xf>
    <xf numFmtId="4" fontId="33" fillId="0" borderId="12" xfId="95" applyNumberFormat="1" applyFont="1" applyFill="1" applyBorder="1" applyAlignment="1">
      <alignment vertical="center"/>
      <protection/>
    </xf>
    <xf numFmtId="4" fontId="31" fillId="0" borderId="12" xfId="95" applyNumberFormat="1" applyFont="1" applyFill="1" applyBorder="1" applyAlignment="1">
      <alignment vertical="center"/>
      <protection/>
    </xf>
    <xf numFmtId="0" fontId="34" fillId="0" borderId="0" xfId="0" applyNumberFormat="1" applyFont="1" applyFill="1" applyAlignment="1" applyProtection="1">
      <alignment vertical="top"/>
      <protection/>
    </xf>
    <xf numFmtId="0" fontId="34" fillId="0" borderId="0" xfId="0" applyNumberFormat="1" applyFont="1" applyFill="1" applyAlignment="1" applyProtection="1">
      <alignment horizontal="left" vertical="top"/>
      <protection/>
    </xf>
    <xf numFmtId="0" fontId="34" fillId="0" borderId="0" xfId="0" applyFont="1" applyFill="1" applyAlignment="1">
      <alignment vertical="center"/>
    </xf>
    <xf numFmtId="0" fontId="34" fillId="0" borderId="13" xfId="0" applyFont="1" applyFill="1" applyBorder="1" applyAlignment="1">
      <alignment horizontal="center"/>
    </xf>
    <xf numFmtId="0" fontId="34" fillId="0" borderId="13"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vertical="center"/>
    </xf>
    <xf numFmtId="0" fontId="35" fillId="0" borderId="0" xfId="0" applyNumberFormat="1" applyFont="1" applyFill="1" applyBorder="1" applyAlignment="1" applyProtection="1">
      <alignment vertical="center"/>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92" fontId="34" fillId="0" borderId="0" xfId="0" applyNumberFormat="1" applyFont="1" applyFill="1" applyBorder="1" applyAlignment="1">
      <alignment vertical="justify"/>
    </xf>
    <xf numFmtId="4" fontId="36" fillId="0" borderId="0" xfId="0" applyNumberFormat="1" applyFont="1" applyFill="1" applyBorder="1" applyAlignment="1">
      <alignment vertical="center"/>
    </xf>
    <xf numFmtId="0" fontId="34" fillId="0" borderId="0" xfId="0" applyNumberFormat="1" applyFont="1" applyFill="1" applyAlignment="1" applyProtection="1">
      <alignment horizontal="left"/>
      <protection/>
    </xf>
    <xf numFmtId="0" fontId="34" fillId="0" borderId="0" xfId="0" applyNumberFormat="1" applyFont="1" applyFill="1" applyAlignment="1" applyProtection="1">
      <alignment/>
      <protection/>
    </xf>
    <xf numFmtId="0" fontId="34" fillId="0" borderId="0" xfId="0" applyNumberFormat="1" applyFont="1" applyFill="1" applyAlignment="1" applyProtection="1">
      <alignment vertical="center"/>
      <protection/>
    </xf>
    <xf numFmtId="0" fontId="31" fillId="0" borderId="12" xfId="0" applyFont="1" applyFill="1" applyBorder="1" applyAlignment="1">
      <alignment vertical="center" wrapText="1"/>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4" fontId="31" fillId="0" borderId="12" xfId="0" applyNumberFormat="1" applyFont="1" applyFill="1" applyBorder="1" applyAlignment="1">
      <alignment vertical="center" wrapText="1"/>
    </xf>
    <xf numFmtId="49" fontId="31" fillId="0" borderId="12"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4" fontId="31" fillId="0" borderId="12" xfId="0" applyNumberFormat="1" applyFont="1" applyFill="1" applyBorder="1" applyAlignment="1">
      <alignment horizontal="left" vertical="center" wrapText="1"/>
    </xf>
    <xf numFmtId="0" fontId="40" fillId="0" borderId="12" xfId="0" applyNumberFormat="1" applyFont="1" applyFill="1" applyBorder="1" applyAlignment="1" applyProtection="1">
      <alignment horizontal="center" vertical="center" wrapText="1"/>
      <protection/>
    </xf>
    <xf numFmtId="0" fontId="41" fillId="0" borderId="0" xfId="0" applyFont="1" applyFill="1" applyAlignment="1">
      <alignment vertical="center"/>
    </xf>
    <xf numFmtId="0" fontId="42" fillId="0" borderId="0" xfId="0"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3" fillId="0" borderId="0" xfId="0" applyFont="1" applyFill="1" applyBorder="1" applyAlignment="1">
      <alignment horizontal="left" vertical="center" wrapText="1"/>
    </xf>
    <xf numFmtId="192" fontId="42" fillId="0" borderId="0" xfId="0" applyNumberFormat="1" applyFont="1" applyFill="1" applyBorder="1" applyAlignment="1">
      <alignment vertical="justify"/>
    </xf>
    <xf numFmtId="4" fontId="44" fillId="0" borderId="0" xfId="0" applyNumberFormat="1" applyFont="1" applyFill="1" applyBorder="1" applyAlignment="1">
      <alignment vertical="center"/>
    </xf>
    <xf numFmtId="3" fontId="43" fillId="0" borderId="0" xfId="0" applyNumberFormat="1" applyFont="1" applyFill="1" applyBorder="1" applyAlignment="1">
      <alignment horizontal="center" vertical="center" wrapText="1"/>
    </xf>
    <xf numFmtId="0" fontId="34" fillId="0" borderId="0" xfId="0" applyNumberFormat="1" applyFont="1" applyFill="1" applyAlignment="1" applyProtection="1">
      <alignment horizontal="center"/>
      <protection/>
    </xf>
    <xf numFmtId="0" fontId="24" fillId="0" borderId="0" xfId="0" applyFont="1" applyFill="1" applyAlignment="1">
      <alignment vertical="center"/>
    </xf>
    <xf numFmtId="0" fontId="41" fillId="0" borderId="0" xfId="0" applyFont="1" applyFill="1" applyAlignment="1">
      <alignment horizontal="left" vertical="center"/>
    </xf>
    <xf numFmtId="0" fontId="38" fillId="0" borderId="12" xfId="0" applyFont="1" applyFill="1" applyBorder="1" applyAlignment="1">
      <alignment horizontal="left" vertical="center" wrapText="1"/>
    </xf>
    <xf numFmtId="192" fontId="37" fillId="0" borderId="12" xfId="0" applyNumberFormat="1" applyFont="1" applyFill="1" applyBorder="1" applyAlignment="1">
      <alignment vertical="justify"/>
    </xf>
    <xf numFmtId="4" fontId="39" fillId="0" borderId="12" xfId="0" applyNumberFormat="1" applyFont="1" applyFill="1" applyBorder="1" applyAlignment="1">
      <alignment vertical="center"/>
    </xf>
    <xf numFmtId="0" fontId="45" fillId="0" borderId="12" xfId="0" applyFont="1" applyFill="1" applyBorder="1" applyAlignment="1">
      <alignment vertical="center" wrapText="1"/>
    </xf>
    <xf numFmtId="0" fontId="45" fillId="0" borderId="12" xfId="0" applyFont="1" applyFill="1" applyBorder="1" applyAlignment="1">
      <alignment horizontal="left" vertical="center" wrapText="1"/>
    </xf>
    <xf numFmtId="0" fontId="0" fillId="0" borderId="12" xfId="0" applyNumberFormat="1" applyFont="1" applyFill="1" applyBorder="1" applyAlignment="1" applyProtection="1">
      <alignment/>
      <protection/>
    </xf>
    <xf numFmtId="0" fontId="46" fillId="0" borderId="12" xfId="0" applyFont="1" applyFill="1" applyBorder="1" applyAlignment="1">
      <alignment horizontal="left" vertical="center" wrapText="1"/>
    </xf>
    <xf numFmtId="0" fontId="47" fillId="0" borderId="0" xfId="0" applyNumberFormat="1" applyFont="1" applyFill="1" applyAlignment="1" applyProtection="1">
      <alignment/>
      <protection/>
    </xf>
    <xf numFmtId="49" fontId="46" fillId="0" borderId="12" xfId="0" applyNumberFormat="1" applyFont="1" applyFill="1" applyBorder="1" applyAlignment="1">
      <alignment horizontal="center" vertical="center" wrapText="1"/>
    </xf>
    <xf numFmtId="0" fontId="46" fillId="0" borderId="12" xfId="0" applyFont="1" applyFill="1" applyBorder="1" applyAlignment="1">
      <alignment vertical="center" wrapText="1"/>
    </xf>
    <xf numFmtId="4" fontId="48" fillId="0" borderId="12" xfId="95" applyNumberFormat="1" applyFont="1" applyFill="1" applyBorder="1" applyAlignment="1">
      <alignment vertical="center"/>
      <protection/>
    </xf>
    <xf numFmtId="4" fontId="49" fillId="0" borderId="12" xfId="95" applyNumberFormat="1" applyFont="1" applyFill="1" applyBorder="1" applyAlignment="1">
      <alignment vertical="center"/>
      <protection/>
    </xf>
    <xf numFmtId="0" fontId="47" fillId="0" borderId="0" xfId="0" applyFont="1" applyFill="1" applyAlignment="1">
      <alignment/>
    </xf>
    <xf numFmtId="4" fontId="46" fillId="0" borderId="12" xfId="0" applyNumberFormat="1" applyFont="1" applyFill="1" applyBorder="1" applyAlignment="1">
      <alignment vertical="center" wrapText="1"/>
    </xf>
    <xf numFmtId="0" fontId="50" fillId="0" borderId="0" xfId="0" applyNumberFormat="1" applyFont="1" applyFill="1" applyAlignment="1" applyProtection="1">
      <alignment/>
      <protection/>
    </xf>
    <xf numFmtId="0" fontId="50" fillId="0" borderId="0" xfId="0" applyFont="1" applyFill="1" applyAlignment="1">
      <alignment/>
    </xf>
    <xf numFmtId="4" fontId="46" fillId="0" borderId="12" xfId="95" applyNumberFormat="1" applyFont="1" applyFill="1" applyBorder="1" applyAlignment="1">
      <alignment vertical="center"/>
      <protection/>
    </xf>
    <xf numFmtId="49" fontId="46" fillId="0" borderId="12" xfId="0" applyNumberFormat="1" applyFont="1" applyFill="1" applyBorder="1" applyAlignment="1">
      <alignment horizontal="center" vertical="center"/>
    </xf>
    <xf numFmtId="4" fontId="46" fillId="0" borderId="12" xfId="0" applyNumberFormat="1" applyFont="1" applyFill="1" applyBorder="1" applyAlignment="1">
      <alignment horizontal="left" vertical="center" wrapText="1"/>
    </xf>
    <xf numFmtId="0" fontId="47" fillId="0" borderId="0" xfId="0" applyNumberFormat="1" applyFont="1" applyFill="1" applyAlignment="1" applyProtection="1">
      <alignment vertical="center"/>
      <protection/>
    </xf>
    <xf numFmtId="0" fontId="46" fillId="0" borderId="12" xfId="0" applyFont="1" applyFill="1" applyBorder="1" applyAlignment="1">
      <alignment horizontal="center" vertical="center" wrapText="1"/>
    </xf>
    <xf numFmtId="0" fontId="47" fillId="0" borderId="0" xfId="0" applyFont="1" applyFill="1" applyAlignment="1">
      <alignment vertical="center"/>
    </xf>
    <xf numFmtId="4" fontId="52" fillId="0" borderId="12" xfId="95" applyNumberFormat="1" applyFont="1" applyFill="1" applyBorder="1" applyAlignment="1">
      <alignment vertical="center"/>
      <protection/>
    </xf>
    <xf numFmtId="0" fontId="51" fillId="0" borderId="0" xfId="0" applyNumberFormat="1" applyFont="1" applyFill="1" applyAlignment="1" applyProtection="1">
      <alignment/>
      <protection/>
    </xf>
    <xf numFmtId="0" fontId="51"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46" fillId="0" borderId="12" xfId="0" applyFont="1" applyFill="1" applyBorder="1" applyAlignment="1">
      <alignment vertical="center"/>
    </xf>
    <xf numFmtId="49" fontId="31" fillId="0" borderId="12" xfId="0" applyNumberFormat="1" applyFont="1" applyFill="1" applyBorder="1" applyAlignment="1">
      <alignment horizontal="left" vertical="center" wrapText="1"/>
    </xf>
    <xf numFmtId="49" fontId="40" fillId="0" borderId="12"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4" fontId="40" fillId="0" borderId="12" xfId="0" applyNumberFormat="1" applyFont="1" applyFill="1" applyBorder="1" applyAlignment="1">
      <alignment horizontal="left" vertical="center" wrapText="1"/>
    </xf>
    <xf numFmtId="0" fontId="40"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192" fontId="40" fillId="0" borderId="12" xfId="95" applyNumberFormat="1" applyFont="1" applyFill="1" applyBorder="1" applyAlignment="1">
      <alignment vertical="center"/>
      <protection/>
    </xf>
    <xf numFmtId="0" fontId="0" fillId="0" borderId="0" xfId="0" applyFont="1" applyFill="1" applyAlignment="1">
      <alignment vertical="center"/>
    </xf>
    <xf numFmtId="0" fontId="46" fillId="0" borderId="14" xfId="0" applyFont="1" applyFill="1" applyBorder="1" applyAlignment="1">
      <alignment horizontal="left" vertical="center" wrapText="1"/>
    </xf>
    <xf numFmtId="0" fontId="31" fillId="0" borderId="14" xfId="0" applyFont="1" applyFill="1" applyBorder="1" applyAlignment="1">
      <alignment horizontal="left" wrapText="1"/>
    </xf>
    <xf numFmtId="0" fontId="31" fillId="0" borderId="15" xfId="0" applyFont="1" applyFill="1" applyBorder="1" applyAlignment="1">
      <alignment horizontal="left" wrapText="1"/>
    </xf>
    <xf numFmtId="0" fontId="31" fillId="0" borderId="15" xfId="0" applyFont="1" applyFill="1" applyBorder="1" applyAlignment="1">
      <alignment horizontal="left" vertical="center" wrapText="1"/>
    </xf>
    <xf numFmtId="0" fontId="31" fillId="0" borderId="16" xfId="0" applyFont="1" applyFill="1" applyBorder="1" applyAlignment="1">
      <alignment horizontal="left" vertical="center" wrapText="1"/>
    </xf>
    <xf numFmtId="49" fontId="46" fillId="0" borderId="15" xfId="0" applyNumberFormat="1" applyFont="1" applyFill="1" applyBorder="1" applyAlignment="1">
      <alignment horizontal="center" vertical="center" wrapText="1"/>
    </xf>
    <xf numFmtId="0" fontId="31"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0" fontId="35" fillId="0" borderId="0" xfId="0" applyFont="1" applyFill="1" applyAlignment="1">
      <alignment vertical="center"/>
    </xf>
    <xf numFmtId="0" fontId="38" fillId="0" borderId="13" xfId="0" applyNumberFormat="1" applyFont="1" applyFill="1" applyBorder="1" applyAlignment="1" applyProtection="1">
      <alignment horizontal="center" vertical="center"/>
      <protection/>
    </xf>
    <xf numFmtId="0" fontId="35" fillId="0" borderId="0" xfId="0" applyNumberFormat="1" applyFont="1" applyFill="1" applyAlignment="1" applyProtection="1">
      <alignment vertical="center"/>
      <protection/>
    </xf>
    <xf numFmtId="4" fontId="31" fillId="0" borderId="0" xfId="0" applyNumberFormat="1" applyFont="1" applyFill="1" applyBorder="1" applyAlignment="1">
      <alignment vertical="center"/>
    </xf>
    <xf numFmtId="4" fontId="42" fillId="0" borderId="0" xfId="0" applyNumberFormat="1" applyFont="1" applyFill="1" applyBorder="1" applyAlignment="1" applyProtection="1">
      <alignment vertical="center" textRotation="180"/>
      <protection locked="0"/>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0" fontId="31" fillId="0" borderId="0" xfId="0" applyFont="1" applyFill="1" applyBorder="1" applyAlignment="1">
      <alignment horizontal="left" vertical="center"/>
    </xf>
    <xf numFmtId="0" fontId="31" fillId="0" borderId="0" xfId="0" applyFont="1" applyFill="1" applyBorder="1" applyAlignment="1">
      <alignment vertical="center" wrapText="1"/>
    </xf>
    <xf numFmtId="4" fontId="31" fillId="0" borderId="0" xfId="0" applyNumberFormat="1" applyFont="1" applyFill="1" applyBorder="1" applyAlignment="1" applyProtection="1">
      <alignment vertical="center"/>
      <protection/>
    </xf>
    <xf numFmtId="0" fontId="46" fillId="0" borderId="0" xfId="0" applyFont="1" applyFill="1" applyBorder="1" applyAlignment="1">
      <alignment/>
    </xf>
    <xf numFmtId="4" fontId="31" fillId="0" borderId="0" xfId="0" applyNumberFormat="1" applyFont="1" applyFill="1" applyBorder="1" applyAlignment="1" applyProtection="1">
      <alignment vertical="center"/>
      <protection locked="0"/>
    </xf>
    <xf numFmtId="0" fontId="40" fillId="0" borderId="0" xfId="0" applyFont="1" applyFill="1" applyBorder="1" applyAlignment="1">
      <alignment/>
    </xf>
    <xf numFmtId="0" fontId="53" fillId="0" borderId="0" xfId="0" applyFont="1" applyFill="1" applyBorder="1" applyAlignment="1">
      <alignment/>
    </xf>
    <xf numFmtId="0" fontId="46" fillId="0" borderId="0" xfId="0" applyFont="1" applyFill="1" applyBorder="1" applyAlignment="1">
      <alignment vertical="center"/>
    </xf>
    <xf numFmtId="4" fontId="31" fillId="0" borderId="0" xfId="0" applyNumberFormat="1" applyFont="1" applyBorder="1" applyAlignment="1">
      <alignment vertical="center"/>
    </xf>
    <xf numFmtId="0" fontId="31" fillId="27" borderId="0" xfId="0" applyFont="1" applyFill="1" applyBorder="1" applyAlignment="1">
      <alignment/>
    </xf>
    <xf numFmtId="0" fontId="52" fillId="0" borderId="0" xfId="0" applyFont="1" applyFill="1" applyBorder="1" applyAlignment="1">
      <alignment/>
    </xf>
    <xf numFmtId="0" fontId="46" fillId="0" borderId="15" xfId="0" applyFont="1" applyFill="1" applyBorder="1" applyAlignment="1">
      <alignment horizontal="left" vertical="center" wrapText="1"/>
    </xf>
    <xf numFmtId="4" fontId="34" fillId="0" borderId="0" xfId="0" applyNumberFormat="1" applyFont="1" applyFill="1" applyAlignment="1" applyProtection="1">
      <alignment vertical="center"/>
      <protection/>
    </xf>
    <xf numFmtId="0" fontId="34" fillId="0" borderId="0" xfId="0" applyNumberFormat="1" applyFont="1" applyFill="1" applyBorder="1" applyAlignment="1" applyProtection="1">
      <alignment/>
      <protection/>
    </xf>
    <xf numFmtId="0" fontId="37" fillId="0" borderId="0" xfId="0" applyFont="1" applyFill="1" applyAlignment="1" applyProtection="1">
      <alignment horizontal="center" vertical="center" textRotation="180"/>
      <protection locked="0"/>
    </xf>
    <xf numFmtId="0" fontId="37" fillId="0" borderId="0" xfId="0" applyFont="1" applyFill="1" applyBorder="1" applyAlignment="1">
      <alignment vertical="center" textRotation="180"/>
    </xf>
    <xf numFmtId="4" fontId="37" fillId="0" borderId="0" xfId="0" applyNumberFormat="1" applyFont="1" applyFill="1" applyAlignment="1" applyProtection="1">
      <alignment vertical="center"/>
      <protection/>
    </xf>
    <xf numFmtId="49" fontId="46" fillId="0" borderId="15" xfId="0" applyNumberFormat="1" applyFont="1" applyFill="1" applyBorder="1" applyAlignment="1">
      <alignment horizontal="center" vertical="center"/>
    </xf>
    <xf numFmtId="0" fontId="34" fillId="0" borderId="13" xfId="0" applyNumberFormat="1" applyFont="1" applyFill="1" applyBorder="1" applyAlignment="1" applyProtection="1">
      <alignment/>
      <protection/>
    </xf>
    <xf numFmtId="49" fontId="31" fillId="0" borderId="15" xfId="0" applyNumberFormat="1" applyFont="1" applyFill="1" applyBorder="1" applyAlignment="1">
      <alignment horizontal="center" vertical="center" wrapText="1"/>
    </xf>
    <xf numFmtId="4" fontId="31" fillId="0" borderId="0" xfId="0" applyNumberFormat="1" applyFont="1" applyFill="1" applyBorder="1" applyAlignment="1">
      <alignment/>
    </xf>
    <xf numFmtId="4" fontId="49" fillId="0" borderId="15" xfId="95" applyNumberFormat="1" applyFont="1" applyFill="1" applyBorder="1" applyAlignment="1">
      <alignment horizontal="right" vertical="center"/>
      <protection/>
    </xf>
    <xf numFmtId="4" fontId="49" fillId="0" borderId="14" xfId="95" applyNumberFormat="1" applyFont="1" applyFill="1" applyBorder="1" applyAlignment="1">
      <alignment horizontal="right" vertical="center"/>
      <protection/>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31" fillId="0" borderId="12" xfId="0" applyFont="1" applyFill="1" applyBorder="1" applyAlignment="1">
      <alignment horizontal="left" vertical="center" wrapText="1"/>
    </xf>
    <xf numFmtId="49" fontId="31" fillId="0" borderId="12"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xf>
    <xf numFmtId="49" fontId="31" fillId="0" borderId="12" xfId="0" applyNumberFormat="1" applyFont="1" applyFill="1" applyBorder="1" applyAlignment="1">
      <alignment horizontal="left" vertical="center" wrapText="1"/>
    </xf>
    <xf numFmtId="0" fontId="31" fillId="0" borderId="12" xfId="0" applyFont="1" applyFill="1" applyBorder="1" applyAlignment="1">
      <alignment/>
    </xf>
    <xf numFmtId="49" fontId="31" fillId="0" borderId="15"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49" fontId="46" fillId="0" borderId="15"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4" fontId="33" fillId="0" borderId="15" xfId="95" applyNumberFormat="1" applyFont="1" applyFill="1" applyBorder="1" applyAlignment="1">
      <alignment horizontal="right" vertical="center"/>
      <protection/>
    </xf>
    <xf numFmtId="4" fontId="33" fillId="0" borderId="14" xfId="95" applyNumberFormat="1" applyFont="1" applyFill="1" applyBorder="1" applyAlignment="1">
      <alignment horizontal="right" vertical="center"/>
      <protection/>
    </xf>
    <xf numFmtId="0" fontId="31" fillId="0" borderId="12" xfId="0" applyFont="1" applyFill="1" applyBorder="1" applyAlignment="1">
      <alignmen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4" fontId="46" fillId="0" borderId="15" xfId="95" applyNumberFormat="1" applyFont="1" applyFill="1" applyBorder="1" applyAlignment="1">
      <alignment horizontal="right" vertical="center"/>
      <protection/>
    </xf>
    <xf numFmtId="4" fontId="46" fillId="0" borderId="14" xfId="95" applyNumberFormat="1" applyFont="1" applyFill="1" applyBorder="1" applyAlignment="1">
      <alignment horizontal="right" vertical="center"/>
      <protection/>
    </xf>
    <xf numFmtId="4" fontId="31" fillId="0" borderId="15" xfId="95" applyNumberFormat="1" applyFont="1" applyFill="1" applyBorder="1" applyAlignment="1">
      <alignment horizontal="right" vertical="center"/>
      <protection/>
    </xf>
    <xf numFmtId="4" fontId="31" fillId="0" borderId="14" xfId="95" applyNumberFormat="1" applyFont="1" applyFill="1" applyBorder="1" applyAlignment="1">
      <alignment horizontal="right" vertical="center"/>
      <protection/>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5" xfId="0" applyFont="1" applyFill="1" applyBorder="1" applyAlignment="1">
      <alignment horizontal="left"/>
    </xf>
    <xf numFmtId="4" fontId="33" fillId="0" borderId="15" xfId="95" applyNumberFormat="1" applyFont="1" applyFill="1" applyBorder="1" applyAlignment="1">
      <alignment horizontal="center" vertical="center"/>
      <protection/>
    </xf>
    <xf numFmtId="4" fontId="33" fillId="0" borderId="14" xfId="95" applyNumberFormat="1" applyFont="1" applyFill="1" applyBorder="1" applyAlignment="1">
      <alignment horizontal="center" vertical="center"/>
      <protection/>
    </xf>
    <xf numFmtId="0" fontId="42" fillId="0" borderId="0" xfId="0" applyFont="1" applyFill="1" applyAlignment="1">
      <alignment horizontal="left" vertical="center" wrapText="1"/>
    </xf>
    <xf numFmtId="0" fontId="43" fillId="0" borderId="0" xfId="0" applyNumberFormat="1" applyFont="1" applyFill="1" applyBorder="1" applyAlignment="1" applyProtection="1">
      <alignment horizontal="center" vertical="top" wrapText="1"/>
      <protection/>
    </xf>
    <xf numFmtId="0" fontId="37" fillId="0" borderId="0" xfId="0" applyNumberFormat="1" applyFont="1" applyFill="1" applyAlignment="1" applyProtection="1">
      <alignment horizontal="center" vertical="center" textRotation="180"/>
      <protection/>
    </xf>
    <xf numFmtId="0" fontId="37" fillId="0" borderId="21" xfId="0" applyNumberFormat="1" applyFont="1" applyFill="1" applyBorder="1" applyAlignment="1" applyProtection="1">
      <alignment horizontal="center" vertical="center" textRotation="180"/>
      <protection/>
    </xf>
    <xf numFmtId="0" fontId="37" fillId="0" borderId="21" xfId="0" applyFont="1" applyBorder="1" applyAlignment="1">
      <alignment horizontal="center" vertical="center" textRotation="180"/>
    </xf>
    <xf numFmtId="0" fontId="37" fillId="0" borderId="21" xfId="0" applyFont="1" applyFill="1" applyBorder="1" applyAlignment="1" applyProtection="1">
      <alignment horizontal="center" vertical="center" textRotation="180"/>
      <protection locked="0"/>
    </xf>
    <xf numFmtId="0" fontId="37" fillId="0" borderId="21" xfId="0" applyFont="1" applyFill="1" applyBorder="1" applyAlignment="1">
      <alignment horizontal="center" vertical="center" textRotation="180"/>
    </xf>
    <xf numFmtId="0" fontId="37" fillId="0" borderId="0" xfId="0" applyFont="1" applyFill="1" applyBorder="1" applyAlignment="1">
      <alignment horizontal="center" vertical="center" textRotation="180"/>
    </xf>
    <xf numFmtId="3" fontId="41" fillId="0" borderId="0" xfId="0" applyNumberFormat="1" applyFont="1" applyFill="1" applyBorder="1" applyAlignment="1">
      <alignment horizontal="left" vertical="center" wrapText="1"/>
    </xf>
    <xf numFmtId="0" fontId="31" fillId="0" borderId="16" xfId="0" applyFont="1" applyFill="1" applyBorder="1" applyAlignment="1">
      <alignment horizontal="left" vertical="center" wrapText="1"/>
    </xf>
    <xf numFmtId="49" fontId="31" fillId="0" borderId="16" xfId="0" applyNumberFormat="1" applyFont="1" applyFill="1" applyBorder="1" applyAlignment="1">
      <alignment horizontal="center" vertical="center" wrapText="1"/>
    </xf>
    <xf numFmtId="3"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9"/>
  <sheetViews>
    <sheetView showZeros="0" tabSelected="1" view="pageBreakPreview" zoomScale="25" zoomScaleNormal="40" zoomScaleSheetLayoutView="25" zoomScalePageLayoutView="0" workbookViewId="0" topLeftCell="B1">
      <selection activeCell="G2" sqref="G2:I2"/>
    </sheetView>
  </sheetViews>
  <sheetFormatPr defaultColWidth="9.16015625" defaultRowHeight="12.75"/>
  <cols>
    <col min="1" max="1" width="3.83203125" style="3" hidden="1" customWidth="1"/>
    <col min="2" max="2" width="47.16015625" style="39" customWidth="1"/>
    <col min="3" max="3" width="46.5" style="39" customWidth="1"/>
    <col min="4" max="4" width="37.16015625" style="39" customWidth="1"/>
    <col min="5" max="5" width="175.5" style="38" customWidth="1"/>
    <col min="6" max="6" width="159.83203125" style="39" customWidth="1"/>
    <col min="7" max="7" width="70.5" style="40" customWidth="1"/>
    <col min="8" max="8" width="66.66015625" style="40" customWidth="1"/>
    <col min="9" max="9" width="68.5" style="106" customWidth="1"/>
    <col min="10" max="10" width="26.83203125" style="125" customWidth="1"/>
    <col min="11" max="12" width="63.5" style="110" customWidth="1"/>
    <col min="13" max="16384" width="9.16015625" style="2" customWidth="1"/>
  </cols>
  <sheetData>
    <row r="1" spans="7:17" ht="68.25" customHeight="1">
      <c r="G1" s="169" t="s">
        <v>441</v>
      </c>
      <c r="H1" s="169"/>
      <c r="I1" s="169"/>
      <c r="J1" s="171"/>
      <c r="K1" s="109"/>
      <c r="M1" s="5"/>
      <c r="N1" s="5"/>
      <c r="O1" s="5"/>
      <c r="P1" s="5"/>
      <c r="Q1" s="5"/>
    </row>
    <row r="2" spans="2:17" ht="65.25" customHeight="1">
      <c r="B2" s="56"/>
      <c r="C2" s="56"/>
      <c r="D2" s="56"/>
      <c r="G2" s="169" t="s">
        <v>426</v>
      </c>
      <c r="H2" s="169"/>
      <c r="I2" s="169"/>
      <c r="J2" s="171"/>
      <c r="K2" s="101"/>
      <c r="M2" s="5"/>
      <c r="N2" s="5"/>
      <c r="O2" s="5"/>
      <c r="P2" s="5"/>
      <c r="Q2" s="5"/>
    </row>
    <row r="3" spans="2:17" ht="59.25" customHeight="1">
      <c r="B3" s="56"/>
      <c r="C3" s="56"/>
      <c r="D3" s="56"/>
      <c r="G3" s="169" t="s">
        <v>427</v>
      </c>
      <c r="H3" s="169"/>
      <c r="I3" s="169"/>
      <c r="J3" s="171"/>
      <c r="K3" s="101"/>
      <c r="M3" s="5"/>
      <c r="N3" s="5"/>
      <c r="O3" s="5"/>
      <c r="P3" s="5"/>
      <c r="Q3" s="5"/>
    </row>
    <row r="4" spans="2:17" ht="62.25" customHeight="1">
      <c r="B4" s="56"/>
      <c r="C4" s="56"/>
      <c r="D4" s="56"/>
      <c r="G4" s="169" t="s">
        <v>428</v>
      </c>
      <c r="H4" s="169"/>
      <c r="I4" s="169"/>
      <c r="J4" s="171"/>
      <c r="K4" s="101"/>
      <c r="M4" s="5"/>
      <c r="N4" s="5"/>
      <c r="O4" s="5"/>
      <c r="P4" s="5"/>
      <c r="Q4" s="5"/>
    </row>
    <row r="5" spans="2:11" ht="59.25" customHeight="1">
      <c r="B5" s="56"/>
      <c r="C5" s="56"/>
      <c r="D5" s="56"/>
      <c r="G5" s="169" t="s">
        <v>438</v>
      </c>
      <c r="H5" s="169"/>
      <c r="I5" s="169"/>
      <c r="J5" s="171"/>
      <c r="K5" s="101"/>
    </row>
    <row r="6" spans="1:16" s="5" customFormat="1" ht="33.75" customHeight="1">
      <c r="A6" s="4"/>
      <c r="B6" s="23"/>
      <c r="C6" s="23"/>
      <c r="D6" s="23"/>
      <c r="E6" s="24"/>
      <c r="F6" s="23"/>
      <c r="H6" s="49"/>
      <c r="I6" s="104"/>
      <c r="J6" s="171"/>
      <c r="K6" s="101"/>
      <c r="L6" s="111"/>
      <c r="M6" s="58"/>
      <c r="N6" s="58"/>
      <c r="O6" s="58"/>
      <c r="P6" s="9"/>
    </row>
    <row r="7" spans="1:16" s="5" customFormat="1" ht="87.75" customHeight="1">
      <c r="A7" s="4"/>
      <c r="B7" s="24"/>
      <c r="C7" s="24"/>
      <c r="D7" s="24"/>
      <c r="E7" s="24"/>
      <c r="F7" s="24"/>
      <c r="G7" s="25"/>
      <c r="H7" s="25"/>
      <c r="I7" s="104"/>
      <c r="J7" s="171"/>
      <c r="K7" s="112"/>
      <c r="L7" s="101"/>
      <c r="M7" s="57"/>
      <c r="N7" s="57"/>
      <c r="O7" s="57"/>
      <c r="P7" s="57"/>
    </row>
    <row r="8" spans="1:16" ht="127.5" customHeight="1">
      <c r="A8" s="1"/>
      <c r="B8" s="170" t="s">
        <v>407</v>
      </c>
      <c r="C8" s="170"/>
      <c r="D8" s="170"/>
      <c r="E8" s="170"/>
      <c r="F8" s="170"/>
      <c r="G8" s="170"/>
      <c r="H8" s="170"/>
      <c r="I8" s="170"/>
      <c r="J8" s="171"/>
      <c r="L8" s="101"/>
      <c r="M8" s="57"/>
      <c r="N8" s="57"/>
      <c r="O8" s="57"/>
      <c r="P8" s="57"/>
    </row>
    <row r="9" spans="2:16" ht="46.5" customHeight="1">
      <c r="B9" s="26"/>
      <c r="C9" s="26"/>
      <c r="D9" s="26"/>
      <c r="E9" s="27"/>
      <c r="F9" s="28"/>
      <c r="G9" s="29"/>
      <c r="H9" s="30"/>
      <c r="I9" s="105" t="s">
        <v>58</v>
      </c>
      <c r="J9" s="171"/>
      <c r="L9" s="101"/>
      <c r="M9" s="57"/>
      <c r="N9" s="57"/>
      <c r="O9" s="57"/>
      <c r="P9" s="57"/>
    </row>
    <row r="10" spans="1:10" ht="361.5" customHeight="1">
      <c r="A10" s="6"/>
      <c r="B10" s="48" t="s">
        <v>102</v>
      </c>
      <c r="C10" s="48" t="s">
        <v>103</v>
      </c>
      <c r="D10" s="48" t="s">
        <v>366</v>
      </c>
      <c r="E10" s="48" t="s">
        <v>364</v>
      </c>
      <c r="F10" s="48" t="s">
        <v>365</v>
      </c>
      <c r="G10" s="48" t="s">
        <v>0</v>
      </c>
      <c r="H10" s="48" t="s">
        <v>1</v>
      </c>
      <c r="I10" s="48" t="s">
        <v>4</v>
      </c>
      <c r="J10" s="171"/>
    </row>
    <row r="11" spans="1:12" s="94" customFormat="1" ht="93" customHeight="1">
      <c r="A11" s="92"/>
      <c r="B11" s="88"/>
      <c r="C11" s="88"/>
      <c r="D11" s="88"/>
      <c r="E11" s="89" t="s">
        <v>26</v>
      </c>
      <c r="F11" s="93"/>
      <c r="G11" s="20">
        <f>G12+G13+G14+G17+G19+G21+G22+G25+G27+G30+G33+G36+G39+G40+G42+G43+G45+G46+G48+G50+G53+G64+G65+G47+G51+G52+G62</f>
        <v>42777350</v>
      </c>
      <c r="H11" s="20">
        <f>H12+H13+H14+H17+H19+H21+H22+H25+H27+H30+H33+H36+H39+H40+H42+H43+H45+H46+H48+H50+H53+H64+H65+H47+H51+H52+H62</f>
        <v>56587581</v>
      </c>
      <c r="I11" s="20">
        <f>I12+I13+I14+I17+I19+I21+I22+I25+I27+I30+I33+I36+I39+I40+I42+I43+I45+I46+I48+I50+I53+I64+I65+I47+I51+I52+I62</f>
        <v>99364931</v>
      </c>
      <c r="J11" s="171"/>
      <c r="K11" s="113"/>
      <c r="L11" s="113"/>
    </row>
    <row r="12" spans="2:10" ht="129.75" customHeight="1">
      <c r="B12" s="137" t="s">
        <v>125</v>
      </c>
      <c r="C12" s="137" t="s">
        <v>55</v>
      </c>
      <c r="D12" s="137" t="s">
        <v>2</v>
      </c>
      <c r="E12" s="136" t="s">
        <v>406</v>
      </c>
      <c r="F12" s="41" t="s">
        <v>100</v>
      </c>
      <c r="G12" s="21">
        <f>575000</f>
        <v>575000</v>
      </c>
      <c r="H12" s="21"/>
      <c r="I12" s="21">
        <f>G12+H12</f>
        <v>575000</v>
      </c>
      <c r="J12" s="171"/>
    </row>
    <row r="13" spans="2:10" ht="155.25" customHeight="1">
      <c r="B13" s="140">
        <v>310180</v>
      </c>
      <c r="C13" s="137"/>
      <c r="D13" s="140"/>
      <c r="E13" s="166"/>
      <c r="F13" s="41" t="s">
        <v>396</v>
      </c>
      <c r="G13" s="21">
        <f>1132800-342800+60000+495100-120000</f>
        <v>1225100</v>
      </c>
      <c r="H13" s="21">
        <f>635300-135300+280000+120000</f>
        <v>900000</v>
      </c>
      <c r="I13" s="21">
        <f>G13+H13</f>
        <v>2125100</v>
      </c>
      <c r="J13" s="171"/>
    </row>
    <row r="14" spans="1:12" s="10" customFormat="1" ht="409.5" customHeight="1">
      <c r="A14" s="1"/>
      <c r="B14" s="143" t="s">
        <v>359</v>
      </c>
      <c r="C14" s="141" t="s">
        <v>257</v>
      </c>
      <c r="D14" s="149">
        <v>1030</v>
      </c>
      <c r="E14" s="97" t="s">
        <v>368</v>
      </c>
      <c r="F14" s="145"/>
      <c r="G14" s="151">
        <f>G16</f>
        <v>15000</v>
      </c>
      <c r="H14" s="167">
        <f>H16</f>
        <v>0</v>
      </c>
      <c r="I14" s="151">
        <f>G14+H14</f>
        <v>15000</v>
      </c>
      <c r="J14" s="171"/>
      <c r="K14" s="110"/>
      <c r="L14" s="110"/>
    </row>
    <row r="15" spans="1:12" s="10" customFormat="1" ht="133.5" customHeight="1">
      <c r="A15" s="1"/>
      <c r="B15" s="144"/>
      <c r="C15" s="142"/>
      <c r="D15" s="150"/>
      <c r="E15" s="96" t="s">
        <v>367</v>
      </c>
      <c r="F15" s="146"/>
      <c r="G15" s="152"/>
      <c r="H15" s="168"/>
      <c r="I15" s="152"/>
      <c r="J15" s="171"/>
      <c r="K15" s="110"/>
      <c r="L15" s="110"/>
    </row>
    <row r="16" spans="1:12" s="71" customFormat="1" ht="134.25" customHeight="1">
      <c r="A16" s="66"/>
      <c r="B16" s="76" t="s">
        <v>358</v>
      </c>
      <c r="C16" s="67" t="s">
        <v>258</v>
      </c>
      <c r="D16" s="67">
        <v>1070</v>
      </c>
      <c r="E16" s="65" t="s">
        <v>41</v>
      </c>
      <c r="F16" s="68" t="s">
        <v>64</v>
      </c>
      <c r="G16" s="69">
        <v>15000</v>
      </c>
      <c r="H16" s="69"/>
      <c r="I16" s="21">
        <f>G16+H16</f>
        <v>15000</v>
      </c>
      <c r="J16" s="171"/>
      <c r="K16" s="114"/>
      <c r="L16" s="114"/>
    </row>
    <row r="17" spans="1:12" s="71" customFormat="1" ht="122.25" customHeight="1">
      <c r="A17" s="66"/>
      <c r="B17" s="42" t="s">
        <v>127</v>
      </c>
      <c r="C17" s="42" t="s">
        <v>126</v>
      </c>
      <c r="D17" s="42"/>
      <c r="E17" s="43" t="s">
        <v>259</v>
      </c>
      <c r="F17" s="41"/>
      <c r="G17" s="21">
        <f>G18</f>
        <v>48000</v>
      </c>
      <c r="H17" s="21">
        <f>H18</f>
        <v>0</v>
      </c>
      <c r="I17" s="21">
        <f>I18</f>
        <v>48000</v>
      </c>
      <c r="J17" s="171"/>
      <c r="K17" s="114"/>
      <c r="L17" s="114"/>
    </row>
    <row r="18" spans="1:12" s="71" customFormat="1" ht="152.25" customHeight="1">
      <c r="A18" s="66"/>
      <c r="B18" s="67" t="s">
        <v>127</v>
      </c>
      <c r="C18" s="67" t="s">
        <v>112</v>
      </c>
      <c r="D18" s="67" t="s">
        <v>10</v>
      </c>
      <c r="E18" s="65" t="s">
        <v>134</v>
      </c>
      <c r="F18" s="68" t="s">
        <v>63</v>
      </c>
      <c r="G18" s="69">
        <v>48000</v>
      </c>
      <c r="H18" s="69"/>
      <c r="I18" s="69">
        <f>G18+H18</f>
        <v>48000</v>
      </c>
      <c r="J18" s="171"/>
      <c r="K18" s="114"/>
      <c r="L18" s="114"/>
    </row>
    <row r="19" spans="1:12" s="71" customFormat="1" ht="107.25" customHeight="1">
      <c r="A19" s="66"/>
      <c r="B19" s="42" t="s">
        <v>260</v>
      </c>
      <c r="C19" s="42" t="s">
        <v>113</v>
      </c>
      <c r="D19" s="42" t="s">
        <v>10</v>
      </c>
      <c r="E19" s="43" t="s">
        <v>381</v>
      </c>
      <c r="F19" s="41"/>
      <c r="G19" s="21">
        <f>G20</f>
        <v>744135</v>
      </c>
      <c r="H19" s="21">
        <f>H20</f>
        <v>0</v>
      </c>
      <c r="I19" s="21">
        <f>I20</f>
        <v>744135</v>
      </c>
      <c r="J19" s="172"/>
      <c r="K19" s="114"/>
      <c r="L19" s="114"/>
    </row>
    <row r="20" spans="1:12" s="71" customFormat="1" ht="155.25" customHeight="1">
      <c r="A20" s="66"/>
      <c r="B20" s="67" t="s">
        <v>399</v>
      </c>
      <c r="C20" s="67" t="s">
        <v>400</v>
      </c>
      <c r="D20" s="67" t="s">
        <v>10</v>
      </c>
      <c r="E20" s="65" t="s">
        <v>401</v>
      </c>
      <c r="F20" s="68" t="s">
        <v>64</v>
      </c>
      <c r="G20" s="69">
        <f>700000+150000-105865</f>
        <v>744135</v>
      </c>
      <c r="H20" s="69"/>
      <c r="I20" s="69">
        <f>G20+H20</f>
        <v>744135</v>
      </c>
      <c r="J20" s="172"/>
      <c r="K20" s="114"/>
      <c r="L20" s="114"/>
    </row>
    <row r="21" spans="1:12" s="71" customFormat="1" ht="239.25" customHeight="1">
      <c r="A21" s="66"/>
      <c r="B21" s="42" t="s">
        <v>261</v>
      </c>
      <c r="C21" s="42" t="s">
        <v>114</v>
      </c>
      <c r="D21" s="42" t="s">
        <v>10</v>
      </c>
      <c r="E21" s="43" t="s">
        <v>135</v>
      </c>
      <c r="F21" s="41" t="s">
        <v>64</v>
      </c>
      <c r="G21" s="21">
        <v>401800</v>
      </c>
      <c r="H21" s="21"/>
      <c r="I21" s="21">
        <f>G21+H21</f>
        <v>401800</v>
      </c>
      <c r="J21" s="172"/>
      <c r="K21" s="114"/>
      <c r="L21" s="114"/>
    </row>
    <row r="22" spans="1:10" ht="77.25" customHeight="1">
      <c r="A22" s="64"/>
      <c r="B22" s="42" t="s">
        <v>262</v>
      </c>
      <c r="C22" s="42" t="s">
        <v>111</v>
      </c>
      <c r="D22" s="42">
        <v>1090</v>
      </c>
      <c r="E22" s="43" t="s">
        <v>8</v>
      </c>
      <c r="F22" s="41"/>
      <c r="G22" s="21">
        <f>G23+G24</f>
        <v>191854</v>
      </c>
      <c r="H22" s="21">
        <f>H23+H24</f>
        <v>0</v>
      </c>
      <c r="I22" s="21">
        <f>I23+I24</f>
        <v>191854</v>
      </c>
      <c r="J22" s="172"/>
    </row>
    <row r="23" spans="1:12" s="71" customFormat="1" ht="162" customHeight="1">
      <c r="A23" s="66"/>
      <c r="B23" s="67" t="s">
        <v>262</v>
      </c>
      <c r="C23" s="67" t="s">
        <v>111</v>
      </c>
      <c r="D23" s="67" t="s">
        <v>9</v>
      </c>
      <c r="E23" s="68" t="s">
        <v>352</v>
      </c>
      <c r="F23" s="68" t="s">
        <v>62</v>
      </c>
      <c r="G23" s="69">
        <v>143854</v>
      </c>
      <c r="H23" s="69"/>
      <c r="I23" s="69">
        <f>G23+H23</f>
        <v>143854</v>
      </c>
      <c r="J23" s="172"/>
      <c r="K23" s="114"/>
      <c r="L23" s="114"/>
    </row>
    <row r="24" spans="1:12" s="71" customFormat="1" ht="180" customHeight="1">
      <c r="A24" s="66"/>
      <c r="B24" s="67" t="s">
        <v>262</v>
      </c>
      <c r="C24" s="67" t="s">
        <v>111</v>
      </c>
      <c r="D24" s="67" t="s">
        <v>9</v>
      </c>
      <c r="E24" s="68" t="s">
        <v>348</v>
      </c>
      <c r="F24" s="68" t="s">
        <v>348</v>
      </c>
      <c r="G24" s="69">
        <v>48000</v>
      </c>
      <c r="H24" s="69"/>
      <c r="I24" s="69">
        <f>G24+H24</f>
        <v>48000</v>
      </c>
      <c r="J24" s="172"/>
      <c r="K24" s="114"/>
      <c r="L24" s="114"/>
    </row>
    <row r="25" spans="1:12" s="10" customFormat="1" ht="48.75" customHeight="1">
      <c r="A25" s="1"/>
      <c r="B25" s="42" t="s">
        <v>263</v>
      </c>
      <c r="C25" s="42" t="s">
        <v>115</v>
      </c>
      <c r="D25" s="42" t="s">
        <v>10</v>
      </c>
      <c r="E25" s="43" t="s">
        <v>12</v>
      </c>
      <c r="F25" s="41"/>
      <c r="G25" s="21">
        <f>G26</f>
        <v>711500</v>
      </c>
      <c r="H25" s="21">
        <f>H26</f>
        <v>10000</v>
      </c>
      <c r="I25" s="21">
        <f>I26</f>
        <v>721500</v>
      </c>
      <c r="J25" s="172"/>
      <c r="K25" s="110"/>
      <c r="L25" s="110"/>
    </row>
    <row r="26" spans="1:12" s="71" customFormat="1" ht="189.75" customHeight="1">
      <c r="A26" s="66"/>
      <c r="B26" s="67" t="s">
        <v>263</v>
      </c>
      <c r="C26" s="67" t="s">
        <v>115</v>
      </c>
      <c r="D26" s="67" t="s">
        <v>10</v>
      </c>
      <c r="E26" s="68" t="s">
        <v>353</v>
      </c>
      <c r="F26" s="68" t="s">
        <v>63</v>
      </c>
      <c r="G26" s="75">
        <f>712000-500</f>
        <v>711500</v>
      </c>
      <c r="H26" s="69">
        <v>10000</v>
      </c>
      <c r="I26" s="69">
        <f>G26+H26</f>
        <v>721500</v>
      </c>
      <c r="J26" s="172"/>
      <c r="K26" s="114"/>
      <c r="L26" s="114"/>
    </row>
    <row r="27" spans="1:12" s="10" customFormat="1" ht="75.75" customHeight="1">
      <c r="A27" s="1"/>
      <c r="B27" s="42" t="s">
        <v>265</v>
      </c>
      <c r="C27" s="42" t="s">
        <v>264</v>
      </c>
      <c r="D27" s="42" t="s">
        <v>15</v>
      </c>
      <c r="E27" s="43" t="s">
        <v>136</v>
      </c>
      <c r="F27" s="41"/>
      <c r="G27" s="22">
        <f>G28+G29</f>
        <v>598865</v>
      </c>
      <c r="H27" s="22">
        <f>H28+H29</f>
        <v>22000</v>
      </c>
      <c r="I27" s="22">
        <f>I28+I29</f>
        <v>620865</v>
      </c>
      <c r="J27" s="172"/>
      <c r="K27" s="110"/>
      <c r="L27" s="110"/>
    </row>
    <row r="28" spans="1:12" s="71" customFormat="1" ht="117.75" customHeight="1">
      <c r="A28" s="66"/>
      <c r="B28" s="67" t="s">
        <v>265</v>
      </c>
      <c r="C28" s="67" t="s">
        <v>264</v>
      </c>
      <c r="D28" s="67" t="s">
        <v>15</v>
      </c>
      <c r="E28" s="68" t="s">
        <v>436</v>
      </c>
      <c r="F28" s="68" t="s">
        <v>64</v>
      </c>
      <c r="G28" s="75">
        <f>150000+150000+39600+74265</f>
        <v>413865</v>
      </c>
      <c r="H28" s="69">
        <v>22000</v>
      </c>
      <c r="I28" s="69">
        <f>G28+H28</f>
        <v>435865</v>
      </c>
      <c r="J28" s="172"/>
      <c r="K28" s="114"/>
      <c r="L28" s="114"/>
    </row>
    <row r="29" spans="1:12" s="71" customFormat="1" ht="111.75" customHeight="1">
      <c r="A29" s="66"/>
      <c r="B29" s="67" t="s">
        <v>265</v>
      </c>
      <c r="C29" s="67" t="s">
        <v>264</v>
      </c>
      <c r="D29" s="67" t="s">
        <v>15</v>
      </c>
      <c r="E29" s="68" t="s">
        <v>437</v>
      </c>
      <c r="F29" s="65" t="s">
        <v>100</v>
      </c>
      <c r="G29" s="75">
        <f>100000+85000</f>
        <v>185000</v>
      </c>
      <c r="H29" s="69"/>
      <c r="I29" s="69">
        <f>G29+H29</f>
        <v>185000</v>
      </c>
      <c r="J29" s="172"/>
      <c r="K29" s="114"/>
      <c r="L29" s="114"/>
    </row>
    <row r="30" spans="1:12" s="71" customFormat="1" ht="66" customHeight="1">
      <c r="A30" s="66"/>
      <c r="B30" s="42" t="s">
        <v>268</v>
      </c>
      <c r="C30" s="42" t="s">
        <v>267</v>
      </c>
      <c r="D30" s="42"/>
      <c r="E30" s="43" t="s">
        <v>266</v>
      </c>
      <c r="F30" s="41"/>
      <c r="G30" s="21">
        <f>G31+G32</f>
        <v>1705000</v>
      </c>
      <c r="H30" s="21">
        <f>H31+H32</f>
        <v>0</v>
      </c>
      <c r="I30" s="21">
        <f>I31+I32</f>
        <v>1705000</v>
      </c>
      <c r="J30" s="172"/>
      <c r="K30" s="114"/>
      <c r="L30" s="114"/>
    </row>
    <row r="31" spans="1:12" s="71" customFormat="1" ht="132.75" customHeight="1">
      <c r="A31" s="66"/>
      <c r="B31" s="67" t="s">
        <v>271</v>
      </c>
      <c r="C31" s="67" t="s">
        <v>269</v>
      </c>
      <c r="D31" s="67" t="s">
        <v>16</v>
      </c>
      <c r="E31" s="68" t="s">
        <v>138</v>
      </c>
      <c r="F31" s="68" t="s">
        <v>65</v>
      </c>
      <c r="G31" s="69">
        <f>600000+300000</f>
        <v>900000</v>
      </c>
      <c r="H31" s="69"/>
      <c r="I31" s="69">
        <f>G31+H31</f>
        <v>900000</v>
      </c>
      <c r="J31" s="172"/>
      <c r="K31" s="114"/>
      <c r="L31" s="114"/>
    </row>
    <row r="32" spans="1:12" s="71" customFormat="1" ht="126.75" customHeight="1">
      <c r="A32" s="66"/>
      <c r="B32" s="67" t="s">
        <v>272</v>
      </c>
      <c r="C32" s="67" t="s">
        <v>270</v>
      </c>
      <c r="D32" s="67" t="s">
        <v>16</v>
      </c>
      <c r="E32" s="68" t="s">
        <v>17</v>
      </c>
      <c r="F32" s="68" t="s">
        <v>65</v>
      </c>
      <c r="G32" s="69">
        <f>600000+200000+5000</f>
        <v>805000</v>
      </c>
      <c r="H32" s="69"/>
      <c r="I32" s="69">
        <f>G32+H32</f>
        <v>805000</v>
      </c>
      <c r="J32" s="172"/>
      <c r="K32" s="114"/>
      <c r="L32" s="114"/>
    </row>
    <row r="33" spans="1:12" s="10" customFormat="1" ht="98.25" customHeight="1">
      <c r="A33" s="1"/>
      <c r="B33" s="42" t="s">
        <v>273</v>
      </c>
      <c r="C33" s="42" t="s">
        <v>385</v>
      </c>
      <c r="D33" s="42"/>
      <c r="E33" s="43" t="s">
        <v>382</v>
      </c>
      <c r="F33" s="41"/>
      <c r="G33" s="21">
        <f>G34+G35</f>
        <v>13008606</v>
      </c>
      <c r="H33" s="21">
        <f>H34+H35</f>
        <v>249000</v>
      </c>
      <c r="I33" s="21">
        <f>I34+I35</f>
        <v>13257606</v>
      </c>
      <c r="J33" s="172"/>
      <c r="K33" s="110"/>
      <c r="L33" s="110"/>
    </row>
    <row r="34" spans="1:12" s="71" customFormat="1" ht="120.75" customHeight="1">
      <c r="A34" s="66"/>
      <c r="B34" s="67" t="s">
        <v>388</v>
      </c>
      <c r="C34" s="67" t="s">
        <v>386</v>
      </c>
      <c r="D34" s="67" t="s">
        <v>16</v>
      </c>
      <c r="E34" s="68" t="s">
        <v>139</v>
      </c>
      <c r="F34" s="68" t="s">
        <v>65</v>
      </c>
      <c r="G34" s="69">
        <f>7111640-53334+88000</f>
        <v>7146306</v>
      </c>
      <c r="H34" s="69">
        <f>239000+10000</f>
        <v>249000</v>
      </c>
      <c r="I34" s="69">
        <f aca="true" t="shared" si="0" ref="I34:I39">G34+H34</f>
        <v>7395306</v>
      </c>
      <c r="J34" s="172"/>
      <c r="K34" s="114"/>
      <c r="L34" s="114"/>
    </row>
    <row r="35" spans="1:12" s="71" customFormat="1" ht="144.75" customHeight="1">
      <c r="A35" s="66"/>
      <c r="B35" s="67" t="s">
        <v>389</v>
      </c>
      <c r="C35" s="67" t="s">
        <v>387</v>
      </c>
      <c r="D35" s="67" t="s">
        <v>16</v>
      </c>
      <c r="E35" s="68" t="s">
        <v>140</v>
      </c>
      <c r="F35" s="68" t="s">
        <v>65</v>
      </c>
      <c r="G35" s="69">
        <f>5968000+10200-152900+18000+19000</f>
        <v>5862300</v>
      </c>
      <c r="H35" s="69"/>
      <c r="I35" s="69">
        <f t="shared" si="0"/>
        <v>5862300</v>
      </c>
      <c r="J35" s="172"/>
      <c r="K35" s="114"/>
      <c r="L35" s="114"/>
    </row>
    <row r="36" spans="1:12" s="71" customFormat="1" ht="117.75" customHeight="1">
      <c r="A36" s="66"/>
      <c r="B36" s="42" t="s">
        <v>402</v>
      </c>
      <c r="C36" s="42" t="s">
        <v>274</v>
      </c>
      <c r="D36" s="42" t="s">
        <v>16</v>
      </c>
      <c r="E36" s="43" t="s">
        <v>383</v>
      </c>
      <c r="F36" s="41" t="s">
        <v>65</v>
      </c>
      <c r="G36" s="21">
        <f>G37+G38</f>
        <v>5861737</v>
      </c>
      <c r="H36" s="21">
        <f>H37+H38</f>
        <v>454700</v>
      </c>
      <c r="I36" s="21">
        <f t="shared" si="0"/>
        <v>6316437</v>
      </c>
      <c r="J36" s="172"/>
      <c r="K36" s="114"/>
      <c r="L36" s="114"/>
    </row>
    <row r="37" spans="1:12" s="71" customFormat="1" ht="183.75" customHeight="1">
      <c r="A37" s="66"/>
      <c r="B37" s="67" t="s">
        <v>403</v>
      </c>
      <c r="C37" s="67" t="s">
        <v>392</v>
      </c>
      <c r="D37" s="42" t="s">
        <v>16</v>
      </c>
      <c r="E37" s="68" t="s">
        <v>390</v>
      </c>
      <c r="F37" s="68" t="s">
        <v>65</v>
      </c>
      <c r="G37" s="21">
        <f>2281250+350000+60340+20000</f>
        <v>2711590</v>
      </c>
      <c r="H37" s="69">
        <f>39000+415700</f>
        <v>454700</v>
      </c>
      <c r="I37" s="21">
        <f t="shared" si="0"/>
        <v>3166290</v>
      </c>
      <c r="J37" s="172"/>
      <c r="K37" s="114"/>
      <c r="L37" s="114"/>
    </row>
    <row r="38" spans="1:12" s="71" customFormat="1" ht="165.75" customHeight="1">
      <c r="A38" s="66"/>
      <c r="B38" s="67" t="s">
        <v>404</v>
      </c>
      <c r="C38" s="67" t="s">
        <v>384</v>
      </c>
      <c r="D38" s="67" t="s">
        <v>16</v>
      </c>
      <c r="E38" s="68" t="s">
        <v>391</v>
      </c>
      <c r="F38" s="68" t="s">
        <v>65</v>
      </c>
      <c r="G38" s="75">
        <f>2965750+20000-53973+53170+115200+50000</f>
        <v>3150147</v>
      </c>
      <c r="H38" s="75"/>
      <c r="I38" s="75">
        <f t="shared" si="0"/>
        <v>3150147</v>
      </c>
      <c r="J38" s="172"/>
      <c r="K38" s="114"/>
      <c r="L38" s="114"/>
    </row>
    <row r="39" spans="2:10" ht="173.25" customHeight="1">
      <c r="B39" s="42" t="s">
        <v>276</v>
      </c>
      <c r="C39" s="42" t="s">
        <v>275</v>
      </c>
      <c r="D39" s="42" t="s">
        <v>70</v>
      </c>
      <c r="E39" s="43" t="s">
        <v>69</v>
      </c>
      <c r="F39" s="41" t="s">
        <v>66</v>
      </c>
      <c r="G39" s="21">
        <v>1604000</v>
      </c>
      <c r="H39" s="21"/>
      <c r="I39" s="21">
        <f t="shared" si="0"/>
        <v>1604000</v>
      </c>
      <c r="J39" s="172"/>
    </row>
    <row r="40" spans="2:10" ht="88.5">
      <c r="B40" s="42" t="s">
        <v>279</v>
      </c>
      <c r="C40" s="42" t="s">
        <v>278</v>
      </c>
      <c r="D40" s="42"/>
      <c r="E40" s="43" t="s">
        <v>277</v>
      </c>
      <c r="F40" s="41"/>
      <c r="G40" s="21">
        <f>G41</f>
        <v>4820000</v>
      </c>
      <c r="H40" s="21">
        <f>H41</f>
        <v>0</v>
      </c>
      <c r="I40" s="21">
        <f>I41</f>
        <v>4820000</v>
      </c>
      <c r="J40" s="172"/>
    </row>
    <row r="41" spans="1:12" s="71" customFormat="1" ht="138" customHeight="1">
      <c r="A41" s="66"/>
      <c r="B41" s="67" t="s">
        <v>281</v>
      </c>
      <c r="C41" s="67" t="s">
        <v>280</v>
      </c>
      <c r="D41" s="67" t="s">
        <v>72</v>
      </c>
      <c r="E41" s="65" t="s">
        <v>71</v>
      </c>
      <c r="F41" s="68" t="s">
        <v>66</v>
      </c>
      <c r="G41" s="69">
        <v>4820000</v>
      </c>
      <c r="H41" s="69"/>
      <c r="I41" s="69">
        <f>G41+H41</f>
        <v>4820000</v>
      </c>
      <c r="J41" s="172"/>
      <c r="K41" s="114"/>
      <c r="L41" s="114"/>
    </row>
    <row r="42" spans="1:12" s="71" customFormat="1" ht="201" customHeight="1">
      <c r="A42" s="66"/>
      <c r="B42" s="42" t="s">
        <v>283</v>
      </c>
      <c r="C42" s="42" t="s">
        <v>282</v>
      </c>
      <c r="D42" s="42" t="s">
        <v>19</v>
      </c>
      <c r="E42" s="43" t="s">
        <v>18</v>
      </c>
      <c r="F42" s="41" t="s">
        <v>66</v>
      </c>
      <c r="G42" s="21">
        <v>2578500</v>
      </c>
      <c r="H42" s="21">
        <f>2000000-565600</f>
        <v>1434400</v>
      </c>
      <c r="I42" s="21">
        <f>G42+H42</f>
        <v>4012900</v>
      </c>
      <c r="J42" s="172"/>
      <c r="K42" s="114"/>
      <c r="L42" s="114"/>
    </row>
    <row r="43" spans="1:12" s="10" customFormat="1" ht="69" customHeight="1">
      <c r="A43" s="1"/>
      <c r="B43" s="42" t="s">
        <v>286</v>
      </c>
      <c r="C43" s="42" t="s">
        <v>285</v>
      </c>
      <c r="D43" s="42"/>
      <c r="E43" s="43" t="s">
        <v>284</v>
      </c>
      <c r="F43" s="41"/>
      <c r="G43" s="21">
        <f>G44</f>
        <v>198000</v>
      </c>
      <c r="H43" s="21">
        <f>H44</f>
        <v>0</v>
      </c>
      <c r="I43" s="21">
        <f>I44</f>
        <v>198000</v>
      </c>
      <c r="J43" s="172"/>
      <c r="K43" s="110"/>
      <c r="L43" s="110"/>
    </row>
    <row r="44" spans="1:12" s="71" customFormat="1" ht="105.75" customHeight="1">
      <c r="A44" s="66"/>
      <c r="B44" s="67" t="s">
        <v>288</v>
      </c>
      <c r="C44" s="67" t="s">
        <v>287</v>
      </c>
      <c r="D44" s="67" t="s">
        <v>59</v>
      </c>
      <c r="E44" s="65" t="s">
        <v>137</v>
      </c>
      <c r="F44" s="68" t="s">
        <v>61</v>
      </c>
      <c r="G44" s="69">
        <v>198000</v>
      </c>
      <c r="H44" s="69"/>
      <c r="I44" s="69">
        <f>G44+H44</f>
        <v>198000</v>
      </c>
      <c r="J44" s="172"/>
      <c r="K44" s="114"/>
      <c r="L44" s="114"/>
    </row>
    <row r="45" spans="2:10" ht="180" customHeight="1">
      <c r="B45" s="42" t="s">
        <v>290</v>
      </c>
      <c r="C45" s="42" t="s">
        <v>289</v>
      </c>
      <c r="D45" s="42" t="s">
        <v>7</v>
      </c>
      <c r="E45" s="43" t="s">
        <v>141</v>
      </c>
      <c r="F45" s="41" t="s">
        <v>319</v>
      </c>
      <c r="G45" s="21">
        <v>82200</v>
      </c>
      <c r="H45" s="21">
        <v>32000</v>
      </c>
      <c r="I45" s="21">
        <f>G45+H45</f>
        <v>114200</v>
      </c>
      <c r="J45" s="172"/>
    </row>
    <row r="46" spans="2:10" ht="180.75" customHeight="1">
      <c r="B46" s="141" t="s">
        <v>291</v>
      </c>
      <c r="C46" s="141" t="s">
        <v>193</v>
      </c>
      <c r="D46" s="141" t="s">
        <v>6</v>
      </c>
      <c r="E46" s="154" t="s">
        <v>142</v>
      </c>
      <c r="F46" s="41" t="s">
        <v>66</v>
      </c>
      <c r="G46" s="21"/>
      <c r="H46" s="21">
        <f>29100000+13704000+565600</f>
        <v>43369600</v>
      </c>
      <c r="I46" s="21">
        <f>G46+H46</f>
        <v>43369600</v>
      </c>
      <c r="J46" s="172"/>
    </row>
    <row r="47" spans="2:10" ht="159.75" customHeight="1">
      <c r="B47" s="142"/>
      <c r="C47" s="142"/>
      <c r="D47" s="142"/>
      <c r="E47" s="155"/>
      <c r="F47" s="41" t="s">
        <v>396</v>
      </c>
      <c r="G47" s="21"/>
      <c r="H47" s="22">
        <f>1082000+3074000+400000</f>
        <v>4556000</v>
      </c>
      <c r="I47" s="21">
        <f>G47+H47</f>
        <v>4556000</v>
      </c>
      <c r="J47" s="172"/>
    </row>
    <row r="48" spans="2:10" ht="77.25" customHeight="1">
      <c r="B48" s="42" t="s">
        <v>293</v>
      </c>
      <c r="C48" s="42" t="s">
        <v>292</v>
      </c>
      <c r="D48" s="42" t="s">
        <v>7</v>
      </c>
      <c r="E48" s="43" t="s">
        <v>20</v>
      </c>
      <c r="F48" s="41"/>
      <c r="G48" s="21">
        <f>G49</f>
        <v>719800</v>
      </c>
      <c r="H48" s="21">
        <f>H49</f>
        <v>0</v>
      </c>
      <c r="I48" s="21">
        <f>I49</f>
        <v>719800</v>
      </c>
      <c r="J48" s="172"/>
    </row>
    <row r="49" spans="1:12" s="71" customFormat="1" ht="147.75" customHeight="1">
      <c r="A49" s="66"/>
      <c r="B49" s="67" t="s">
        <v>293</v>
      </c>
      <c r="C49" s="67" t="s">
        <v>292</v>
      </c>
      <c r="D49" s="67" t="s">
        <v>7</v>
      </c>
      <c r="E49" s="65" t="s">
        <v>355</v>
      </c>
      <c r="F49" s="68" t="s">
        <v>61</v>
      </c>
      <c r="G49" s="69">
        <f>139800+500000+80000</f>
        <v>719800</v>
      </c>
      <c r="H49" s="69"/>
      <c r="I49" s="69">
        <f>G49+H49</f>
        <v>719800</v>
      </c>
      <c r="J49" s="172"/>
      <c r="K49" s="114"/>
      <c r="L49" s="114"/>
    </row>
    <row r="50" spans="2:10" ht="233.25" customHeight="1">
      <c r="B50" s="42" t="s">
        <v>295</v>
      </c>
      <c r="C50" s="42" t="s">
        <v>294</v>
      </c>
      <c r="D50" s="42" t="s">
        <v>21</v>
      </c>
      <c r="E50" s="43" t="s">
        <v>143</v>
      </c>
      <c r="F50" s="41" t="s">
        <v>11</v>
      </c>
      <c r="G50" s="21">
        <f>207600+1792+136300</f>
        <v>345692</v>
      </c>
      <c r="H50" s="21">
        <v>385000</v>
      </c>
      <c r="I50" s="21">
        <f>G50+H50</f>
        <v>730692</v>
      </c>
      <c r="J50" s="172"/>
    </row>
    <row r="51" spans="2:10" ht="323.25" customHeight="1">
      <c r="B51" s="141" t="s">
        <v>417</v>
      </c>
      <c r="C51" s="141" t="s">
        <v>418</v>
      </c>
      <c r="D51" s="141" t="s">
        <v>55</v>
      </c>
      <c r="E51" s="154" t="s">
        <v>419</v>
      </c>
      <c r="F51" s="41" t="s">
        <v>420</v>
      </c>
      <c r="G51" s="21">
        <v>70000</v>
      </c>
      <c r="H51" s="21">
        <f>120000+500000</f>
        <v>620000</v>
      </c>
      <c r="I51" s="21">
        <f>G51+H51</f>
        <v>690000</v>
      </c>
      <c r="J51" s="172"/>
    </row>
    <row r="52" spans="2:10" ht="122.25" customHeight="1">
      <c r="B52" s="142"/>
      <c r="C52" s="142"/>
      <c r="D52" s="142"/>
      <c r="E52" s="155"/>
      <c r="F52" s="47" t="s">
        <v>320</v>
      </c>
      <c r="G52" s="21"/>
      <c r="H52" s="21">
        <f>500000+700000</f>
        <v>1200000</v>
      </c>
      <c r="I52" s="21">
        <f>G52+H52</f>
        <v>1200000</v>
      </c>
      <c r="J52" s="172"/>
    </row>
    <row r="53" spans="2:10" ht="71.25" customHeight="1">
      <c r="B53" s="42" t="s">
        <v>296</v>
      </c>
      <c r="C53" s="42" t="s">
        <v>186</v>
      </c>
      <c r="D53" s="42" t="s">
        <v>24</v>
      </c>
      <c r="E53" s="43" t="s">
        <v>12</v>
      </c>
      <c r="F53" s="41"/>
      <c r="G53" s="21">
        <f>G54+G55+G56+G57+G58+G59+G60+G61</f>
        <v>7153069</v>
      </c>
      <c r="H53" s="21">
        <f>H54+H55+H56+H57+H58+H59+H60+H61</f>
        <v>3286718</v>
      </c>
      <c r="I53" s="21">
        <f>I54+I55+I56+I57+I58+I59+I60+I61</f>
        <v>10439787</v>
      </c>
      <c r="J53" s="172"/>
    </row>
    <row r="54" spans="1:12" s="71" customFormat="1" ht="104.25" customHeight="1">
      <c r="A54" s="66"/>
      <c r="B54" s="67" t="s">
        <v>296</v>
      </c>
      <c r="C54" s="67" t="s">
        <v>186</v>
      </c>
      <c r="D54" s="100" t="s">
        <v>24</v>
      </c>
      <c r="E54" s="65" t="s">
        <v>411</v>
      </c>
      <c r="F54" s="68" t="s">
        <v>68</v>
      </c>
      <c r="G54" s="69">
        <f>607700+38239+2089+130000-277718</f>
        <v>500310</v>
      </c>
      <c r="H54" s="69">
        <v>177000</v>
      </c>
      <c r="I54" s="69">
        <f>G54+H54</f>
        <v>677310</v>
      </c>
      <c r="J54" s="172"/>
      <c r="K54" s="114"/>
      <c r="L54" s="114"/>
    </row>
    <row r="55" spans="1:12" s="71" customFormat="1" ht="106.5" customHeight="1">
      <c r="A55" s="66"/>
      <c r="B55" s="67" t="s">
        <v>296</v>
      </c>
      <c r="C55" s="67" t="s">
        <v>186</v>
      </c>
      <c r="D55" s="100" t="s">
        <v>24</v>
      </c>
      <c r="E55" s="65" t="s">
        <v>354</v>
      </c>
      <c r="F55" s="72" t="s">
        <v>330</v>
      </c>
      <c r="G55" s="69">
        <f>80290+80290</f>
        <v>160580</v>
      </c>
      <c r="H55" s="69"/>
      <c r="I55" s="69">
        <f>G55+H55</f>
        <v>160580</v>
      </c>
      <c r="J55" s="172"/>
      <c r="K55" s="114"/>
      <c r="L55" s="114"/>
    </row>
    <row r="56" spans="1:12" s="71" customFormat="1" ht="194.25" customHeight="1">
      <c r="A56" s="66"/>
      <c r="B56" s="67" t="s">
        <v>296</v>
      </c>
      <c r="C56" s="67" t="s">
        <v>186</v>
      </c>
      <c r="D56" s="100" t="s">
        <v>24</v>
      </c>
      <c r="E56" s="65" t="s">
        <v>357</v>
      </c>
      <c r="F56" s="68" t="s">
        <v>396</v>
      </c>
      <c r="G56" s="69">
        <f>194200+843700-194200+3021900+110000</f>
        <v>3975600</v>
      </c>
      <c r="H56" s="69">
        <f>90000+2997000+229000-510000+277718</f>
        <v>3083718</v>
      </c>
      <c r="I56" s="69">
        <f aca="true" t="shared" si="1" ref="I56:I61">SUM(G56:H56)</f>
        <v>7059318</v>
      </c>
      <c r="J56" s="172"/>
      <c r="K56" s="114"/>
      <c r="L56" s="114"/>
    </row>
    <row r="57" spans="1:12" s="71" customFormat="1" ht="143.25" customHeight="1">
      <c r="A57" s="66"/>
      <c r="B57" s="67" t="s">
        <v>296</v>
      </c>
      <c r="C57" s="67" t="s">
        <v>186</v>
      </c>
      <c r="D57" s="100" t="s">
        <v>24</v>
      </c>
      <c r="E57" s="65" t="s">
        <v>355</v>
      </c>
      <c r="F57" s="68" t="s">
        <v>61</v>
      </c>
      <c r="G57" s="69">
        <f>962400+50000-50000</f>
        <v>962400</v>
      </c>
      <c r="H57" s="69">
        <v>26000</v>
      </c>
      <c r="I57" s="69">
        <f t="shared" si="1"/>
        <v>988400</v>
      </c>
      <c r="J57" s="172"/>
      <c r="K57" s="114"/>
      <c r="L57" s="114"/>
    </row>
    <row r="58" spans="1:12" s="71" customFormat="1" ht="111" customHeight="1">
      <c r="A58" s="66"/>
      <c r="B58" s="67" t="s">
        <v>296</v>
      </c>
      <c r="C58" s="67" t="s">
        <v>186</v>
      </c>
      <c r="D58" s="100" t="s">
        <v>24</v>
      </c>
      <c r="E58" s="65" t="s">
        <v>356</v>
      </c>
      <c r="F58" s="68" t="s">
        <v>65</v>
      </c>
      <c r="G58" s="69">
        <f>1229100+80000-29921</f>
        <v>1279179</v>
      </c>
      <c r="H58" s="69"/>
      <c r="I58" s="69">
        <f t="shared" si="1"/>
        <v>1279179</v>
      </c>
      <c r="J58" s="172"/>
      <c r="K58" s="114"/>
      <c r="L58" s="114"/>
    </row>
    <row r="59" spans="1:12" s="71" customFormat="1" ht="134.25" customHeight="1">
      <c r="A59" s="66"/>
      <c r="B59" s="67" t="s">
        <v>296</v>
      </c>
      <c r="C59" s="67" t="s">
        <v>186</v>
      </c>
      <c r="D59" s="100" t="s">
        <v>24</v>
      </c>
      <c r="E59" s="65" t="s">
        <v>329</v>
      </c>
      <c r="F59" s="68" t="s">
        <v>316</v>
      </c>
      <c r="G59" s="69">
        <f>100000+25000</f>
        <v>125000</v>
      </c>
      <c r="H59" s="69"/>
      <c r="I59" s="69">
        <f t="shared" si="1"/>
        <v>125000</v>
      </c>
      <c r="J59" s="172"/>
      <c r="K59" s="114"/>
      <c r="L59" s="114"/>
    </row>
    <row r="60" spans="1:12" s="71" customFormat="1" ht="194.25" customHeight="1">
      <c r="A60" s="66"/>
      <c r="B60" s="67" t="s">
        <v>296</v>
      </c>
      <c r="C60" s="67" t="s">
        <v>186</v>
      </c>
      <c r="D60" s="100" t="s">
        <v>24</v>
      </c>
      <c r="E60" s="65" t="s">
        <v>397</v>
      </c>
      <c r="F60" s="68" t="s">
        <v>405</v>
      </c>
      <c r="G60" s="69">
        <v>100000</v>
      </c>
      <c r="H60" s="69"/>
      <c r="I60" s="69">
        <f t="shared" si="1"/>
        <v>100000</v>
      </c>
      <c r="J60" s="172"/>
      <c r="K60" s="114"/>
      <c r="L60" s="114"/>
    </row>
    <row r="61" spans="1:12" s="71" customFormat="1" ht="197.25" customHeight="1">
      <c r="A61" s="66"/>
      <c r="B61" s="67" t="s">
        <v>296</v>
      </c>
      <c r="C61" s="67" t="s">
        <v>186</v>
      </c>
      <c r="D61" s="100" t="s">
        <v>24</v>
      </c>
      <c r="E61" s="65" t="s">
        <v>434</v>
      </c>
      <c r="F61" s="68" t="s">
        <v>11</v>
      </c>
      <c r="G61" s="69">
        <v>50000</v>
      </c>
      <c r="H61" s="69"/>
      <c r="I61" s="69">
        <f t="shared" si="1"/>
        <v>50000</v>
      </c>
      <c r="J61" s="172"/>
      <c r="K61" s="114"/>
      <c r="L61" s="114"/>
    </row>
    <row r="62" spans="1:12" s="10" customFormat="1" ht="71.25" customHeight="1">
      <c r="A62" s="1"/>
      <c r="B62" s="42" t="s">
        <v>432</v>
      </c>
      <c r="C62" s="42" t="s">
        <v>188</v>
      </c>
      <c r="D62" s="130" t="s">
        <v>55</v>
      </c>
      <c r="E62" s="43" t="s">
        <v>56</v>
      </c>
      <c r="F62" s="41"/>
      <c r="G62" s="21">
        <f>G63</f>
        <v>119492</v>
      </c>
      <c r="H62" s="21">
        <f>H63</f>
        <v>0</v>
      </c>
      <c r="I62" s="21">
        <f>I63</f>
        <v>119492</v>
      </c>
      <c r="J62" s="172"/>
      <c r="K62" s="110"/>
      <c r="L62" s="110"/>
    </row>
    <row r="63" spans="1:12" s="71" customFormat="1" ht="107.25" customHeight="1">
      <c r="A63" s="66"/>
      <c r="B63" s="67" t="s">
        <v>432</v>
      </c>
      <c r="C63" s="67" t="s">
        <v>188</v>
      </c>
      <c r="D63" s="100" t="s">
        <v>55</v>
      </c>
      <c r="E63" s="68" t="s">
        <v>433</v>
      </c>
      <c r="F63" s="72" t="s">
        <v>330</v>
      </c>
      <c r="G63" s="69">
        <v>119492</v>
      </c>
      <c r="H63" s="69"/>
      <c r="I63" s="69">
        <f>SUM(G63:H63)</f>
        <v>119492</v>
      </c>
      <c r="J63" s="172"/>
      <c r="K63" s="114"/>
      <c r="L63" s="114"/>
    </row>
    <row r="64" spans="2:10" ht="183" customHeight="1">
      <c r="B64" s="42" t="s">
        <v>297</v>
      </c>
      <c r="C64" s="42" t="s">
        <v>190</v>
      </c>
      <c r="D64" s="42" t="s">
        <v>22</v>
      </c>
      <c r="E64" s="43" t="s">
        <v>88</v>
      </c>
      <c r="F64" s="44" t="s">
        <v>67</v>
      </c>
      <c r="G64" s="21"/>
      <c r="H64" s="21">
        <v>58563</v>
      </c>
      <c r="I64" s="21">
        <f>G64+H64</f>
        <v>58563</v>
      </c>
      <c r="J64" s="172"/>
    </row>
    <row r="65" spans="2:10" ht="183" customHeight="1">
      <c r="B65" s="42" t="s">
        <v>350</v>
      </c>
      <c r="C65" s="42" t="s">
        <v>194</v>
      </c>
      <c r="D65" s="42" t="s">
        <v>24</v>
      </c>
      <c r="E65" s="43" t="s">
        <v>23</v>
      </c>
      <c r="F65" s="41" t="s">
        <v>61</v>
      </c>
      <c r="G65" s="21"/>
      <c r="H65" s="21">
        <v>9600</v>
      </c>
      <c r="I65" s="21">
        <f>G65+H65</f>
        <v>9600</v>
      </c>
      <c r="J65" s="172"/>
    </row>
    <row r="66" spans="2:13" ht="131.25" customHeight="1">
      <c r="B66" s="42"/>
      <c r="C66" s="42"/>
      <c r="D66" s="42"/>
      <c r="E66" s="89" t="s">
        <v>27</v>
      </c>
      <c r="F66" s="41"/>
      <c r="G66" s="20">
        <f>G67+G68+G69+G70+G71+G72+G73+G74+G76+G77+G78+G79+G80+G81+G83+G84+G85+G87+G88+G89+G75</f>
        <v>32834400</v>
      </c>
      <c r="H66" s="20">
        <f>H67+H68+H69+H70+H71+H72+H73+H74+H76+H77+H78+H79+H80+H81+H83+H84+H85+H87+H88+H89+H75</f>
        <v>18344119</v>
      </c>
      <c r="I66" s="20">
        <f>I67+I68+I69+I70+I71+I72+I73+I74+I76+I77+I78+I79+I80+I81+I83+I84+I85+I87+I88+I89+I75</f>
        <v>51178519</v>
      </c>
      <c r="J66" s="172"/>
      <c r="K66" s="115"/>
      <c r="L66" s="115"/>
      <c r="M66" s="108"/>
    </row>
    <row r="67" spans="1:12" s="8" customFormat="1" ht="143.25" customHeight="1">
      <c r="A67" s="7"/>
      <c r="B67" s="42" t="s">
        <v>128</v>
      </c>
      <c r="C67" s="42" t="s">
        <v>55</v>
      </c>
      <c r="D67" s="42" t="s">
        <v>2</v>
      </c>
      <c r="E67" s="43" t="s">
        <v>406</v>
      </c>
      <c r="F67" s="41" t="s">
        <v>100</v>
      </c>
      <c r="G67" s="21">
        <v>30000</v>
      </c>
      <c r="H67" s="21"/>
      <c r="I67" s="21">
        <f>G67+H67</f>
        <v>30000</v>
      </c>
      <c r="J67" s="172"/>
      <c r="K67" s="116"/>
      <c r="L67" s="116"/>
    </row>
    <row r="68" spans="2:10" ht="157.5" customHeight="1">
      <c r="B68" s="137" t="s">
        <v>248</v>
      </c>
      <c r="C68" s="137" t="s">
        <v>104</v>
      </c>
      <c r="D68" s="137" t="s">
        <v>28</v>
      </c>
      <c r="E68" s="153" t="s">
        <v>133</v>
      </c>
      <c r="F68" s="41" t="s">
        <v>62</v>
      </c>
      <c r="G68" s="21">
        <v>4303</v>
      </c>
      <c r="H68" s="21"/>
      <c r="I68" s="21">
        <f aca="true" t="shared" si="2" ref="I68:I89">G68+H68</f>
        <v>4303</v>
      </c>
      <c r="J68" s="172"/>
    </row>
    <row r="69" spans="2:10" ht="180" customHeight="1">
      <c r="B69" s="137"/>
      <c r="C69" s="137"/>
      <c r="D69" s="137"/>
      <c r="E69" s="153"/>
      <c r="F69" s="41" t="s">
        <v>348</v>
      </c>
      <c r="G69" s="21">
        <v>534620</v>
      </c>
      <c r="H69" s="21"/>
      <c r="I69" s="21">
        <f t="shared" si="2"/>
        <v>534620</v>
      </c>
      <c r="J69" s="174"/>
    </row>
    <row r="70" spans="2:10" ht="225" customHeight="1">
      <c r="B70" s="137"/>
      <c r="C70" s="137"/>
      <c r="D70" s="137"/>
      <c r="E70" s="153"/>
      <c r="F70" s="41" t="s">
        <v>375</v>
      </c>
      <c r="G70" s="22">
        <f>6033150+904800+141500+74635</f>
        <v>7154085</v>
      </c>
      <c r="H70" s="21"/>
      <c r="I70" s="21">
        <f t="shared" si="2"/>
        <v>7154085</v>
      </c>
      <c r="J70" s="174"/>
    </row>
    <row r="71" spans="2:10" ht="190.5" customHeight="1">
      <c r="B71" s="137"/>
      <c r="C71" s="137"/>
      <c r="D71" s="137"/>
      <c r="E71" s="153"/>
      <c r="F71" s="41" t="s">
        <v>85</v>
      </c>
      <c r="G71" s="22"/>
      <c r="H71" s="21">
        <f>4227000+46000+188000+49500+110500+23000+5000</f>
        <v>4649000</v>
      </c>
      <c r="I71" s="21">
        <f t="shared" si="2"/>
        <v>4649000</v>
      </c>
      <c r="J71" s="174"/>
    </row>
    <row r="72" spans="2:10" ht="141.75" customHeight="1">
      <c r="B72" s="137" t="s">
        <v>249</v>
      </c>
      <c r="C72" s="137" t="s">
        <v>87</v>
      </c>
      <c r="D72" s="137" t="s">
        <v>29</v>
      </c>
      <c r="E72" s="136" t="s">
        <v>144</v>
      </c>
      <c r="F72" s="41" t="s">
        <v>62</v>
      </c>
      <c r="G72" s="22">
        <v>23800</v>
      </c>
      <c r="H72" s="21"/>
      <c r="I72" s="21">
        <f t="shared" si="2"/>
        <v>23800</v>
      </c>
      <c r="J72" s="174"/>
    </row>
    <row r="73" spans="2:10" ht="231.75" customHeight="1">
      <c r="B73" s="137"/>
      <c r="C73" s="137"/>
      <c r="D73" s="137"/>
      <c r="E73" s="136"/>
      <c r="F73" s="41" t="s">
        <v>348</v>
      </c>
      <c r="G73" s="22">
        <v>476000</v>
      </c>
      <c r="H73" s="21"/>
      <c r="I73" s="21">
        <f t="shared" si="2"/>
        <v>476000</v>
      </c>
      <c r="J73" s="174"/>
    </row>
    <row r="74" spans="2:10" ht="141.75" customHeight="1">
      <c r="B74" s="137"/>
      <c r="C74" s="137"/>
      <c r="D74" s="137"/>
      <c r="E74" s="136"/>
      <c r="F74" s="41" t="s">
        <v>68</v>
      </c>
      <c r="G74" s="22">
        <v>366200</v>
      </c>
      <c r="H74" s="21"/>
      <c r="I74" s="21">
        <f t="shared" si="2"/>
        <v>366200</v>
      </c>
      <c r="J74" s="174"/>
    </row>
    <row r="75" spans="2:10" ht="141.75" customHeight="1">
      <c r="B75" s="137"/>
      <c r="C75" s="137"/>
      <c r="D75" s="137"/>
      <c r="E75" s="136"/>
      <c r="F75" s="41" t="s">
        <v>440</v>
      </c>
      <c r="G75" s="22"/>
      <c r="H75" s="21">
        <v>18000</v>
      </c>
      <c r="I75" s="21">
        <f t="shared" si="2"/>
        <v>18000</v>
      </c>
      <c r="J75" s="174"/>
    </row>
    <row r="76" spans="2:10" ht="225.75" customHeight="1">
      <c r="B76" s="137"/>
      <c r="C76" s="137"/>
      <c r="D76" s="137"/>
      <c r="E76" s="136"/>
      <c r="F76" s="41" t="s">
        <v>375</v>
      </c>
      <c r="G76" s="21">
        <v>14819494</v>
      </c>
      <c r="H76" s="21"/>
      <c r="I76" s="21">
        <f t="shared" si="2"/>
        <v>14819494</v>
      </c>
      <c r="J76" s="174"/>
    </row>
    <row r="77" spans="2:10" ht="191.25" customHeight="1">
      <c r="B77" s="137"/>
      <c r="C77" s="137"/>
      <c r="D77" s="137"/>
      <c r="E77" s="136"/>
      <c r="F77" s="41" t="s">
        <v>85</v>
      </c>
      <c r="G77" s="21"/>
      <c r="H77" s="21">
        <f>6811000+500000+50000+140600+23000+866300+241534+22625+18000</f>
        <v>8673059</v>
      </c>
      <c r="I77" s="21">
        <f t="shared" si="2"/>
        <v>8673059</v>
      </c>
      <c r="J77" s="174"/>
    </row>
    <row r="78" spans="2:10" ht="240.75" customHeight="1">
      <c r="B78" s="45" t="s">
        <v>250</v>
      </c>
      <c r="C78" s="45" t="s">
        <v>38</v>
      </c>
      <c r="D78" s="42" t="s">
        <v>86</v>
      </c>
      <c r="E78" s="43" t="s">
        <v>145</v>
      </c>
      <c r="F78" s="41" t="s">
        <v>85</v>
      </c>
      <c r="G78" s="21"/>
      <c r="H78" s="21">
        <v>150000</v>
      </c>
      <c r="I78" s="21">
        <f t="shared" si="2"/>
        <v>150000</v>
      </c>
      <c r="J78" s="174"/>
    </row>
    <row r="79" spans="2:10" ht="200.25" customHeight="1">
      <c r="B79" s="45" t="s">
        <v>251</v>
      </c>
      <c r="C79" s="45" t="s">
        <v>9</v>
      </c>
      <c r="D79" s="42" t="s">
        <v>79</v>
      </c>
      <c r="E79" s="43" t="s">
        <v>146</v>
      </c>
      <c r="F79" s="41" t="s">
        <v>85</v>
      </c>
      <c r="G79" s="21"/>
      <c r="H79" s="21">
        <v>600000</v>
      </c>
      <c r="I79" s="21">
        <f t="shared" si="2"/>
        <v>600000</v>
      </c>
      <c r="J79" s="174"/>
    </row>
    <row r="80" spans="2:10" ht="195" customHeight="1">
      <c r="B80" s="45" t="s">
        <v>252</v>
      </c>
      <c r="C80" s="45" t="s">
        <v>105</v>
      </c>
      <c r="D80" s="42" t="s">
        <v>30</v>
      </c>
      <c r="E80" s="43" t="s">
        <v>147</v>
      </c>
      <c r="F80" s="41" t="s">
        <v>85</v>
      </c>
      <c r="G80" s="21"/>
      <c r="H80" s="21">
        <v>150000</v>
      </c>
      <c r="I80" s="21">
        <f t="shared" si="2"/>
        <v>150000</v>
      </c>
      <c r="J80" s="174"/>
    </row>
    <row r="81" spans="2:10" ht="99" customHeight="1">
      <c r="B81" s="45" t="s">
        <v>253</v>
      </c>
      <c r="C81" s="45" t="s">
        <v>106</v>
      </c>
      <c r="D81" s="42" t="s">
        <v>30</v>
      </c>
      <c r="E81" s="43" t="s">
        <v>76</v>
      </c>
      <c r="F81" s="41"/>
      <c r="G81" s="21">
        <f>G82</f>
        <v>73780</v>
      </c>
      <c r="H81" s="21">
        <f>H82</f>
        <v>0</v>
      </c>
      <c r="I81" s="21">
        <f>I82</f>
        <v>73780</v>
      </c>
      <c r="J81" s="174"/>
    </row>
    <row r="82" spans="1:12" s="71" customFormat="1" ht="213" customHeight="1">
      <c r="A82" s="66"/>
      <c r="B82" s="76" t="s">
        <v>253</v>
      </c>
      <c r="C82" s="76" t="s">
        <v>106</v>
      </c>
      <c r="D82" s="67" t="s">
        <v>30</v>
      </c>
      <c r="E82" s="65" t="s">
        <v>351</v>
      </c>
      <c r="F82" s="68" t="s">
        <v>84</v>
      </c>
      <c r="G82" s="69">
        <v>73780</v>
      </c>
      <c r="H82" s="69"/>
      <c r="I82" s="69">
        <f t="shared" si="2"/>
        <v>73780</v>
      </c>
      <c r="J82" s="174"/>
      <c r="K82" s="114"/>
      <c r="L82" s="114"/>
    </row>
    <row r="83" spans="2:10" ht="121.5" customHeight="1">
      <c r="B83" s="138" t="s">
        <v>254</v>
      </c>
      <c r="C83" s="138" t="s">
        <v>114</v>
      </c>
      <c r="D83" s="137" t="s">
        <v>10</v>
      </c>
      <c r="E83" s="136" t="s">
        <v>135</v>
      </c>
      <c r="F83" s="41" t="s">
        <v>64</v>
      </c>
      <c r="G83" s="21">
        <v>2330000</v>
      </c>
      <c r="H83" s="21"/>
      <c r="I83" s="21">
        <f t="shared" si="2"/>
        <v>2330000</v>
      </c>
      <c r="J83" s="174"/>
    </row>
    <row r="84" spans="2:10" ht="193.5" customHeight="1">
      <c r="B84" s="138"/>
      <c r="C84" s="138"/>
      <c r="D84" s="137"/>
      <c r="E84" s="136"/>
      <c r="F84" s="41" t="s">
        <v>348</v>
      </c>
      <c r="G84" s="21">
        <v>2670000</v>
      </c>
      <c r="H84" s="21"/>
      <c r="I84" s="21">
        <f t="shared" si="2"/>
        <v>2670000</v>
      </c>
      <c r="J84" s="174"/>
    </row>
    <row r="85" spans="2:10" ht="100.5" customHeight="1">
      <c r="B85" s="45" t="s">
        <v>394</v>
      </c>
      <c r="C85" s="45" t="s">
        <v>385</v>
      </c>
      <c r="D85" s="42"/>
      <c r="E85" s="43" t="s">
        <v>393</v>
      </c>
      <c r="F85" s="41"/>
      <c r="G85" s="21">
        <f>G86</f>
        <v>3707618</v>
      </c>
      <c r="H85" s="21">
        <f>H86</f>
        <v>0</v>
      </c>
      <c r="I85" s="21">
        <f>I86</f>
        <v>3707618</v>
      </c>
      <c r="J85" s="174"/>
    </row>
    <row r="86" spans="1:12" s="71" customFormat="1" ht="147" customHeight="1">
      <c r="A86" s="66"/>
      <c r="B86" s="67" t="s">
        <v>395</v>
      </c>
      <c r="C86" s="67" t="s">
        <v>386</v>
      </c>
      <c r="D86" s="67" t="s">
        <v>16</v>
      </c>
      <c r="E86" s="65" t="s">
        <v>139</v>
      </c>
      <c r="F86" s="65" t="s">
        <v>65</v>
      </c>
      <c r="G86" s="69">
        <f>3585110+126200-33792+10000+9100+11000</f>
        <v>3707618</v>
      </c>
      <c r="H86" s="69"/>
      <c r="I86" s="69">
        <f t="shared" si="2"/>
        <v>3707618</v>
      </c>
      <c r="J86" s="174"/>
      <c r="K86" s="114"/>
      <c r="L86" s="114"/>
    </row>
    <row r="87" spans="1:12" s="83" customFormat="1" ht="168" customHeight="1">
      <c r="A87" s="82"/>
      <c r="B87" s="42" t="s">
        <v>315</v>
      </c>
      <c r="C87" s="42" t="s">
        <v>239</v>
      </c>
      <c r="D87" s="42" t="s">
        <v>49</v>
      </c>
      <c r="E87" s="43" t="s">
        <v>168</v>
      </c>
      <c r="F87" s="41" t="s">
        <v>374</v>
      </c>
      <c r="G87" s="22">
        <f>569500+75000</f>
        <v>644500</v>
      </c>
      <c r="H87" s="22">
        <v>3794460</v>
      </c>
      <c r="I87" s="75">
        <f t="shared" si="2"/>
        <v>4438960</v>
      </c>
      <c r="J87" s="174"/>
      <c r="K87" s="117"/>
      <c r="L87" s="117"/>
    </row>
    <row r="88" spans="2:10" ht="186" customHeight="1">
      <c r="B88" s="45" t="s">
        <v>255</v>
      </c>
      <c r="C88" s="45" t="s">
        <v>190</v>
      </c>
      <c r="D88" s="42" t="s">
        <v>22</v>
      </c>
      <c r="E88" s="43" t="s">
        <v>88</v>
      </c>
      <c r="F88" s="43" t="s">
        <v>67</v>
      </c>
      <c r="G88" s="21"/>
      <c r="H88" s="21">
        <v>44600</v>
      </c>
      <c r="I88" s="21">
        <f t="shared" si="2"/>
        <v>44600</v>
      </c>
      <c r="J88" s="174"/>
    </row>
    <row r="89" spans="2:10" ht="205.5" customHeight="1">
      <c r="B89" s="45" t="s">
        <v>256</v>
      </c>
      <c r="C89" s="45" t="s">
        <v>213</v>
      </c>
      <c r="D89" s="42" t="s">
        <v>32</v>
      </c>
      <c r="E89" s="43" t="s">
        <v>31</v>
      </c>
      <c r="F89" s="43" t="s">
        <v>67</v>
      </c>
      <c r="G89" s="21"/>
      <c r="H89" s="21">
        <v>265000</v>
      </c>
      <c r="I89" s="21">
        <f t="shared" si="2"/>
        <v>265000</v>
      </c>
      <c r="J89" s="174"/>
    </row>
    <row r="90" spans="2:12" ht="97.5" customHeight="1">
      <c r="B90" s="42"/>
      <c r="C90" s="42"/>
      <c r="D90" s="42"/>
      <c r="E90" s="89" t="s">
        <v>33</v>
      </c>
      <c r="F90" s="43"/>
      <c r="G90" s="20">
        <f>SUM(G91:G96)</f>
        <v>683920</v>
      </c>
      <c r="H90" s="20">
        <f>SUM(H91:H96)</f>
        <v>37972458</v>
      </c>
      <c r="I90" s="20">
        <f>SUM(I91:I96)</f>
        <v>38656378</v>
      </c>
      <c r="J90" s="174"/>
      <c r="K90" s="115"/>
      <c r="L90" s="115"/>
    </row>
    <row r="91" spans="2:10" ht="153.75" customHeight="1">
      <c r="B91" s="42" t="s">
        <v>129</v>
      </c>
      <c r="C91" s="42" t="s">
        <v>55</v>
      </c>
      <c r="D91" s="42" t="s">
        <v>2</v>
      </c>
      <c r="E91" s="43" t="s">
        <v>406</v>
      </c>
      <c r="F91" s="41" t="s">
        <v>100</v>
      </c>
      <c r="G91" s="21">
        <f>5000</f>
        <v>5000</v>
      </c>
      <c r="H91" s="20"/>
      <c r="I91" s="21">
        <f aca="true" t="shared" si="3" ref="I91:I96">G91+H91</f>
        <v>5000</v>
      </c>
      <c r="J91" s="174"/>
    </row>
    <row r="92" spans="2:10" ht="246.75" customHeight="1">
      <c r="B92" s="45" t="s">
        <v>170</v>
      </c>
      <c r="C92" s="45" t="s">
        <v>107</v>
      </c>
      <c r="D92" s="42" t="s">
        <v>34</v>
      </c>
      <c r="E92" s="43" t="s">
        <v>148</v>
      </c>
      <c r="F92" s="44" t="s">
        <v>81</v>
      </c>
      <c r="G92" s="21">
        <f>42100+33000+235000</f>
        <v>310100</v>
      </c>
      <c r="H92" s="21">
        <f>22150000+2500000+3000000+2025000+368050+35000+300000+20000+12300</f>
        <v>30410350</v>
      </c>
      <c r="I92" s="21">
        <f t="shared" si="3"/>
        <v>30720450</v>
      </c>
      <c r="J92" s="174"/>
    </row>
    <row r="93" spans="2:11" ht="240.75" customHeight="1">
      <c r="B93" s="45" t="s">
        <v>171</v>
      </c>
      <c r="C93" s="45" t="s">
        <v>108</v>
      </c>
      <c r="D93" s="42" t="s">
        <v>35</v>
      </c>
      <c r="E93" s="43" t="s">
        <v>149</v>
      </c>
      <c r="F93" s="44" t="s">
        <v>81</v>
      </c>
      <c r="G93" s="21">
        <f>150000+15000</f>
        <v>165000</v>
      </c>
      <c r="H93" s="21">
        <v>3500000</v>
      </c>
      <c r="I93" s="21">
        <f t="shared" si="3"/>
        <v>3665000</v>
      </c>
      <c r="J93" s="174"/>
      <c r="K93" s="131"/>
    </row>
    <row r="94" spans="2:10" ht="231.75" customHeight="1">
      <c r="B94" s="45" t="s">
        <v>172</v>
      </c>
      <c r="C94" s="45" t="s">
        <v>109</v>
      </c>
      <c r="D94" s="42" t="s">
        <v>36</v>
      </c>
      <c r="E94" s="43" t="s">
        <v>150</v>
      </c>
      <c r="F94" s="44" t="s">
        <v>81</v>
      </c>
      <c r="G94" s="21"/>
      <c r="H94" s="21">
        <v>1000000</v>
      </c>
      <c r="I94" s="21">
        <f t="shared" si="3"/>
        <v>1000000</v>
      </c>
      <c r="J94" s="174"/>
    </row>
    <row r="95" spans="2:10" ht="231.75" customHeight="1">
      <c r="B95" s="45" t="s">
        <v>173</v>
      </c>
      <c r="C95" s="45" t="s">
        <v>110</v>
      </c>
      <c r="D95" s="42" t="s">
        <v>37</v>
      </c>
      <c r="E95" s="43" t="s">
        <v>151</v>
      </c>
      <c r="F95" s="44" t="s">
        <v>81</v>
      </c>
      <c r="G95" s="21"/>
      <c r="H95" s="21">
        <f>1250000+475000+137108</f>
        <v>1862108</v>
      </c>
      <c r="I95" s="21">
        <f t="shared" si="3"/>
        <v>1862108</v>
      </c>
      <c r="J95" s="174"/>
    </row>
    <row r="96" spans="2:10" ht="156.75" customHeight="1">
      <c r="B96" s="42" t="s">
        <v>331</v>
      </c>
      <c r="C96" s="42" t="s">
        <v>239</v>
      </c>
      <c r="D96" s="42" t="s">
        <v>49</v>
      </c>
      <c r="E96" s="43" t="s">
        <v>168</v>
      </c>
      <c r="F96" s="41" t="s">
        <v>374</v>
      </c>
      <c r="G96" s="21">
        <f>121100+82720</f>
        <v>203820</v>
      </c>
      <c r="H96" s="21">
        <v>1200000</v>
      </c>
      <c r="I96" s="21">
        <f t="shared" si="3"/>
        <v>1403820</v>
      </c>
      <c r="J96" s="174"/>
    </row>
    <row r="97" spans="2:12" ht="114" customHeight="1">
      <c r="B97" s="42"/>
      <c r="C97" s="42"/>
      <c r="D97" s="42"/>
      <c r="E97" s="89" t="s">
        <v>92</v>
      </c>
      <c r="F97" s="41"/>
      <c r="G97" s="20">
        <f>G98+G99+G108+G109+G111+G112+G115+G116+G117+G120</f>
        <v>51974762</v>
      </c>
      <c r="H97" s="20">
        <f>H98+H99+H108+H109+H111+H112+H115+H116+H117+H120</f>
        <v>454612</v>
      </c>
      <c r="I97" s="20">
        <f>I98+I99+I108+I109+I111+I112+I115+I116+I117+I120</f>
        <v>52429374</v>
      </c>
      <c r="J97" s="174"/>
      <c r="K97" s="115"/>
      <c r="L97" s="115"/>
    </row>
    <row r="98" spans="2:10" ht="209.25" customHeight="1">
      <c r="B98" s="46">
        <v>1510180</v>
      </c>
      <c r="C98" s="42" t="s">
        <v>55</v>
      </c>
      <c r="D98" s="46" t="s">
        <v>2</v>
      </c>
      <c r="E98" s="98" t="s">
        <v>406</v>
      </c>
      <c r="F98" s="43" t="s">
        <v>61</v>
      </c>
      <c r="G98" s="22">
        <v>49000</v>
      </c>
      <c r="H98" s="22"/>
      <c r="I98" s="21">
        <f>G98+H98</f>
        <v>49000</v>
      </c>
      <c r="J98" s="174"/>
    </row>
    <row r="99" spans="2:10" ht="373.5" customHeight="1">
      <c r="B99" s="145">
        <v>1513030</v>
      </c>
      <c r="C99" s="141" t="s">
        <v>257</v>
      </c>
      <c r="D99" s="162">
        <v>1030</v>
      </c>
      <c r="E99" s="98" t="s">
        <v>369</v>
      </c>
      <c r="F99" s="164"/>
      <c r="G99" s="160">
        <f>G101+G103+G104+G105+G107+G106</f>
        <v>37602173</v>
      </c>
      <c r="H99" s="160">
        <f>H101+H103+H104+H105+H107+H106</f>
        <v>154612</v>
      </c>
      <c r="I99" s="160">
        <f>I101+I103+I104+I105+I107+I106</f>
        <v>37756785</v>
      </c>
      <c r="J99" s="173"/>
    </row>
    <row r="100" spans="2:10" ht="154.5" customHeight="1">
      <c r="B100" s="146"/>
      <c r="C100" s="142"/>
      <c r="D100" s="163"/>
      <c r="E100" s="99" t="s">
        <v>367</v>
      </c>
      <c r="F100" s="165"/>
      <c r="G100" s="161"/>
      <c r="H100" s="161"/>
      <c r="I100" s="161"/>
      <c r="J100" s="173"/>
    </row>
    <row r="101" spans="1:12" s="80" customFormat="1" ht="367.5" customHeight="1">
      <c r="A101" s="78"/>
      <c r="B101" s="147" t="s">
        <v>298</v>
      </c>
      <c r="C101" s="147" t="s">
        <v>116</v>
      </c>
      <c r="D101" s="134">
        <v>1030</v>
      </c>
      <c r="E101" s="122" t="s">
        <v>371</v>
      </c>
      <c r="F101" s="156" t="s">
        <v>62</v>
      </c>
      <c r="G101" s="158">
        <v>270200</v>
      </c>
      <c r="H101" s="158">
        <f>150000+4612</f>
        <v>154612</v>
      </c>
      <c r="I101" s="132">
        <f aca="true" t="shared" si="4" ref="I101:I108">G101+H101</f>
        <v>424812</v>
      </c>
      <c r="J101" s="173"/>
      <c r="K101" s="118"/>
      <c r="L101" s="118"/>
    </row>
    <row r="102" spans="1:12" s="80" customFormat="1" ht="208.5" customHeight="1">
      <c r="A102" s="78"/>
      <c r="B102" s="148"/>
      <c r="C102" s="148"/>
      <c r="D102" s="135"/>
      <c r="E102" s="95" t="s">
        <v>370</v>
      </c>
      <c r="F102" s="157"/>
      <c r="G102" s="159"/>
      <c r="H102" s="159"/>
      <c r="I102" s="133"/>
      <c r="J102" s="173"/>
      <c r="K102" s="118"/>
      <c r="L102" s="118"/>
    </row>
    <row r="103" spans="1:12" s="71" customFormat="1" ht="279.75" customHeight="1">
      <c r="A103" s="66"/>
      <c r="B103" s="67" t="s">
        <v>299</v>
      </c>
      <c r="C103" s="67" t="s">
        <v>117</v>
      </c>
      <c r="D103" s="79">
        <v>1070</v>
      </c>
      <c r="E103" s="95" t="s">
        <v>152</v>
      </c>
      <c r="F103" s="65" t="s">
        <v>62</v>
      </c>
      <c r="G103" s="75">
        <v>74666</v>
      </c>
      <c r="H103" s="75"/>
      <c r="I103" s="70">
        <f t="shared" si="4"/>
        <v>74666</v>
      </c>
      <c r="J103" s="173"/>
      <c r="K103" s="114"/>
      <c r="L103" s="114"/>
    </row>
    <row r="104" spans="1:12" s="71" customFormat="1" ht="102.75" customHeight="1">
      <c r="A104" s="66"/>
      <c r="B104" s="67" t="s">
        <v>300</v>
      </c>
      <c r="C104" s="67" t="s">
        <v>118</v>
      </c>
      <c r="D104" s="79">
        <v>1070</v>
      </c>
      <c r="E104" s="65" t="s">
        <v>154</v>
      </c>
      <c r="F104" s="65" t="s">
        <v>62</v>
      </c>
      <c r="G104" s="75">
        <f>1562305+15152</f>
        <v>1577457</v>
      </c>
      <c r="H104" s="75"/>
      <c r="I104" s="70">
        <f t="shared" si="4"/>
        <v>1577457</v>
      </c>
      <c r="J104" s="173"/>
      <c r="K104" s="114"/>
      <c r="L104" s="114"/>
    </row>
    <row r="105" spans="1:12" s="71" customFormat="1" ht="147.75" customHeight="1">
      <c r="A105" s="66"/>
      <c r="B105" s="67" t="s">
        <v>302</v>
      </c>
      <c r="C105" s="67" t="s">
        <v>301</v>
      </c>
      <c r="D105" s="67" t="s">
        <v>38</v>
      </c>
      <c r="E105" s="65" t="s">
        <v>94</v>
      </c>
      <c r="F105" s="65" t="s">
        <v>62</v>
      </c>
      <c r="G105" s="75">
        <f>5552643+3427694</f>
        <v>8980337</v>
      </c>
      <c r="H105" s="75"/>
      <c r="I105" s="70">
        <f t="shared" si="4"/>
        <v>8980337</v>
      </c>
      <c r="J105" s="173"/>
      <c r="K105" s="114"/>
      <c r="L105" s="114"/>
    </row>
    <row r="106" spans="1:12" s="71" customFormat="1" ht="147.75" customHeight="1">
      <c r="A106" s="66"/>
      <c r="B106" s="67" t="s">
        <v>414</v>
      </c>
      <c r="C106" s="67" t="s">
        <v>415</v>
      </c>
      <c r="D106" s="67" t="s">
        <v>38</v>
      </c>
      <c r="E106" s="65" t="s">
        <v>416</v>
      </c>
      <c r="F106" s="65" t="s">
        <v>62</v>
      </c>
      <c r="G106" s="75">
        <v>1500000</v>
      </c>
      <c r="H106" s="75"/>
      <c r="I106" s="70">
        <f t="shared" si="4"/>
        <v>1500000</v>
      </c>
      <c r="J106" s="173"/>
      <c r="K106" s="114"/>
      <c r="L106" s="114"/>
    </row>
    <row r="107" spans="1:12" s="71" customFormat="1" ht="159.75" customHeight="1">
      <c r="A107" s="66"/>
      <c r="B107" s="67" t="s">
        <v>303</v>
      </c>
      <c r="C107" s="67" t="s">
        <v>258</v>
      </c>
      <c r="D107" s="67" t="s">
        <v>38</v>
      </c>
      <c r="E107" s="65" t="s">
        <v>41</v>
      </c>
      <c r="F107" s="65" t="s">
        <v>62</v>
      </c>
      <c r="G107" s="75">
        <f>16255544+8943969</f>
        <v>25199513</v>
      </c>
      <c r="H107" s="75"/>
      <c r="I107" s="70">
        <f t="shared" si="4"/>
        <v>25199513</v>
      </c>
      <c r="J107" s="173"/>
      <c r="K107" s="114"/>
      <c r="L107" s="114"/>
    </row>
    <row r="108" spans="2:10" ht="139.5" customHeight="1">
      <c r="B108" s="46">
        <v>1513050</v>
      </c>
      <c r="C108" s="46">
        <v>3050</v>
      </c>
      <c r="D108" s="46">
        <v>1070</v>
      </c>
      <c r="E108" s="43" t="s">
        <v>153</v>
      </c>
      <c r="F108" s="43" t="s">
        <v>62</v>
      </c>
      <c r="G108" s="22">
        <v>540500</v>
      </c>
      <c r="H108" s="22"/>
      <c r="I108" s="21">
        <f t="shared" si="4"/>
        <v>540500</v>
      </c>
      <c r="J108" s="173"/>
    </row>
    <row r="109" spans="2:10" ht="169.5" customHeight="1">
      <c r="B109" s="46">
        <v>1513100</v>
      </c>
      <c r="C109" s="46">
        <v>3100</v>
      </c>
      <c r="D109" s="46"/>
      <c r="E109" s="43" t="s">
        <v>304</v>
      </c>
      <c r="F109" s="43"/>
      <c r="G109" s="22">
        <f>G110</f>
        <v>211300</v>
      </c>
      <c r="H109" s="22">
        <f>H110</f>
        <v>0</v>
      </c>
      <c r="I109" s="22">
        <f>I110</f>
        <v>211300</v>
      </c>
      <c r="J109" s="173"/>
    </row>
    <row r="110" spans="2:10" ht="228" customHeight="1">
      <c r="B110" s="67" t="s">
        <v>305</v>
      </c>
      <c r="C110" s="67" t="s">
        <v>121</v>
      </c>
      <c r="D110" s="67" t="s">
        <v>87</v>
      </c>
      <c r="E110" s="65" t="s">
        <v>156</v>
      </c>
      <c r="F110" s="65" t="s">
        <v>62</v>
      </c>
      <c r="G110" s="75">
        <f>201300+4000+6000</f>
        <v>211300</v>
      </c>
      <c r="H110" s="75"/>
      <c r="I110" s="69">
        <f>G110+H110</f>
        <v>211300</v>
      </c>
      <c r="J110" s="173"/>
    </row>
    <row r="111" spans="2:10" ht="229.5" customHeight="1">
      <c r="B111" s="42" t="s">
        <v>306</v>
      </c>
      <c r="C111" s="42" t="s">
        <v>122</v>
      </c>
      <c r="D111" s="42" t="s">
        <v>5</v>
      </c>
      <c r="E111" s="43" t="s">
        <v>157</v>
      </c>
      <c r="F111" s="43" t="s">
        <v>62</v>
      </c>
      <c r="G111" s="22">
        <v>1832454</v>
      </c>
      <c r="H111" s="22"/>
      <c r="I111" s="21">
        <f>G111+H111</f>
        <v>1832454</v>
      </c>
      <c r="J111" s="173"/>
    </row>
    <row r="112" spans="2:10" ht="73.5" customHeight="1">
      <c r="B112" s="42" t="s">
        <v>308</v>
      </c>
      <c r="C112" s="42" t="s">
        <v>307</v>
      </c>
      <c r="D112" s="42"/>
      <c r="E112" s="43" t="s">
        <v>309</v>
      </c>
      <c r="F112" s="43"/>
      <c r="G112" s="22">
        <f>G113+G114</f>
        <v>2532330</v>
      </c>
      <c r="H112" s="22">
        <f>H113+H114</f>
        <v>0</v>
      </c>
      <c r="I112" s="22">
        <f>I113+I114</f>
        <v>2532330</v>
      </c>
      <c r="J112" s="173"/>
    </row>
    <row r="113" spans="1:12" s="71" customFormat="1" ht="139.5" customHeight="1">
      <c r="A113" s="66"/>
      <c r="B113" s="67" t="s">
        <v>310</v>
      </c>
      <c r="C113" s="67" t="s">
        <v>119</v>
      </c>
      <c r="D113" s="67" t="s">
        <v>40</v>
      </c>
      <c r="E113" s="65" t="s">
        <v>39</v>
      </c>
      <c r="F113" s="65" t="s">
        <v>62</v>
      </c>
      <c r="G113" s="75">
        <f>1346729+73171</f>
        <v>1419900</v>
      </c>
      <c r="H113" s="75"/>
      <c r="I113" s="70">
        <f>G113+H113</f>
        <v>1419900</v>
      </c>
      <c r="J113" s="173"/>
      <c r="K113" s="114"/>
      <c r="L113" s="114"/>
    </row>
    <row r="114" spans="1:12" s="71" customFormat="1" ht="172.5" customHeight="1">
      <c r="A114" s="66"/>
      <c r="B114" s="67" t="s">
        <v>311</v>
      </c>
      <c r="C114" s="67" t="s">
        <v>123</v>
      </c>
      <c r="D114" s="67" t="s">
        <v>40</v>
      </c>
      <c r="E114" s="65" t="s">
        <v>158</v>
      </c>
      <c r="F114" s="65" t="s">
        <v>62</v>
      </c>
      <c r="G114" s="75">
        <f>863275+249155</f>
        <v>1112430</v>
      </c>
      <c r="H114" s="75"/>
      <c r="I114" s="70">
        <f>G114+H114</f>
        <v>1112430</v>
      </c>
      <c r="J114" s="173"/>
      <c r="K114" s="114"/>
      <c r="L114" s="114"/>
    </row>
    <row r="115" spans="1:12" s="71" customFormat="1" ht="172.5" customHeight="1">
      <c r="A115" s="66"/>
      <c r="B115" s="42" t="s">
        <v>313</v>
      </c>
      <c r="C115" s="42" t="s">
        <v>124</v>
      </c>
      <c r="D115" s="42" t="s">
        <v>87</v>
      </c>
      <c r="E115" s="43" t="s">
        <v>159</v>
      </c>
      <c r="F115" s="43" t="s">
        <v>62</v>
      </c>
      <c r="G115" s="22">
        <f>90000+70000</f>
        <v>160000</v>
      </c>
      <c r="H115" s="22"/>
      <c r="I115" s="21">
        <f>G115+H115</f>
        <v>160000</v>
      </c>
      <c r="J115" s="173"/>
      <c r="K115" s="114"/>
      <c r="L115" s="114"/>
    </row>
    <row r="116" spans="1:12" s="71" customFormat="1" ht="115.5" customHeight="1">
      <c r="A116" s="66"/>
      <c r="B116" s="42" t="s">
        <v>312</v>
      </c>
      <c r="C116" s="42" t="s">
        <v>120</v>
      </c>
      <c r="D116" s="42" t="s">
        <v>74</v>
      </c>
      <c r="E116" s="43" t="s">
        <v>155</v>
      </c>
      <c r="F116" s="43" t="s">
        <v>60</v>
      </c>
      <c r="G116" s="22">
        <f>285600+100000</f>
        <v>385600</v>
      </c>
      <c r="H116" s="22"/>
      <c r="I116" s="21">
        <f>G116+H116</f>
        <v>385600</v>
      </c>
      <c r="J116" s="173"/>
      <c r="K116" s="114"/>
      <c r="L116" s="114"/>
    </row>
    <row r="117" spans="1:12" s="10" customFormat="1" ht="70.5" customHeight="1">
      <c r="A117" s="1"/>
      <c r="B117" s="42" t="s">
        <v>314</v>
      </c>
      <c r="C117" s="42" t="s">
        <v>111</v>
      </c>
      <c r="D117" s="42" t="s">
        <v>9</v>
      </c>
      <c r="E117" s="43" t="s">
        <v>8</v>
      </c>
      <c r="F117" s="63"/>
      <c r="G117" s="22">
        <f>G118+G119</f>
        <v>8661405</v>
      </c>
      <c r="H117" s="22">
        <f>H118+H119</f>
        <v>0</v>
      </c>
      <c r="I117" s="22">
        <f>I118+I119</f>
        <v>8661405</v>
      </c>
      <c r="J117" s="173"/>
      <c r="K117" s="110"/>
      <c r="L117" s="110"/>
    </row>
    <row r="118" spans="1:12" s="71" customFormat="1" ht="150.75" customHeight="1">
      <c r="A118" s="66"/>
      <c r="B118" s="67" t="s">
        <v>314</v>
      </c>
      <c r="C118" s="67" t="s">
        <v>111</v>
      </c>
      <c r="D118" s="67" t="s">
        <v>9</v>
      </c>
      <c r="E118" s="68" t="s">
        <v>352</v>
      </c>
      <c r="F118" s="65" t="s">
        <v>62</v>
      </c>
      <c r="G118" s="75">
        <f>2263526+129000+193500+400000+569700+320310+20000+270000-15000+715865+45000</f>
        <v>4911901</v>
      </c>
      <c r="H118" s="75"/>
      <c r="I118" s="69">
        <f>G118+H118</f>
        <v>4911901</v>
      </c>
      <c r="J118" s="173"/>
      <c r="K118" s="114"/>
      <c r="L118" s="114"/>
    </row>
    <row r="119" spans="1:12" s="71" customFormat="1" ht="186.75" customHeight="1">
      <c r="A119" s="66"/>
      <c r="B119" s="67" t="s">
        <v>314</v>
      </c>
      <c r="C119" s="67" t="s">
        <v>111</v>
      </c>
      <c r="D119" s="67" t="s">
        <v>9</v>
      </c>
      <c r="E119" s="68" t="s">
        <v>348</v>
      </c>
      <c r="F119" s="65" t="s">
        <v>348</v>
      </c>
      <c r="G119" s="75">
        <f>2749504+1000000</f>
        <v>3749504</v>
      </c>
      <c r="H119" s="75"/>
      <c r="I119" s="70">
        <f>G119+H119</f>
        <v>3749504</v>
      </c>
      <c r="J119" s="173"/>
      <c r="K119" s="114"/>
      <c r="L119" s="114"/>
    </row>
    <row r="120" spans="1:12" s="71" customFormat="1" ht="156.75" customHeight="1">
      <c r="A120" s="66"/>
      <c r="B120" s="42" t="s">
        <v>332</v>
      </c>
      <c r="C120" s="42" t="s">
        <v>239</v>
      </c>
      <c r="D120" s="42" t="s">
        <v>49</v>
      </c>
      <c r="E120" s="43" t="s">
        <v>168</v>
      </c>
      <c r="F120" s="41" t="s">
        <v>374</v>
      </c>
      <c r="G120" s="75"/>
      <c r="H120" s="75">
        <v>300000</v>
      </c>
      <c r="I120" s="70">
        <f>G120+H120</f>
        <v>300000</v>
      </c>
      <c r="J120" s="173"/>
      <c r="K120" s="114"/>
      <c r="L120" s="114"/>
    </row>
    <row r="121" spans="2:10" ht="93" customHeight="1">
      <c r="B121" s="42"/>
      <c r="C121" s="42"/>
      <c r="D121" s="42"/>
      <c r="E121" s="89" t="s">
        <v>42</v>
      </c>
      <c r="F121" s="41"/>
      <c r="G121" s="20">
        <f aca="true" t="shared" si="5" ref="G121:I122">G122</f>
        <v>55000</v>
      </c>
      <c r="H121" s="20">
        <f t="shared" si="5"/>
        <v>0</v>
      </c>
      <c r="I121" s="20">
        <f t="shared" si="5"/>
        <v>55000</v>
      </c>
      <c r="J121" s="173"/>
    </row>
    <row r="122" spans="2:10" ht="98.25" customHeight="1">
      <c r="B122" s="46">
        <v>2013110</v>
      </c>
      <c r="C122" s="42" t="s">
        <v>175</v>
      </c>
      <c r="D122" s="46">
        <v>1040</v>
      </c>
      <c r="E122" s="43" t="s">
        <v>174</v>
      </c>
      <c r="F122" s="41"/>
      <c r="G122" s="21">
        <f t="shared" si="5"/>
        <v>55000</v>
      </c>
      <c r="H122" s="21">
        <f t="shared" si="5"/>
        <v>0</v>
      </c>
      <c r="I122" s="21">
        <f t="shared" si="5"/>
        <v>55000</v>
      </c>
      <c r="J122" s="173"/>
    </row>
    <row r="123" spans="1:12" s="71" customFormat="1" ht="150" customHeight="1">
      <c r="A123" s="66"/>
      <c r="B123" s="67" t="s">
        <v>177</v>
      </c>
      <c r="C123" s="67" t="s">
        <v>176</v>
      </c>
      <c r="D123" s="67" t="s">
        <v>10</v>
      </c>
      <c r="E123" s="65" t="s">
        <v>160</v>
      </c>
      <c r="F123" s="68" t="s">
        <v>398</v>
      </c>
      <c r="G123" s="69">
        <v>55000</v>
      </c>
      <c r="H123" s="69"/>
      <c r="I123" s="70">
        <f>G123+H123</f>
        <v>55000</v>
      </c>
      <c r="J123" s="173"/>
      <c r="K123" s="114"/>
      <c r="L123" s="114"/>
    </row>
    <row r="124" spans="2:10" ht="114.75" customHeight="1">
      <c r="B124" s="42"/>
      <c r="C124" s="42"/>
      <c r="D124" s="42"/>
      <c r="E124" s="89" t="s">
        <v>43</v>
      </c>
      <c r="F124" s="41"/>
      <c r="G124" s="20">
        <f>G125+G126+G127+G128+G129</f>
        <v>1905073</v>
      </c>
      <c r="H124" s="20">
        <f>H125+H126+H127+H128+H129</f>
        <v>4264427</v>
      </c>
      <c r="I124" s="20">
        <f>I125+I126+I127+I128+I129</f>
        <v>6169500</v>
      </c>
      <c r="J124" s="173"/>
    </row>
    <row r="125" spans="2:10" ht="168.75" customHeight="1">
      <c r="B125" s="42" t="s">
        <v>349</v>
      </c>
      <c r="C125" s="42" t="s">
        <v>55</v>
      </c>
      <c r="D125" s="46" t="s">
        <v>2</v>
      </c>
      <c r="E125" s="43" t="s">
        <v>406</v>
      </c>
      <c r="F125" s="41" t="s">
        <v>100</v>
      </c>
      <c r="G125" s="21">
        <v>30000</v>
      </c>
      <c r="H125" s="20"/>
      <c r="I125" s="21">
        <f>G125+H125</f>
        <v>30000</v>
      </c>
      <c r="J125" s="173"/>
    </row>
    <row r="126" spans="2:10" ht="198.75" customHeight="1">
      <c r="B126" s="42" t="s">
        <v>179</v>
      </c>
      <c r="C126" s="42" t="s">
        <v>178</v>
      </c>
      <c r="D126" s="42" t="s">
        <v>44</v>
      </c>
      <c r="E126" s="43" t="s">
        <v>161</v>
      </c>
      <c r="F126" s="41" t="s">
        <v>82</v>
      </c>
      <c r="G126" s="21">
        <f>1443500+50000</f>
        <v>1493500</v>
      </c>
      <c r="H126" s="21"/>
      <c r="I126" s="21">
        <f>G126+H126</f>
        <v>1493500</v>
      </c>
      <c r="J126" s="173"/>
    </row>
    <row r="127" spans="2:10" ht="261.75" customHeight="1">
      <c r="B127" s="42" t="s">
        <v>181</v>
      </c>
      <c r="C127" s="42" t="s">
        <v>180</v>
      </c>
      <c r="D127" s="42" t="s">
        <v>77</v>
      </c>
      <c r="E127" s="43" t="s">
        <v>78</v>
      </c>
      <c r="F127" s="41" t="s">
        <v>83</v>
      </c>
      <c r="G127" s="22">
        <f>199000+91000+6600+10000</f>
        <v>306600</v>
      </c>
      <c r="H127" s="21">
        <f>460000+600000-25000+10000+5000+1000000+5000</f>
        <v>2055000</v>
      </c>
      <c r="I127" s="21">
        <f>G127+H127</f>
        <v>2361600</v>
      </c>
      <c r="J127" s="173"/>
    </row>
    <row r="128" spans="2:10" ht="261.75" customHeight="1">
      <c r="B128" s="42" t="s">
        <v>183</v>
      </c>
      <c r="C128" s="42" t="s">
        <v>182</v>
      </c>
      <c r="D128" s="42" t="s">
        <v>79</v>
      </c>
      <c r="E128" s="43" t="s">
        <v>80</v>
      </c>
      <c r="F128" s="41" t="s">
        <v>83</v>
      </c>
      <c r="G128" s="22">
        <f>7400+62573</f>
        <v>69973</v>
      </c>
      <c r="H128" s="22">
        <f>300000+300000+42427-250000+15000</f>
        <v>407427</v>
      </c>
      <c r="I128" s="21">
        <f>G128+H128</f>
        <v>477400</v>
      </c>
      <c r="J128" s="173"/>
    </row>
    <row r="129" spans="2:10" ht="159.75" customHeight="1">
      <c r="B129" s="42" t="s">
        <v>333</v>
      </c>
      <c r="C129" s="42" t="s">
        <v>239</v>
      </c>
      <c r="D129" s="42" t="s">
        <v>49</v>
      </c>
      <c r="E129" s="43" t="s">
        <v>168</v>
      </c>
      <c r="F129" s="41" t="s">
        <v>374</v>
      </c>
      <c r="G129" s="22">
        <v>5000</v>
      </c>
      <c r="H129" s="22">
        <f>1527000+275000</f>
        <v>1802000</v>
      </c>
      <c r="I129" s="21">
        <f>G129+H129</f>
        <v>1807000</v>
      </c>
      <c r="J129" s="173"/>
    </row>
    <row r="130" spans="2:12" ht="129" customHeight="1">
      <c r="B130" s="42"/>
      <c r="C130" s="42"/>
      <c r="D130" s="42"/>
      <c r="E130" s="89" t="s">
        <v>45</v>
      </c>
      <c r="F130" s="41"/>
      <c r="G130" s="20">
        <f>G131+G132+G133+G134+G135+G138+G140+G142+G143+G148+G149+G150+G151+G152+G153+G156+G158+G159+G160+G147+G144+G145+G162+G141</f>
        <v>65277571.48</v>
      </c>
      <c r="H130" s="20">
        <f>H131+H132+H133+H134+H135+H138+H140+H142+H143+H148+H149+H150+H151+H152+H153+H156+H158+H159+H160+H147+H144+H145+H162+H141</f>
        <v>173537963.18</v>
      </c>
      <c r="I130" s="20">
        <f>I131+I132+I133+I134+I135+I138+I140+I142+I143+I148+I149+I150+I151+I152+I153+I156+I158+I159+I160+I147+I144+I145+I162+I141</f>
        <v>238815534.66</v>
      </c>
      <c r="J130" s="174"/>
      <c r="K130" s="119"/>
      <c r="L130" s="119"/>
    </row>
    <row r="131" spans="2:10" ht="153.75" customHeight="1">
      <c r="B131" s="42" t="s">
        <v>130</v>
      </c>
      <c r="C131" s="42" t="s">
        <v>55</v>
      </c>
      <c r="D131" s="46" t="s">
        <v>2</v>
      </c>
      <c r="E131" s="43" t="s">
        <v>406</v>
      </c>
      <c r="F131" s="41" t="s">
        <v>61</v>
      </c>
      <c r="G131" s="21">
        <v>40000</v>
      </c>
      <c r="H131" s="21"/>
      <c r="I131" s="21">
        <f>G131+H131</f>
        <v>40000</v>
      </c>
      <c r="J131" s="174"/>
    </row>
    <row r="132" spans="2:10" ht="186" customHeight="1">
      <c r="B132" s="137" t="s">
        <v>220</v>
      </c>
      <c r="C132" s="137" t="s">
        <v>120</v>
      </c>
      <c r="D132" s="137" t="s">
        <v>74</v>
      </c>
      <c r="E132" s="136" t="s">
        <v>75</v>
      </c>
      <c r="F132" s="43" t="s">
        <v>25</v>
      </c>
      <c r="G132" s="21">
        <f>350000+150000+50000</f>
        <v>550000</v>
      </c>
      <c r="H132" s="21"/>
      <c r="I132" s="21">
        <f aca="true" t="shared" si="6" ref="I132:I152">G132+H132</f>
        <v>550000</v>
      </c>
      <c r="J132" s="174"/>
    </row>
    <row r="133" spans="2:10" ht="144.75" customHeight="1">
      <c r="B133" s="137"/>
      <c r="C133" s="137"/>
      <c r="D133" s="137"/>
      <c r="E133" s="136"/>
      <c r="F133" s="43" t="s">
        <v>60</v>
      </c>
      <c r="G133" s="21">
        <f>14400</f>
        <v>14400</v>
      </c>
      <c r="H133" s="21"/>
      <c r="I133" s="21">
        <f t="shared" si="6"/>
        <v>14400</v>
      </c>
      <c r="J133" s="174"/>
    </row>
    <row r="134" spans="2:10" ht="162" customHeight="1">
      <c r="B134" s="42" t="s">
        <v>222</v>
      </c>
      <c r="C134" s="42" t="s">
        <v>221</v>
      </c>
      <c r="D134" s="42" t="s">
        <v>46</v>
      </c>
      <c r="E134" s="43" t="s">
        <v>162</v>
      </c>
      <c r="F134" s="41" t="s">
        <v>25</v>
      </c>
      <c r="G134" s="21">
        <f>1500000+72000</f>
        <v>1572000</v>
      </c>
      <c r="H134" s="21"/>
      <c r="I134" s="21">
        <f t="shared" si="6"/>
        <v>1572000</v>
      </c>
      <c r="J134" s="174"/>
    </row>
    <row r="135" spans="2:10" ht="104.25" customHeight="1">
      <c r="B135" s="42" t="s">
        <v>225</v>
      </c>
      <c r="C135" s="42" t="s">
        <v>224</v>
      </c>
      <c r="D135" s="42"/>
      <c r="E135" s="41" t="s">
        <v>223</v>
      </c>
      <c r="F135" s="41"/>
      <c r="G135" s="21">
        <f>G136+G137</f>
        <v>480000</v>
      </c>
      <c r="H135" s="21">
        <f>H136+H137</f>
        <v>64312427</v>
      </c>
      <c r="I135" s="21">
        <f>I136+I137</f>
        <v>64792427</v>
      </c>
      <c r="J135" s="174"/>
    </row>
    <row r="136" spans="1:12" s="71" customFormat="1" ht="159" customHeight="1">
      <c r="A136" s="66"/>
      <c r="B136" s="67" t="s">
        <v>228</v>
      </c>
      <c r="C136" s="67" t="s">
        <v>226</v>
      </c>
      <c r="D136" s="67" t="s">
        <v>46</v>
      </c>
      <c r="E136" s="65" t="s">
        <v>163</v>
      </c>
      <c r="F136" s="68" t="s">
        <v>25</v>
      </c>
      <c r="G136" s="69">
        <v>480000</v>
      </c>
      <c r="H136" s="69">
        <f>35327958+1500000+18960000-327958-737000+84427-7000000+5000</f>
        <v>47812427</v>
      </c>
      <c r="I136" s="69">
        <f t="shared" si="6"/>
        <v>48292427</v>
      </c>
      <c r="J136" s="174"/>
      <c r="K136" s="114"/>
      <c r="L136" s="114"/>
    </row>
    <row r="137" spans="1:12" s="71" customFormat="1" ht="195" customHeight="1">
      <c r="A137" s="66"/>
      <c r="B137" s="67" t="s">
        <v>229</v>
      </c>
      <c r="C137" s="67" t="s">
        <v>227</v>
      </c>
      <c r="D137" s="67" t="s">
        <v>46</v>
      </c>
      <c r="E137" s="65" t="s">
        <v>47</v>
      </c>
      <c r="F137" s="72" t="s">
        <v>25</v>
      </c>
      <c r="G137" s="69"/>
      <c r="H137" s="69">
        <f>15000000+500000+1000000</f>
        <v>16500000</v>
      </c>
      <c r="I137" s="69">
        <f t="shared" si="6"/>
        <v>16500000</v>
      </c>
      <c r="J137" s="174"/>
      <c r="K137" s="114"/>
      <c r="L137" s="114"/>
    </row>
    <row r="138" spans="1:12" s="10" customFormat="1" ht="105" customHeight="1">
      <c r="A138" s="1"/>
      <c r="B138" s="42" t="s">
        <v>232</v>
      </c>
      <c r="C138" s="42" t="s">
        <v>231</v>
      </c>
      <c r="D138" s="42"/>
      <c r="E138" s="43" t="s">
        <v>230</v>
      </c>
      <c r="F138" s="44"/>
      <c r="G138" s="21">
        <f>G139</f>
        <v>5017000</v>
      </c>
      <c r="H138" s="21">
        <f>H139</f>
        <v>0</v>
      </c>
      <c r="I138" s="21">
        <f>I139</f>
        <v>5017000</v>
      </c>
      <c r="J138" s="174"/>
      <c r="K138" s="110"/>
      <c r="L138" s="110"/>
    </row>
    <row r="139" spans="1:12" s="71" customFormat="1" ht="135" customHeight="1">
      <c r="A139" s="66"/>
      <c r="B139" s="76" t="s">
        <v>234</v>
      </c>
      <c r="C139" s="76" t="s">
        <v>233</v>
      </c>
      <c r="D139" s="67" t="s">
        <v>14</v>
      </c>
      <c r="E139" s="65" t="s">
        <v>164</v>
      </c>
      <c r="F139" s="68" t="s">
        <v>25</v>
      </c>
      <c r="G139" s="69">
        <f>3151000+266000+1600000</f>
        <v>5017000</v>
      </c>
      <c r="H139" s="69"/>
      <c r="I139" s="69">
        <f t="shared" si="6"/>
        <v>5017000</v>
      </c>
      <c r="J139" s="174"/>
      <c r="K139" s="114"/>
      <c r="L139" s="114"/>
    </row>
    <row r="140" spans="2:10" ht="163.5" customHeight="1">
      <c r="B140" s="138" t="s">
        <v>235</v>
      </c>
      <c r="C140" s="138" t="s">
        <v>192</v>
      </c>
      <c r="D140" s="137" t="s">
        <v>14</v>
      </c>
      <c r="E140" s="139" t="s">
        <v>97</v>
      </c>
      <c r="F140" s="41" t="s">
        <v>25</v>
      </c>
      <c r="G140" s="21">
        <f>40180400+20463507-1267658+199810-7400000-305510-500000-1258381-26000+31000+111380+360000+60000</f>
        <v>50648548</v>
      </c>
      <c r="H140" s="21">
        <f>33502200+150000+12522000+327958-244003+7400000-356390-1000000+1600000+500000+30000-428650-152925-31000</f>
        <v>53819190</v>
      </c>
      <c r="I140" s="21">
        <f t="shared" si="6"/>
        <v>104467738</v>
      </c>
      <c r="J140" s="174"/>
    </row>
    <row r="141" spans="2:10" ht="163.5" customHeight="1">
      <c r="B141" s="138"/>
      <c r="C141" s="138"/>
      <c r="D141" s="137"/>
      <c r="E141" s="139"/>
      <c r="F141" s="41" t="s">
        <v>435</v>
      </c>
      <c r="G141" s="21"/>
      <c r="H141" s="21">
        <v>100000</v>
      </c>
      <c r="I141" s="21">
        <f t="shared" si="6"/>
        <v>100000</v>
      </c>
      <c r="J141" s="174"/>
    </row>
    <row r="142" spans="2:10" ht="163.5" customHeight="1">
      <c r="B142" s="138"/>
      <c r="C142" s="138"/>
      <c r="D142" s="137"/>
      <c r="E142" s="139"/>
      <c r="F142" s="44" t="s">
        <v>67</v>
      </c>
      <c r="G142" s="21">
        <v>735000</v>
      </c>
      <c r="H142" s="21">
        <v>1432000</v>
      </c>
      <c r="I142" s="21">
        <f t="shared" si="6"/>
        <v>2167000</v>
      </c>
      <c r="J142" s="174"/>
    </row>
    <row r="143" spans="2:10" ht="222" customHeight="1">
      <c r="B143" s="45" t="s">
        <v>237</v>
      </c>
      <c r="C143" s="45" t="s">
        <v>236</v>
      </c>
      <c r="D143" s="42" t="s">
        <v>14</v>
      </c>
      <c r="E143" s="87" t="s">
        <v>165</v>
      </c>
      <c r="F143" s="41" t="s">
        <v>25</v>
      </c>
      <c r="G143" s="21"/>
      <c r="H143" s="21">
        <v>1000000</v>
      </c>
      <c r="I143" s="21">
        <f t="shared" si="6"/>
        <v>1000000</v>
      </c>
      <c r="J143" s="174"/>
    </row>
    <row r="144" spans="2:10" ht="165" customHeight="1">
      <c r="B144" s="45" t="s">
        <v>380</v>
      </c>
      <c r="C144" s="45" t="s">
        <v>198</v>
      </c>
      <c r="D144" s="42" t="s">
        <v>6</v>
      </c>
      <c r="E144" s="87" t="s">
        <v>166</v>
      </c>
      <c r="F144" s="41" t="s">
        <v>25</v>
      </c>
      <c r="G144" s="21"/>
      <c r="H144" s="21">
        <f>12774508+500000+737000+1000000</f>
        <v>15011508</v>
      </c>
      <c r="I144" s="21">
        <f t="shared" si="6"/>
        <v>15011508</v>
      </c>
      <c r="J144" s="174"/>
    </row>
    <row r="145" spans="2:10" ht="60" customHeight="1">
      <c r="B145" s="42" t="s">
        <v>408</v>
      </c>
      <c r="C145" s="42" t="s">
        <v>206</v>
      </c>
      <c r="D145" s="42"/>
      <c r="E145" s="43" t="s">
        <v>205</v>
      </c>
      <c r="F145" s="41"/>
      <c r="G145" s="21">
        <f>G146</f>
        <v>0</v>
      </c>
      <c r="H145" s="21">
        <f>H146</f>
        <v>2535000</v>
      </c>
      <c r="I145" s="21">
        <f>I146</f>
        <v>2535000</v>
      </c>
      <c r="J145" s="174"/>
    </row>
    <row r="146" spans="2:10" ht="147" customHeight="1">
      <c r="B146" s="76" t="s">
        <v>409</v>
      </c>
      <c r="C146" s="76" t="s">
        <v>208</v>
      </c>
      <c r="D146" s="67" t="s">
        <v>15</v>
      </c>
      <c r="E146" s="65" t="s">
        <v>169</v>
      </c>
      <c r="F146" s="68" t="s">
        <v>25</v>
      </c>
      <c r="G146" s="69"/>
      <c r="H146" s="69">
        <v>2535000</v>
      </c>
      <c r="I146" s="69">
        <f>G146+H146</f>
        <v>2535000</v>
      </c>
      <c r="J146" s="174"/>
    </row>
    <row r="147" spans="2:10" ht="192" customHeight="1">
      <c r="B147" s="45" t="s">
        <v>376</v>
      </c>
      <c r="C147" s="45" t="s">
        <v>377</v>
      </c>
      <c r="D147" s="42" t="s">
        <v>378</v>
      </c>
      <c r="E147" s="87" t="s">
        <v>379</v>
      </c>
      <c r="F147" s="41" t="s">
        <v>25</v>
      </c>
      <c r="G147" s="21">
        <f>185000+465000</f>
        <v>650000</v>
      </c>
      <c r="H147" s="21">
        <v>130000</v>
      </c>
      <c r="I147" s="21">
        <f t="shared" si="6"/>
        <v>780000</v>
      </c>
      <c r="J147" s="174"/>
    </row>
    <row r="148" spans="2:10" ht="200.25" customHeight="1">
      <c r="B148" s="42" t="s">
        <v>238</v>
      </c>
      <c r="C148" s="42" t="s">
        <v>184</v>
      </c>
      <c r="D148" s="42" t="s">
        <v>48</v>
      </c>
      <c r="E148" s="43" t="s">
        <v>167</v>
      </c>
      <c r="F148" s="41" t="s">
        <v>25</v>
      </c>
      <c r="G148" s="21">
        <f>1500000+70000</f>
        <v>1570000</v>
      </c>
      <c r="H148" s="21"/>
      <c r="I148" s="21">
        <f t="shared" si="6"/>
        <v>1570000</v>
      </c>
      <c r="J148" s="174"/>
    </row>
    <row r="149" spans="2:10" ht="197.25" customHeight="1">
      <c r="B149" s="42" t="s">
        <v>240</v>
      </c>
      <c r="C149" s="42" t="s">
        <v>239</v>
      </c>
      <c r="D149" s="42" t="s">
        <v>49</v>
      </c>
      <c r="E149" s="43" t="s">
        <v>168</v>
      </c>
      <c r="F149" s="41" t="s">
        <v>25</v>
      </c>
      <c r="G149" s="21">
        <v>1000000</v>
      </c>
      <c r="H149" s="21"/>
      <c r="I149" s="21">
        <f t="shared" si="6"/>
        <v>1000000</v>
      </c>
      <c r="J149" s="174"/>
    </row>
    <row r="150" spans="2:10" ht="171" customHeight="1">
      <c r="B150" s="137" t="s">
        <v>241</v>
      </c>
      <c r="C150" s="137" t="s">
        <v>193</v>
      </c>
      <c r="D150" s="137" t="s">
        <v>6</v>
      </c>
      <c r="E150" s="136" t="s">
        <v>142</v>
      </c>
      <c r="F150" s="41" t="s">
        <v>25</v>
      </c>
      <c r="G150" s="21"/>
      <c r="H150" s="21">
        <f>15461900+2000000-1000000+2520800+913000+3000000</f>
        <v>22895700</v>
      </c>
      <c r="I150" s="21">
        <f t="shared" si="6"/>
        <v>22895700</v>
      </c>
      <c r="J150" s="174"/>
    </row>
    <row r="151" spans="2:10" ht="165" customHeight="1">
      <c r="B151" s="137"/>
      <c r="C151" s="137"/>
      <c r="D151" s="137"/>
      <c r="E151" s="136"/>
      <c r="F151" s="44" t="s">
        <v>67</v>
      </c>
      <c r="G151" s="21"/>
      <c r="H151" s="21">
        <f>5000000-2000000</f>
        <v>3000000</v>
      </c>
      <c r="I151" s="21">
        <f t="shared" si="6"/>
        <v>3000000</v>
      </c>
      <c r="J151" s="174"/>
    </row>
    <row r="152" spans="2:10" ht="187.5" customHeight="1">
      <c r="B152" s="42" t="s">
        <v>243</v>
      </c>
      <c r="C152" s="42" t="s">
        <v>242</v>
      </c>
      <c r="D152" s="42" t="s">
        <v>32</v>
      </c>
      <c r="E152" s="43" t="s">
        <v>31</v>
      </c>
      <c r="F152" s="44" t="s">
        <v>67</v>
      </c>
      <c r="G152" s="21">
        <v>199733</v>
      </c>
      <c r="H152" s="21"/>
      <c r="I152" s="21">
        <f t="shared" si="6"/>
        <v>199733</v>
      </c>
      <c r="J152" s="174"/>
    </row>
    <row r="153" spans="2:10" ht="84.75" customHeight="1">
      <c r="B153" s="42" t="s">
        <v>244</v>
      </c>
      <c r="C153" s="42" t="s">
        <v>186</v>
      </c>
      <c r="D153" s="42" t="s">
        <v>24</v>
      </c>
      <c r="E153" s="43" t="s">
        <v>12</v>
      </c>
      <c r="F153" s="44"/>
      <c r="G153" s="21">
        <f>G154+G155</f>
        <v>2042390.48</v>
      </c>
      <c r="H153" s="21">
        <f>H154+H155</f>
        <v>0</v>
      </c>
      <c r="I153" s="21">
        <f>I154+I155</f>
        <v>2042390.48</v>
      </c>
      <c r="J153" s="174"/>
    </row>
    <row r="154" spans="1:12" s="71" customFormat="1" ht="276" customHeight="1">
      <c r="A154" s="66"/>
      <c r="B154" s="67" t="s">
        <v>244</v>
      </c>
      <c r="C154" s="67" t="s">
        <v>186</v>
      </c>
      <c r="D154" s="67" t="s">
        <v>24</v>
      </c>
      <c r="E154" s="68" t="s">
        <v>360</v>
      </c>
      <c r="F154" s="72" t="s">
        <v>73</v>
      </c>
      <c r="G154" s="69">
        <v>285000</v>
      </c>
      <c r="H154" s="69"/>
      <c r="I154" s="70">
        <f>G154+H154</f>
        <v>285000</v>
      </c>
      <c r="J154" s="174"/>
      <c r="K154" s="114"/>
      <c r="L154" s="114"/>
    </row>
    <row r="155" spans="1:12" s="71" customFormat="1" ht="207.75" customHeight="1">
      <c r="A155" s="66"/>
      <c r="B155" s="67" t="s">
        <v>244</v>
      </c>
      <c r="C155" s="67" t="s">
        <v>186</v>
      </c>
      <c r="D155" s="67" t="s">
        <v>24</v>
      </c>
      <c r="E155" s="68" t="s">
        <v>361</v>
      </c>
      <c r="F155" s="68" t="s">
        <v>25</v>
      </c>
      <c r="G155" s="69">
        <f>1622200+110000+25190.48</f>
        <v>1757390.48</v>
      </c>
      <c r="H155" s="69"/>
      <c r="I155" s="70">
        <f>G155+H155</f>
        <v>1757390.48</v>
      </c>
      <c r="J155" s="174"/>
      <c r="K155" s="114"/>
      <c r="L155" s="114"/>
    </row>
    <row r="156" spans="1:12" s="10" customFormat="1" ht="92.25" customHeight="1">
      <c r="A156" s="1"/>
      <c r="B156" s="45" t="s">
        <v>245</v>
      </c>
      <c r="C156" s="45" t="s">
        <v>188</v>
      </c>
      <c r="D156" s="42" t="s">
        <v>55</v>
      </c>
      <c r="E156" s="43" t="s">
        <v>56</v>
      </c>
      <c r="F156" s="41"/>
      <c r="G156" s="21">
        <f>G157</f>
        <v>758500</v>
      </c>
      <c r="H156" s="21">
        <f>H157</f>
        <v>1221500</v>
      </c>
      <c r="I156" s="21">
        <f>I157</f>
        <v>1980000</v>
      </c>
      <c r="J156" s="174"/>
      <c r="K156" s="110"/>
      <c r="L156" s="110"/>
    </row>
    <row r="157" spans="1:12" s="71" customFormat="1" ht="232.5" customHeight="1">
      <c r="A157" s="66"/>
      <c r="B157" s="128" t="s">
        <v>245</v>
      </c>
      <c r="C157" s="128" t="s">
        <v>188</v>
      </c>
      <c r="D157" s="100" t="s">
        <v>55</v>
      </c>
      <c r="E157" s="68" t="s">
        <v>372</v>
      </c>
      <c r="F157" s="72" t="s">
        <v>25</v>
      </c>
      <c r="G157" s="75">
        <f>250000+508500</f>
        <v>758500</v>
      </c>
      <c r="H157" s="69">
        <f>1730000-508500</f>
        <v>1221500</v>
      </c>
      <c r="I157" s="69">
        <f>G157+H157</f>
        <v>1980000</v>
      </c>
      <c r="J157" s="174"/>
      <c r="K157" s="114"/>
      <c r="L157" s="114"/>
    </row>
    <row r="158" spans="2:10" ht="219" customHeight="1">
      <c r="B158" s="42" t="s">
        <v>246</v>
      </c>
      <c r="C158" s="42" t="s">
        <v>211</v>
      </c>
      <c r="D158" s="42" t="s">
        <v>51</v>
      </c>
      <c r="E158" s="43" t="s">
        <v>50</v>
      </c>
      <c r="F158" s="44" t="s">
        <v>67</v>
      </c>
      <c r="G158" s="21"/>
      <c r="H158" s="21">
        <f>1040000+3945460</f>
        <v>4985460</v>
      </c>
      <c r="I158" s="21">
        <f>G158+H158</f>
        <v>4985460</v>
      </c>
      <c r="J158" s="174"/>
    </row>
    <row r="159" spans="2:10" ht="198" customHeight="1">
      <c r="B159" s="42" t="s">
        <v>247</v>
      </c>
      <c r="C159" s="42" t="s">
        <v>213</v>
      </c>
      <c r="D159" s="42" t="s">
        <v>32</v>
      </c>
      <c r="E159" s="43" t="s">
        <v>31</v>
      </c>
      <c r="F159" s="44" t="s">
        <v>67</v>
      </c>
      <c r="G159" s="21"/>
      <c r="H159" s="21">
        <f>308267+140000</f>
        <v>448267</v>
      </c>
      <c r="I159" s="21">
        <f>G159+H159</f>
        <v>448267</v>
      </c>
      <c r="J159" s="174"/>
    </row>
    <row r="160" spans="2:10" ht="138.75" customHeight="1">
      <c r="B160" s="42" t="s">
        <v>347</v>
      </c>
      <c r="C160" s="42" t="s">
        <v>336</v>
      </c>
      <c r="D160" s="42"/>
      <c r="E160" s="43" t="s">
        <v>335</v>
      </c>
      <c r="F160" s="44"/>
      <c r="G160" s="21">
        <f>G161</f>
        <v>0</v>
      </c>
      <c r="H160" s="21">
        <f>H161</f>
        <v>-2104092</v>
      </c>
      <c r="I160" s="21">
        <f>I161</f>
        <v>-2104092</v>
      </c>
      <c r="J160" s="174"/>
    </row>
    <row r="161" spans="1:12" s="71" customFormat="1" ht="189" customHeight="1">
      <c r="A161" s="66"/>
      <c r="B161" s="67" t="s">
        <v>340</v>
      </c>
      <c r="C161" s="67" t="s">
        <v>342</v>
      </c>
      <c r="D161" s="67" t="s">
        <v>6</v>
      </c>
      <c r="E161" s="86" t="s">
        <v>341</v>
      </c>
      <c r="F161" s="68" t="s">
        <v>25</v>
      </c>
      <c r="G161" s="69"/>
      <c r="H161" s="69">
        <v>-2104092</v>
      </c>
      <c r="I161" s="69">
        <f>G161+H161</f>
        <v>-2104092</v>
      </c>
      <c r="J161" s="174"/>
      <c r="K161" s="114"/>
      <c r="L161" s="114"/>
    </row>
    <row r="162" spans="1:12" s="10" customFormat="1" ht="225" customHeight="1">
      <c r="A162" s="1"/>
      <c r="B162" s="42" t="s">
        <v>425</v>
      </c>
      <c r="C162" s="42" t="s">
        <v>194</v>
      </c>
      <c r="D162" s="42" t="s">
        <v>24</v>
      </c>
      <c r="E162" s="43" t="s">
        <v>23</v>
      </c>
      <c r="F162" s="41" t="s">
        <v>25</v>
      </c>
      <c r="G162" s="21"/>
      <c r="H162" s="22">
        <v>4751003.18</v>
      </c>
      <c r="I162" s="21">
        <f>G162+H162</f>
        <v>4751003.18</v>
      </c>
      <c r="J162" s="174"/>
      <c r="K162" s="110"/>
      <c r="L162" s="110"/>
    </row>
    <row r="163" spans="2:10" ht="118.5" customHeight="1">
      <c r="B163" s="88"/>
      <c r="C163" s="88"/>
      <c r="D163" s="88"/>
      <c r="E163" s="89" t="s">
        <v>98</v>
      </c>
      <c r="F163" s="91"/>
      <c r="G163" s="20">
        <f>G164+G166+G165</f>
        <v>2184956.67</v>
      </c>
      <c r="H163" s="20">
        <f>H164+H166+H165</f>
        <v>64343.33</v>
      </c>
      <c r="I163" s="20">
        <f>I164+I166+I165</f>
        <v>2249300</v>
      </c>
      <c r="J163" s="174"/>
    </row>
    <row r="164" spans="2:10" ht="287.25" customHeight="1">
      <c r="B164" s="42" t="s">
        <v>185</v>
      </c>
      <c r="C164" s="42" t="s">
        <v>184</v>
      </c>
      <c r="D164" s="42" t="s">
        <v>48</v>
      </c>
      <c r="E164" s="43" t="s">
        <v>167</v>
      </c>
      <c r="F164" s="44" t="s">
        <v>101</v>
      </c>
      <c r="G164" s="21">
        <f>28000+296656.67+3300</f>
        <v>327956.67</v>
      </c>
      <c r="H164" s="21">
        <f>50000+14343.33</f>
        <v>64343.33</v>
      </c>
      <c r="I164" s="21">
        <f>G164+H164</f>
        <v>392300</v>
      </c>
      <c r="J164" s="174"/>
    </row>
    <row r="165" spans="2:10" ht="185.25" customHeight="1">
      <c r="B165" s="42" t="s">
        <v>317</v>
      </c>
      <c r="C165" s="42" t="s">
        <v>289</v>
      </c>
      <c r="D165" s="42" t="s">
        <v>7</v>
      </c>
      <c r="E165" s="43" t="s">
        <v>141</v>
      </c>
      <c r="F165" s="41" t="s">
        <v>318</v>
      </c>
      <c r="G165" s="21">
        <f>227000+1000000</f>
        <v>1227000</v>
      </c>
      <c r="H165" s="21"/>
      <c r="I165" s="21">
        <f>G165+H165</f>
        <v>1227000</v>
      </c>
      <c r="J165" s="174"/>
    </row>
    <row r="166" spans="2:10" ht="59.25" customHeight="1">
      <c r="B166" s="42" t="s">
        <v>187</v>
      </c>
      <c r="C166" s="42" t="s">
        <v>186</v>
      </c>
      <c r="D166" s="42" t="s">
        <v>24</v>
      </c>
      <c r="E166" s="43" t="s">
        <v>12</v>
      </c>
      <c r="F166" s="44"/>
      <c r="G166" s="21">
        <f>G167</f>
        <v>630000</v>
      </c>
      <c r="H166" s="21">
        <f>H167</f>
        <v>0</v>
      </c>
      <c r="I166" s="21">
        <f>I167</f>
        <v>630000</v>
      </c>
      <c r="J166" s="174"/>
    </row>
    <row r="167" spans="1:12" s="71" customFormat="1" ht="305.25" customHeight="1">
      <c r="A167" s="66"/>
      <c r="B167" s="67" t="s">
        <v>187</v>
      </c>
      <c r="C167" s="67" t="s">
        <v>186</v>
      </c>
      <c r="D167" s="67" t="s">
        <v>24</v>
      </c>
      <c r="E167" s="68" t="s">
        <v>362</v>
      </c>
      <c r="F167" s="72" t="s">
        <v>101</v>
      </c>
      <c r="G167" s="69">
        <f>430000+200000</f>
        <v>630000</v>
      </c>
      <c r="H167" s="69"/>
      <c r="I167" s="70">
        <f>G167+H167</f>
        <v>630000</v>
      </c>
      <c r="J167" s="174"/>
      <c r="K167" s="114"/>
      <c r="L167" s="114"/>
    </row>
    <row r="168" spans="1:12" s="8" customFormat="1" ht="153.75" customHeight="1">
      <c r="A168" s="7"/>
      <c r="B168" s="88"/>
      <c r="C168" s="88"/>
      <c r="D168" s="88"/>
      <c r="E168" s="89" t="s">
        <v>52</v>
      </c>
      <c r="F168" s="91"/>
      <c r="G168" s="20">
        <f>G169+G170+G171+G172+G173+G174+G176+G179+G180+G181+G184+G188+G189+G178</f>
        <v>82608000</v>
      </c>
      <c r="H168" s="20">
        <f>H169+H170+H171+H172+H173+H174+H176+H179+H180+H181+H184+H188+H189+H178</f>
        <v>279292635.24000007</v>
      </c>
      <c r="I168" s="20">
        <f>I169+I170+I171+I172+I173+I174+I176+I179+I180+I181+I184+I188+I189+I178</f>
        <v>361900635.24000007</v>
      </c>
      <c r="J168" s="174"/>
      <c r="K168" s="116"/>
      <c r="L168" s="116"/>
    </row>
    <row r="169" spans="2:10" ht="141" customHeight="1">
      <c r="B169" s="45" t="s">
        <v>131</v>
      </c>
      <c r="C169" s="45" t="s">
        <v>55</v>
      </c>
      <c r="D169" s="46" t="s">
        <v>2</v>
      </c>
      <c r="E169" s="43" t="s">
        <v>406</v>
      </c>
      <c r="F169" s="41" t="s">
        <v>100</v>
      </c>
      <c r="G169" s="21"/>
      <c r="H169" s="21">
        <v>10000</v>
      </c>
      <c r="I169" s="21">
        <f>G169+H169</f>
        <v>10000</v>
      </c>
      <c r="J169" s="174"/>
    </row>
    <row r="170" spans="2:10" ht="252.75" customHeight="1">
      <c r="B170" s="45" t="s">
        <v>196</v>
      </c>
      <c r="C170" s="45" t="s">
        <v>107</v>
      </c>
      <c r="D170" s="42" t="s">
        <v>34</v>
      </c>
      <c r="E170" s="43" t="s">
        <v>148</v>
      </c>
      <c r="F170" s="47" t="s">
        <v>81</v>
      </c>
      <c r="G170" s="21"/>
      <c r="H170" s="21">
        <v>5000000</v>
      </c>
      <c r="I170" s="21">
        <f aca="true" t="shared" si="7" ref="I170:I189">G170+H170</f>
        <v>5000000</v>
      </c>
      <c r="J170" s="174"/>
    </row>
    <row r="171" spans="2:10" ht="180" customHeight="1">
      <c r="B171" s="42" t="s">
        <v>197</v>
      </c>
      <c r="C171" s="42" t="s">
        <v>192</v>
      </c>
      <c r="D171" s="42" t="s">
        <v>14</v>
      </c>
      <c r="E171" s="43" t="s">
        <v>13</v>
      </c>
      <c r="F171" s="47" t="s">
        <v>25</v>
      </c>
      <c r="G171" s="21">
        <f>37238000+32930000-1000000-60000</f>
        <v>69108000</v>
      </c>
      <c r="H171" s="21">
        <f>62165698+19609036.18+21390963.82-2000000-5000000</f>
        <v>96165698</v>
      </c>
      <c r="I171" s="21">
        <f t="shared" si="7"/>
        <v>165273698</v>
      </c>
      <c r="J171" s="174"/>
    </row>
    <row r="172" spans="2:10" ht="123" customHeight="1">
      <c r="B172" s="137" t="s">
        <v>199</v>
      </c>
      <c r="C172" s="137" t="s">
        <v>198</v>
      </c>
      <c r="D172" s="137" t="s">
        <v>6</v>
      </c>
      <c r="E172" s="136" t="s">
        <v>166</v>
      </c>
      <c r="F172" s="47" t="s">
        <v>320</v>
      </c>
      <c r="G172" s="21"/>
      <c r="H172" s="21">
        <f>81158102-10000000-300000+2000000+1000000+300000+100000+2000000+100000+96600+100000+28485193+13012+3023836+21000+500000+66463+50000+2000000-1000000+100000-75000+152116+100000</f>
        <v>109991322</v>
      </c>
      <c r="I172" s="21">
        <f t="shared" si="7"/>
        <v>109991322</v>
      </c>
      <c r="J172" s="174"/>
    </row>
    <row r="173" spans="1:12" s="85" customFormat="1" ht="162.75" customHeight="1">
      <c r="A173" s="84"/>
      <c r="B173" s="137"/>
      <c r="C173" s="137"/>
      <c r="D173" s="137"/>
      <c r="E173" s="136"/>
      <c r="F173" s="47" t="s">
        <v>67</v>
      </c>
      <c r="G173" s="21"/>
      <c r="H173" s="21">
        <f>8300000</f>
        <v>8300000</v>
      </c>
      <c r="I173" s="21">
        <f t="shared" si="7"/>
        <v>8300000</v>
      </c>
      <c r="J173" s="174"/>
      <c r="K173" s="120"/>
      <c r="L173" s="120"/>
    </row>
    <row r="174" spans="2:10" ht="63.75" customHeight="1">
      <c r="B174" s="42" t="s">
        <v>202</v>
      </c>
      <c r="C174" s="42" t="s">
        <v>201</v>
      </c>
      <c r="D174" s="42"/>
      <c r="E174" s="43" t="s">
        <v>200</v>
      </c>
      <c r="F174" s="47"/>
      <c r="G174" s="21">
        <f>G175</f>
        <v>0</v>
      </c>
      <c r="H174" s="21">
        <f>H175</f>
        <v>21000000</v>
      </c>
      <c r="I174" s="21">
        <f>I175</f>
        <v>21000000</v>
      </c>
      <c r="J174" s="174"/>
    </row>
    <row r="175" spans="1:12" s="71" customFormat="1" ht="131.25" customHeight="1">
      <c r="A175" s="66"/>
      <c r="B175" s="67" t="s">
        <v>204</v>
      </c>
      <c r="C175" s="67" t="s">
        <v>203</v>
      </c>
      <c r="D175" s="67" t="s">
        <v>5</v>
      </c>
      <c r="E175" s="65" t="s">
        <v>99</v>
      </c>
      <c r="F175" s="68" t="s">
        <v>320</v>
      </c>
      <c r="G175" s="69"/>
      <c r="H175" s="69">
        <f>10000000+11000000</f>
        <v>21000000</v>
      </c>
      <c r="I175" s="69">
        <f t="shared" si="7"/>
        <v>21000000</v>
      </c>
      <c r="J175" s="174"/>
      <c r="K175" s="114"/>
      <c r="L175" s="114"/>
    </row>
    <row r="176" spans="1:12" s="10" customFormat="1" ht="101.25" customHeight="1">
      <c r="A176" s="1"/>
      <c r="B176" s="42" t="s">
        <v>207</v>
      </c>
      <c r="C176" s="42" t="s">
        <v>206</v>
      </c>
      <c r="D176" s="42"/>
      <c r="E176" s="43" t="s">
        <v>205</v>
      </c>
      <c r="F176" s="62"/>
      <c r="G176" s="21">
        <f>G177</f>
        <v>0</v>
      </c>
      <c r="H176" s="21">
        <f>H177</f>
        <v>608100</v>
      </c>
      <c r="I176" s="21">
        <f>I177</f>
        <v>608100</v>
      </c>
      <c r="J176" s="174"/>
      <c r="K176" s="110"/>
      <c r="L176" s="110"/>
    </row>
    <row r="177" spans="1:12" s="71" customFormat="1" ht="171.75" customHeight="1">
      <c r="A177" s="66"/>
      <c r="B177" s="67" t="s">
        <v>209</v>
      </c>
      <c r="C177" s="67" t="s">
        <v>208</v>
      </c>
      <c r="D177" s="67" t="s">
        <v>15</v>
      </c>
      <c r="E177" s="65" t="s">
        <v>169</v>
      </c>
      <c r="F177" s="77" t="s">
        <v>320</v>
      </c>
      <c r="G177" s="69"/>
      <c r="H177" s="69">
        <f>108100+100000+500000-100000</f>
        <v>608100</v>
      </c>
      <c r="I177" s="69">
        <f t="shared" si="7"/>
        <v>608100</v>
      </c>
      <c r="J177" s="174"/>
      <c r="K177" s="114"/>
      <c r="L177" s="114"/>
    </row>
    <row r="178" spans="1:12" s="10" customFormat="1" ht="180.75" customHeight="1">
      <c r="A178" s="1"/>
      <c r="B178" s="42" t="s">
        <v>421</v>
      </c>
      <c r="C178" s="42" t="s">
        <v>422</v>
      </c>
      <c r="D178" s="42" t="s">
        <v>424</v>
      </c>
      <c r="E178" s="43" t="s">
        <v>423</v>
      </c>
      <c r="F178" s="47" t="s">
        <v>89</v>
      </c>
      <c r="G178" s="21"/>
      <c r="H178" s="21">
        <v>69811.6</v>
      </c>
      <c r="I178" s="69">
        <f t="shared" si="7"/>
        <v>69811.6</v>
      </c>
      <c r="J178" s="174"/>
      <c r="K178" s="110"/>
      <c r="L178" s="110"/>
    </row>
    <row r="179" spans="2:10" ht="169.5" customHeight="1">
      <c r="B179" s="42" t="s">
        <v>334</v>
      </c>
      <c r="C179" s="42" t="s">
        <v>239</v>
      </c>
      <c r="D179" s="42" t="s">
        <v>49</v>
      </c>
      <c r="E179" s="43" t="s">
        <v>168</v>
      </c>
      <c r="F179" s="41" t="s">
        <v>374</v>
      </c>
      <c r="G179" s="21"/>
      <c r="H179" s="21">
        <v>16524000</v>
      </c>
      <c r="I179" s="21">
        <f t="shared" si="7"/>
        <v>16524000</v>
      </c>
      <c r="J179" s="174"/>
    </row>
    <row r="180" spans="2:10" ht="198.75" customHeight="1">
      <c r="B180" s="42" t="s">
        <v>210</v>
      </c>
      <c r="C180" s="42" t="s">
        <v>193</v>
      </c>
      <c r="D180" s="42" t="s">
        <v>6</v>
      </c>
      <c r="E180" s="43" t="s">
        <v>142</v>
      </c>
      <c r="F180" s="47" t="s">
        <v>89</v>
      </c>
      <c r="G180" s="21"/>
      <c r="H180" s="21">
        <f>13700000+2000000+9850000+1473000+1827000</f>
        <v>28850000</v>
      </c>
      <c r="I180" s="21">
        <f>G180+H180</f>
        <v>28850000</v>
      </c>
      <c r="J180" s="174"/>
    </row>
    <row r="181" spans="1:12" s="10" customFormat="1" ht="99.75" customHeight="1">
      <c r="A181" s="1"/>
      <c r="B181" s="42" t="s">
        <v>337</v>
      </c>
      <c r="C181" s="42" t="s">
        <v>336</v>
      </c>
      <c r="D181" s="42"/>
      <c r="E181" s="43" t="s">
        <v>335</v>
      </c>
      <c r="F181" s="47"/>
      <c r="G181" s="22">
        <f>G182+G183</f>
        <v>12000000</v>
      </c>
      <c r="H181" s="22">
        <f>H182+H183</f>
        <v>-12000000</v>
      </c>
      <c r="I181" s="22">
        <f>I182+I183</f>
        <v>0</v>
      </c>
      <c r="J181" s="174"/>
      <c r="K181" s="110"/>
      <c r="L181" s="110"/>
    </row>
    <row r="182" spans="1:12" s="71" customFormat="1" ht="198.75" customHeight="1">
      <c r="A182" s="66"/>
      <c r="B182" s="67" t="s">
        <v>322</v>
      </c>
      <c r="C182" s="67" t="s">
        <v>323</v>
      </c>
      <c r="D182" s="67" t="s">
        <v>6</v>
      </c>
      <c r="E182" s="65" t="s">
        <v>321</v>
      </c>
      <c r="F182" s="77" t="s">
        <v>89</v>
      </c>
      <c r="G182" s="75">
        <v>12000000</v>
      </c>
      <c r="H182" s="75"/>
      <c r="I182" s="81">
        <f t="shared" si="7"/>
        <v>12000000</v>
      </c>
      <c r="J182" s="174"/>
      <c r="K182" s="114"/>
      <c r="L182" s="114"/>
    </row>
    <row r="183" spans="1:12" s="71" customFormat="1" ht="225.75" customHeight="1">
      <c r="A183" s="66"/>
      <c r="B183" s="67" t="s">
        <v>343</v>
      </c>
      <c r="C183" s="67" t="s">
        <v>342</v>
      </c>
      <c r="D183" s="67" t="s">
        <v>6</v>
      </c>
      <c r="E183" s="86" t="s">
        <v>341</v>
      </c>
      <c r="F183" s="68" t="s">
        <v>25</v>
      </c>
      <c r="G183" s="75"/>
      <c r="H183" s="75">
        <v>-12000000</v>
      </c>
      <c r="I183" s="81">
        <f>G183+H183</f>
        <v>-12000000</v>
      </c>
      <c r="J183" s="174"/>
      <c r="K183" s="114"/>
      <c r="L183" s="114"/>
    </row>
    <row r="184" spans="1:12" s="10" customFormat="1" ht="141.75" customHeight="1">
      <c r="A184" s="1"/>
      <c r="B184" s="42" t="s">
        <v>219</v>
      </c>
      <c r="C184" s="42" t="s">
        <v>218</v>
      </c>
      <c r="D184" s="42"/>
      <c r="E184" s="43" t="s">
        <v>217</v>
      </c>
      <c r="F184" s="41"/>
      <c r="G184" s="22">
        <f>G185+G186+G187</f>
        <v>1500000</v>
      </c>
      <c r="H184" s="22">
        <f>H185+H186+H187</f>
        <v>360425.73000000004</v>
      </c>
      <c r="I184" s="22">
        <f>I185+I186+I187</f>
        <v>1860425.73</v>
      </c>
      <c r="J184" s="175"/>
      <c r="K184" s="110"/>
      <c r="L184" s="110"/>
    </row>
    <row r="185" spans="1:12" s="71" customFormat="1" ht="155.25" customHeight="1">
      <c r="A185" s="66"/>
      <c r="B185" s="67" t="s">
        <v>324</v>
      </c>
      <c r="C185" s="67" t="s">
        <v>325</v>
      </c>
      <c r="D185" s="67" t="s">
        <v>5</v>
      </c>
      <c r="E185" s="68" t="s">
        <v>326</v>
      </c>
      <c r="F185" s="77" t="s">
        <v>53</v>
      </c>
      <c r="G185" s="75">
        <v>1415100</v>
      </c>
      <c r="H185" s="75">
        <f>541462+338672.27</f>
        <v>880134.27</v>
      </c>
      <c r="I185" s="81">
        <f>SUM(G185:H185)</f>
        <v>2295234.27</v>
      </c>
      <c r="J185" s="175"/>
      <c r="K185" s="114"/>
      <c r="L185" s="114"/>
    </row>
    <row r="186" spans="1:12" s="71" customFormat="1" ht="155.25" customHeight="1">
      <c r="A186" s="66"/>
      <c r="B186" s="67" t="s">
        <v>345</v>
      </c>
      <c r="C186" s="67" t="s">
        <v>346</v>
      </c>
      <c r="D186" s="67" t="s">
        <v>5</v>
      </c>
      <c r="E186" s="68" t="s">
        <v>344</v>
      </c>
      <c r="F186" s="77" t="s">
        <v>53</v>
      </c>
      <c r="G186" s="22"/>
      <c r="H186" s="75">
        <f>-572519</f>
        <v>-572519</v>
      </c>
      <c r="I186" s="81">
        <f>G186+H186</f>
        <v>-572519</v>
      </c>
      <c r="J186" s="175"/>
      <c r="K186" s="114"/>
      <c r="L186" s="114"/>
    </row>
    <row r="187" spans="1:12" s="10" customFormat="1" ht="177.75" customHeight="1">
      <c r="A187" s="1"/>
      <c r="B187" s="67" t="s">
        <v>338</v>
      </c>
      <c r="C187" s="67" t="s">
        <v>339</v>
      </c>
      <c r="D187" s="67" t="s">
        <v>5</v>
      </c>
      <c r="E187" s="65" t="s">
        <v>54</v>
      </c>
      <c r="F187" s="77" t="s">
        <v>53</v>
      </c>
      <c r="G187" s="75">
        <v>84900</v>
      </c>
      <c r="H187" s="75">
        <v>52810.46</v>
      </c>
      <c r="I187" s="81">
        <f>G187+H187</f>
        <v>137710.46</v>
      </c>
      <c r="J187" s="175"/>
      <c r="K187" s="110"/>
      <c r="L187" s="110"/>
    </row>
    <row r="188" spans="2:10" ht="207" customHeight="1">
      <c r="B188" s="45" t="s">
        <v>214</v>
      </c>
      <c r="C188" s="45" t="s">
        <v>211</v>
      </c>
      <c r="D188" s="42" t="s">
        <v>51</v>
      </c>
      <c r="E188" s="43" t="s">
        <v>50</v>
      </c>
      <c r="F188" s="47" t="s">
        <v>67</v>
      </c>
      <c r="G188" s="21"/>
      <c r="H188" s="21">
        <v>1230670</v>
      </c>
      <c r="I188" s="21">
        <f t="shared" si="7"/>
        <v>1230670</v>
      </c>
      <c r="J188" s="175"/>
    </row>
    <row r="189" spans="2:10" ht="192" customHeight="1">
      <c r="B189" s="42" t="s">
        <v>215</v>
      </c>
      <c r="C189" s="42" t="s">
        <v>212</v>
      </c>
      <c r="D189" s="42" t="s">
        <v>91</v>
      </c>
      <c r="E189" s="43" t="s">
        <v>90</v>
      </c>
      <c r="F189" s="44" t="s">
        <v>67</v>
      </c>
      <c r="G189" s="21"/>
      <c r="H189" s="21">
        <f>715000+2188520+279087.91</f>
        <v>3182607.91</v>
      </c>
      <c r="I189" s="21">
        <f t="shared" si="7"/>
        <v>3182607.91</v>
      </c>
      <c r="J189" s="175"/>
    </row>
    <row r="190" spans="2:10" ht="108" customHeight="1">
      <c r="B190" s="42"/>
      <c r="C190" s="42"/>
      <c r="D190" s="42"/>
      <c r="E190" s="89" t="s">
        <v>95</v>
      </c>
      <c r="F190" s="47"/>
      <c r="G190" s="20">
        <f>G191+G193+G195+G192+G197+G196</f>
        <v>289000</v>
      </c>
      <c r="H190" s="20">
        <f>H191+H193+H195+H192+H197+H196</f>
        <v>1538003</v>
      </c>
      <c r="I190" s="20">
        <f>I191+I193+I195+I192+I197+I196</f>
        <v>1827003</v>
      </c>
      <c r="J190" s="175"/>
    </row>
    <row r="191" spans="2:10" ht="126" customHeight="1">
      <c r="B191" s="42" t="s">
        <v>132</v>
      </c>
      <c r="C191" s="42" t="s">
        <v>55</v>
      </c>
      <c r="D191" s="42" t="s">
        <v>2</v>
      </c>
      <c r="E191" s="43" t="s">
        <v>406</v>
      </c>
      <c r="F191" s="41" t="s">
        <v>100</v>
      </c>
      <c r="G191" s="21">
        <v>49000</v>
      </c>
      <c r="H191" s="20"/>
      <c r="I191" s="21">
        <f>G191+H191</f>
        <v>49000</v>
      </c>
      <c r="J191" s="175"/>
    </row>
    <row r="192" spans="2:10" ht="93" customHeight="1">
      <c r="B192" s="42" t="s">
        <v>410</v>
      </c>
      <c r="C192" s="42" t="s">
        <v>193</v>
      </c>
      <c r="D192" s="42" t="s">
        <v>6</v>
      </c>
      <c r="E192" s="43" t="s">
        <v>142</v>
      </c>
      <c r="F192" s="41" t="s">
        <v>320</v>
      </c>
      <c r="G192" s="21"/>
      <c r="H192" s="21">
        <v>17173</v>
      </c>
      <c r="I192" s="21">
        <f>G192+H192</f>
        <v>17173</v>
      </c>
      <c r="J192" s="175"/>
    </row>
    <row r="193" spans="2:10" ht="60" customHeight="1">
      <c r="B193" s="45" t="s">
        <v>216</v>
      </c>
      <c r="C193" s="45" t="s">
        <v>186</v>
      </c>
      <c r="D193" s="42" t="s">
        <v>24</v>
      </c>
      <c r="E193" s="43" t="s">
        <v>12</v>
      </c>
      <c r="F193" s="44"/>
      <c r="G193" s="21">
        <f>G194</f>
        <v>240000</v>
      </c>
      <c r="H193" s="21">
        <f>H194</f>
        <v>0</v>
      </c>
      <c r="I193" s="21">
        <f>I194</f>
        <v>240000</v>
      </c>
      <c r="J193" s="175"/>
    </row>
    <row r="194" spans="1:12" s="71" customFormat="1" ht="195" customHeight="1">
      <c r="A194" s="66"/>
      <c r="B194" s="76" t="s">
        <v>216</v>
      </c>
      <c r="C194" s="76" t="s">
        <v>186</v>
      </c>
      <c r="D194" s="67" t="s">
        <v>24</v>
      </c>
      <c r="E194" s="68" t="s">
        <v>361</v>
      </c>
      <c r="F194" s="68" t="s">
        <v>25</v>
      </c>
      <c r="G194" s="69">
        <v>240000</v>
      </c>
      <c r="H194" s="69"/>
      <c r="I194" s="70">
        <f>G194+H194</f>
        <v>240000</v>
      </c>
      <c r="J194" s="175"/>
      <c r="K194" s="114"/>
      <c r="L194" s="114"/>
    </row>
    <row r="195" spans="1:12" s="71" customFormat="1" ht="159" customHeight="1">
      <c r="A195" s="66"/>
      <c r="B195" s="141" t="s">
        <v>195</v>
      </c>
      <c r="C195" s="141" t="s">
        <v>194</v>
      </c>
      <c r="D195" s="141" t="s">
        <v>24</v>
      </c>
      <c r="E195" s="154" t="s">
        <v>23</v>
      </c>
      <c r="F195" s="41" t="s">
        <v>25</v>
      </c>
      <c r="G195" s="21"/>
      <c r="H195" s="21">
        <v>342830</v>
      </c>
      <c r="I195" s="21">
        <f>G195+H195</f>
        <v>342830</v>
      </c>
      <c r="J195" s="175"/>
      <c r="K195" s="114"/>
      <c r="L195" s="114"/>
    </row>
    <row r="196" spans="1:12" s="71" customFormat="1" ht="159" customHeight="1">
      <c r="A196" s="66"/>
      <c r="B196" s="179"/>
      <c r="C196" s="179"/>
      <c r="D196" s="179"/>
      <c r="E196" s="178"/>
      <c r="F196" s="41" t="s">
        <v>439</v>
      </c>
      <c r="G196" s="21"/>
      <c r="H196" s="21">
        <v>1160000</v>
      </c>
      <c r="I196" s="21">
        <f>G196+H196</f>
        <v>1160000</v>
      </c>
      <c r="J196" s="175"/>
      <c r="K196" s="114"/>
      <c r="L196" s="114"/>
    </row>
    <row r="197" spans="1:12" s="71" customFormat="1" ht="150" customHeight="1">
      <c r="A197" s="66"/>
      <c r="B197" s="142"/>
      <c r="C197" s="142"/>
      <c r="D197" s="142"/>
      <c r="E197" s="155"/>
      <c r="F197" s="41" t="s">
        <v>412</v>
      </c>
      <c r="G197" s="21"/>
      <c r="H197" s="21">
        <v>18000</v>
      </c>
      <c r="I197" s="21">
        <f>G197+H197</f>
        <v>18000</v>
      </c>
      <c r="J197" s="175"/>
      <c r="K197" s="114"/>
      <c r="L197" s="114"/>
    </row>
    <row r="198" spans="2:10" ht="97.5" customHeight="1">
      <c r="B198" s="88"/>
      <c r="C198" s="88"/>
      <c r="D198" s="88"/>
      <c r="E198" s="89" t="s">
        <v>57</v>
      </c>
      <c r="F198" s="91"/>
      <c r="G198" s="20">
        <f aca="true" t="shared" si="8" ref="G198:I199">G199</f>
        <v>416500</v>
      </c>
      <c r="H198" s="20">
        <f t="shared" si="8"/>
        <v>0</v>
      </c>
      <c r="I198" s="20">
        <f t="shared" si="8"/>
        <v>416500</v>
      </c>
      <c r="J198" s="176"/>
    </row>
    <row r="199" spans="2:10" ht="80.25" customHeight="1">
      <c r="B199" s="42" t="s">
        <v>413</v>
      </c>
      <c r="C199" s="42" t="s">
        <v>186</v>
      </c>
      <c r="D199" s="42" t="s">
        <v>24</v>
      </c>
      <c r="E199" s="43" t="s">
        <v>12</v>
      </c>
      <c r="F199" s="47"/>
      <c r="G199" s="21">
        <f t="shared" si="8"/>
        <v>416500</v>
      </c>
      <c r="H199" s="21">
        <f t="shared" si="8"/>
        <v>0</v>
      </c>
      <c r="I199" s="21">
        <f t="shared" si="8"/>
        <v>416500</v>
      </c>
      <c r="J199" s="176"/>
    </row>
    <row r="200" spans="1:12" s="74" customFormat="1" ht="145.5" customHeight="1">
      <c r="A200" s="73"/>
      <c r="B200" s="67" t="s">
        <v>413</v>
      </c>
      <c r="C200" s="67" t="s">
        <v>186</v>
      </c>
      <c r="D200" s="67" t="s">
        <v>24</v>
      </c>
      <c r="E200" s="68" t="s">
        <v>363</v>
      </c>
      <c r="F200" s="41" t="s">
        <v>328</v>
      </c>
      <c r="G200" s="69">
        <v>416500</v>
      </c>
      <c r="H200" s="69"/>
      <c r="I200" s="70">
        <f>G200+H200</f>
        <v>416500</v>
      </c>
      <c r="J200" s="176"/>
      <c r="K200" s="121"/>
      <c r="L200" s="121"/>
    </row>
    <row r="201" spans="1:12" s="8" customFormat="1" ht="111.75" customHeight="1">
      <c r="A201" s="7"/>
      <c r="B201" s="42"/>
      <c r="C201" s="42"/>
      <c r="D201" s="42"/>
      <c r="E201" s="89" t="s">
        <v>93</v>
      </c>
      <c r="F201" s="47"/>
      <c r="G201" s="20">
        <f>G202</f>
        <v>0</v>
      </c>
      <c r="H201" s="20">
        <f>H202</f>
        <v>19000</v>
      </c>
      <c r="I201" s="20">
        <f>I202</f>
        <v>19000</v>
      </c>
      <c r="J201" s="176"/>
      <c r="K201" s="116"/>
      <c r="L201" s="116"/>
    </row>
    <row r="202" spans="2:10" ht="174.75" customHeight="1">
      <c r="B202" s="42" t="s">
        <v>191</v>
      </c>
      <c r="C202" s="42" t="s">
        <v>190</v>
      </c>
      <c r="D202" s="42" t="s">
        <v>22</v>
      </c>
      <c r="E202" s="43" t="s">
        <v>88</v>
      </c>
      <c r="F202" s="44" t="s">
        <v>67</v>
      </c>
      <c r="G202" s="21"/>
      <c r="H202" s="21">
        <v>19000</v>
      </c>
      <c r="I202" s="21">
        <f>G202+H202</f>
        <v>19000</v>
      </c>
      <c r="J202" s="176"/>
    </row>
    <row r="203" spans="2:10" ht="168.75" customHeight="1">
      <c r="B203" s="88"/>
      <c r="C203" s="88"/>
      <c r="D203" s="88"/>
      <c r="E203" s="89" t="s">
        <v>96</v>
      </c>
      <c r="F203" s="90"/>
      <c r="G203" s="20">
        <f aca="true" t="shared" si="9" ref="G203:I204">G204</f>
        <v>0</v>
      </c>
      <c r="H203" s="20">
        <f t="shared" si="9"/>
        <v>1500000</v>
      </c>
      <c r="I203" s="20">
        <f t="shared" si="9"/>
        <v>1500000</v>
      </c>
      <c r="J203" s="176"/>
    </row>
    <row r="204" spans="1:12" s="10" customFormat="1" ht="93.75" customHeight="1">
      <c r="A204" s="1"/>
      <c r="B204" s="42" t="s">
        <v>189</v>
      </c>
      <c r="C204" s="42" t="s">
        <v>188</v>
      </c>
      <c r="D204" s="42" t="s">
        <v>55</v>
      </c>
      <c r="E204" s="87" t="s">
        <v>56</v>
      </c>
      <c r="F204" s="47"/>
      <c r="G204" s="21">
        <f t="shared" si="9"/>
        <v>0</v>
      </c>
      <c r="H204" s="21">
        <f t="shared" si="9"/>
        <v>1500000</v>
      </c>
      <c r="I204" s="21">
        <f t="shared" si="9"/>
        <v>1500000</v>
      </c>
      <c r="J204" s="176"/>
      <c r="K204" s="110"/>
      <c r="L204" s="110"/>
    </row>
    <row r="205" spans="1:12" s="71" customFormat="1" ht="135" customHeight="1">
      <c r="A205" s="66"/>
      <c r="B205" s="67" t="s">
        <v>189</v>
      </c>
      <c r="C205" s="67" t="s">
        <v>188</v>
      </c>
      <c r="D205" s="67" t="s">
        <v>55</v>
      </c>
      <c r="E205" s="68" t="s">
        <v>373</v>
      </c>
      <c r="F205" s="72" t="s">
        <v>327</v>
      </c>
      <c r="G205" s="75"/>
      <c r="H205" s="75">
        <f>1000000+500000+450000-450000</f>
        <v>1500000</v>
      </c>
      <c r="I205" s="70">
        <f>G205+H205</f>
        <v>1500000</v>
      </c>
      <c r="J205" s="176"/>
      <c r="K205" s="114"/>
      <c r="L205" s="114"/>
    </row>
    <row r="206" spans="2:12" ht="96.75" customHeight="1">
      <c r="B206" s="32"/>
      <c r="C206" s="32"/>
      <c r="D206" s="31"/>
      <c r="E206" s="59" t="s">
        <v>3</v>
      </c>
      <c r="F206" s="60"/>
      <c r="G206" s="61">
        <f>G11+G66+G90+G97+G121+G124+G130+G163+G168+G190+G198+G201+G203</f>
        <v>281006533.15</v>
      </c>
      <c r="H206" s="61">
        <f>H11+H66+H90+H97+H121+H124+H130+H163+H168+H190+H198+H201+H203</f>
        <v>573575141.75</v>
      </c>
      <c r="I206" s="61">
        <f>I11+I66+I90+I97+I121+I124+I130+I163+I168+I190+I198+I201+I203</f>
        <v>854581674.9000001</v>
      </c>
      <c r="J206" s="176"/>
      <c r="K206" s="107"/>
      <c r="L206" s="107"/>
    </row>
    <row r="207" spans="2:10" ht="84.75" customHeight="1">
      <c r="B207" s="33"/>
      <c r="C207" s="33"/>
      <c r="D207" s="34"/>
      <c r="E207" s="35"/>
      <c r="F207" s="36"/>
      <c r="G207" s="37"/>
      <c r="H207" s="37"/>
      <c r="I207" s="37"/>
      <c r="J207" s="176"/>
    </row>
    <row r="208" spans="2:10" ht="92.25" customHeight="1">
      <c r="B208" s="33"/>
      <c r="C208" s="33"/>
      <c r="D208" s="34"/>
      <c r="E208" s="35"/>
      <c r="F208" s="36"/>
      <c r="G208" s="37"/>
      <c r="H208" s="37"/>
      <c r="I208" s="37"/>
      <c r="J208" s="176"/>
    </row>
    <row r="209" spans="2:10" ht="132.75" customHeight="1">
      <c r="B209" s="180" t="s">
        <v>429</v>
      </c>
      <c r="C209" s="180"/>
      <c r="D209" s="180"/>
      <c r="E209" s="180"/>
      <c r="F209" s="180"/>
      <c r="G209" s="181" t="s">
        <v>430</v>
      </c>
      <c r="H209" s="181"/>
      <c r="I209" s="181"/>
      <c r="J209" s="176"/>
    </row>
    <row r="210" spans="2:10" ht="34.5" customHeight="1" hidden="1">
      <c r="B210" s="50"/>
      <c r="C210" s="50"/>
      <c r="D210" s="51"/>
      <c r="E210" s="52"/>
      <c r="F210" s="53"/>
      <c r="G210" s="54"/>
      <c r="H210" s="54"/>
      <c r="I210" s="55"/>
      <c r="J210" s="176"/>
    </row>
    <row r="211" spans="1:20" s="13" customFormat="1" ht="68.25" customHeight="1">
      <c r="A211" s="12"/>
      <c r="B211" s="177" t="s">
        <v>431</v>
      </c>
      <c r="C211" s="177"/>
      <c r="D211" s="177"/>
      <c r="E211" s="177"/>
      <c r="F211" s="177"/>
      <c r="G211" s="55"/>
      <c r="H211" s="55"/>
      <c r="I211" s="55"/>
      <c r="J211" s="176"/>
      <c r="K211" s="102"/>
      <c r="L211" s="102"/>
      <c r="M211" s="2"/>
      <c r="N211" s="2"/>
      <c r="O211" s="2"/>
      <c r="P211" s="2"/>
      <c r="Q211" s="12"/>
      <c r="R211" s="2"/>
      <c r="T211" s="14"/>
    </row>
    <row r="212" spans="1:20" s="13" customFormat="1" ht="100.5" customHeight="1">
      <c r="A212" s="12"/>
      <c r="B212" s="129"/>
      <c r="C212" s="39"/>
      <c r="D212" s="39"/>
      <c r="E212" s="38"/>
      <c r="F212" s="39"/>
      <c r="G212" s="40"/>
      <c r="H212" s="40"/>
      <c r="I212" s="106"/>
      <c r="J212" s="176"/>
      <c r="K212" s="103"/>
      <c r="L212" s="103"/>
      <c r="M212" s="15"/>
      <c r="N212" s="15"/>
      <c r="O212" s="12"/>
      <c r="P212" s="12"/>
      <c r="Q212" s="12"/>
      <c r="R212" s="2"/>
      <c r="T212" s="14"/>
    </row>
    <row r="213" spans="1:18" s="19" customFormat="1" ht="78.75" customHeight="1">
      <c r="A213" s="16"/>
      <c r="B213" s="39"/>
      <c r="C213" s="39"/>
      <c r="D213" s="39"/>
      <c r="E213" s="38"/>
      <c r="F213" s="39"/>
      <c r="G213" s="123"/>
      <c r="H213" s="123"/>
      <c r="I213" s="123"/>
      <c r="J213" s="176"/>
      <c r="K213" s="103"/>
      <c r="L213" s="103"/>
      <c r="M213" s="17"/>
      <c r="N213" s="17"/>
      <c r="O213" s="17"/>
      <c r="P213" s="18"/>
      <c r="Q213" s="18"/>
      <c r="R213" s="11"/>
    </row>
    <row r="214" spans="2:10" ht="50.25">
      <c r="B214" s="124"/>
      <c r="G214" s="127"/>
      <c r="H214" s="127"/>
      <c r="I214" s="127"/>
      <c r="J214" s="126"/>
    </row>
    <row r="215" ht="44.25">
      <c r="J215" s="126"/>
    </row>
    <row r="216" spans="7:10" ht="131.25" customHeight="1">
      <c r="G216" s="123"/>
      <c r="H216" s="123"/>
      <c r="I216" s="123"/>
      <c r="J216" s="126"/>
    </row>
    <row r="217" spans="7:10" ht="131.25" customHeight="1">
      <c r="G217" s="123"/>
      <c r="H217" s="123"/>
      <c r="I217" s="123"/>
      <c r="J217" s="126"/>
    </row>
    <row r="218" ht="131.25" customHeight="1">
      <c r="J218" s="126"/>
    </row>
    <row r="219" ht="44.25">
      <c r="J219" s="126"/>
    </row>
  </sheetData>
  <sheetProtection/>
  <mergeCells count="92">
    <mergeCell ref="J198:J213"/>
    <mergeCell ref="B172:B173"/>
    <mergeCell ref="B211:F211"/>
    <mergeCell ref="C172:C173"/>
    <mergeCell ref="E195:E197"/>
    <mergeCell ref="B195:B197"/>
    <mergeCell ref="C195:C197"/>
    <mergeCell ref="B209:F209"/>
    <mergeCell ref="G209:I209"/>
    <mergeCell ref="D195:D197"/>
    <mergeCell ref="J130:J142"/>
    <mergeCell ref="J172:J183"/>
    <mergeCell ref="J184:J197"/>
    <mergeCell ref="J143:J153"/>
    <mergeCell ref="J154:J162"/>
    <mergeCell ref="J163:J171"/>
    <mergeCell ref="J56:J68"/>
    <mergeCell ref="J69:J78"/>
    <mergeCell ref="J79:J89"/>
    <mergeCell ref="J90:J98"/>
    <mergeCell ref="J99:J106"/>
    <mergeCell ref="J107:J118"/>
    <mergeCell ref="J119:J129"/>
    <mergeCell ref="B51:B52"/>
    <mergeCell ref="C51:C52"/>
    <mergeCell ref="D51:D52"/>
    <mergeCell ref="E51:E52"/>
    <mergeCell ref="I99:I100"/>
    <mergeCell ref="C99:C100"/>
    <mergeCell ref="C101:C102"/>
    <mergeCell ref="J1:J18"/>
    <mergeCell ref="J19:J32"/>
    <mergeCell ref="J33:J44"/>
    <mergeCell ref="J45:J55"/>
    <mergeCell ref="G1:I1"/>
    <mergeCell ref="G2:I2"/>
    <mergeCell ref="G5:I5"/>
    <mergeCell ref="B8:I8"/>
    <mergeCell ref="G3:I3"/>
    <mergeCell ref="G4:I4"/>
    <mergeCell ref="E12:E13"/>
    <mergeCell ref="D12:D13"/>
    <mergeCell ref="F14:F15"/>
    <mergeCell ref="H14:H15"/>
    <mergeCell ref="I14:I15"/>
    <mergeCell ref="I101:I102"/>
    <mergeCell ref="D101:D102"/>
    <mergeCell ref="F101:F102"/>
    <mergeCell ref="G101:G102"/>
    <mergeCell ref="H101:H102"/>
    <mergeCell ref="H99:H100"/>
    <mergeCell ref="G99:G100"/>
    <mergeCell ref="D99:D100"/>
    <mergeCell ref="F99:F100"/>
    <mergeCell ref="D83:D84"/>
    <mergeCell ref="C72:C77"/>
    <mergeCell ref="D132:D133"/>
    <mergeCell ref="D150:D151"/>
    <mergeCell ref="D140:D142"/>
    <mergeCell ref="B101:B102"/>
    <mergeCell ref="C14:C15"/>
    <mergeCell ref="D14:D15"/>
    <mergeCell ref="G14:G15"/>
    <mergeCell ref="E68:E71"/>
    <mergeCell ref="E46:E47"/>
    <mergeCell ref="E83:E84"/>
    <mergeCell ref="E72:E77"/>
    <mergeCell ref="D68:D71"/>
    <mergeCell ref="D72:D77"/>
    <mergeCell ref="B14:B15"/>
    <mergeCell ref="B72:B77"/>
    <mergeCell ref="B99:B100"/>
    <mergeCell ref="C83:C84"/>
    <mergeCell ref="E132:E133"/>
    <mergeCell ref="E140:E142"/>
    <mergeCell ref="B12:B13"/>
    <mergeCell ref="D46:D47"/>
    <mergeCell ref="B83:B84"/>
    <mergeCell ref="B68:B71"/>
    <mergeCell ref="C68:C71"/>
    <mergeCell ref="C12:C13"/>
    <mergeCell ref="B46:B47"/>
    <mergeCell ref="C46:C47"/>
    <mergeCell ref="B132:B133"/>
    <mergeCell ref="B140:B142"/>
    <mergeCell ref="C132:C133"/>
    <mergeCell ref="C140:C142"/>
    <mergeCell ref="E150:E151"/>
    <mergeCell ref="E172:E173"/>
    <mergeCell ref="D172:D173"/>
    <mergeCell ref="B150:B151"/>
    <mergeCell ref="C150:C151"/>
  </mergeCells>
  <printOptions horizontalCentered="1"/>
  <pageMargins left="0.29" right="0.1968503937007874" top="0.58" bottom="0.71" header="0.38" footer="0.4724409448818898"/>
  <pageSetup firstPageNumber="1" useFirstPageNumber="1" fitToHeight="19" horizontalDpi="600" verticalDpi="600" orientation="landscape" paperSize="9" scale="23" r:id="rId1"/>
  <headerFooter alignWithMargins="0">
    <oddFooter xml:space="preserve">&amp;R&amp;36Сторінка  &amp;P&amp;50 </oddFooter>
  </headerFooter>
  <rowBreaks count="2" manualBreakCount="2">
    <brk id="55" max="8" man="1"/>
    <brk id="67"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2017-03-30T08:53:26Z</cp:lastPrinted>
  <dcterms:created xsi:type="dcterms:W3CDTF">2014-01-17T10:52:16Z</dcterms:created>
  <dcterms:modified xsi:type="dcterms:W3CDTF">2017-04-13T05:10:57Z</dcterms:modified>
  <cp:category/>
  <cp:version/>
  <cp:contentType/>
  <cp:contentStatus/>
</cp:coreProperties>
</file>