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 7" sheetId="1" r:id="rId1"/>
  </sheets>
  <definedNames>
    <definedName name="_xlfn.AGGREGATE" hidden="1">#NAME?</definedName>
    <definedName name="_xlnm.Print_Titles" localSheetId="0">'дод. 7'!$10:$10</definedName>
    <definedName name="_xlnm.Print_Area" localSheetId="0">'дод. 7'!$A$1:$I$206</definedName>
  </definedNames>
  <calcPr fullCalcOnLoad="1"/>
</workbook>
</file>

<file path=xl/sharedStrings.xml><?xml version="1.0" encoding="utf-8"?>
<sst xmlns="http://schemas.openxmlformats.org/spreadsheetml/2006/main" count="760" uniqueCount="426">
  <si>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</si>
  <si>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</si>
  <si>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</si>
  <si>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</si>
  <si>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</si>
  <si>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</si>
  <si>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</si>
  <si>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</si>
  <si>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</si>
  <si>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</si>
  <si>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</si>
  <si>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</si>
  <si>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</si>
  <si>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</si>
  <si>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</si>
  <si>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</si>
  <si>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</si>
  <si>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</si>
  <si>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</si>
  <si>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</si>
  <si>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</si>
  <si>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</si>
  <si>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</si>
  <si>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</si>
  <si>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</si>
  <si>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</si>
  <si>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</si>
  <si>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</si>
  <si>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</si>
  <si>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</si>
  <si>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</si>
  <si>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</si>
  <si>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</si>
  <si>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</si>
  <si>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</si>
  <si>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</si>
  <si>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</si>
  <si>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</si>
  <si>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</si>
  <si>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</si>
  <si>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</si>
  <si>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</si>
  <si>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</si>
  <si>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</si>
  <si>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</si>
  <si>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</si>
  <si>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</si>
  <si>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</si>
  <si>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</si>
  <si>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</si>
  <si>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</si>
  <si>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</si>
  <si>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</si>
  <si>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</si>
  <si>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</si>
  <si>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</si>
  <si>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</si>
  <si>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</si>
  <si>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</si>
  <si>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</si>
  <si>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</si>
  <si>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</si>
  <si>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</si>
  <si>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</si>
  <si>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</si>
  <si>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</si>
  <si>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</si>
  <si>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</si>
  <si>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</si>
  <si>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</si>
  <si>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</si>
  <si>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</si>
  <si>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</si>
  <si>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</si>
  <si>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</si>
  <si>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</si>
  <si>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</si>
  <si>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</si>
  <si>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</si>
  <si>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</si>
  <si>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</si>
  <si>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</si>
  <si>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</si>
  <si>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</si>
  <si>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</si>
  <si>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</si>
  <si>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</si>
  <si>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</si>
  <si>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</si>
  <si>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</si>
  <si>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</si>
  <si>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</si>
  <si>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</si>
  <si>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</si>
  <si>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</si>
  <si>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</si>
  <si>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</si>
  <si>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</si>
  <si>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</si>
  <si>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</si>
  <si>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</si>
  <si>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</si>
  <si>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</si>
  <si>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</si>
  <si>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</si>
  <si>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</si>
  <si>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</si>
  <si>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</si>
  <si>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</si>
  <si>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</si>
  <si>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</si>
  <si>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</si>
  <si>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</si>
  <si>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</si>
  <si>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</si>
  <si>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</si>
  <si>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</si>
  <si>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</si>
  <si>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</si>
  <si>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</si>
  <si>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</si>
  <si>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</si>
  <si>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</si>
  <si>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</si>
  <si>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</si>
  <si>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</si>
  <si>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</si>
  <si>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</si>
  <si>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</si>
  <si>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</si>
  <si>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</si>
  <si>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</si>
  <si>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</si>
  <si>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</si>
  <si>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</si>
  <si>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</si>
  <si>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</si>
  <si>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</si>
  <si>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</si>
  <si>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</si>
  <si>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</si>
  <si>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</si>
  <si>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</si>
  <si>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</si>
  <si>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</si>
  <si>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</si>
  <si>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</si>
  <si>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</si>
  <si>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</si>
  <si>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</si>
  <si>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</si>
  <si>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</si>
  <si>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</si>
  <si>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</si>
  <si>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</si>
  <si>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</si>
  <si>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</si>
  <si>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</si>
  <si>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</si>
  <si>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</si>
  <si>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</si>
  <si>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</si>
  <si>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</si>
  <si>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</si>
  <si>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</si>
  <si>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</si>
  <si>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</si>
  <si>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</si>
  <si>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</si>
  <si>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</si>
  <si>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</si>
  <si>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</si>
  <si>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</si>
  <si>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</si>
  <si>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</si>
  <si>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</si>
  <si>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</si>
  <si>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</si>
  <si>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</si>
  <si>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</si>
  <si>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</si>
  <si>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</si>
  <si>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</si>
  <si>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</si>
  <si>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</si>
  <si>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</si>
  <si>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</si>
  <si>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</si>
  <si>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</si>
  <si>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</si>
  <si>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</si>
  <si>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</si>
  <si>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</si>
  <si>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5016060</t>
  </si>
  <si>
    <t>7470</t>
  </si>
  <si>
    <t>9180</t>
  </si>
  <si>
    <t>4819180</t>
  </si>
  <si>
    <t>4712010</t>
  </si>
  <si>
    <t>4716060</t>
  </si>
  <si>
    <t>6310</t>
  </si>
  <si>
    <t>4716310</t>
  </si>
  <si>
    <t>Надання допомоги у вирішенні житлових питань</t>
  </si>
  <si>
    <t>6320</t>
  </si>
  <si>
    <t>4716320</t>
  </si>
  <si>
    <t>6324</t>
  </si>
  <si>
    <t>4716324</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</si>
  <si>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</si>
  <si>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</si>
  <si>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</si>
  <si>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</si>
  <si>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</si>
  <si>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</si>
  <si>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</si>
  <si>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</si>
  <si>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</si>
  <si>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</si>
  <si>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</si>
  <si>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</si>
  <si>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</si>
  <si>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</si>
  <si>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</si>
  <si>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</si>
  <si>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</si>
  <si>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</si>
  <si>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</si>
  <si>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</si>
  <si>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</si>
  <si>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</si>
  <si>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</si>
  <si>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</si>
  <si>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</si>
  <si>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</si>
  <si>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</si>
  <si>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</si>
  <si>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</si>
  <si>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</si>
  <si>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</si>
  <si>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</si>
  <si>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</si>
  <si>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</si>
  <si>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</si>
  <si>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</si>
  <si>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</si>
  <si>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</si>
  <si>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</si>
  <si>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</si>
  <si>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</si>
  <si>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</si>
  <si>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</si>
  <si>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</si>
  <si>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</si>
  <si>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</si>
  <si>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</si>
  <si>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</si>
  <si>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</si>
  <si>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</si>
  <si>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</si>
  <si>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</si>
  <si>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</si>
  <si>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</si>
  <si>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</si>
  <si>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</si>
  <si>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</si>
  <si>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</si>
  <si>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</si>
  <si>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</si>
  <si>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</si>
  <si>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</si>
  <si>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</si>
  <si>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</si>
  <si>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</si>
  <si>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</si>
  <si>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</si>
  <si>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</si>
  <si>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0315020</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</si>
  <si>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</si>
  <si>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</si>
  <si>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</si>
  <si>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</si>
  <si>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</si>
  <si>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</si>
  <si>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</si>
  <si>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</si>
  <si>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</si>
  <si>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</si>
  <si>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</si>
  <si>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</si>
  <si>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</si>
  <si>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</si>
  <si>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</si>
  <si>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</si>
  <si>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</si>
  <si>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</si>
  <si>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</si>
  <si>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</si>
  <si>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</si>
  <si>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</si>
  <si>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</si>
  <si>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</si>
  <si>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</si>
  <si>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</si>
  <si>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</si>
  <si>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</si>
  <si>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</si>
  <si>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</si>
  <si>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</si>
  <si>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</si>
  <si>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</si>
  <si>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</si>
  <si>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</si>
  <si>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</si>
  <si>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</si>
  <si>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</si>
  <si>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</si>
  <si>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</si>
  <si>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</si>
  <si>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</si>
  <si>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</si>
  <si>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</si>
  <si>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</si>
  <si>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</si>
  <si>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</si>
  <si>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</si>
  <si>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</si>
  <si>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</si>
  <si>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</si>
  <si>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</si>
  <si>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</si>
  <si>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</si>
  <si>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</si>
  <si>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 xml:space="preserve">Програма підвищення енергоефективності в бюджетній сфері міств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</si>
  <si>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</si>
  <si>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</si>
  <si>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</si>
  <si>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</si>
  <si>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</si>
  <si>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</si>
  <si>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</si>
  <si>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</si>
  <si>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</si>
  <si>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</si>
  <si>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</si>
  <si>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</si>
  <si>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</si>
  <si>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</si>
  <si>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</si>
  <si>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</si>
  <si>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</si>
  <si>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</si>
  <si>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</si>
  <si>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</si>
  <si>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</si>
  <si>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</si>
  <si>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</si>
  <si>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</si>
  <si>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Утримання та заходи центру дозвілля молоді</t>
  </si>
  <si>
    <t xml:space="preserve">Утримання КУ «Агенція промоції «Суми» </t>
  </si>
  <si>
    <t>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</si>
  <si>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</si>
  <si>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</si>
  <si>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</si>
  <si>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</si>
  <si>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</si>
  <si>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</si>
  <si>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</si>
  <si>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</si>
  <si>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</si>
  <si>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</si>
  <si>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</si>
  <si>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</si>
  <si>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</si>
  <si>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</si>
  <si>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</si>
  <si>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</si>
  <si>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</si>
  <si>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</si>
  <si>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</si>
  <si>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</si>
  <si>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</si>
  <si>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</si>
  <si>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</si>
  <si>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</si>
  <si>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</si>
  <si>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</si>
  <si>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</si>
  <si>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Здійснення фізкультурно-спортивної та реабілітаційної роботи серед інвалідів</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</si>
  <si>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</si>
  <si>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</si>
  <si>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</si>
  <si>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</si>
  <si>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</si>
  <si>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</si>
  <si>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</si>
  <si>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</si>
  <si>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</si>
  <si>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</si>
  <si>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до  рішення Сумської  міської  ради</t>
  </si>
  <si>
    <t>О.М. Лисенко</t>
  </si>
  <si>
    <t>Виконавець: Липова С.А.</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</si>
  <si>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</si>
  <si>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</si>
  <si>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</si>
  <si>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</si>
  <si>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Сумський міський голова</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</si>
  <si>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</si>
  <si>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</si>
  <si>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</si>
  <si>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</si>
  <si>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</si>
  <si>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</si>
  <si>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</si>
  <si>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</si>
  <si>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</si>
  <si>
    <t>до   міського  бюджету  на  2017 рік»</t>
  </si>
  <si>
    <t>«Про   внесення   змін   та  доповнень</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</si>
  <si>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</si>
  <si>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</si>
  <si>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</si>
  <si>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</si>
  <si>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</si>
  <si>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</si>
  <si>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 xml:space="preserve">                Додаток № 7</t>
  </si>
  <si>
    <r>
      <t xml:space="preserve">від </t>
    </r>
    <r>
      <rPr>
        <sz val="50"/>
        <color indexed="9"/>
        <rFont val="Times New Roman"/>
        <family val="1"/>
      </rPr>
      <t xml:space="preserve">29 березня </t>
    </r>
    <r>
      <rPr>
        <sz val="50"/>
        <rFont val="Times New Roman"/>
        <family val="1"/>
      </rPr>
      <t xml:space="preserve">2017 року № </t>
    </r>
    <r>
      <rPr>
        <sz val="50"/>
        <color indexed="9"/>
        <rFont val="Times New Roman"/>
        <family val="1"/>
      </rPr>
      <t>1537</t>
    </r>
    <r>
      <rPr>
        <sz val="50"/>
        <rFont val="Times New Roman"/>
        <family val="1"/>
      </rPr>
      <t xml:space="preserve"> - МР</t>
    </r>
  </si>
  <si>
    <t xml:space="preserve">Виконання міської комплексної програми «Правопорядок» на період 2016-2018 роки </t>
  </si>
  <si>
    <t>5018600</t>
  </si>
  <si>
    <t>Про затвердження Програми розвитку міського парку ім. І.М. Кожедуба на 2017-2020 роки</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</si>
</sst>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b/>
      <sz val="18"/>
      <name val="Times New Roman"/>
      <family val="0"/>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sz val="35"/>
      <color indexed="10"/>
      <name val="Times New Roman"/>
      <family val="1"/>
    </font>
    <font>
      <i/>
      <sz val="35"/>
      <name val="Times New Roman"/>
      <family val="1"/>
    </font>
    <font>
      <i/>
      <sz val="10"/>
      <name val="Times New Roman"/>
      <family val="1"/>
    </font>
    <font>
      <i/>
      <sz val="35"/>
      <color indexed="8"/>
      <name val="Times New Roman"/>
      <family val="1"/>
    </font>
    <font>
      <b/>
      <i/>
      <sz val="35"/>
      <color indexed="8"/>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50"/>
      <color indexed="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4">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0" fontId="27" fillId="0" borderId="0" xfId="0" applyFont="1" applyFill="1" applyAlignment="1">
      <alignment/>
    </xf>
    <xf numFmtId="4" fontId="27" fillId="0" borderId="0" xfId="0" applyNumberFormat="1" applyFont="1" applyFill="1" applyAlignment="1">
      <alignment/>
    </xf>
    <xf numFmtId="3" fontId="29"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30"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2" fillId="0" borderId="12" xfId="95" applyNumberFormat="1" applyFont="1" applyFill="1" applyBorder="1" applyAlignment="1">
      <alignment vertical="center"/>
      <protection/>
    </xf>
    <xf numFmtId="4" fontId="33" fillId="0" borderId="12" xfId="95" applyNumberFormat="1" applyFont="1" applyFill="1" applyBorder="1" applyAlignment="1">
      <alignment vertical="center"/>
      <protection/>
    </xf>
    <xf numFmtId="4" fontId="31" fillId="0" borderId="12" xfId="95" applyNumberFormat="1" applyFont="1" applyFill="1" applyBorder="1" applyAlignment="1">
      <alignment vertical="center"/>
      <protection/>
    </xf>
    <xf numFmtId="0" fontId="34" fillId="0" borderId="0" xfId="0" applyNumberFormat="1" applyFont="1" applyFill="1" applyAlignment="1" applyProtection="1">
      <alignment vertical="top"/>
      <protection/>
    </xf>
    <xf numFmtId="0" fontId="34" fillId="0" borderId="0" xfId="0" applyNumberFormat="1" applyFont="1" applyFill="1" applyAlignment="1" applyProtection="1">
      <alignment horizontal="left" vertical="top"/>
      <protection/>
    </xf>
    <xf numFmtId="0" fontId="34" fillId="0" borderId="0" xfId="0" applyFont="1" applyFill="1" applyAlignment="1">
      <alignment vertical="center"/>
    </xf>
    <xf numFmtId="0" fontId="34" fillId="0" borderId="13" xfId="0" applyFont="1" applyFill="1" applyBorder="1" applyAlignment="1">
      <alignment horizontal="center"/>
    </xf>
    <xf numFmtId="0" fontId="34" fillId="0" borderId="13" xfId="0" applyFont="1" applyFill="1" applyBorder="1" applyAlignment="1">
      <alignment horizontal="left"/>
    </xf>
    <xf numFmtId="0" fontId="34" fillId="0" borderId="0" xfId="0" applyFont="1" applyFill="1" applyBorder="1" applyAlignment="1">
      <alignment horizontal="center"/>
    </xf>
    <xf numFmtId="0" fontId="34" fillId="0" borderId="0" xfId="0" applyFont="1" applyFill="1" applyBorder="1" applyAlignment="1">
      <alignment vertical="center"/>
    </xf>
    <xf numFmtId="0" fontId="35" fillId="0" borderId="0" xfId="0" applyNumberFormat="1" applyFont="1" applyFill="1" applyBorder="1" applyAlignment="1" applyProtection="1">
      <alignment vertical="center"/>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192" fontId="34" fillId="0" borderId="0" xfId="0" applyNumberFormat="1" applyFont="1" applyFill="1" applyBorder="1" applyAlignment="1">
      <alignment vertical="justify"/>
    </xf>
    <xf numFmtId="4" fontId="36" fillId="0" borderId="0" xfId="0" applyNumberFormat="1" applyFont="1" applyFill="1" applyBorder="1" applyAlignment="1">
      <alignment vertical="center"/>
    </xf>
    <xf numFmtId="0" fontId="34" fillId="0" borderId="0" xfId="0" applyNumberFormat="1" applyFont="1" applyFill="1" applyAlignment="1" applyProtection="1">
      <alignment horizontal="left"/>
      <protection/>
    </xf>
    <xf numFmtId="0" fontId="34" fillId="0" borderId="0" xfId="0" applyNumberFormat="1" applyFont="1" applyFill="1" applyAlignment="1" applyProtection="1">
      <alignment/>
      <protection/>
    </xf>
    <xf numFmtId="0" fontId="34" fillId="0" borderId="0" xfId="0" applyNumberFormat="1" applyFont="1" applyFill="1" applyAlignment="1" applyProtection="1">
      <alignment vertical="center"/>
      <protection/>
    </xf>
    <xf numFmtId="0" fontId="37" fillId="0" borderId="0"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wrapText="1"/>
    </xf>
    <xf numFmtId="192" fontId="37" fillId="0" borderId="0" xfId="0" applyNumberFormat="1" applyFont="1" applyFill="1" applyBorder="1" applyAlignment="1">
      <alignment vertical="justify"/>
    </xf>
    <xf numFmtId="4" fontId="39" fillId="0" borderId="0" xfId="0" applyNumberFormat="1" applyFont="1" applyFill="1" applyBorder="1" applyAlignment="1">
      <alignment vertical="center"/>
    </xf>
    <xf numFmtId="0" fontId="31" fillId="0" borderId="12" xfId="0" applyFont="1" applyFill="1" applyBorder="1" applyAlignment="1">
      <alignment vertical="center" wrapText="1"/>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left" vertical="center" wrapText="1"/>
    </xf>
    <xf numFmtId="4" fontId="31" fillId="0" borderId="12" xfId="0" applyNumberFormat="1" applyFont="1" applyFill="1" applyBorder="1" applyAlignment="1">
      <alignment vertical="center" wrapText="1"/>
    </xf>
    <xf numFmtId="49" fontId="31" fillId="0" borderId="12" xfId="0"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4" fontId="31" fillId="0" borderId="12" xfId="0" applyNumberFormat="1" applyFont="1" applyFill="1" applyBorder="1" applyAlignment="1">
      <alignment horizontal="left" vertical="center" wrapText="1"/>
    </xf>
    <xf numFmtId="0" fontId="40" fillId="0" borderId="12" xfId="0" applyNumberFormat="1" applyFont="1" applyFill="1" applyBorder="1" applyAlignment="1" applyProtection="1">
      <alignment horizontal="center" vertical="center" wrapText="1"/>
      <protection/>
    </xf>
    <xf numFmtId="0" fontId="41" fillId="0" borderId="0" xfId="0" applyFont="1" applyFill="1" applyAlignment="1">
      <alignment vertical="center"/>
    </xf>
    <xf numFmtId="0" fontId="42" fillId="0" borderId="0" xfId="0"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3" fillId="0" borderId="0" xfId="0" applyFont="1" applyFill="1" applyBorder="1" applyAlignment="1">
      <alignment horizontal="left" vertical="center" wrapText="1"/>
    </xf>
    <xf numFmtId="192" fontId="42" fillId="0" borderId="0" xfId="0" applyNumberFormat="1" applyFont="1" applyFill="1" applyBorder="1" applyAlignment="1">
      <alignment vertical="justify"/>
    </xf>
    <xf numFmtId="4" fontId="44" fillId="0" borderId="0" xfId="0" applyNumberFormat="1" applyFont="1" applyFill="1" applyBorder="1" applyAlignment="1">
      <alignment vertical="center"/>
    </xf>
    <xf numFmtId="3" fontId="43" fillId="0" borderId="0" xfId="0" applyNumberFormat="1" applyFont="1" applyFill="1" applyBorder="1" applyAlignment="1">
      <alignment horizontal="center" vertical="center" wrapText="1"/>
    </xf>
    <xf numFmtId="0" fontId="34" fillId="0" borderId="0" xfId="0" applyNumberFormat="1" applyFont="1" applyFill="1" applyAlignment="1" applyProtection="1">
      <alignment horizontal="center"/>
      <protection/>
    </xf>
    <xf numFmtId="0" fontId="24" fillId="0" borderId="0" xfId="0" applyFont="1" applyFill="1" applyAlignment="1">
      <alignment vertical="center"/>
    </xf>
    <xf numFmtId="0" fontId="41" fillId="0" borderId="0" xfId="0" applyFont="1" applyFill="1" applyAlignment="1">
      <alignment horizontal="left" vertical="center"/>
    </xf>
    <xf numFmtId="0" fontId="38" fillId="0" borderId="12" xfId="0" applyFont="1" applyFill="1" applyBorder="1" applyAlignment="1">
      <alignment horizontal="left" vertical="center" wrapText="1"/>
    </xf>
    <xf numFmtId="192" fontId="37" fillId="0" borderId="12" xfId="0" applyNumberFormat="1" applyFont="1" applyFill="1" applyBorder="1" applyAlignment="1">
      <alignment vertical="justify"/>
    </xf>
    <xf numFmtId="4" fontId="39" fillId="0" borderId="12" xfId="0" applyNumberFormat="1" applyFont="1" applyFill="1" applyBorder="1" applyAlignment="1">
      <alignment vertical="center"/>
    </xf>
    <xf numFmtId="0" fontId="45" fillId="0" borderId="12" xfId="0" applyFont="1" applyFill="1" applyBorder="1" applyAlignment="1">
      <alignment vertical="center" wrapText="1"/>
    </xf>
    <xf numFmtId="0" fontId="45" fillId="0" borderId="12" xfId="0" applyFont="1" applyFill="1" applyBorder="1" applyAlignment="1">
      <alignment horizontal="left" vertical="center" wrapText="1"/>
    </xf>
    <xf numFmtId="0" fontId="0" fillId="0" borderId="12" xfId="0" applyNumberFormat="1" applyFont="1" applyFill="1" applyBorder="1" applyAlignment="1" applyProtection="1">
      <alignment/>
      <protection/>
    </xf>
    <xf numFmtId="0" fontId="46" fillId="0" borderId="12" xfId="0" applyFont="1" applyFill="1" applyBorder="1" applyAlignment="1">
      <alignment horizontal="left" vertical="center" wrapText="1"/>
    </xf>
    <xf numFmtId="0" fontId="47" fillId="0" borderId="0" xfId="0" applyNumberFormat="1" applyFont="1" applyFill="1" applyAlignment="1" applyProtection="1">
      <alignment/>
      <protection/>
    </xf>
    <xf numFmtId="49" fontId="46" fillId="0" borderId="12" xfId="0" applyNumberFormat="1" applyFont="1" applyFill="1" applyBorder="1" applyAlignment="1">
      <alignment horizontal="center" vertical="center" wrapText="1"/>
    </xf>
    <xf numFmtId="0" fontId="46" fillId="0" borderId="12" xfId="0" applyFont="1" applyFill="1" applyBorder="1" applyAlignment="1">
      <alignment vertical="center" wrapText="1"/>
    </xf>
    <xf numFmtId="4" fontId="48" fillId="0" borderId="12" xfId="95" applyNumberFormat="1" applyFont="1" applyFill="1" applyBorder="1" applyAlignment="1">
      <alignment vertical="center"/>
      <protection/>
    </xf>
    <xf numFmtId="4" fontId="49" fillId="0" borderId="12" xfId="95" applyNumberFormat="1" applyFont="1" applyFill="1" applyBorder="1" applyAlignment="1">
      <alignment vertical="center"/>
      <protection/>
    </xf>
    <xf numFmtId="0" fontId="47" fillId="0" borderId="0" xfId="0" applyFont="1" applyFill="1" applyAlignment="1">
      <alignment/>
    </xf>
    <xf numFmtId="4" fontId="46" fillId="0" borderId="12" xfId="0" applyNumberFormat="1" applyFont="1" applyFill="1" applyBorder="1" applyAlignment="1">
      <alignment vertical="center" wrapText="1"/>
    </xf>
    <xf numFmtId="0" fontId="50" fillId="0" borderId="0" xfId="0" applyNumberFormat="1" applyFont="1" applyFill="1" applyAlignment="1" applyProtection="1">
      <alignment/>
      <protection/>
    </xf>
    <xf numFmtId="0" fontId="50" fillId="0" borderId="0" xfId="0" applyFont="1" applyFill="1" applyAlignment="1">
      <alignment/>
    </xf>
    <xf numFmtId="4" fontId="46" fillId="0" borderId="12" xfId="95" applyNumberFormat="1" applyFont="1" applyFill="1" applyBorder="1" applyAlignment="1">
      <alignment vertical="center"/>
      <protection/>
    </xf>
    <xf numFmtId="49" fontId="46" fillId="0" borderId="12" xfId="0" applyNumberFormat="1" applyFont="1" applyFill="1" applyBorder="1" applyAlignment="1">
      <alignment horizontal="center" vertical="center"/>
    </xf>
    <xf numFmtId="4" fontId="46" fillId="0" borderId="12" xfId="0" applyNumberFormat="1" applyFont="1" applyFill="1" applyBorder="1" applyAlignment="1">
      <alignment horizontal="left" vertical="center" wrapText="1"/>
    </xf>
    <xf numFmtId="0" fontId="47" fillId="0" borderId="0" xfId="0" applyNumberFormat="1" applyFont="1" applyFill="1" applyAlignment="1" applyProtection="1">
      <alignment vertical="center"/>
      <protection/>
    </xf>
    <xf numFmtId="0" fontId="46" fillId="0" borderId="12" xfId="0" applyFont="1" applyFill="1" applyBorder="1" applyAlignment="1">
      <alignment horizontal="center" vertical="center" wrapText="1"/>
    </xf>
    <xf numFmtId="0" fontId="47" fillId="0" borderId="0" xfId="0" applyFont="1" applyFill="1" applyAlignment="1">
      <alignment vertical="center"/>
    </xf>
    <xf numFmtId="0" fontId="46" fillId="26" borderId="12" xfId="0" applyFont="1" applyFill="1" applyBorder="1" applyAlignment="1">
      <alignment vertical="center" wrapText="1"/>
    </xf>
    <xf numFmtId="4" fontId="52" fillId="0" borderId="12" xfId="95" applyNumberFormat="1" applyFont="1" applyFill="1" applyBorder="1" applyAlignment="1">
      <alignment vertical="center"/>
      <protection/>
    </xf>
    <xf numFmtId="0" fontId="51" fillId="0" borderId="0" xfId="0" applyNumberFormat="1" applyFont="1" applyFill="1" applyAlignment="1" applyProtection="1">
      <alignment/>
      <protection/>
    </xf>
    <xf numFmtId="0" fontId="51"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46" fillId="0" borderId="12" xfId="0" applyFont="1" applyFill="1" applyBorder="1" applyAlignment="1">
      <alignment vertical="center"/>
    </xf>
    <xf numFmtId="49" fontId="31" fillId="0" borderId="12" xfId="0" applyNumberFormat="1" applyFont="1" applyFill="1" applyBorder="1" applyAlignment="1">
      <alignment horizontal="left" vertical="center" wrapText="1"/>
    </xf>
    <xf numFmtId="49" fontId="40" fillId="0" borderId="12" xfId="0" applyNumberFormat="1" applyFont="1" applyFill="1" applyBorder="1" applyAlignment="1">
      <alignment horizontal="center" vertical="center" wrapText="1"/>
    </xf>
    <xf numFmtId="0" fontId="40" fillId="0" borderId="12" xfId="0" applyFont="1" applyFill="1" applyBorder="1" applyAlignment="1">
      <alignment horizontal="left" vertical="center" wrapText="1"/>
    </xf>
    <xf numFmtId="4" fontId="40" fillId="0" borderId="12" xfId="0" applyNumberFormat="1" applyFont="1" applyFill="1" applyBorder="1" applyAlignment="1">
      <alignment horizontal="left" vertical="center" wrapText="1"/>
    </xf>
    <xf numFmtId="0" fontId="40"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192" fontId="40" fillId="0" borderId="12" xfId="95" applyNumberFormat="1" applyFont="1" applyFill="1" applyBorder="1" applyAlignment="1">
      <alignment vertical="center"/>
      <protection/>
    </xf>
    <xf numFmtId="0" fontId="0" fillId="0" borderId="0" xfId="0" applyFont="1" applyFill="1" applyAlignment="1">
      <alignment vertical="center"/>
    </xf>
    <xf numFmtId="0" fontId="46" fillId="0" borderId="14" xfId="0" applyFont="1" applyFill="1" applyBorder="1" applyAlignment="1">
      <alignment horizontal="left" vertical="center" wrapText="1"/>
    </xf>
    <xf numFmtId="0" fontId="31" fillId="0" borderId="14" xfId="0" applyFont="1" applyFill="1" applyBorder="1" applyAlignment="1">
      <alignment horizontal="left" wrapText="1"/>
    </xf>
    <xf numFmtId="0" fontId="31" fillId="0" borderId="15" xfId="0" applyFont="1" applyFill="1" applyBorder="1" applyAlignment="1">
      <alignment horizontal="left" wrapText="1"/>
    </xf>
    <xf numFmtId="0" fontId="31" fillId="0" borderId="15" xfId="0" applyFont="1" applyFill="1" applyBorder="1" applyAlignment="1">
      <alignment horizontal="left" vertical="center" wrapText="1"/>
    </xf>
    <xf numFmtId="0" fontId="31" fillId="0" borderId="16" xfId="0" applyFont="1" applyFill="1" applyBorder="1" applyAlignment="1">
      <alignment horizontal="left" vertical="center" wrapText="1"/>
    </xf>
    <xf numFmtId="49" fontId="46" fillId="0" borderId="15" xfId="0" applyNumberFormat="1" applyFont="1" applyFill="1" applyBorder="1" applyAlignment="1">
      <alignment horizontal="center" vertical="center" wrapText="1"/>
    </xf>
    <xf numFmtId="0" fontId="31" fillId="0" borderId="0" xfId="0" applyNumberFormat="1" applyFont="1" applyFill="1" applyAlignment="1" applyProtection="1">
      <alignment vertical="center"/>
      <protection/>
    </xf>
    <xf numFmtId="4" fontId="31" fillId="0" borderId="0" xfId="0" applyNumberFormat="1" applyFont="1" applyFill="1" applyAlignment="1" applyProtection="1">
      <alignment vertical="center"/>
      <protection/>
    </xf>
    <xf numFmtId="0" fontId="31" fillId="0" borderId="17" xfId="0" applyNumberFormat="1" applyFont="1" applyFill="1" applyBorder="1" applyAlignment="1" applyProtection="1">
      <alignment vertical="center"/>
      <protection/>
    </xf>
    <xf numFmtId="0" fontId="31" fillId="0" borderId="17" xfId="0" applyFont="1" applyFill="1" applyBorder="1" applyAlignment="1" applyProtection="1">
      <alignment vertical="center"/>
      <protection locked="0"/>
    </xf>
    <xf numFmtId="4" fontId="31" fillId="0" borderId="17" xfId="0" applyNumberFormat="1" applyFont="1" applyFill="1" applyBorder="1" applyAlignment="1" applyProtection="1">
      <alignment vertical="center"/>
      <protection locked="0"/>
    </xf>
    <xf numFmtId="0" fontId="31" fillId="0" borderId="17" xfId="0" applyFont="1" applyBorder="1" applyAlignment="1">
      <alignment vertical="center"/>
    </xf>
    <xf numFmtId="0" fontId="31"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4" fontId="31" fillId="0" borderId="17" xfId="0" applyNumberFormat="1" applyFont="1" applyBorder="1" applyAlignment="1">
      <alignment vertical="center"/>
    </xf>
    <xf numFmtId="0" fontId="35" fillId="0" borderId="0" xfId="0" applyFont="1" applyFill="1" applyAlignment="1">
      <alignment vertical="center"/>
    </xf>
    <xf numFmtId="0" fontId="38" fillId="0" borderId="13" xfId="0" applyNumberFormat="1" applyFont="1" applyFill="1" applyBorder="1" applyAlignment="1" applyProtection="1">
      <alignment horizontal="center" vertical="center"/>
      <protection/>
    </xf>
    <xf numFmtId="0" fontId="35" fillId="0" borderId="0" xfId="0" applyNumberFormat="1" applyFont="1" applyFill="1" applyAlignment="1" applyProtection="1">
      <alignment vertical="center"/>
      <protection/>
    </xf>
    <xf numFmtId="4" fontId="31" fillId="0" borderId="0" xfId="0" applyNumberFormat="1" applyFont="1" applyFill="1" applyBorder="1" applyAlignment="1">
      <alignment vertical="center"/>
    </xf>
    <xf numFmtId="4" fontId="42" fillId="0" borderId="0" xfId="0" applyNumberFormat="1" applyFont="1" applyFill="1" applyBorder="1" applyAlignment="1" applyProtection="1">
      <alignment vertical="center" textRotation="180"/>
      <protection locked="0"/>
    </xf>
    <xf numFmtId="0" fontId="31" fillId="0" borderId="0" xfId="0" applyNumberFormat="1" applyFont="1" applyFill="1" applyBorder="1" applyAlignment="1" applyProtection="1">
      <alignment/>
      <protection/>
    </xf>
    <xf numFmtId="0" fontId="31" fillId="0" borderId="0" xfId="0" applyFont="1" applyFill="1" applyBorder="1" applyAlignment="1">
      <alignment/>
    </xf>
    <xf numFmtId="0" fontId="31" fillId="0" borderId="0" xfId="0" applyFont="1" applyFill="1" applyBorder="1" applyAlignment="1">
      <alignment horizontal="left" vertical="center"/>
    </xf>
    <xf numFmtId="0" fontId="31" fillId="0" borderId="0" xfId="0" applyFont="1" applyFill="1" applyBorder="1" applyAlignment="1">
      <alignment vertical="center" wrapText="1"/>
    </xf>
    <xf numFmtId="4" fontId="31" fillId="0" borderId="0" xfId="0" applyNumberFormat="1" applyFont="1" applyFill="1" applyBorder="1" applyAlignment="1" applyProtection="1">
      <alignment vertical="center"/>
      <protection/>
    </xf>
    <xf numFmtId="0" fontId="46" fillId="0" borderId="0" xfId="0" applyFont="1" applyFill="1" applyBorder="1" applyAlignment="1">
      <alignment/>
    </xf>
    <xf numFmtId="4" fontId="31" fillId="0" borderId="0" xfId="0" applyNumberFormat="1" applyFont="1" applyFill="1" applyBorder="1" applyAlignment="1" applyProtection="1">
      <alignment vertical="center"/>
      <protection locked="0"/>
    </xf>
    <xf numFmtId="0" fontId="40" fillId="0" borderId="0" xfId="0" applyFont="1" applyFill="1" applyBorder="1" applyAlignment="1">
      <alignment/>
    </xf>
    <xf numFmtId="0" fontId="53" fillId="0" borderId="0" xfId="0" applyFont="1" applyFill="1" applyBorder="1" applyAlignment="1">
      <alignment/>
    </xf>
    <xf numFmtId="0" fontId="46" fillId="0" borderId="0" xfId="0" applyFont="1" applyFill="1" applyBorder="1" applyAlignment="1">
      <alignment vertical="center"/>
    </xf>
    <xf numFmtId="4" fontId="31" fillId="0" borderId="0" xfId="0" applyNumberFormat="1" applyFont="1" applyBorder="1" applyAlignment="1">
      <alignment vertical="center"/>
    </xf>
    <xf numFmtId="0" fontId="31" fillId="27" borderId="0" xfId="0" applyFont="1" applyFill="1" applyBorder="1" applyAlignment="1">
      <alignment/>
    </xf>
    <xf numFmtId="0" fontId="52" fillId="0" borderId="0" xfId="0" applyFont="1" applyFill="1" applyBorder="1" applyAlignment="1">
      <alignment/>
    </xf>
    <xf numFmtId="0" fontId="34" fillId="0" borderId="13" xfId="0" applyNumberFormat="1" applyFont="1" applyFill="1" applyBorder="1" applyAlignment="1" applyProtection="1">
      <alignment/>
      <protection/>
    </xf>
    <xf numFmtId="0" fontId="46" fillId="0" borderId="0" xfId="0" applyNumberFormat="1" applyFont="1" applyFill="1" applyAlignment="1" applyProtection="1">
      <alignment vertical="center"/>
      <protection/>
    </xf>
    <xf numFmtId="0" fontId="46" fillId="0" borderId="15" xfId="0" applyFont="1" applyFill="1" applyBorder="1" applyAlignment="1">
      <alignment horizontal="left" vertical="center" wrapText="1"/>
    </xf>
    <xf numFmtId="4" fontId="34" fillId="0" borderId="0" xfId="0" applyNumberFormat="1" applyFont="1" applyFill="1" applyAlignment="1" applyProtection="1">
      <alignment vertical="center"/>
      <protection/>
    </xf>
    <xf numFmtId="4" fontId="33" fillId="0" borderId="15" xfId="95" applyNumberFormat="1" applyFont="1" applyFill="1" applyBorder="1" applyAlignment="1">
      <alignment horizontal="right" vertical="center"/>
      <protection/>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0" borderId="15"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42" fillId="0" borderId="0" xfId="0" applyFont="1" applyFill="1" applyAlignment="1">
      <alignment horizontal="left" vertical="center" wrapText="1"/>
    </xf>
    <xf numFmtId="3"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xf>
    <xf numFmtId="3" fontId="41" fillId="0" borderId="0" xfId="0" applyNumberFormat="1" applyFont="1" applyFill="1" applyBorder="1" applyAlignment="1">
      <alignment horizontal="left" vertical="center" wrapText="1"/>
    </xf>
    <xf numFmtId="49" fontId="46" fillId="0" borderId="15"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2" xfId="0" applyFont="1" applyFill="1" applyBorder="1" applyAlignment="1">
      <alignment/>
    </xf>
    <xf numFmtId="49" fontId="31" fillId="0" borderId="15"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4" fontId="33" fillId="0" borderId="14" xfId="95" applyNumberFormat="1" applyFont="1" applyFill="1" applyBorder="1" applyAlignment="1">
      <alignment horizontal="right" vertical="center"/>
      <protection/>
    </xf>
    <xf numFmtId="0" fontId="31" fillId="0" borderId="12" xfId="0" applyFont="1" applyFill="1" applyBorder="1" applyAlignment="1">
      <alignment vertical="center" wrapText="1"/>
    </xf>
    <xf numFmtId="0" fontId="31" fillId="0" borderId="12" xfId="0" applyFont="1" applyFill="1" applyBorder="1" applyAlignment="1">
      <alignment horizontal="left" vertical="center" wrapText="1"/>
    </xf>
    <xf numFmtId="4" fontId="31" fillId="0" borderId="15" xfId="95" applyNumberFormat="1" applyFont="1" applyFill="1" applyBorder="1" applyAlignment="1">
      <alignment horizontal="right" vertical="center"/>
      <protection/>
    </xf>
    <xf numFmtId="4" fontId="31" fillId="0" borderId="14" xfId="95" applyNumberFormat="1" applyFont="1" applyFill="1" applyBorder="1" applyAlignment="1">
      <alignment horizontal="right" vertical="center"/>
      <protection/>
    </xf>
    <xf numFmtId="49" fontId="31" fillId="26" borderId="12" xfId="0" applyNumberFormat="1"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31" fillId="0" borderId="12" xfId="0" applyNumberFormat="1" applyFont="1" applyFill="1" applyBorder="1" applyAlignment="1">
      <alignment horizontal="left" vertical="center" wrapText="1"/>
    </xf>
    <xf numFmtId="4" fontId="49" fillId="0" borderId="15" xfId="95" applyNumberFormat="1" applyFont="1" applyFill="1" applyBorder="1" applyAlignment="1">
      <alignment horizontal="right" vertical="center"/>
      <protection/>
    </xf>
    <xf numFmtId="4" fontId="49" fillId="0" borderId="14" xfId="95" applyNumberFormat="1" applyFont="1" applyFill="1" applyBorder="1" applyAlignment="1">
      <alignment horizontal="right" vertical="center"/>
      <protection/>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4" fontId="46" fillId="0" borderId="15" xfId="95" applyNumberFormat="1" applyFont="1" applyFill="1" applyBorder="1" applyAlignment="1">
      <alignment horizontal="right" vertical="center"/>
      <protection/>
    </xf>
    <xf numFmtId="4" fontId="46" fillId="0" borderId="14" xfId="95" applyNumberFormat="1" applyFont="1" applyFill="1" applyBorder="1" applyAlignment="1">
      <alignment horizontal="right" vertical="center"/>
      <protection/>
    </xf>
    <xf numFmtId="0" fontId="43" fillId="0" borderId="0" xfId="0" applyNumberFormat="1" applyFont="1" applyFill="1" applyBorder="1" applyAlignment="1" applyProtection="1">
      <alignment horizontal="center" vertical="top" wrapText="1"/>
      <protection/>
    </xf>
    <xf numFmtId="0" fontId="31" fillId="0" borderId="15" xfId="0" applyFont="1" applyFill="1" applyBorder="1" applyAlignment="1">
      <alignment horizontal="left"/>
    </xf>
    <xf numFmtId="4" fontId="33" fillId="0" borderId="15" xfId="95" applyNumberFormat="1" applyFont="1" applyFill="1" applyBorder="1" applyAlignment="1">
      <alignment horizontal="center" vertical="center"/>
      <protection/>
    </xf>
    <xf numFmtId="4" fontId="33" fillId="0" borderId="14" xfId="95" applyNumberFormat="1" applyFont="1" applyFill="1" applyBorder="1" applyAlignment="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8"/>
  <sheetViews>
    <sheetView showZeros="0" tabSelected="1" view="pageBreakPreview" zoomScale="25" zoomScaleNormal="40" zoomScaleSheetLayoutView="25" zoomScalePageLayoutView="0" workbookViewId="0" topLeftCell="B186">
      <selection activeCell="G207" sqref="G207:J209"/>
    </sheetView>
  </sheetViews>
  <sheetFormatPr defaultColWidth="9.16015625" defaultRowHeight="12.75"/>
  <cols>
    <col min="1" max="1" width="3.83203125" style="3" hidden="1" customWidth="1"/>
    <col min="2" max="2" width="47.16015625" style="39" customWidth="1"/>
    <col min="3" max="3" width="46.5" style="39" customWidth="1"/>
    <col min="4" max="4" width="37.16015625" style="39" customWidth="1"/>
    <col min="5" max="5" width="175.5" style="38" customWidth="1"/>
    <col min="6" max="6" width="169.83203125" style="39" customWidth="1"/>
    <col min="7" max="7" width="70.5" style="40" customWidth="1"/>
    <col min="8" max="8" width="66.66015625" style="40" customWidth="1"/>
    <col min="9" max="9" width="68.5" style="121" customWidth="1"/>
    <col min="10" max="10" width="63.5" style="117" customWidth="1"/>
    <col min="11" max="12" width="63.5" style="125" customWidth="1"/>
    <col min="13" max="16384" width="9.16015625" style="2" customWidth="1"/>
  </cols>
  <sheetData>
    <row r="1" spans="7:17" ht="62.25" customHeight="1">
      <c r="G1" s="146" t="s">
        <v>421</v>
      </c>
      <c r="H1" s="146"/>
      <c r="I1" s="146"/>
      <c r="J1" s="107"/>
      <c r="K1" s="124"/>
      <c r="M1" s="5"/>
      <c r="N1" s="5"/>
      <c r="O1" s="5"/>
      <c r="P1" s="5"/>
      <c r="Q1" s="5"/>
    </row>
    <row r="2" spans="2:17" ht="80.25" customHeight="1">
      <c r="B2" s="61"/>
      <c r="C2" s="61"/>
      <c r="D2" s="61"/>
      <c r="G2" s="146" t="s">
        <v>396</v>
      </c>
      <c r="H2" s="146"/>
      <c r="I2" s="146"/>
      <c r="J2" s="107"/>
      <c r="K2" s="113"/>
      <c r="M2" s="5"/>
      <c r="N2" s="5"/>
      <c r="O2" s="5"/>
      <c r="P2" s="5"/>
      <c r="Q2" s="5"/>
    </row>
    <row r="3" spans="2:11" ht="71.25" customHeight="1">
      <c r="B3" s="61"/>
      <c r="C3" s="61"/>
      <c r="D3" s="61"/>
      <c r="G3" s="146" t="s">
        <v>414</v>
      </c>
      <c r="H3" s="146"/>
      <c r="I3" s="146"/>
      <c r="J3" s="107"/>
      <c r="K3" s="113"/>
    </row>
    <row r="4" spans="2:11" ht="86.25" customHeight="1">
      <c r="B4" s="61"/>
      <c r="C4" s="61"/>
      <c r="D4" s="61"/>
      <c r="G4" s="146" t="s">
        <v>413</v>
      </c>
      <c r="H4" s="146"/>
      <c r="I4" s="146"/>
      <c r="J4" s="107"/>
      <c r="K4" s="113"/>
    </row>
    <row r="5" spans="1:17" s="5" customFormat="1" ht="69" customHeight="1">
      <c r="A5" s="4"/>
      <c r="B5" s="23"/>
      <c r="C5" s="23"/>
      <c r="D5" s="23"/>
      <c r="E5" s="24"/>
      <c r="F5" s="23"/>
      <c r="G5" s="146" t="s">
        <v>422</v>
      </c>
      <c r="H5" s="146"/>
      <c r="I5" s="146"/>
      <c r="J5" s="107"/>
      <c r="K5" s="113"/>
      <c r="L5" s="125"/>
      <c r="M5" s="2"/>
      <c r="N5" s="2"/>
      <c r="O5" s="2"/>
      <c r="P5" s="2"/>
      <c r="Q5" s="2"/>
    </row>
    <row r="6" spans="1:16" s="5" customFormat="1" ht="33.75" customHeight="1">
      <c r="A6" s="4"/>
      <c r="B6" s="23"/>
      <c r="C6" s="23"/>
      <c r="D6" s="23"/>
      <c r="E6" s="24"/>
      <c r="F6" s="23"/>
      <c r="H6" s="54"/>
      <c r="I6" s="119"/>
      <c r="J6" s="107"/>
      <c r="K6" s="113"/>
      <c r="L6" s="126"/>
      <c r="M6" s="63"/>
      <c r="N6" s="63"/>
      <c r="O6" s="63"/>
      <c r="P6" s="9"/>
    </row>
    <row r="7" spans="1:16" s="5" customFormat="1" ht="24.75" customHeight="1">
      <c r="A7" s="4"/>
      <c r="B7" s="24"/>
      <c r="C7" s="24"/>
      <c r="D7" s="24"/>
      <c r="E7" s="24"/>
      <c r="F7" s="24"/>
      <c r="G7" s="25"/>
      <c r="H7" s="25"/>
      <c r="I7" s="119"/>
      <c r="J7" s="107"/>
      <c r="K7" s="127"/>
      <c r="L7" s="113"/>
      <c r="M7" s="62"/>
      <c r="N7" s="62"/>
      <c r="O7" s="62"/>
      <c r="P7" s="62"/>
    </row>
    <row r="8" spans="1:16" ht="139.5" customHeight="1">
      <c r="A8" s="1"/>
      <c r="B8" s="180" t="s">
        <v>416</v>
      </c>
      <c r="C8" s="180"/>
      <c r="D8" s="180"/>
      <c r="E8" s="180"/>
      <c r="F8" s="180"/>
      <c r="G8" s="180"/>
      <c r="H8" s="180"/>
      <c r="I8" s="180"/>
      <c r="J8" s="107"/>
      <c r="L8" s="113"/>
      <c r="M8" s="62"/>
      <c r="N8" s="62"/>
      <c r="O8" s="62"/>
      <c r="P8" s="62"/>
    </row>
    <row r="9" spans="2:16" ht="49.5">
      <c r="B9" s="26"/>
      <c r="C9" s="26"/>
      <c r="D9" s="26"/>
      <c r="E9" s="27"/>
      <c r="F9" s="28"/>
      <c r="G9" s="29"/>
      <c r="H9" s="30"/>
      <c r="I9" s="120" t="s">
        <v>58</v>
      </c>
      <c r="J9" s="107"/>
      <c r="L9" s="113"/>
      <c r="M9" s="62"/>
      <c r="N9" s="62"/>
      <c r="O9" s="62"/>
      <c r="P9" s="62"/>
    </row>
    <row r="10" spans="1:10" ht="361.5" customHeight="1">
      <c r="A10" s="6"/>
      <c r="B10" s="53" t="s">
        <v>102</v>
      </c>
      <c r="C10" s="53" t="s">
        <v>103</v>
      </c>
      <c r="D10" s="53" t="s">
        <v>369</v>
      </c>
      <c r="E10" s="53" t="s">
        <v>367</v>
      </c>
      <c r="F10" s="53" t="s">
        <v>368</v>
      </c>
      <c r="G10" s="53" t="s">
        <v>0</v>
      </c>
      <c r="H10" s="53" t="s">
        <v>1</v>
      </c>
      <c r="I10" s="53" t="s">
        <v>4</v>
      </c>
      <c r="J10" s="107"/>
    </row>
    <row r="11" spans="1:12" s="100" customFormat="1" ht="93" customHeight="1">
      <c r="A11" s="98"/>
      <c r="B11" s="94"/>
      <c r="C11" s="94"/>
      <c r="D11" s="94"/>
      <c r="E11" s="95" t="s">
        <v>26</v>
      </c>
      <c r="F11" s="99"/>
      <c r="G11" s="20">
        <f>G12+G13+G14+G17+G19+G21+G22+G25+G27+G30+G33+G36+G39+G40+G42+G43+G45+G46+G48+G50+G51+G60+G61+G47</f>
        <v>38228676</v>
      </c>
      <c r="H11" s="20">
        <f>H12+H13+H14+H17+H19+H21+H22+H25+H27+H30+H33+H36+H39+H40+H42+H43+H45+H46+H48+H50+H51+H60+H61+H47</f>
        <v>47275163</v>
      </c>
      <c r="I11" s="20">
        <f>I12+I13+I14+I17+I19+I21+I22+I25+I27+I30+I33+I36+I39+I40+I42+I43+I45+I46+I48+I50+I51+I60+I61+I47</f>
        <v>85503839</v>
      </c>
      <c r="J11" s="108"/>
      <c r="K11" s="128"/>
      <c r="L11" s="128"/>
    </row>
    <row r="12" spans="2:10" ht="105.75" customHeight="1">
      <c r="B12" s="149" t="s">
        <v>125</v>
      </c>
      <c r="C12" s="149" t="s">
        <v>55</v>
      </c>
      <c r="D12" s="149" t="s">
        <v>2</v>
      </c>
      <c r="E12" s="163" t="s">
        <v>415</v>
      </c>
      <c r="F12" s="46" t="s">
        <v>100</v>
      </c>
      <c r="G12" s="21">
        <f>575000</f>
        <v>575000</v>
      </c>
      <c r="H12" s="21"/>
      <c r="I12" s="21">
        <f>G12+H12</f>
        <v>575000</v>
      </c>
      <c r="J12" s="107"/>
    </row>
    <row r="13" spans="2:10" ht="152.25" customHeight="1">
      <c r="B13" s="156">
        <v>310180</v>
      </c>
      <c r="C13" s="149"/>
      <c r="D13" s="156"/>
      <c r="E13" s="181"/>
      <c r="F13" s="46" t="s">
        <v>402</v>
      </c>
      <c r="G13" s="21">
        <f>1132800-342800+60000</f>
        <v>850000</v>
      </c>
      <c r="H13" s="21">
        <f>635300-135300</f>
        <v>500000</v>
      </c>
      <c r="I13" s="21">
        <f>G13+H13</f>
        <v>1350000</v>
      </c>
      <c r="J13" s="107"/>
    </row>
    <row r="14" spans="1:12" s="10" customFormat="1" ht="409.5" customHeight="1">
      <c r="A14" s="1"/>
      <c r="B14" s="157" t="s">
        <v>362</v>
      </c>
      <c r="C14" s="144" t="s">
        <v>258</v>
      </c>
      <c r="D14" s="159">
        <v>1030</v>
      </c>
      <c r="E14" s="103" t="s">
        <v>371</v>
      </c>
      <c r="F14" s="154"/>
      <c r="G14" s="141">
        <f>G16</f>
        <v>15000</v>
      </c>
      <c r="H14" s="182">
        <f>H16</f>
        <v>0</v>
      </c>
      <c r="I14" s="141">
        <f>G14+H14</f>
        <v>15000</v>
      </c>
      <c r="J14" s="107"/>
      <c r="K14" s="125"/>
      <c r="L14" s="125"/>
    </row>
    <row r="15" spans="1:12" s="10" customFormat="1" ht="133.5" customHeight="1">
      <c r="A15" s="1"/>
      <c r="B15" s="158"/>
      <c r="C15" s="145"/>
      <c r="D15" s="160"/>
      <c r="E15" s="102" t="s">
        <v>370</v>
      </c>
      <c r="F15" s="155"/>
      <c r="G15" s="161"/>
      <c r="H15" s="183"/>
      <c r="I15" s="161"/>
      <c r="J15" s="107"/>
      <c r="K15" s="125"/>
      <c r="L15" s="125"/>
    </row>
    <row r="16" spans="1:12" s="76" customFormat="1" ht="134.25" customHeight="1">
      <c r="A16" s="71"/>
      <c r="B16" s="81" t="s">
        <v>361</v>
      </c>
      <c r="C16" s="72" t="s">
        <v>259</v>
      </c>
      <c r="D16" s="72">
        <v>1070</v>
      </c>
      <c r="E16" s="70" t="s">
        <v>41</v>
      </c>
      <c r="F16" s="73" t="s">
        <v>64</v>
      </c>
      <c r="G16" s="74">
        <v>15000</v>
      </c>
      <c r="H16" s="74"/>
      <c r="I16" s="21">
        <f>G16+H16</f>
        <v>15000</v>
      </c>
      <c r="J16" s="107"/>
      <c r="K16" s="129"/>
      <c r="L16" s="129"/>
    </row>
    <row r="17" spans="1:12" s="76" customFormat="1" ht="98.25" customHeight="1">
      <c r="A17" s="71"/>
      <c r="B17" s="47" t="s">
        <v>127</v>
      </c>
      <c r="C17" s="47" t="s">
        <v>126</v>
      </c>
      <c r="D17" s="47"/>
      <c r="E17" s="48" t="s">
        <v>260</v>
      </c>
      <c r="F17" s="46"/>
      <c r="G17" s="21">
        <f>G18</f>
        <v>48000</v>
      </c>
      <c r="H17" s="21">
        <f>H18</f>
        <v>0</v>
      </c>
      <c r="I17" s="21">
        <f>I18</f>
        <v>48000</v>
      </c>
      <c r="J17" s="107"/>
      <c r="K17" s="129"/>
      <c r="L17" s="129"/>
    </row>
    <row r="18" spans="1:12" s="76" customFormat="1" ht="122.25" customHeight="1">
      <c r="A18" s="71"/>
      <c r="B18" s="72" t="s">
        <v>127</v>
      </c>
      <c r="C18" s="72" t="s">
        <v>112</v>
      </c>
      <c r="D18" s="72" t="s">
        <v>10</v>
      </c>
      <c r="E18" s="70" t="s">
        <v>134</v>
      </c>
      <c r="F18" s="73" t="s">
        <v>63</v>
      </c>
      <c r="G18" s="74">
        <v>48000</v>
      </c>
      <c r="H18" s="74"/>
      <c r="I18" s="74">
        <f>G18+H18</f>
        <v>48000</v>
      </c>
      <c r="J18" s="107"/>
      <c r="K18" s="129"/>
      <c r="L18" s="129"/>
    </row>
    <row r="19" spans="1:12" s="76" customFormat="1" ht="71.25" customHeight="1">
      <c r="A19" s="71"/>
      <c r="B19" s="47" t="s">
        <v>261</v>
      </c>
      <c r="C19" s="47" t="s">
        <v>113</v>
      </c>
      <c r="D19" s="47" t="s">
        <v>10</v>
      </c>
      <c r="E19" s="48" t="s">
        <v>384</v>
      </c>
      <c r="F19" s="46"/>
      <c r="G19" s="21">
        <f>G20</f>
        <v>850000</v>
      </c>
      <c r="H19" s="21">
        <f>H20</f>
        <v>0</v>
      </c>
      <c r="I19" s="21">
        <f>I20</f>
        <v>850000</v>
      </c>
      <c r="J19" s="107"/>
      <c r="K19" s="129"/>
      <c r="L19" s="129"/>
    </row>
    <row r="20" spans="1:12" s="76" customFormat="1" ht="155.25" customHeight="1">
      <c r="A20" s="71"/>
      <c r="B20" s="72" t="s">
        <v>406</v>
      </c>
      <c r="C20" s="72" t="s">
        <v>407</v>
      </c>
      <c r="D20" s="72" t="s">
        <v>10</v>
      </c>
      <c r="E20" s="70" t="s">
        <v>408</v>
      </c>
      <c r="F20" s="73" t="s">
        <v>64</v>
      </c>
      <c r="G20" s="74">
        <f>700000+150000</f>
        <v>850000</v>
      </c>
      <c r="H20" s="74"/>
      <c r="I20" s="74">
        <f>G20+H20</f>
        <v>850000</v>
      </c>
      <c r="J20" s="138"/>
      <c r="K20" s="129"/>
      <c r="L20" s="129"/>
    </row>
    <row r="21" spans="1:12" s="76" customFormat="1" ht="239.25" customHeight="1">
      <c r="A21" s="71"/>
      <c r="B21" s="47" t="s">
        <v>262</v>
      </c>
      <c r="C21" s="47" t="s">
        <v>114</v>
      </c>
      <c r="D21" s="47" t="s">
        <v>10</v>
      </c>
      <c r="E21" s="48" t="s">
        <v>135</v>
      </c>
      <c r="F21" s="46" t="s">
        <v>64</v>
      </c>
      <c r="G21" s="21">
        <v>401800</v>
      </c>
      <c r="H21" s="21"/>
      <c r="I21" s="21">
        <f>G21+H21</f>
        <v>401800</v>
      </c>
      <c r="J21" s="107"/>
      <c r="K21" s="129"/>
      <c r="L21" s="129"/>
    </row>
    <row r="22" spans="1:10" ht="77.25" customHeight="1">
      <c r="A22" s="69"/>
      <c r="B22" s="47" t="s">
        <v>263</v>
      </c>
      <c r="C22" s="47" t="s">
        <v>111</v>
      </c>
      <c r="D22" s="47">
        <v>1090</v>
      </c>
      <c r="E22" s="48" t="s">
        <v>8</v>
      </c>
      <c r="F22" s="46"/>
      <c r="G22" s="21">
        <f>G23+G24</f>
        <v>191854</v>
      </c>
      <c r="H22" s="21">
        <f>H23+H24</f>
        <v>0</v>
      </c>
      <c r="I22" s="21">
        <f>I23+I24</f>
        <v>191854</v>
      </c>
      <c r="J22" s="107"/>
    </row>
    <row r="23" spans="1:12" s="76" customFormat="1" ht="162" customHeight="1">
      <c r="A23" s="71"/>
      <c r="B23" s="72" t="s">
        <v>263</v>
      </c>
      <c r="C23" s="72" t="s">
        <v>111</v>
      </c>
      <c r="D23" s="72" t="s">
        <v>9</v>
      </c>
      <c r="E23" s="73" t="s">
        <v>353</v>
      </c>
      <c r="F23" s="73" t="s">
        <v>62</v>
      </c>
      <c r="G23" s="74">
        <v>143854</v>
      </c>
      <c r="H23" s="74"/>
      <c r="I23" s="74">
        <f>G23+H23</f>
        <v>143854</v>
      </c>
      <c r="J23" s="107"/>
      <c r="K23" s="129"/>
      <c r="L23" s="129"/>
    </row>
    <row r="24" spans="1:12" s="76" customFormat="1" ht="162" customHeight="1">
      <c r="A24" s="71"/>
      <c r="B24" s="72" t="s">
        <v>263</v>
      </c>
      <c r="C24" s="72" t="s">
        <v>111</v>
      </c>
      <c r="D24" s="72" t="s">
        <v>9</v>
      </c>
      <c r="E24" s="73" t="s">
        <v>349</v>
      </c>
      <c r="F24" s="73" t="s">
        <v>349</v>
      </c>
      <c r="G24" s="74">
        <v>48000</v>
      </c>
      <c r="H24" s="74"/>
      <c r="I24" s="74">
        <f>G24+H24</f>
        <v>48000</v>
      </c>
      <c r="J24" s="107"/>
      <c r="K24" s="129"/>
      <c r="L24" s="129"/>
    </row>
    <row r="25" spans="1:12" s="10" customFormat="1" ht="48.75" customHeight="1">
      <c r="A25" s="1"/>
      <c r="B25" s="47" t="s">
        <v>264</v>
      </c>
      <c r="C25" s="47" t="s">
        <v>115</v>
      </c>
      <c r="D25" s="47" t="s">
        <v>10</v>
      </c>
      <c r="E25" s="48" t="s">
        <v>12</v>
      </c>
      <c r="F25" s="46"/>
      <c r="G25" s="21">
        <f>G26</f>
        <v>711500</v>
      </c>
      <c r="H25" s="21">
        <f>H26</f>
        <v>10000</v>
      </c>
      <c r="I25" s="21">
        <f>I26</f>
        <v>721500</v>
      </c>
      <c r="J25" s="107"/>
      <c r="K25" s="125"/>
      <c r="L25" s="125"/>
    </row>
    <row r="26" spans="1:12" s="76" customFormat="1" ht="144.75" customHeight="1">
      <c r="A26" s="71"/>
      <c r="B26" s="72" t="s">
        <v>264</v>
      </c>
      <c r="C26" s="72" t="s">
        <v>115</v>
      </c>
      <c r="D26" s="72" t="s">
        <v>10</v>
      </c>
      <c r="E26" s="73" t="s">
        <v>354</v>
      </c>
      <c r="F26" s="73" t="s">
        <v>63</v>
      </c>
      <c r="G26" s="80">
        <f>712000-500</f>
        <v>711500</v>
      </c>
      <c r="H26" s="74">
        <v>10000</v>
      </c>
      <c r="I26" s="74">
        <f>G26+H26</f>
        <v>721500</v>
      </c>
      <c r="J26" s="107"/>
      <c r="K26" s="129"/>
      <c r="L26" s="129"/>
    </row>
    <row r="27" spans="1:12" s="10" customFormat="1" ht="75.75" customHeight="1">
      <c r="A27" s="1"/>
      <c r="B27" s="47" t="s">
        <v>266</v>
      </c>
      <c r="C27" s="47" t="s">
        <v>265</v>
      </c>
      <c r="D27" s="47" t="s">
        <v>15</v>
      </c>
      <c r="E27" s="48" t="s">
        <v>136</v>
      </c>
      <c r="F27" s="46"/>
      <c r="G27" s="22">
        <f>G28+G29</f>
        <v>524600</v>
      </c>
      <c r="H27" s="22">
        <f>H28+H29</f>
        <v>0</v>
      </c>
      <c r="I27" s="22">
        <f>I28+I29</f>
        <v>524600</v>
      </c>
      <c r="J27" s="107"/>
      <c r="K27" s="125"/>
      <c r="L27" s="125"/>
    </row>
    <row r="28" spans="1:12" s="76" customFormat="1" ht="102.75" customHeight="1">
      <c r="A28" s="71"/>
      <c r="B28" s="72" t="s">
        <v>266</v>
      </c>
      <c r="C28" s="72" t="s">
        <v>265</v>
      </c>
      <c r="D28" s="72" t="s">
        <v>15</v>
      </c>
      <c r="E28" s="73" t="s">
        <v>355</v>
      </c>
      <c r="F28" s="73" t="s">
        <v>64</v>
      </c>
      <c r="G28" s="80">
        <f>150000+150000+39600</f>
        <v>339600</v>
      </c>
      <c r="H28" s="74"/>
      <c r="I28" s="74">
        <f>G28+H28</f>
        <v>339600</v>
      </c>
      <c r="J28" s="107"/>
      <c r="K28" s="129"/>
      <c r="L28" s="129"/>
    </row>
    <row r="29" spans="1:12" s="76" customFormat="1" ht="126.75" customHeight="1">
      <c r="A29" s="71"/>
      <c r="B29" s="72" t="s">
        <v>266</v>
      </c>
      <c r="C29" s="72" t="s">
        <v>265</v>
      </c>
      <c r="D29" s="72" t="s">
        <v>15</v>
      </c>
      <c r="E29" s="73" t="s">
        <v>356</v>
      </c>
      <c r="F29" s="70" t="s">
        <v>100</v>
      </c>
      <c r="G29" s="80">
        <f>100000+85000</f>
        <v>185000</v>
      </c>
      <c r="H29" s="74"/>
      <c r="I29" s="74">
        <f>G29+H29</f>
        <v>185000</v>
      </c>
      <c r="J29" s="107"/>
      <c r="K29" s="129"/>
      <c r="L29" s="129"/>
    </row>
    <row r="30" spans="1:12" s="76" customFormat="1" ht="66" customHeight="1">
      <c r="A30" s="71"/>
      <c r="B30" s="47" t="s">
        <v>269</v>
      </c>
      <c r="C30" s="47" t="s">
        <v>268</v>
      </c>
      <c r="D30" s="47"/>
      <c r="E30" s="48" t="s">
        <v>267</v>
      </c>
      <c r="F30" s="46"/>
      <c r="G30" s="21">
        <f>G31+G32</f>
        <v>1200000</v>
      </c>
      <c r="H30" s="21">
        <f>H31+H32</f>
        <v>0</v>
      </c>
      <c r="I30" s="21">
        <f>I31+I32</f>
        <v>1200000</v>
      </c>
      <c r="J30" s="107"/>
      <c r="K30" s="129"/>
      <c r="L30" s="129"/>
    </row>
    <row r="31" spans="1:12" s="76" customFormat="1" ht="114.75" customHeight="1">
      <c r="A31" s="71"/>
      <c r="B31" s="72" t="s">
        <v>272</v>
      </c>
      <c r="C31" s="72" t="s">
        <v>270</v>
      </c>
      <c r="D31" s="72" t="s">
        <v>16</v>
      </c>
      <c r="E31" s="73" t="s">
        <v>138</v>
      </c>
      <c r="F31" s="73" t="s">
        <v>65</v>
      </c>
      <c r="G31" s="74">
        <v>600000</v>
      </c>
      <c r="H31" s="74"/>
      <c r="I31" s="74">
        <f>G31+H31</f>
        <v>600000</v>
      </c>
      <c r="J31" s="107"/>
      <c r="K31" s="129"/>
      <c r="L31" s="129"/>
    </row>
    <row r="32" spans="1:12" s="76" customFormat="1" ht="135.75" customHeight="1">
      <c r="A32" s="71"/>
      <c r="B32" s="72" t="s">
        <v>273</v>
      </c>
      <c r="C32" s="72" t="s">
        <v>271</v>
      </c>
      <c r="D32" s="72" t="s">
        <v>16</v>
      </c>
      <c r="E32" s="73" t="s">
        <v>17</v>
      </c>
      <c r="F32" s="73" t="s">
        <v>65</v>
      </c>
      <c r="G32" s="74">
        <v>600000</v>
      </c>
      <c r="H32" s="74"/>
      <c r="I32" s="74">
        <f>G32+H32</f>
        <v>600000</v>
      </c>
      <c r="J32" s="109"/>
      <c r="K32" s="129"/>
      <c r="L32" s="129"/>
    </row>
    <row r="33" spans="1:12" s="10" customFormat="1" ht="98.25" customHeight="1">
      <c r="A33" s="1"/>
      <c r="B33" s="47" t="s">
        <v>274</v>
      </c>
      <c r="C33" s="47" t="s">
        <v>388</v>
      </c>
      <c r="D33" s="47"/>
      <c r="E33" s="48" t="s">
        <v>385</v>
      </c>
      <c r="F33" s="46"/>
      <c r="G33" s="21">
        <f>G34+G35</f>
        <v>12883606</v>
      </c>
      <c r="H33" s="21">
        <f>H34+H35</f>
        <v>239000</v>
      </c>
      <c r="I33" s="21">
        <f>I34+I35</f>
        <v>13122606</v>
      </c>
      <c r="J33" s="109"/>
      <c r="K33" s="125"/>
      <c r="L33" s="125"/>
    </row>
    <row r="34" spans="1:12" s="76" customFormat="1" ht="114.75" customHeight="1">
      <c r="A34" s="71"/>
      <c r="B34" s="72" t="s">
        <v>391</v>
      </c>
      <c r="C34" s="72" t="s">
        <v>389</v>
      </c>
      <c r="D34" s="72" t="s">
        <v>16</v>
      </c>
      <c r="E34" s="73" t="s">
        <v>139</v>
      </c>
      <c r="F34" s="73" t="s">
        <v>65</v>
      </c>
      <c r="G34" s="74">
        <f>7111640-53334</f>
        <v>7058306</v>
      </c>
      <c r="H34" s="74">
        <v>239000</v>
      </c>
      <c r="I34" s="74">
        <f aca="true" t="shared" si="0" ref="I34:I39">G34+H34</f>
        <v>7297306</v>
      </c>
      <c r="J34" s="109"/>
      <c r="K34" s="129"/>
      <c r="L34" s="129"/>
    </row>
    <row r="35" spans="1:12" s="76" customFormat="1" ht="144.75" customHeight="1">
      <c r="A35" s="71"/>
      <c r="B35" s="72" t="s">
        <v>392</v>
      </c>
      <c r="C35" s="72" t="s">
        <v>390</v>
      </c>
      <c r="D35" s="72" t="s">
        <v>16</v>
      </c>
      <c r="E35" s="73" t="s">
        <v>140</v>
      </c>
      <c r="F35" s="73" t="s">
        <v>65</v>
      </c>
      <c r="G35" s="74">
        <f>5968000+10200-152900</f>
        <v>5825300</v>
      </c>
      <c r="H35" s="74"/>
      <c r="I35" s="74">
        <f t="shared" si="0"/>
        <v>5825300</v>
      </c>
      <c r="J35" s="109"/>
      <c r="K35" s="129"/>
      <c r="L35" s="129"/>
    </row>
    <row r="36" spans="1:12" s="76" customFormat="1" ht="117.75" customHeight="1">
      <c r="A36" s="71"/>
      <c r="B36" s="47" t="s">
        <v>409</v>
      </c>
      <c r="C36" s="47" t="s">
        <v>275</v>
      </c>
      <c r="D36" s="47" t="s">
        <v>16</v>
      </c>
      <c r="E36" s="48" t="s">
        <v>386</v>
      </c>
      <c r="F36" s="46" t="s">
        <v>65</v>
      </c>
      <c r="G36" s="21">
        <f>G37+G38</f>
        <v>5676537</v>
      </c>
      <c r="H36" s="21">
        <f>H37+H38</f>
        <v>39000</v>
      </c>
      <c r="I36" s="21">
        <f t="shared" si="0"/>
        <v>5715537</v>
      </c>
      <c r="J36" s="109"/>
      <c r="K36" s="129"/>
      <c r="L36" s="129"/>
    </row>
    <row r="37" spans="1:12" s="76" customFormat="1" ht="183.75" customHeight="1">
      <c r="A37" s="71"/>
      <c r="B37" s="72" t="s">
        <v>410</v>
      </c>
      <c r="C37" s="72" t="s">
        <v>395</v>
      </c>
      <c r="D37" s="47" t="s">
        <v>16</v>
      </c>
      <c r="E37" s="73" t="s">
        <v>393</v>
      </c>
      <c r="F37" s="73" t="s">
        <v>65</v>
      </c>
      <c r="G37" s="21">
        <f>2281250+350000+60340</f>
        <v>2691590</v>
      </c>
      <c r="H37" s="74">
        <v>39000</v>
      </c>
      <c r="I37" s="21">
        <f t="shared" si="0"/>
        <v>2730590</v>
      </c>
      <c r="J37" s="109"/>
      <c r="K37" s="129"/>
      <c r="L37" s="129"/>
    </row>
    <row r="38" spans="1:12" s="76" customFormat="1" ht="165.75" customHeight="1">
      <c r="A38" s="71"/>
      <c r="B38" s="72" t="s">
        <v>411</v>
      </c>
      <c r="C38" s="72" t="s">
        <v>387</v>
      </c>
      <c r="D38" s="72" t="s">
        <v>16</v>
      </c>
      <c r="E38" s="73" t="s">
        <v>394</v>
      </c>
      <c r="F38" s="73" t="s">
        <v>65</v>
      </c>
      <c r="G38" s="80">
        <f>2965750+20000-53973+53170</f>
        <v>2984947</v>
      </c>
      <c r="H38" s="80"/>
      <c r="I38" s="80">
        <f t="shared" si="0"/>
        <v>2984947</v>
      </c>
      <c r="J38" s="109"/>
      <c r="K38" s="129"/>
      <c r="L38" s="129"/>
    </row>
    <row r="39" spans="2:10" ht="164.25" customHeight="1">
      <c r="B39" s="47" t="s">
        <v>277</v>
      </c>
      <c r="C39" s="47" t="s">
        <v>276</v>
      </c>
      <c r="D39" s="47" t="s">
        <v>70</v>
      </c>
      <c r="E39" s="48" t="s">
        <v>69</v>
      </c>
      <c r="F39" s="46" t="s">
        <v>66</v>
      </c>
      <c r="G39" s="21">
        <v>1604000</v>
      </c>
      <c r="H39" s="21"/>
      <c r="I39" s="21">
        <f t="shared" si="0"/>
        <v>1604000</v>
      </c>
      <c r="J39" s="109"/>
    </row>
    <row r="40" spans="2:10" ht="88.5">
      <c r="B40" s="47" t="s">
        <v>280</v>
      </c>
      <c r="C40" s="47" t="s">
        <v>279</v>
      </c>
      <c r="D40" s="47"/>
      <c r="E40" s="48" t="s">
        <v>278</v>
      </c>
      <c r="F40" s="46"/>
      <c r="G40" s="21">
        <f>G41</f>
        <v>4820000</v>
      </c>
      <c r="H40" s="21">
        <f>H41</f>
        <v>0</v>
      </c>
      <c r="I40" s="21">
        <f>I41</f>
        <v>4820000</v>
      </c>
      <c r="J40" s="109"/>
    </row>
    <row r="41" spans="1:12" s="76" customFormat="1" ht="156" customHeight="1">
      <c r="A41" s="71"/>
      <c r="B41" s="72" t="s">
        <v>282</v>
      </c>
      <c r="C41" s="72" t="s">
        <v>281</v>
      </c>
      <c r="D41" s="72" t="s">
        <v>72</v>
      </c>
      <c r="E41" s="70" t="s">
        <v>71</v>
      </c>
      <c r="F41" s="73" t="s">
        <v>66</v>
      </c>
      <c r="G41" s="74">
        <v>4820000</v>
      </c>
      <c r="H41" s="74"/>
      <c r="I41" s="74">
        <f>G41+H41</f>
        <v>4820000</v>
      </c>
      <c r="J41" s="109"/>
      <c r="K41" s="129"/>
      <c r="L41" s="129"/>
    </row>
    <row r="42" spans="1:12" s="76" customFormat="1" ht="174" customHeight="1">
      <c r="A42" s="71"/>
      <c r="B42" s="47" t="s">
        <v>284</v>
      </c>
      <c r="C42" s="47" t="s">
        <v>283</v>
      </c>
      <c r="D42" s="47" t="s">
        <v>19</v>
      </c>
      <c r="E42" s="48" t="s">
        <v>18</v>
      </c>
      <c r="F42" s="46" t="s">
        <v>66</v>
      </c>
      <c r="G42" s="21">
        <v>2578500</v>
      </c>
      <c r="H42" s="21">
        <v>2000000</v>
      </c>
      <c r="I42" s="21">
        <f>G42+H42</f>
        <v>4578500</v>
      </c>
      <c r="J42" s="109"/>
      <c r="K42" s="129"/>
      <c r="L42" s="129"/>
    </row>
    <row r="43" spans="1:12" s="10" customFormat="1" ht="69" customHeight="1">
      <c r="A43" s="1"/>
      <c r="B43" s="47" t="s">
        <v>287</v>
      </c>
      <c r="C43" s="47" t="s">
        <v>286</v>
      </c>
      <c r="D43" s="47"/>
      <c r="E43" s="48" t="s">
        <v>285</v>
      </c>
      <c r="F43" s="46"/>
      <c r="G43" s="21">
        <f>G44</f>
        <v>198000</v>
      </c>
      <c r="H43" s="21">
        <f>H44</f>
        <v>0</v>
      </c>
      <c r="I43" s="21">
        <f>I44</f>
        <v>198000</v>
      </c>
      <c r="J43" s="109"/>
      <c r="K43" s="125"/>
      <c r="L43" s="125"/>
    </row>
    <row r="44" spans="1:12" s="76" customFormat="1" ht="123.75" customHeight="1">
      <c r="A44" s="71"/>
      <c r="B44" s="72" t="s">
        <v>289</v>
      </c>
      <c r="C44" s="72" t="s">
        <v>288</v>
      </c>
      <c r="D44" s="72" t="s">
        <v>59</v>
      </c>
      <c r="E44" s="70" t="s">
        <v>137</v>
      </c>
      <c r="F44" s="73" t="s">
        <v>61</v>
      </c>
      <c r="G44" s="74">
        <v>198000</v>
      </c>
      <c r="H44" s="74"/>
      <c r="I44" s="74">
        <f>G44+H44</f>
        <v>198000</v>
      </c>
      <c r="J44" s="109"/>
      <c r="K44" s="129"/>
      <c r="L44" s="129"/>
    </row>
    <row r="45" spans="2:10" ht="180" customHeight="1">
      <c r="B45" s="47" t="s">
        <v>291</v>
      </c>
      <c r="C45" s="47" t="s">
        <v>290</v>
      </c>
      <c r="D45" s="47" t="s">
        <v>7</v>
      </c>
      <c r="E45" s="48" t="s">
        <v>141</v>
      </c>
      <c r="F45" s="46" t="s">
        <v>320</v>
      </c>
      <c r="G45" s="21">
        <v>82200</v>
      </c>
      <c r="H45" s="21">
        <v>32000</v>
      </c>
      <c r="I45" s="21">
        <f>G45+H45</f>
        <v>114200</v>
      </c>
      <c r="J45" s="109"/>
    </row>
    <row r="46" spans="2:10" ht="153.75" customHeight="1">
      <c r="B46" s="144" t="s">
        <v>292</v>
      </c>
      <c r="C46" s="144" t="s">
        <v>194</v>
      </c>
      <c r="D46" s="144" t="s">
        <v>6</v>
      </c>
      <c r="E46" s="142" t="s">
        <v>142</v>
      </c>
      <c r="F46" s="46" t="s">
        <v>66</v>
      </c>
      <c r="G46" s="21"/>
      <c r="H46" s="21">
        <f>29100000+13704000</f>
        <v>42804000</v>
      </c>
      <c r="I46" s="21">
        <f>G46+H46</f>
        <v>42804000</v>
      </c>
      <c r="J46" s="109"/>
    </row>
    <row r="47" spans="2:10" ht="165.75" customHeight="1">
      <c r="B47" s="145"/>
      <c r="C47" s="145"/>
      <c r="D47" s="145"/>
      <c r="E47" s="143"/>
      <c r="F47" s="46" t="s">
        <v>402</v>
      </c>
      <c r="G47" s="21"/>
      <c r="H47" s="22">
        <v>1082000</v>
      </c>
      <c r="I47" s="21">
        <f>G47+H47</f>
        <v>1082000</v>
      </c>
      <c r="J47" s="109"/>
    </row>
    <row r="48" spans="2:10" ht="77.25" customHeight="1">
      <c r="B48" s="47" t="s">
        <v>294</v>
      </c>
      <c r="C48" s="47" t="s">
        <v>293</v>
      </c>
      <c r="D48" s="47" t="s">
        <v>7</v>
      </c>
      <c r="E48" s="48" t="s">
        <v>20</v>
      </c>
      <c r="F48" s="46"/>
      <c r="G48" s="21">
        <f>G49</f>
        <v>639800</v>
      </c>
      <c r="H48" s="21">
        <f>H49</f>
        <v>0</v>
      </c>
      <c r="I48" s="21">
        <f>I49</f>
        <v>639800</v>
      </c>
      <c r="J48" s="109"/>
    </row>
    <row r="49" spans="1:12" s="76" customFormat="1" ht="147.75" customHeight="1">
      <c r="A49" s="71"/>
      <c r="B49" s="72" t="s">
        <v>294</v>
      </c>
      <c r="C49" s="72" t="s">
        <v>293</v>
      </c>
      <c r="D49" s="72" t="s">
        <v>7</v>
      </c>
      <c r="E49" s="70" t="s">
        <v>358</v>
      </c>
      <c r="F49" s="73" t="s">
        <v>61</v>
      </c>
      <c r="G49" s="74">
        <f>139800+500000</f>
        <v>639800</v>
      </c>
      <c r="H49" s="74"/>
      <c r="I49" s="74">
        <f>G49+H49</f>
        <v>639800</v>
      </c>
      <c r="J49" s="109"/>
      <c r="K49" s="129"/>
      <c r="L49" s="129"/>
    </row>
    <row r="50" spans="2:10" ht="179.25" customHeight="1">
      <c r="B50" s="47" t="s">
        <v>296</v>
      </c>
      <c r="C50" s="47" t="s">
        <v>295</v>
      </c>
      <c r="D50" s="47" t="s">
        <v>21</v>
      </c>
      <c r="E50" s="48" t="s">
        <v>143</v>
      </c>
      <c r="F50" s="46" t="s">
        <v>11</v>
      </c>
      <c r="G50" s="21">
        <f>207600+1792</f>
        <v>209392</v>
      </c>
      <c r="H50" s="21">
        <v>385000</v>
      </c>
      <c r="I50" s="21">
        <f>G50+H50</f>
        <v>594392</v>
      </c>
      <c r="J50" s="109"/>
    </row>
    <row r="51" spans="2:10" ht="71.25" customHeight="1">
      <c r="B51" s="47" t="s">
        <v>297</v>
      </c>
      <c r="C51" s="47" t="s">
        <v>186</v>
      </c>
      <c r="D51" s="47" t="s">
        <v>24</v>
      </c>
      <c r="E51" s="48" t="s">
        <v>12</v>
      </c>
      <c r="F51" s="46"/>
      <c r="G51" s="21">
        <f>G52+G53+G54+G55+G56+G57+G58+G59</f>
        <v>4168887</v>
      </c>
      <c r="H51" s="21">
        <f>H52+H53+H54+H55+H56+H57+H58+H59</f>
        <v>116000</v>
      </c>
      <c r="I51" s="21">
        <f>I52+I53+I54+I55+I56+I57+I58+I59</f>
        <v>4284887</v>
      </c>
      <c r="J51" s="109"/>
    </row>
    <row r="52" spans="1:12" s="76" customFormat="1" ht="119.25" customHeight="1">
      <c r="A52" s="71"/>
      <c r="B52" s="72" t="s">
        <v>297</v>
      </c>
      <c r="C52" s="72" t="s">
        <v>186</v>
      </c>
      <c r="D52" s="106" t="s">
        <v>24</v>
      </c>
      <c r="E52" s="70" t="s">
        <v>423</v>
      </c>
      <c r="F52" s="73" t="s">
        <v>68</v>
      </c>
      <c r="G52" s="74">
        <f>607700+38239+2089</f>
        <v>648028</v>
      </c>
      <c r="H52" s="74"/>
      <c r="I52" s="74">
        <f>G52+H52</f>
        <v>648028</v>
      </c>
      <c r="J52" s="109"/>
      <c r="K52" s="129"/>
      <c r="L52" s="129"/>
    </row>
    <row r="53" spans="1:12" s="76" customFormat="1" ht="127.5" customHeight="1">
      <c r="A53" s="71"/>
      <c r="B53" s="72" t="s">
        <v>297</v>
      </c>
      <c r="C53" s="72" t="s">
        <v>186</v>
      </c>
      <c r="D53" s="106" t="s">
        <v>24</v>
      </c>
      <c r="E53" s="70" t="s">
        <v>357</v>
      </c>
      <c r="F53" s="77" t="s">
        <v>331</v>
      </c>
      <c r="G53" s="74">
        <f>80290+80290</f>
        <v>160580</v>
      </c>
      <c r="H53" s="74"/>
      <c r="I53" s="74">
        <f>G53+H53</f>
        <v>160580</v>
      </c>
      <c r="J53" s="109"/>
      <c r="K53" s="129"/>
      <c r="L53" s="129"/>
    </row>
    <row r="54" spans="1:12" s="76" customFormat="1" ht="173.25" customHeight="1">
      <c r="A54" s="71"/>
      <c r="B54" s="72" t="s">
        <v>297</v>
      </c>
      <c r="C54" s="72" t="s">
        <v>186</v>
      </c>
      <c r="D54" s="106" t="s">
        <v>24</v>
      </c>
      <c r="E54" s="70" t="s">
        <v>360</v>
      </c>
      <c r="F54" s="73" t="s">
        <v>402</v>
      </c>
      <c r="G54" s="74">
        <f>194200+843700-194200</f>
        <v>843700</v>
      </c>
      <c r="H54" s="74">
        <v>90000</v>
      </c>
      <c r="I54" s="74">
        <f aca="true" t="shared" si="1" ref="I54:I59">SUM(G54:H54)</f>
        <v>933700</v>
      </c>
      <c r="J54" s="109"/>
      <c r="K54" s="129"/>
      <c r="L54" s="129"/>
    </row>
    <row r="55" spans="1:12" s="76" customFormat="1" ht="143.25" customHeight="1">
      <c r="A55" s="71"/>
      <c r="B55" s="72" t="s">
        <v>297</v>
      </c>
      <c r="C55" s="72" t="s">
        <v>186</v>
      </c>
      <c r="D55" s="106" t="s">
        <v>24</v>
      </c>
      <c r="E55" s="70" t="s">
        <v>358</v>
      </c>
      <c r="F55" s="73" t="s">
        <v>61</v>
      </c>
      <c r="G55" s="74">
        <f>962400+50000-50000</f>
        <v>962400</v>
      </c>
      <c r="H55" s="74">
        <v>26000</v>
      </c>
      <c r="I55" s="74">
        <f t="shared" si="1"/>
        <v>988400</v>
      </c>
      <c r="J55" s="109"/>
      <c r="K55" s="129"/>
      <c r="L55" s="129"/>
    </row>
    <row r="56" spans="1:12" s="76" customFormat="1" ht="129" customHeight="1">
      <c r="A56" s="71"/>
      <c r="B56" s="72" t="s">
        <v>297</v>
      </c>
      <c r="C56" s="72" t="s">
        <v>186</v>
      </c>
      <c r="D56" s="106" t="s">
        <v>24</v>
      </c>
      <c r="E56" s="70" t="s">
        <v>359</v>
      </c>
      <c r="F56" s="73" t="s">
        <v>65</v>
      </c>
      <c r="G56" s="74">
        <f>1229100+80000-29921</f>
        <v>1279179</v>
      </c>
      <c r="H56" s="74"/>
      <c r="I56" s="74">
        <f t="shared" si="1"/>
        <v>1279179</v>
      </c>
      <c r="J56" s="109"/>
      <c r="K56" s="129"/>
      <c r="L56" s="129"/>
    </row>
    <row r="57" spans="1:12" s="76" customFormat="1" ht="152.25" customHeight="1">
      <c r="A57" s="71"/>
      <c r="B57" s="72" t="s">
        <v>297</v>
      </c>
      <c r="C57" s="72" t="s">
        <v>186</v>
      </c>
      <c r="D57" s="106" t="s">
        <v>24</v>
      </c>
      <c r="E57" s="70" t="s">
        <v>330</v>
      </c>
      <c r="F57" s="86" t="s">
        <v>317</v>
      </c>
      <c r="G57" s="74">
        <f>100000+25000</f>
        <v>125000</v>
      </c>
      <c r="H57" s="74"/>
      <c r="I57" s="74">
        <f t="shared" si="1"/>
        <v>125000</v>
      </c>
      <c r="J57" s="109"/>
      <c r="K57" s="129"/>
      <c r="L57" s="129"/>
    </row>
    <row r="58" spans="1:12" s="76" customFormat="1" ht="200.25" customHeight="1">
      <c r="A58" s="71"/>
      <c r="B58" s="72" t="s">
        <v>297</v>
      </c>
      <c r="C58" s="72" t="s">
        <v>186</v>
      </c>
      <c r="D58" s="106" t="s">
        <v>24</v>
      </c>
      <c r="E58" s="70" t="s">
        <v>404</v>
      </c>
      <c r="F58" s="86" t="s">
        <v>412</v>
      </c>
      <c r="G58" s="74">
        <v>100000</v>
      </c>
      <c r="H58" s="74"/>
      <c r="I58" s="74">
        <f t="shared" si="1"/>
        <v>100000</v>
      </c>
      <c r="J58" s="109"/>
      <c r="K58" s="129"/>
      <c r="L58" s="129"/>
    </row>
    <row r="59" spans="1:12" s="76" customFormat="1" ht="206.25" customHeight="1">
      <c r="A59" s="71"/>
      <c r="B59" s="72" t="s">
        <v>297</v>
      </c>
      <c r="C59" s="72" t="s">
        <v>186</v>
      </c>
      <c r="D59" s="106" t="s">
        <v>24</v>
      </c>
      <c r="E59" s="70" t="s">
        <v>420</v>
      </c>
      <c r="F59" s="86" t="s">
        <v>11</v>
      </c>
      <c r="G59" s="74">
        <v>50000</v>
      </c>
      <c r="H59" s="74"/>
      <c r="I59" s="74">
        <f t="shared" si="1"/>
        <v>50000</v>
      </c>
      <c r="J59" s="109"/>
      <c r="K59" s="129"/>
      <c r="L59" s="129"/>
    </row>
    <row r="60" spans="2:10" ht="171" customHeight="1">
      <c r="B60" s="47" t="s">
        <v>298</v>
      </c>
      <c r="C60" s="47" t="s">
        <v>190</v>
      </c>
      <c r="D60" s="47" t="s">
        <v>22</v>
      </c>
      <c r="E60" s="48" t="s">
        <v>88</v>
      </c>
      <c r="F60" s="49" t="s">
        <v>67</v>
      </c>
      <c r="G60" s="21"/>
      <c r="H60" s="21">
        <v>58563</v>
      </c>
      <c r="I60" s="21">
        <f>G60+H60</f>
        <v>58563</v>
      </c>
      <c r="J60" s="110"/>
    </row>
    <row r="61" spans="2:10" ht="183" customHeight="1">
      <c r="B61" s="47" t="s">
        <v>351</v>
      </c>
      <c r="C61" s="47" t="s">
        <v>195</v>
      </c>
      <c r="D61" s="47" t="s">
        <v>24</v>
      </c>
      <c r="E61" s="48" t="s">
        <v>23</v>
      </c>
      <c r="F61" s="46" t="s">
        <v>61</v>
      </c>
      <c r="G61" s="21"/>
      <c r="H61" s="21">
        <v>9600</v>
      </c>
      <c r="I61" s="21">
        <f>G61+H61</f>
        <v>9600</v>
      </c>
      <c r="J61" s="110"/>
    </row>
    <row r="62" spans="2:13" ht="131.25" customHeight="1">
      <c r="B62" s="47"/>
      <c r="C62" s="47"/>
      <c r="D62" s="47"/>
      <c r="E62" s="95" t="s">
        <v>27</v>
      </c>
      <c r="F62" s="46"/>
      <c r="G62" s="20">
        <f>G63+G64+G67+G68+G72+G73+G74+G75+G76+G78+G79+G80+G83+G84+G82+G65+G69+G70+G66+G71</f>
        <v>32674885</v>
      </c>
      <c r="H62" s="20">
        <f>H63+H64+H67+H68+H72+H73+H74+H75+H76+H78+H79+H80+H83+H84+H82+H65+H69+H70+H66+H71</f>
        <v>17016160</v>
      </c>
      <c r="I62" s="20">
        <f>I63+I64+I67+I68+I72+I73+I74+I75+I76+I78+I79+I80+I83+I84+I82+I65+I69+I70+I66+I71</f>
        <v>49691045</v>
      </c>
      <c r="J62" s="111"/>
      <c r="K62" s="130"/>
      <c r="L62" s="130"/>
      <c r="M62" s="123">
        <f>J63+J64+J65+J66+J67+J68+J69+J70+J71+J72+J73+J74+J75+J76+J78+J79+J80+J82+J83+J84</f>
        <v>0</v>
      </c>
    </row>
    <row r="63" spans="1:12" s="8" customFormat="1" ht="182.25" customHeight="1">
      <c r="A63" s="7"/>
      <c r="B63" s="47" t="s">
        <v>128</v>
      </c>
      <c r="C63" s="47" t="s">
        <v>55</v>
      </c>
      <c r="D63" s="47" t="s">
        <v>2</v>
      </c>
      <c r="E63" s="48" t="s">
        <v>415</v>
      </c>
      <c r="F63" s="46" t="s">
        <v>100</v>
      </c>
      <c r="G63" s="21">
        <v>30000</v>
      </c>
      <c r="H63" s="21"/>
      <c r="I63" s="21">
        <f>G63+H63</f>
        <v>30000</v>
      </c>
      <c r="J63" s="110"/>
      <c r="K63" s="131"/>
      <c r="L63" s="131"/>
    </row>
    <row r="64" spans="2:10" ht="109.5" customHeight="1">
      <c r="B64" s="149" t="s">
        <v>249</v>
      </c>
      <c r="C64" s="149" t="s">
        <v>104</v>
      </c>
      <c r="D64" s="149" t="s">
        <v>28</v>
      </c>
      <c r="E64" s="162" t="s">
        <v>133</v>
      </c>
      <c r="F64" s="46" t="s">
        <v>62</v>
      </c>
      <c r="G64" s="21">
        <v>4303</v>
      </c>
      <c r="H64" s="21"/>
      <c r="I64" s="21">
        <f aca="true" t="shared" si="2" ref="I64:I84">G64+H64</f>
        <v>4303</v>
      </c>
      <c r="J64" s="110"/>
    </row>
    <row r="65" spans="2:10" ht="156" customHeight="1">
      <c r="B65" s="149"/>
      <c r="C65" s="149"/>
      <c r="D65" s="149"/>
      <c r="E65" s="162"/>
      <c r="F65" s="46" t="s">
        <v>349</v>
      </c>
      <c r="G65" s="21">
        <v>534620</v>
      </c>
      <c r="H65" s="21"/>
      <c r="I65" s="21">
        <f t="shared" si="2"/>
        <v>534620</v>
      </c>
      <c r="J65" s="110"/>
    </row>
    <row r="66" spans="2:10" ht="183" customHeight="1">
      <c r="B66" s="149"/>
      <c r="C66" s="149"/>
      <c r="D66" s="149"/>
      <c r="E66" s="162"/>
      <c r="F66" s="46" t="s">
        <v>378</v>
      </c>
      <c r="G66" s="22">
        <f>6033150+904800</f>
        <v>6937950</v>
      </c>
      <c r="H66" s="21"/>
      <c r="I66" s="21">
        <f t="shared" si="2"/>
        <v>6937950</v>
      </c>
      <c r="J66" s="110"/>
    </row>
    <row r="67" spans="2:10" ht="145.5" customHeight="1">
      <c r="B67" s="149"/>
      <c r="C67" s="149"/>
      <c r="D67" s="149"/>
      <c r="E67" s="162"/>
      <c r="F67" s="46" t="s">
        <v>85</v>
      </c>
      <c r="G67" s="22"/>
      <c r="H67" s="21">
        <f>4227000+46000+188000+49500</f>
        <v>4510500</v>
      </c>
      <c r="I67" s="21">
        <f t="shared" si="2"/>
        <v>4510500</v>
      </c>
      <c r="J67" s="110"/>
    </row>
    <row r="68" spans="2:10" ht="141.75" customHeight="1">
      <c r="B68" s="149" t="s">
        <v>250</v>
      </c>
      <c r="C68" s="149" t="s">
        <v>87</v>
      </c>
      <c r="D68" s="149" t="s">
        <v>29</v>
      </c>
      <c r="E68" s="163" t="s">
        <v>144</v>
      </c>
      <c r="F68" s="46" t="s">
        <v>62</v>
      </c>
      <c r="G68" s="22">
        <v>23800</v>
      </c>
      <c r="H68" s="21"/>
      <c r="I68" s="21">
        <f t="shared" si="2"/>
        <v>23800</v>
      </c>
      <c r="J68" s="110"/>
    </row>
    <row r="69" spans="2:10" ht="165.75" customHeight="1">
      <c r="B69" s="149"/>
      <c r="C69" s="149"/>
      <c r="D69" s="149"/>
      <c r="E69" s="163"/>
      <c r="F69" s="46" t="s">
        <v>349</v>
      </c>
      <c r="G69" s="22">
        <v>476000</v>
      </c>
      <c r="H69" s="21"/>
      <c r="I69" s="21">
        <f t="shared" si="2"/>
        <v>476000</v>
      </c>
      <c r="J69" s="110"/>
    </row>
    <row r="70" spans="2:10" ht="141.75" customHeight="1">
      <c r="B70" s="149"/>
      <c r="C70" s="149"/>
      <c r="D70" s="149"/>
      <c r="E70" s="163"/>
      <c r="F70" s="46" t="s">
        <v>68</v>
      </c>
      <c r="G70" s="22">
        <v>366200</v>
      </c>
      <c r="H70" s="21"/>
      <c r="I70" s="21">
        <f t="shared" si="2"/>
        <v>366200</v>
      </c>
      <c r="J70" s="110"/>
    </row>
    <row r="71" spans="2:10" ht="192.75" customHeight="1">
      <c r="B71" s="149"/>
      <c r="C71" s="149"/>
      <c r="D71" s="149"/>
      <c r="E71" s="163"/>
      <c r="F71" s="46" t="s">
        <v>378</v>
      </c>
      <c r="G71" s="21">
        <f>13235468+533346+1202400</f>
        <v>14971214</v>
      </c>
      <c r="H71" s="21"/>
      <c r="I71" s="21">
        <f t="shared" si="2"/>
        <v>14971214</v>
      </c>
      <c r="J71" s="110"/>
    </row>
    <row r="72" spans="2:10" ht="161.25" customHeight="1">
      <c r="B72" s="149"/>
      <c r="C72" s="149"/>
      <c r="D72" s="149"/>
      <c r="E72" s="163"/>
      <c r="F72" s="46" t="s">
        <v>85</v>
      </c>
      <c r="G72" s="21"/>
      <c r="H72" s="21">
        <f>6811000+500000+50000+140600</f>
        <v>7501600</v>
      </c>
      <c r="I72" s="21">
        <f t="shared" si="2"/>
        <v>7501600</v>
      </c>
      <c r="J72" s="110"/>
    </row>
    <row r="73" spans="2:10" ht="240.75" customHeight="1">
      <c r="B73" s="50" t="s">
        <v>251</v>
      </c>
      <c r="C73" s="50" t="s">
        <v>38</v>
      </c>
      <c r="D73" s="47" t="s">
        <v>86</v>
      </c>
      <c r="E73" s="48" t="s">
        <v>145</v>
      </c>
      <c r="F73" s="46" t="s">
        <v>85</v>
      </c>
      <c r="G73" s="21"/>
      <c r="H73" s="21">
        <v>150000</v>
      </c>
      <c r="I73" s="21">
        <f t="shared" si="2"/>
        <v>150000</v>
      </c>
      <c r="J73" s="110"/>
    </row>
    <row r="74" spans="2:10" ht="170.25" customHeight="1">
      <c r="B74" s="50" t="s">
        <v>252</v>
      </c>
      <c r="C74" s="50" t="s">
        <v>9</v>
      </c>
      <c r="D74" s="47" t="s">
        <v>79</v>
      </c>
      <c r="E74" s="48" t="s">
        <v>146</v>
      </c>
      <c r="F74" s="46" t="s">
        <v>85</v>
      </c>
      <c r="G74" s="21"/>
      <c r="H74" s="21">
        <v>600000</v>
      </c>
      <c r="I74" s="21">
        <f t="shared" si="2"/>
        <v>600000</v>
      </c>
      <c r="J74" s="110"/>
    </row>
    <row r="75" spans="2:10" ht="144" customHeight="1">
      <c r="B75" s="50" t="s">
        <v>253</v>
      </c>
      <c r="C75" s="50" t="s">
        <v>105</v>
      </c>
      <c r="D75" s="47" t="s">
        <v>30</v>
      </c>
      <c r="E75" s="48" t="s">
        <v>147</v>
      </c>
      <c r="F75" s="46" t="s">
        <v>85</v>
      </c>
      <c r="G75" s="21"/>
      <c r="H75" s="21">
        <v>150000</v>
      </c>
      <c r="I75" s="21">
        <f t="shared" si="2"/>
        <v>150000</v>
      </c>
      <c r="J75" s="110"/>
    </row>
    <row r="76" spans="2:10" ht="66" customHeight="1">
      <c r="B76" s="50" t="s">
        <v>254</v>
      </c>
      <c r="C76" s="50" t="s">
        <v>106</v>
      </c>
      <c r="D76" s="47" t="s">
        <v>30</v>
      </c>
      <c r="E76" s="48" t="s">
        <v>76</v>
      </c>
      <c r="F76" s="46"/>
      <c r="G76" s="21">
        <f>G77</f>
        <v>73780</v>
      </c>
      <c r="H76" s="21">
        <f>H77</f>
        <v>0</v>
      </c>
      <c r="I76" s="21">
        <f>I77</f>
        <v>73780</v>
      </c>
      <c r="J76" s="110"/>
    </row>
    <row r="77" spans="1:12" s="76" customFormat="1" ht="213" customHeight="1">
      <c r="A77" s="71"/>
      <c r="B77" s="81" t="s">
        <v>254</v>
      </c>
      <c r="C77" s="81" t="s">
        <v>106</v>
      </c>
      <c r="D77" s="72" t="s">
        <v>30</v>
      </c>
      <c r="E77" s="70" t="s">
        <v>352</v>
      </c>
      <c r="F77" s="73" t="s">
        <v>84</v>
      </c>
      <c r="G77" s="74">
        <v>73780</v>
      </c>
      <c r="H77" s="74"/>
      <c r="I77" s="74">
        <f t="shared" si="2"/>
        <v>73780</v>
      </c>
      <c r="J77" s="110"/>
      <c r="K77" s="129"/>
      <c r="L77" s="129"/>
    </row>
    <row r="78" spans="2:10" ht="121.5" customHeight="1">
      <c r="B78" s="150" t="s">
        <v>255</v>
      </c>
      <c r="C78" s="150" t="s">
        <v>114</v>
      </c>
      <c r="D78" s="149" t="s">
        <v>10</v>
      </c>
      <c r="E78" s="163" t="s">
        <v>135</v>
      </c>
      <c r="F78" s="46" t="s">
        <v>64</v>
      </c>
      <c r="G78" s="21">
        <v>2330000</v>
      </c>
      <c r="H78" s="21"/>
      <c r="I78" s="21">
        <f t="shared" si="2"/>
        <v>2330000</v>
      </c>
      <c r="J78" s="110"/>
    </row>
    <row r="79" spans="2:10" ht="163.5" customHeight="1">
      <c r="B79" s="150"/>
      <c r="C79" s="150"/>
      <c r="D79" s="149"/>
      <c r="E79" s="163"/>
      <c r="F79" s="46" t="s">
        <v>349</v>
      </c>
      <c r="G79" s="21">
        <v>2670000</v>
      </c>
      <c r="H79" s="21"/>
      <c r="I79" s="21">
        <f t="shared" si="2"/>
        <v>2670000</v>
      </c>
      <c r="J79" s="110"/>
    </row>
    <row r="80" spans="2:10" ht="64.5" customHeight="1">
      <c r="B80" s="50" t="s">
        <v>400</v>
      </c>
      <c r="C80" s="50" t="s">
        <v>388</v>
      </c>
      <c r="D80" s="47"/>
      <c r="E80" s="48" t="s">
        <v>399</v>
      </c>
      <c r="F80" s="46"/>
      <c r="G80" s="21">
        <f>G81</f>
        <v>3687518</v>
      </c>
      <c r="H80" s="21">
        <f>H81</f>
        <v>0</v>
      </c>
      <c r="I80" s="21">
        <f>I81</f>
        <v>3687518</v>
      </c>
      <c r="J80" s="110"/>
    </row>
    <row r="81" spans="1:12" s="76" customFormat="1" ht="135" customHeight="1">
      <c r="A81" s="71"/>
      <c r="B81" s="72" t="s">
        <v>401</v>
      </c>
      <c r="C81" s="72" t="s">
        <v>389</v>
      </c>
      <c r="D81" s="72" t="s">
        <v>16</v>
      </c>
      <c r="E81" s="70" t="s">
        <v>139</v>
      </c>
      <c r="F81" s="70" t="s">
        <v>65</v>
      </c>
      <c r="G81" s="74">
        <f>3585110+126200-33792+10000</f>
        <v>3687518</v>
      </c>
      <c r="H81" s="74"/>
      <c r="I81" s="74">
        <f t="shared" si="2"/>
        <v>3687518</v>
      </c>
      <c r="J81" s="110"/>
      <c r="K81" s="129"/>
      <c r="L81" s="129"/>
    </row>
    <row r="82" spans="1:12" s="89" customFormat="1" ht="144" customHeight="1">
      <c r="A82" s="88"/>
      <c r="B82" s="47" t="s">
        <v>316</v>
      </c>
      <c r="C82" s="47" t="s">
        <v>240</v>
      </c>
      <c r="D82" s="47" t="s">
        <v>49</v>
      </c>
      <c r="E82" s="48" t="s">
        <v>168</v>
      </c>
      <c r="F82" s="46" t="s">
        <v>377</v>
      </c>
      <c r="G82" s="22">
        <v>569500</v>
      </c>
      <c r="H82" s="22">
        <v>3794460</v>
      </c>
      <c r="I82" s="80">
        <f t="shared" si="2"/>
        <v>4363960</v>
      </c>
      <c r="J82" s="110"/>
      <c r="K82" s="132"/>
      <c r="L82" s="132"/>
    </row>
    <row r="83" spans="2:10" ht="159" customHeight="1">
      <c r="B83" s="50" t="s">
        <v>256</v>
      </c>
      <c r="C83" s="50" t="s">
        <v>190</v>
      </c>
      <c r="D83" s="47" t="s">
        <v>22</v>
      </c>
      <c r="E83" s="48" t="s">
        <v>88</v>
      </c>
      <c r="F83" s="48" t="s">
        <v>67</v>
      </c>
      <c r="G83" s="21"/>
      <c r="H83" s="21">
        <v>44600</v>
      </c>
      <c r="I83" s="21">
        <f t="shared" si="2"/>
        <v>44600</v>
      </c>
      <c r="J83" s="110"/>
    </row>
    <row r="84" spans="2:10" ht="154.5" customHeight="1">
      <c r="B84" s="50" t="s">
        <v>257</v>
      </c>
      <c r="C84" s="50" t="s">
        <v>214</v>
      </c>
      <c r="D84" s="47" t="s">
        <v>32</v>
      </c>
      <c r="E84" s="48" t="s">
        <v>31</v>
      </c>
      <c r="F84" s="48" t="s">
        <v>67</v>
      </c>
      <c r="G84" s="21"/>
      <c r="H84" s="21">
        <v>265000</v>
      </c>
      <c r="I84" s="21">
        <f t="shared" si="2"/>
        <v>265000</v>
      </c>
      <c r="J84" s="110"/>
    </row>
    <row r="85" spans="2:12" ht="97.5" customHeight="1">
      <c r="B85" s="47"/>
      <c r="C85" s="47"/>
      <c r="D85" s="47"/>
      <c r="E85" s="95" t="s">
        <v>33</v>
      </c>
      <c r="F85" s="48"/>
      <c r="G85" s="20">
        <f>SUM(G86:G91)</f>
        <v>351200</v>
      </c>
      <c r="H85" s="20">
        <f>SUM(H86:H91)</f>
        <v>37618050</v>
      </c>
      <c r="I85" s="20">
        <f>SUM(I86:I91)</f>
        <v>37969250</v>
      </c>
      <c r="J85" s="111"/>
      <c r="K85" s="130"/>
      <c r="L85" s="130"/>
    </row>
    <row r="86" spans="2:10" ht="153.75" customHeight="1">
      <c r="B86" s="47" t="s">
        <v>129</v>
      </c>
      <c r="C86" s="47" t="s">
        <v>55</v>
      </c>
      <c r="D86" s="47" t="s">
        <v>2</v>
      </c>
      <c r="E86" s="48" t="s">
        <v>415</v>
      </c>
      <c r="F86" s="46" t="s">
        <v>100</v>
      </c>
      <c r="G86" s="21">
        <v>5000</v>
      </c>
      <c r="H86" s="20"/>
      <c r="I86" s="21">
        <f aca="true" t="shared" si="3" ref="I86:I91">G86+H86</f>
        <v>5000</v>
      </c>
      <c r="J86" s="110"/>
    </row>
    <row r="87" spans="2:10" ht="222.75" customHeight="1">
      <c r="B87" s="50" t="s">
        <v>170</v>
      </c>
      <c r="C87" s="50" t="s">
        <v>107</v>
      </c>
      <c r="D87" s="47" t="s">
        <v>34</v>
      </c>
      <c r="E87" s="48" t="s">
        <v>148</v>
      </c>
      <c r="F87" s="49" t="s">
        <v>81</v>
      </c>
      <c r="G87" s="21">
        <f>42100+33000</f>
        <v>75100</v>
      </c>
      <c r="H87" s="21">
        <f>22150000+2500000+3000000+2025000+368050+150000</f>
        <v>30193050</v>
      </c>
      <c r="I87" s="21">
        <f t="shared" si="3"/>
        <v>30268150</v>
      </c>
      <c r="J87" s="110"/>
    </row>
    <row r="88" spans="2:10" ht="240.75" customHeight="1">
      <c r="B88" s="50" t="s">
        <v>171</v>
      </c>
      <c r="C88" s="50" t="s">
        <v>108</v>
      </c>
      <c r="D88" s="47" t="s">
        <v>35</v>
      </c>
      <c r="E88" s="48" t="s">
        <v>149</v>
      </c>
      <c r="F88" s="49" t="s">
        <v>81</v>
      </c>
      <c r="G88" s="21">
        <v>150000</v>
      </c>
      <c r="H88" s="21">
        <v>3500000</v>
      </c>
      <c r="I88" s="21">
        <f t="shared" si="3"/>
        <v>3650000</v>
      </c>
      <c r="J88" s="110"/>
    </row>
    <row r="89" spans="2:10" ht="234.75" customHeight="1">
      <c r="B89" s="50" t="s">
        <v>172</v>
      </c>
      <c r="C89" s="50" t="s">
        <v>109</v>
      </c>
      <c r="D89" s="47" t="s">
        <v>36</v>
      </c>
      <c r="E89" s="48" t="s">
        <v>150</v>
      </c>
      <c r="F89" s="49" t="s">
        <v>81</v>
      </c>
      <c r="G89" s="21"/>
      <c r="H89" s="21">
        <v>1000000</v>
      </c>
      <c r="I89" s="21">
        <f t="shared" si="3"/>
        <v>1000000</v>
      </c>
      <c r="J89" s="110"/>
    </row>
    <row r="90" spans="2:10" ht="249.75" customHeight="1">
      <c r="B90" s="50" t="s">
        <v>173</v>
      </c>
      <c r="C90" s="50" t="s">
        <v>110</v>
      </c>
      <c r="D90" s="47" t="s">
        <v>37</v>
      </c>
      <c r="E90" s="48" t="s">
        <v>151</v>
      </c>
      <c r="F90" s="49" t="s">
        <v>81</v>
      </c>
      <c r="G90" s="21"/>
      <c r="H90" s="21">
        <f>1250000+475000</f>
        <v>1725000</v>
      </c>
      <c r="I90" s="21">
        <f t="shared" si="3"/>
        <v>1725000</v>
      </c>
      <c r="J90" s="110"/>
    </row>
    <row r="91" spans="2:10" ht="105.75" customHeight="1">
      <c r="B91" s="47" t="s">
        <v>332</v>
      </c>
      <c r="C91" s="47" t="s">
        <v>240</v>
      </c>
      <c r="D91" s="47" t="s">
        <v>49</v>
      </c>
      <c r="E91" s="48" t="s">
        <v>168</v>
      </c>
      <c r="F91" s="46" t="s">
        <v>377</v>
      </c>
      <c r="G91" s="21">
        <v>121100</v>
      </c>
      <c r="H91" s="21">
        <v>1200000</v>
      </c>
      <c r="I91" s="21">
        <f t="shared" si="3"/>
        <v>1321100</v>
      </c>
      <c r="J91" s="110"/>
    </row>
    <row r="92" spans="2:12" ht="114" customHeight="1">
      <c r="B92" s="47"/>
      <c r="C92" s="47"/>
      <c r="D92" s="47"/>
      <c r="E92" s="95" t="s">
        <v>92</v>
      </c>
      <c r="F92" s="46"/>
      <c r="G92" s="20">
        <f>G93+G94+G102+G103+G105+G106+G109+G110+G111+G114</f>
        <v>49108587</v>
      </c>
      <c r="H92" s="20">
        <f>H93+H94+H102+H103+H105+H106+H109+H110+H111+H114</f>
        <v>454612</v>
      </c>
      <c r="I92" s="20">
        <f>I93+I94+I102+I103+I105+I106+I109+I110+I111+I114</f>
        <v>49563199</v>
      </c>
      <c r="J92" s="111"/>
      <c r="K92" s="130"/>
      <c r="L92" s="130"/>
    </row>
    <row r="93" spans="2:10" ht="143.25" customHeight="1">
      <c r="B93" s="51">
        <v>1510180</v>
      </c>
      <c r="C93" s="47" t="s">
        <v>55</v>
      </c>
      <c r="D93" s="51" t="s">
        <v>2</v>
      </c>
      <c r="E93" s="104" t="s">
        <v>415</v>
      </c>
      <c r="F93" s="48" t="s">
        <v>61</v>
      </c>
      <c r="G93" s="22">
        <v>49000</v>
      </c>
      <c r="H93" s="22"/>
      <c r="I93" s="21">
        <f>G93+H93</f>
        <v>49000</v>
      </c>
      <c r="J93" s="110"/>
    </row>
    <row r="94" spans="2:10" ht="373.5" customHeight="1">
      <c r="B94" s="154">
        <v>1513030</v>
      </c>
      <c r="C94" s="144" t="s">
        <v>258</v>
      </c>
      <c r="D94" s="167">
        <v>1030</v>
      </c>
      <c r="E94" s="104" t="s">
        <v>372</v>
      </c>
      <c r="F94" s="169"/>
      <c r="G94" s="164">
        <f>G96+G98+G99+G100+G101</f>
        <v>36102173</v>
      </c>
      <c r="H94" s="164">
        <f>H96+H98+H99+H100+H101</f>
        <v>154612</v>
      </c>
      <c r="I94" s="164">
        <f>I96+I98+I99+I100+I101</f>
        <v>36256785</v>
      </c>
      <c r="J94" s="112"/>
    </row>
    <row r="95" spans="2:10" ht="154.5" customHeight="1">
      <c r="B95" s="155"/>
      <c r="C95" s="145"/>
      <c r="D95" s="168"/>
      <c r="E95" s="105" t="s">
        <v>370</v>
      </c>
      <c r="F95" s="170"/>
      <c r="G95" s="165"/>
      <c r="H95" s="165"/>
      <c r="I95" s="165"/>
      <c r="J95" s="112"/>
    </row>
    <row r="96" spans="1:12" s="85" customFormat="1" ht="367.5" customHeight="1">
      <c r="A96" s="83"/>
      <c r="B96" s="152" t="s">
        <v>299</v>
      </c>
      <c r="C96" s="152" t="s">
        <v>116</v>
      </c>
      <c r="D96" s="174">
        <v>1030</v>
      </c>
      <c r="E96" s="139" t="s">
        <v>374</v>
      </c>
      <c r="F96" s="176" t="s">
        <v>62</v>
      </c>
      <c r="G96" s="178">
        <v>270200</v>
      </c>
      <c r="H96" s="178">
        <f>150000+4612</f>
        <v>154612</v>
      </c>
      <c r="I96" s="172">
        <f aca="true" t="shared" si="4" ref="I96:I102">G96+H96</f>
        <v>424812</v>
      </c>
      <c r="J96" s="112"/>
      <c r="K96" s="133"/>
      <c r="L96" s="133"/>
    </row>
    <row r="97" spans="1:12" s="85" customFormat="1" ht="208.5" customHeight="1">
      <c r="A97" s="83"/>
      <c r="B97" s="153"/>
      <c r="C97" s="153"/>
      <c r="D97" s="175"/>
      <c r="E97" s="101" t="s">
        <v>373</v>
      </c>
      <c r="F97" s="177"/>
      <c r="G97" s="179"/>
      <c r="H97" s="179"/>
      <c r="I97" s="173"/>
      <c r="J97" s="112"/>
      <c r="K97" s="133"/>
      <c r="L97" s="133"/>
    </row>
    <row r="98" spans="1:12" s="76" customFormat="1" ht="279.75" customHeight="1">
      <c r="A98" s="71"/>
      <c r="B98" s="72" t="s">
        <v>300</v>
      </c>
      <c r="C98" s="72" t="s">
        <v>117</v>
      </c>
      <c r="D98" s="84">
        <v>1070</v>
      </c>
      <c r="E98" s="101" t="s">
        <v>152</v>
      </c>
      <c r="F98" s="70" t="s">
        <v>62</v>
      </c>
      <c r="G98" s="80">
        <v>74666</v>
      </c>
      <c r="H98" s="80"/>
      <c r="I98" s="75">
        <f t="shared" si="4"/>
        <v>74666</v>
      </c>
      <c r="J98" s="112"/>
      <c r="K98" s="129"/>
      <c r="L98" s="129"/>
    </row>
    <row r="99" spans="1:12" s="76" customFormat="1" ht="102.75" customHeight="1">
      <c r="A99" s="71"/>
      <c r="B99" s="72" t="s">
        <v>301</v>
      </c>
      <c r="C99" s="72" t="s">
        <v>118</v>
      </c>
      <c r="D99" s="84">
        <v>1070</v>
      </c>
      <c r="E99" s="70" t="s">
        <v>154</v>
      </c>
      <c r="F99" s="70" t="s">
        <v>62</v>
      </c>
      <c r="G99" s="80">
        <f>1562305+15152</f>
        <v>1577457</v>
      </c>
      <c r="H99" s="80"/>
      <c r="I99" s="75">
        <f t="shared" si="4"/>
        <v>1577457</v>
      </c>
      <c r="J99" s="112"/>
      <c r="K99" s="129"/>
      <c r="L99" s="129"/>
    </row>
    <row r="100" spans="1:12" s="76" customFormat="1" ht="168.75" customHeight="1">
      <c r="A100" s="71"/>
      <c r="B100" s="72" t="s">
        <v>303</v>
      </c>
      <c r="C100" s="72" t="s">
        <v>302</v>
      </c>
      <c r="D100" s="72" t="s">
        <v>38</v>
      </c>
      <c r="E100" s="70" t="s">
        <v>94</v>
      </c>
      <c r="F100" s="70" t="s">
        <v>62</v>
      </c>
      <c r="G100" s="80">
        <f>5552643+3427694</f>
        <v>8980337</v>
      </c>
      <c r="H100" s="80"/>
      <c r="I100" s="75">
        <f t="shared" si="4"/>
        <v>8980337</v>
      </c>
      <c r="J100" s="112"/>
      <c r="K100" s="129"/>
      <c r="L100" s="129"/>
    </row>
    <row r="101" spans="1:12" s="76" customFormat="1" ht="153.75" customHeight="1">
      <c r="A101" s="71"/>
      <c r="B101" s="72" t="s">
        <v>304</v>
      </c>
      <c r="C101" s="72" t="s">
        <v>259</v>
      </c>
      <c r="D101" s="72" t="s">
        <v>38</v>
      </c>
      <c r="E101" s="70" t="s">
        <v>41</v>
      </c>
      <c r="F101" s="70" t="s">
        <v>62</v>
      </c>
      <c r="G101" s="80">
        <f>16255544+8943969</f>
        <v>25199513</v>
      </c>
      <c r="H101" s="80"/>
      <c r="I101" s="75">
        <f t="shared" si="4"/>
        <v>25199513</v>
      </c>
      <c r="J101" s="112"/>
      <c r="K101" s="129"/>
      <c r="L101" s="129"/>
    </row>
    <row r="102" spans="2:10" ht="139.5" customHeight="1">
      <c r="B102" s="51">
        <v>1513050</v>
      </c>
      <c r="C102" s="51">
        <v>3050</v>
      </c>
      <c r="D102" s="51">
        <v>1070</v>
      </c>
      <c r="E102" s="48" t="s">
        <v>153</v>
      </c>
      <c r="F102" s="48" t="s">
        <v>62</v>
      </c>
      <c r="G102" s="22">
        <v>540500</v>
      </c>
      <c r="H102" s="22"/>
      <c r="I102" s="21">
        <f t="shared" si="4"/>
        <v>540500</v>
      </c>
      <c r="J102" s="112"/>
    </row>
    <row r="103" spans="2:10" ht="145.5" customHeight="1">
      <c r="B103" s="51">
        <v>1513100</v>
      </c>
      <c r="C103" s="51">
        <v>3100</v>
      </c>
      <c r="D103" s="51"/>
      <c r="E103" s="48" t="s">
        <v>305</v>
      </c>
      <c r="F103" s="48"/>
      <c r="G103" s="22">
        <f>G104</f>
        <v>201300</v>
      </c>
      <c r="H103" s="22">
        <f>H104</f>
        <v>0</v>
      </c>
      <c r="I103" s="22">
        <f>I104</f>
        <v>201300</v>
      </c>
      <c r="J103" s="112"/>
    </row>
    <row r="104" spans="2:10" ht="117" customHeight="1">
      <c r="B104" s="72" t="s">
        <v>306</v>
      </c>
      <c r="C104" s="72" t="s">
        <v>121</v>
      </c>
      <c r="D104" s="72" t="s">
        <v>87</v>
      </c>
      <c r="E104" s="70" t="s">
        <v>156</v>
      </c>
      <c r="F104" s="70" t="s">
        <v>62</v>
      </c>
      <c r="G104" s="80">
        <v>201300</v>
      </c>
      <c r="H104" s="80"/>
      <c r="I104" s="74">
        <f>G104+H104</f>
        <v>201300</v>
      </c>
      <c r="J104" s="112"/>
    </row>
    <row r="105" spans="2:10" ht="229.5" customHeight="1">
      <c r="B105" s="47" t="s">
        <v>307</v>
      </c>
      <c r="C105" s="47" t="s">
        <v>122</v>
      </c>
      <c r="D105" s="47" t="s">
        <v>5</v>
      </c>
      <c r="E105" s="48" t="s">
        <v>157</v>
      </c>
      <c r="F105" s="48" t="s">
        <v>62</v>
      </c>
      <c r="G105" s="22">
        <v>1832454</v>
      </c>
      <c r="H105" s="22"/>
      <c r="I105" s="21">
        <f>G105+H105</f>
        <v>1832454</v>
      </c>
      <c r="J105" s="112"/>
    </row>
    <row r="106" spans="2:10" ht="73.5" customHeight="1">
      <c r="B106" s="47" t="s">
        <v>309</v>
      </c>
      <c r="C106" s="47" t="s">
        <v>308</v>
      </c>
      <c r="D106" s="47"/>
      <c r="E106" s="48" t="s">
        <v>310</v>
      </c>
      <c r="F106" s="48"/>
      <c r="G106" s="22">
        <f>G107+G108</f>
        <v>2532330</v>
      </c>
      <c r="H106" s="22">
        <f>H107+H108</f>
        <v>0</v>
      </c>
      <c r="I106" s="22">
        <f>I107+I108</f>
        <v>2532330</v>
      </c>
      <c r="J106" s="112"/>
    </row>
    <row r="107" spans="1:12" s="76" customFormat="1" ht="139.5" customHeight="1">
      <c r="A107" s="71"/>
      <c r="B107" s="72" t="s">
        <v>311</v>
      </c>
      <c r="C107" s="72" t="s">
        <v>119</v>
      </c>
      <c r="D107" s="72" t="s">
        <v>40</v>
      </c>
      <c r="E107" s="70" t="s">
        <v>39</v>
      </c>
      <c r="F107" s="70" t="s">
        <v>62</v>
      </c>
      <c r="G107" s="80">
        <f>1346729+73171</f>
        <v>1419900</v>
      </c>
      <c r="H107" s="80"/>
      <c r="I107" s="75">
        <f>G107+H107</f>
        <v>1419900</v>
      </c>
      <c r="J107" s="112"/>
      <c r="K107" s="129"/>
      <c r="L107" s="129"/>
    </row>
    <row r="108" spans="1:12" s="76" customFormat="1" ht="142.5" customHeight="1">
      <c r="A108" s="71"/>
      <c r="B108" s="72" t="s">
        <v>312</v>
      </c>
      <c r="C108" s="72" t="s">
        <v>123</v>
      </c>
      <c r="D108" s="72" t="s">
        <v>40</v>
      </c>
      <c r="E108" s="70" t="s">
        <v>158</v>
      </c>
      <c r="F108" s="70" t="s">
        <v>62</v>
      </c>
      <c r="G108" s="80">
        <f>863275+249155</f>
        <v>1112430</v>
      </c>
      <c r="H108" s="80"/>
      <c r="I108" s="75">
        <f>G108+H108</f>
        <v>1112430</v>
      </c>
      <c r="J108" s="112"/>
      <c r="K108" s="129"/>
      <c r="L108" s="129"/>
    </row>
    <row r="109" spans="1:12" s="76" customFormat="1" ht="121.5" customHeight="1">
      <c r="A109" s="71"/>
      <c r="B109" s="47" t="s">
        <v>314</v>
      </c>
      <c r="C109" s="47" t="s">
        <v>124</v>
      </c>
      <c r="D109" s="47" t="s">
        <v>87</v>
      </c>
      <c r="E109" s="48" t="s">
        <v>159</v>
      </c>
      <c r="F109" s="48" t="s">
        <v>62</v>
      </c>
      <c r="G109" s="22">
        <f>90000+70000</f>
        <v>160000</v>
      </c>
      <c r="H109" s="22"/>
      <c r="I109" s="21">
        <f>G109+H109</f>
        <v>160000</v>
      </c>
      <c r="J109" s="112"/>
      <c r="K109" s="129"/>
      <c r="L109" s="129"/>
    </row>
    <row r="110" spans="1:12" s="76" customFormat="1" ht="115.5" customHeight="1">
      <c r="A110" s="71"/>
      <c r="B110" s="47" t="s">
        <v>313</v>
      </c>
      <c r="C110" s="47" t="s">
        <v>120</v>
      </c>
      <c r="D110" s="47" t="s">
        <v>74</v>
      </c>
      <c r="E110" s="48" t="s">
        <v>155</v>
      </c>
      <c r="F110" s="48" t="s">
        <v>60</v>
      </c>
      <c r="G110" s="22">
        <f>285600+100000</f>
        <v>385600</v>
      </c>
      <c r="H110" s="22"/>
      <c r="I110" s="21">
        <f>G110+H110</f>
        <v>385600</v>
      </c>
      <c r="J110" s="112"/>
      <c r="K110" s="129"/>
      <c r="L110" s="129"/>
    </row>
    <row r="111" spans="1:12" s="10" customFormat="1" ht="70.5" customHeight="1">
      <c r="A111" s="1"/>
      <c r="B111" s="47" t="s">
        <v>315</v>
      </c>
      <c r="C111" s="47" t="s">
        <v>111</v>
      </c>
      <c r="D111" s="47" t="s">
        <v>9</v>
      </c>
      <c r="E111" s="48" t="s">
        <v>8</v>
      </c>
      <c r="F111" s="68"/>
      <c r="G111" s="22">
        <f>G112+G113</f>
        <v>7305230</v>
      </c>
      <c r="H111" s="22">
        <f>H112+H113</f>
        <v>0</v>
      </c>
      <c r="I111" s="22">
        <f>I112+I113</f>
        <v>7305230</v>
      </c>
      <c r="J111" s="112"/>
      <c r="K111" s="125"/>
      <c r="L111" s="125"/>
    </row>
    <row r="112" spans="1:12" s="76" customFormat="1" ht="150.75" customHeight="1">
      <c r="A112" s="71"/>
      <c r="B112" s="72" t="s">
        <v>315</v>
      </c>
      <c r="C112" s="72" t="s">
        <v>111</v>
      </c>
      <c r="D112" s="72" t="s">
        <v>9</v>
      </c>
      <c r="E112" s="73" t="s">
        <v>353</v>
      </c>
      <c r="F112" s="70" t="s">
        <v>62</v>
      </c>
      <c r="G112" s="80">
        <f>2263526+129000+193500+400000+569700</f>
        <v>3555726</v>
      </c>
      <c r="H112" s="80"/>
      <c r="I112" s="74">
        <f>G112+H112</f>
        <v>3555726</v>
      </c>
      <c r="J112" s="112"/>
      <c r="K112" s="129"/>
      <c r="L112" s="129"/>
    </row>
    <row r="113" spans="1:12" s="76" customFormat="1" ht="186.75" customHeight="1">
      <c r="A113" s="71"/>
      <c r="B113" s="72" t="s">
        <v>315</v>
      </c>
      <c r="C113" s="72" t="s">
        <v>111</v>
      </c>
      <c r="D113" s="72" t="s">
        <v>9</v>
      </c>
      <c r="E113" s="73" t="s">
        <v>349</v>
      </c>
      <c r="F113" s="70" t="s">
        <v>349</v>
      </c>
      <c r="G113" s="80">
        <f>2749504+1000000</f>
        <v>3749504</v>
      </c>
      <c r="H113" s="80"/>
      <c r="I113" s="75">
        <f>G113+H113</f>
        <v>3749504</v>
      </c>
      <c r="J113" s="112"/>
      <c r="K113" s="129"/>
      <c r="L113" s="129"/>
    </row>
    <row r="114" spans="1:12" s="76" customFormat="1" ht="117.75" customHeight="1">
      <c r="A114" s="71"/>
      <c r="B114" s="47" t="s">
        <v>333</v>
      </c>
      <c r="C114" s="47" t="s">
        <v>240</v>
      </c>
      <c r="D114" s="47" t="s">
        <v>49</v>
      </c>
      <c r="E114" s="48" t="s">
        <v>168</v>
      </c>
      <c r="F114" s="46" t="s">
        <v>377</v>
      </c>
      <c r="G114" s="80"/>
      <c r="H114" s="80">
        <v>300000</v>
      </c>
      <c r="I114" s="75">
        <f>G114+H114</f>
        <v>300000</v>
      </c>
      <c r="J114" s="112"/>
      <c r="K114" s="129"/>
      <c r="L114" s="129"/>
    </row>
    <row r="115" spans="2:10" ht="93" customHeight="1">
      <c r="B115" s="47"/>
      <c r="C115" s="47"/>
      <c r="D115" s="47"/>
      <c r="E115" s="95" t="s">
        <v>42</v>
      </c>
      <c r="F115" s="46"/>
      <c r="G115" s="20">
        <f aca="true" t="shared" si="5" ref="G115:I116">G116</f>
        <v>55000</v>
      </c>
      <c r="H115" s="20">
        <f t="shared" si="5"/>
        <v>0</v>
      </c>
      <c r="I115" s="20">
        <f t="shared" si="5"/>
        <v>55000</v>
      </c>
      <c r="J115" s="112"/>
    </row>
    <row r="116" spans="2:10" ht="98.25" customHeight="1">
      <c r="B116" s="51">
        <v>2013110</v>
      </c>
      <c r="C116" s="47" t="s">
        <v>175</v>
      </c>
      <c r="D116" s="51">
        <v>1040</v>
      </c>
      <c r="E116" s="48" t="s">
        <v>174</v>
      </c>
      <c r="F116" s="46"/>
      <c r="G116" s="21">
        <f t="shared" si="5"/>
        <v>55000</v>
      </c>
      <c r="H116" s="21">
        <f t="shared" si="5"/>
        <v>0</v>
      </c>
      <c r="I116" s="21">
        <f t="shared" si="5"/>
        <v>55000</v>
      </c>
      <c r="J116" s="112"/>
    </row>
    <row r="117" spans="1:12" s="76" customFormat="1" ht="138" customHeight="1">
      <c r="A117" s="71"/>
      <c r="B117" s="72" t="s">
        <v>177</v>
      </c>
      <c r="C117" s="72" t="s">
        <v>176</v>
      </c>
      <c r="D117" s="72" t="s">
        <v>10</v>
      </c>
      <c r="E117" s="70" t="s">
        <v>160</v>
      </c>
      <c r="F117" s="73" t="s">
        <v>405</v>
      </c>
      <c r="G117" s="74">
        <v>55000</v>
      </c>
      <c r="H117" s="74"/>
      <c r="I117" s="75">
        <f>G117+H117</f>
        <v>55000</v>
      </c>
      <c r="J117" s="112"/>
      <c r="K117" s="129"/>
      <c r="L117" s="129"/>
    </row>
    <row r="118" spans="2:10" ht="114.75" customHeight="1">
      <c r="B118" s="47"/>
      <c r="C118" s="47"/>
      <c r="D118" s="47"/>
      <c r="E118" s="95" t="s">
        <v>43</v>
      </c>
      <c r="F118" s="46"/>
      <c r="G118" s="20">
        <f>G119+G120+G121+G122+G123</f>
        <v>1883473</v>
      </c>
      <c r="H118" s="20">
        <f>H119+H120+H121+H122+H123</f>
        <v>3254427</v>
      </c>
      <c r="I118" s="20">
        <f>I119+I120+I121+I122+I123</f>
        <v>5137900</v>
      </c>
      <c r="J118" s="112"/>
    </row>
    <row r="119" spans="2:10" ht="168.75" customHeight="1">
      <c r="B119" s="47" t="s">
        <v>350</v>
      </c>
      <c r="C119" s="47" t="s">
        <v>55</v>
      </c>
      <c r="D119" s="51" t="s">
        <v>2</v>
      </c>
      <c r="E119" s="48" t="s">
        <v>415</v>
      </c>
      <c r="F119" s="46" t="s">
        <v>100</v>
      </c>
      <c r="G119" s="21">
        <v>30000</v>
      </c>
      <c r="H119" s="20"/>
      <c r="I119" s="21">
        <f>G119+H119</f>
        <v>30000</v>
      </c>
      <c r="J119" s="112"/>
    </row>
    <row r="120" spans="2:10" ht="162.75" customHeight="1">
      <c r="B120" s="47" t="s">
        <v>179</v>
      </c>
      <c r="C120" s="47" t="s">
        <v>178</v>
      </c>
      <c r="D120" s="47" t="s">
        <v>44</v>
      </c>
      <c r="E120" s="48" t="s">
        <v>161</v>
      </c>
      <c r="F120" s="46" t="s">
        <v>82</v>
      </c>
      <c r="G120" s="21">
        <f>1443500+50000</f>
        <v>1493500</v>
      </c>
      <c r="H120" s="21"/>
      <c r="I120" s="21">
        <f>G120+H120</f>
        <v>1493500</v>
      </c>
      <c r="J120" s="112"/>
    </row>
    <row r="121" spans="2:10" ht="231.75" customHeight="1">
      <c r="B121" s="47" t="s">
        <v>181</v>
      </c>
      <c r="C121" s="47" t="s">
        <v>180</v>
      </c>
      <c r="D121" s="47" t="s">
        <v>77</v>
      </c>
      <c r="E121" s="48" t="s">
        <v>78</v>
      </c>
      <c r="F121" s="46" t="s">
        <v>83</v>
      </c>
      <c r="G121" s="22">
        <f>199000+91000</f>
        <v>290000</v>
      </c>
      <c r="H121" s="21">
        <f>460000+600000-25000+10000</f>
        <v>1045000</v>
      </c>
      <c r="I121" s="21">
        <f>G121+H121</f>
        <v>1335000</v>
      </c>
      <c r="J121" s="112"/>
    </row>
    <row r="122" spans="2:10" ht="261.75" customHeight="1">
      <c r="B122" s="47" t="s">
        <v>183</v>
      </c>
      <c r="C122" s="47" t="s">
        <v>182</v>
      </c>
      <c r="D122" s="47" t="s">
        <v>79</v>
      </c>
      <c r="E122" s="48" t="s">
        <v>80</v>
      </c>
      <c r="F122" s="46" t="s">
        <v>83</v>
      </c>
      <c r="G122" s="22">
        <f>7400+62573</f>
        <v>69973</v>
      </c>
      <c r="H122" s="22">
        <f>300000+300000+42427-250000+15000</f>
        <v>407427</v>
      </c>
      <c r="I122" s="21">
        <f>G122+H122</f>
        <v>477400</v>
      </c>
      <c r="J122" s="112"/>
    </row>
    <row r="123" spans="2:10" ht="159.75" customHeight="1">
      <c r="B123" s="47" t="s">
        <v>334</v>
      </c>
      <c r="C123" s="47" t="s">
        <v>240</v>
      </c>
      <c r="D123" s="47" t="s">
        <v>49</v>
      </c>
      <c r="E123" s="48" t="s">
        <v>168</v>
      </c>
      <c r="F123" s="46" t="s">
        <v>377</v>
      </c>
      <c r="G123" s="22"/>
      <c r="H123" s="22">
        <f>1527000+275000</f>
        <v>1802000</v>
      </c>
      <c r="I123" s="21">
        <f>G123+H123</f>
        <v>1802000</v>
      </c>
      <c r="J123" s="112"/>
    </row>
    <row r="124" spans="2:12" ht="129" customHeight="1">
      <c r="B124" s="47"/>
      <c r="C124" s="47"/>
      <c r="D124" s="47"/>
      <c r="E124" s="95" t="s">
        <v>45</v>
      </c>
      <c r="F124" s="46"/>
      <c r="G124" s="20">
        <f>G125+G126+G127+G128+G129+G132+G134+G135+G136+G141+G142+G143+G144+G145+G146+G149+G151+G152+G153+G140+G137+G138</f>
        <v>72260082</v>
      </c>
      <c r="H124" s="20">
        <f>H125+H126+H127+H128+H129+H132+H134+H135+H136+H141+H142+H143+H144+H145+H146+H149+H151+H152+H153+H140+H137+H138</f>
        <v>162993498</v>
      </c>
      <c r="I124" s="20">
        <f>I125+I126+I127+I128+I129+I132+I134+I135+I136+I141+I142+I143+I144+I145+I146+I149+I151+I152+I153+I140+I137+I138</f>
        <v>235253580</v>
      </c>
      <c r="J124" s="118"/>
      <c r="K124" s="134"/>
      <c r="L124" s="134"/>
    </row>
    <row r="125" spans="2:10" ht="153.75" customHeight="1">
      <c r="B125" s="47" t="s">
        <v>130</v>
      </c>
      <c r="C125" s="47" t="s">
        <v>55</v>
      </c>
      <c r="D125" s="51" t="s">
        <v>2</v>
      </c>
      <c r="E125" s="48" t="s">
        <v>415</v>
      </c>
      <c r="F125" s="46" t="s">
        <v>61</v>
      </c>
      <c r="G125" s="21">
        <v>40000</v>
      </c>
      <c r="H125" s="21"/>
      <c r="I125" s="21">
        <f>G125+H125</f>
        <v>40000</v>
      </c>
      <c r="J125" s="112"/>
    </row>
    <row r="126" spans="2:10" ht="186" customHeight="1">
      <c r="B126" s="149" t="s">
        <v>221</v>
      </c>
      <c r="C126" s="149" t="s">
        <v>120</v>
      </c>
      <c r="D126" s="149" t="s">
        <v>74</v>
      </c>
      <c r="E126" s="163" t="s">
        <v>75</v>
      </c>
      <c r="F126" s="48" t="s">
        <v>25</v>
      </c>
      <c r="G126" s="21">
        <f>350000+150000</f>
        <v>500000</v>
      </c>
      <c r="H126" s="21"/>
      <c r="I126" s="21">
        <f aca="true" t="shared" si="6" ref="I126:I145">G126+H126</f>
        <v>500000</v>
      </c>
      <c r="J126" s="112"/>
    </row>
    <row r="127" spans="2:10" ht="114.75" customHeight="1">
      <c r="B127" s="149"/>
      <c r="C127" s="149"/>
      <c r="D127" s="149"/>
      <c r="E127" s="163"/>
      <c r="F127" s="48" t="s">
        <v>60</v>
      </c>
      <c r="G127" s="21">
        <f>14400</f>
        <v>14400</v>
      </c>
      <c r="H127" s="21"/>
      <c r="I127" s="21">
        <f t="shared" si="6"/>
        <v>14400</v>
      </c>
      <c r="J127" s="112"/>
    </row>
    <row r="128" spans="2:10" ht="201" customHeight="1">
      <c r="B128" s="47" t="s">
        <v>223</v>
      </c>
      <c r="C128" s="47" t="s">
        <v>222</v>
      </c>
      <c r="D128" s="47" t="s">
        <v>46</v>
      </c>
      <c r="E128" s="48" t="s">
        <v>162</v>
      </c>
      <c r="F128" s="46" t="s">
        <v>25</v>
      </c>
      <c r="G128" s="21">
        <f>1500000+72000</f>
        <v>1572000</v>
      </c>
      <c r="H128" s="21"/>
      <c r="I128" s="21">
        <f t="shared" si="6"/>
        <v>1572000</v>
      </c>
      <c r="J128" s="112"/>
    </row>
    <row r="129" spans="2:10" ht="119.25" customHeight="1">
      <c r="B129" s="47" t="s">
        <v>226</v>
      </c>
      <c r="C129" s="47" t="s">
        <v>225</v>
      </c>
      <c r="D129" s="47"/>
      <c r="E129" s="46" t="s">
        <v>224</v>
      </c>
      <c r="F129" s="46"/>
      <c r="G129" s="21">
        <f>G130+G131</f>
        <v>480000</v>
      </c>
      <c r="H129" s="21">
        <f>H130+H131</f>
        <v>71960000</v>
      </c>
      <c r="I129" s="21">
        <f>I130+I131</f>
        <v>72440000</v>
      </c>
      <c r="J129" s="110"/>
    </row>
    <row r="130" spans="1:12" s="76" customFormat="1" ht="186" customHeight="1">
      <c r="A130" s="71"/>
      <c r="B130" s="72" t="s">
        <v>229</v>
      </c>
      <c r="C130" s="72" t="s">
        <v>227</v>
      </c>
      <c r="D130" s="72" t="s">
        <v>46</v>
      </c>
      <c r="E130" s="70" t="s">
        <v>163</v>
      </c>
      <c r="F130" s="73" t="s">
        <v>25</v>
      </c>
      <c r="G130" s="74">
        <v>480000</v>
      </c>
      <c r="H130" s="74">
        <f>35327958+1500000+18960000-327958</f>
        <v>55460000</v>
      </c>
      <c r="I130" s="74">
        <f t="shared" si="6"/>
        <v>55940000</v>
      </c>
      <c r="J130" s="110"/>
      <c r="K130" s="129"/>
      <c r="L130" s="129"/>
    </row>
    <row r="131" spans="1:12" s="76" customFormat="1" ht="171" customHeight="1">
      <c r="A131" s="71"/>
      <c r="B131" s="72" t="s">
        <v>230</v>
      </c>
      <c r="C131" s="72" t="s">
        <v>228</v>
      </c>
      <c r="D131" s="72" t="s">
        <v>46</v>
      </c>
      <c r="E131" s="70" t="s">
        <v>47</v>
      </c>
      <c r="F131" s="77" t="s">
        <v>25</v>
      </c>
      <c r="G131" s="74"/>
      <c r="H131" s="74">
        <f>15000000+500000+1000000</f>
        <v>16500000</v>
      </c>
      <c r="I131" s="74">
        <f t="shared" si="6"/>
        <v>16500000</v>
      </c>
      <c r="J131" s="110"/>
      <c r="K131" s="129"/>
      <c r="L131" s="129"/>
    </row>
    <row r="132" spans="1:12" s="10" customFormat="1" ht="111" customHeight="1">
      <c r="A132" s="1"/>
      <c r="B132" s="47" t="s">
        <v>233</v>
      </c>
      <c r="C132" s="47" t="s">
        <v>232</v>
      </c>
      <c r="D132" s="47"/>
      <c r="E132" s="48" t="s">
        <v>231</v>
      </c>
      <c r="F132" s="49"/>
      <c r="G132" s="21">
        <f>G133</f>
        <v>3417000</v>
      </c>
      <c r="H132" s="21">
        <f>H133</f>
        <v>0</v>
      </c>
      <c r="I132" s="21">
        <f>I133</f>
        <v>3417000</v>
      </c>
      <c r="J132" s="110"/>
      <c r="K132" s="125"/>
      <c r="L132" s="125"/>
    </row>
    <row r="133" spans="1:12" s="76" customFormat="1" ht="168" customHeight="1">
      <c r="A133" s="71"/>
      <c r="B133" s="81" t="s">
        <v>235</v>
      </c>
      <c r="C133" s="81" t="s">
        <v>234</v>
      </c>
      <c r="D133" s="72" t="s">
        <v>14</v>
      </c>
      <c r="E133" s="70" t="s">
        <v>164</v>
      </c>
      <c r="F133" s="73" t="s">
        <v>25</v>
      </c>
      <c r="G133" s="74">
        <f>3151000+266000</f>
        <v>3417000</v>
      </c>
      <c r="H133" s="74"/>
      <c r="I133" s="74">
        <f t="shared" si="6"/>
        <v>3417000</v>
      </c>
      <c r="J133" s="110"/>
      <c r="K133" s="129"/>
      <c r="L133" s="129"/>
    </row>
    <row r="134" spans="2:10" ht="160.5" customHeight="1">
      <c r="B134" s="150" t="s">
        <v>236</v>
      </c>
      <c r="C134" s="150" t="s">
        <v>192</v>
      </c>
      <c r="D134" s="149" t="s">
        <v>14</v>
      </c>
      <c r="E134" s="171" t="s">
        <v>97</v>
      </c>
      <c r="F134" s="46" t="s">
        <v>25</v>
      </c>
      <c r="G134" s="21">
        <f>40180400+20463507-1267658</f>
        <v>59376249</v>
      </c>
      <c r="H134" s="21">
        <f>33502200+150000+12522000+327958-244003</f>
        <v>46258155</v>
      </c>
      <c r="I134" s="21">
        <f t="shared" si="6"/>
        <v>105634404</v>
      </c>
      <c r="J134" s="110"/>
    </row>
    <row r="135" spans="2:10" ht="169.5" customHeight="1">
      <c r="B135" s="150"/>
      <c r="C135" s="150"/>
      <c r="D135" s="149"/>
      <c r="E135" s="171"/>
      <c r="F135" s="49" t="s">
        <v>67</v>
      </c>
      <c r="G135" s="21">
        <v>735000</v>
      </c>
      <c r="H135" s="21">
        <v>1432000</v>
      </c>
      <c r="I135" s="21">
        <f t="shared" si="6"/>
        <v>2167000</v>
      </c>
      <c r="J135" s="110"/>
    </row>
    <row r="136" spans="2:10" ht="186" customHeight="1">
      <c r="B136" s="50" t="s">
        <v>238</v>
      </c>
      <c r="C136" s="50" t="s">
        <v>237</v>
      </c>
      <c r="D136" s="47" t="s">
        <v>14</v>
      </c>
      <c r="E136" s="93" t="s">
        <v>165</v>
      </c>
      <c r="F136" s="46" t="s">
        <v>25</v>
      </c>
      <c r="G136" s="21"/>
      <c r="H136" s="21">
        <v>1000000</v>
      </c>
      <c r="I136" s="21">
        <f t="shared" si="6"/>
        <v>1000000</v>
      </c>
      <c r="J136" s="110"/>
    </row>
    <row r="137" spans="2:10" ht="126" customHeight="1">
      <c r="B137" s="50" t="s">
        <v>383</v>
      </c>
      <c r="C137" s="50" t="s">
        <v>199</v>
      </c>
      <c r="D137" s="47" t="s">
        <v>6</v>
      </c>
      <c r="E137" s="93" t="s">
        <v>166</v>
      </c>
      <c r="F137" s="46" t="s">
        <v>321</v>
      </c>
      <c r="G137" s="21"/>
      <c r="H137" s="21">
        <f>12774508+500000</f>
        <v>13274508</v>
      </c>
      <c r="I137" s="21">
        <f t="shared" si="6"/>
        <v>13274508</v>
      </c>
      <c r="J137" s="110"/>
    </row>
    <row r="138" spans="2:10" ht="60" customHeight="1">
      <c r="B138" s="47" t="s">
        <v>417</v>
      </c>
      <c r="C138" s="47" t="s">
        <v>207</v>
      </c>
      <c r="D138" s="47"/>
      <c r="E138" s="48" t="s">
        <v>206</v>
      </c>
      <c r="F138" s="46"/>
      <c r="G138" s="21">
        <f>G139</f>
        <v>0</v>
      </c>
      <c r="H138" s="21">
        <f>H139</f>
        <v>2535000</v>
      </c>
      <c r="I138" s="21">
        <f>I139</f>
        <v>2535000</v>
      </c>
      <c r="J138" s="110"/>
    </row>
    <row r="139" spans="2:10" ht="156" customHeight="1">
      <c r="B139" s="81" t="s">
        <v>418</v>
      </c>
      <c r="C139" s="81" t="s">
        <v>209</v>
      </c>
      <c r="D139" s="72" t="s">
        <v>15</v>
      </c>
      <c r="E139" s="70" t="s">
        <v>169</v>
      </c>
      <c r="F139" s="73" t="s">
        <v>25</v>
      </c>
      <c r="G139" s="74"/>
      <c r="H139" s="74">
        <v>2535000</v>
      </c>
      <c r="I139" s="74">
        <f>G139+H139</f>
        <v>2535000</v>
      </c>
      <c r="J139" s="110"/>
    </row>
    <row r="140" spans="2:10" ht="192" customHeight="1">
      <c r="B140" s="50" t="s">
        <v>379</v>
      </c>
      <c r="C140" s="50" t="s">
        <v>380</v>
      </c>
      <c r="D140" s="47" t="s">
        <v>381</v>
      </c>
      <c r="E140" s="93" t="s">
        <v>382</v>
      </c>
      <c r="F140" s="46" t="s">
        <v>25</v>
      </c>
      <c r="G140" s="21">
        <f>185000+465000</f>
        <v>650000</v>
      </c>
      <c r="H140" s="21"/>
      <c r="I140" s="21">
        <f t="shared" si="6"/>
        <v>650000</v>
      </c>
      <c r="J140" s="110"/>
    </row>
    <row r="141" spans="2:10" ht="143.25" customHeight="1">
      <c r="B141" s="47" t="s">
        <v>239</v>
      </c>
      <c r="C141" s="47" t="s">
        <v>184</v>
      </c>
      <c r="D141" s="47" t="s">
        <v>48</v>
      </c>
      <c r="E141" s="48" t="s">
        <v>167</v>
      </c>
      <c r="F141" s="46" t="s">
        <v>25</v>
      </c>
      <c r="G141" s="21">
        <v>1500000</v>
      </c>
      <c r="H141" s="21"/>
      <c r="I141" s="21">
        <f t="shared" si="6"/>
        <v>1500000</v>
      </c>
      <c r="J141" s="110"/>
    </row>
    <row r="142" spans="2:10" ht="152.25" customHeight="1">
      <c r="B142" s="47" t="s">
        <v>241</v>
      </c>
      <c r="C142" s="47" t="s">
        <v>240</v>
      </c>
      <c r="D142" s="47" t="s">
        <v>49</v>
      </c>
      <c r="E142" s="48" t="s">
        <v>168</v>
      </c>
      <c r="F142" s="46" t="s">
        <v>25</v>
      </c>
      <c r="G142" s="21">
        <v>1000000</v>
      </c>
      <c r="H142" s="21"/>
      <c r="I142" s="21">
        <f t="shared" si="6"/>
        <v>1000000</v>
      </c>
      <c r="J142" s="110"/>
    </row>
    <row r="143" spans="2:10" ht="165" customHeight="1">
      <c r="B143" s="149" t="s">
        <v>242</v>
      </c>
      <c r="C143" s="149" t="s">
        <v>194</v>
      </c>
      <c r="D143" s="149" t="s">
        <v>6</v>
      </c>
      <c r="E143" s="163" t="s">
        <v>142</v>
      </c>
      <c r="F143" s="46" t="s">
        <v>25</v>
      </c>
      <c r="G143" s="21"/>
      <c r="H143" s="21">
        <f>15461900+2000000-1000000+2520800</f>
        <v>18982700</v>
      </c>
      <c r="I143" s="21">
        <f t="shared" si="6"/>
        <v>18982700</v>
      </c>
      <c r="J143" s="110"/>
    </row>
    <row r="144" spans="2:10" ht="144" customHeight="1">
      <c r="B144" s="149"/>
      <c r="C144" s="149"/>
      <c r="D144" s="149"/>
      <c r="E144" s="163"/>
      <c r="F144" s="49" t="s">
        <v>67</v>
      </c>
      <c r="G144" s="21"/>
      <c r="H144" s="21">
        <f>5000000-2000000</f>
        <v>3000000</v>
      </c>
      <c r="I144" s="21">
        <f t="shared" si="6"/>
        <v>3000000</v>
      </c>
      <c r="J144" s="110"/>
    </row>
    <row r="145" spans="2:10" ht="187.5" customHeight="1">
      <c r="B145" s="47" t="s">
        <v>244</v>
      </c>
      <c r="C145" s="47" t="s">
        <v>243</v>
      </c>
      <c r="D145" s="47" t="s">
        <v>32</v>
      </c>
      <c r="E145" s="48" t="s">
        <v>31</v>
      </c>
      <c r="F145" s="49" t="s">
        <v>67</v>
      </c>
      <c r="G145" s="21">
        <v>199733</v>
      </c>
      <c r="H145" s="21"/>
      <c r="I145" s="21">
        <f t="shared" si="6"/>
        <v>199733</v>
      </c>
      <c r="J145" s="110"/>
    </row>
    <row r="146" spans="2:10" ht="84.75" customHeight="1">
      <c r="B146" s="47" t="s">
        <v>245</v>
      </c>
      <c r="C146" s="47" t="s">
        <v>186</v>
      </c>
      <c r="D146" s="47" t="s">
        <v>24</v>
      </c>
      <c r="E146" s="48" t="s">
        <v>12</v>
      </c>
      <c r="F146" s="49"/>
      <c r="G146" s="21">
        <f>G147+G148</f>
        <v>2017200</v>
      </c>
      <c r="H146" s="21">
        <f>H147+H148</f>
        <v>0</v>
      </c>
      <c r="I146" s="21">
        <f>I147+I148</f>
        <v>2017200</v>
      </c>
      <c r="J146" s="110"/>
    </row>
    <row r="147" spans="1:12" s="76" customFormat="1" ht="276" customHeight="1">
      <c r="A147" s="71"/>
      <c r="B147" s="72" t="s">
        <v>245</v>
      </c>
      <c r="C147" s="72" t="s">
        <v>186</v>
      </c>
      <c r="D147" s="72" t="s">
        <v>24</v>
      </c>
      <c r="E147" s="73" t="s">
        <v>363</v>
      </c>
      <c r="F147" s="77" t="s">
        <v>73</v>
      </c>
      <c r="G147" s="74">
        <v>285000</v>
      </c>
      <c r="H147" s="74"/>
      <c r="I147" s="75">
        <f>G147+H147</f>
        <v>285000</v>
      </c>
      <c r="J147" s="110"/>
      <c r="K147" s="129"/>
      <c r="L147" s="129"/>
    </row>
    <row r="148" spans="1:12" s="76" customFormat="1" ht="207.75" customHeight="1">
      <c r="A148" s="71"/>
      <c r="B148" s="72" t="s">
        <v>245</v>
      </c>
      <c r="C148" s="72" t="s">
        <v>186</v>
      </c>
      <c r="D148" s="72" t="s">
        <v>24</v>
      </c>
      <c r="E148" s="73" t="s">
        <v>364</v>
      </c>
      <c r="F148" s="73" t="s">
        <v>25</v>
      </c>
      <c r="G148" s="74">
        <f>1622200+110000</f>
        <v>1732200</v>
      </c>
      <c r="H148" s="74"/>
      <c r="I148" s="75">
        <f>G148+H148</f>
        <v>1732200</v>
      </c>
      <c r="J148" s="110"/>
      <c r="K148" s="129"/>
      <c r="L148" s="129"/>
    </row>
    <row r="149" spans="1:12" s="10" customFormat="1" ht="53.25" customHeight="1">
      <c r="A149" s="1"/>
      <c r="B149" s="50" t="s">
        <v>246</v>
      </c>
      <c r="C149" s="50" t="s">
        <v>188</v>
      </c>
      <c r="D149" s="47" t="s">
        <v>55</v>
      </c>
      <c r="E149" s="48" t="s">
        <v>56</v>
      </c>
      <c r="F149" s="46"/>
      <c r="G149" s="21">
        <f>G150</f>
        <v>758500</v>
      </c>
      <c r="H149" s="21">
        <f>H150</f>
        <v>1221500</v>
      </c>
      <c r="I149" s="21">
        <f>I150</f>
        <v>1980000</v>
      </c>
      <c r="J149" s="110"/>
      <c r="K149" s="125"/>
      <c r="L149" s="125"/>
    </row>
    <row r="150" spans="1:12" s="76" customFormat="1" ht="244.5" customHeight="1">
      <c r="A150" s="71"/>
      <c r="B150" s="81" t="s">
        <v>246</v>
      </c>
      <c r="C150" s="81" t="s">
        <v>188</v>
      </c>
      <c r="D150" s="72" t="s">
        <v>55</v>
      </c>
      <c r="E150" s="73" t="s">
        <v>375</v>
      </c>
      <c r="F150" s="77" t="s">
        <v>25</v>
      </c>
      <c r="G150" s="80">
        <f>250000+508500</f>
        <v>758500</v>
      </c>
      <c r="H150" s="74">
        <f>1730000-508500</f>
        <v>1221500</v>
      </c>
      <c r="I150" s="74">
        <f>G150+H150</f>
        <v>1980000</v>
      </c>
      <c r="J150" s="110"/>
      <c r="K150" s="129"/>
      <c r="L150" s="129"/>
    </row>
    <row r="151" spans="2:10" ht="168" customHeight="1">
      <c r="B151" s="47" t="s">
        <v>247</v>
      </c>
      <c r="C151" s="47" t="s">
        <v>212</v>
      </c>
      <c r="D151" s="47" t="s">
        <v>51</v>
      </c>
      <c r="E151" s="48" t="s">
        <v>50</v>
      </c>
      <c r="F151" s="49" t="s">
        <v>67</v>
      </c>
      <c r="G151" s="21"/>
      <c r="H151" s="21">
        <f>1040000+3945460</f>
        <v>4985460</v>
      </c>
      <c r="I151" s="21">
        <f>G151+H151</f>
        <v>4985460</v>
      </c>
      <c r="J151" s="110"/>
    </row>
    <row r="152" spans="2:10" ht="168" customHeight="1">
      <c r="B152" s="47" t="s">
        <v>248</v>
      </c>
      <c r="C152" s="47" t="s">
        <v>214</v>
      </c>
      <c r="D152" s="47" t="s">
        <v>32</v>
      </c>
      <c r="E152" s="48" t="s">
        <v>31</v>
      </c>
      <c r="F152" s="49" t="s">
        <v>67</v>
      </c>
      <c r="G152" s="21"/>
      <c r="H152" s="21">
        <f>308267+140000</f>
        <v>448267</v>
      </c>
      <c r="I152" s="21">
        <f>G152+H152</f>
        <v>448267</v>
      </c>
      <c r="J152" s="110"/>
    </row>
    <row r="153" spans="2:10" ht="114.75" customHeight="1">
      <c r="B153" s="47" t="s">
        <v>348</v>
      </c>
      <c r="C153" s="47" t="s">
        <v>337</v>
      </c>
      <c r="D153" s="47"/>
      <c r="E153" s="48" t="s">
        <v>336</v>
      </c>
      <c r="F153" s="49"/>
      <c r="G153" s="21">
        <f>G154</f>
        <v>0</v>
      </c>
      <c r="H153" s="21">
        <f>H154</f>
        <v>-2104092</v>
      </c>
      <c r="I153" s="21">
        <f>I154</f>
        <v>-2104092</v>
      </c>
      <c r="J153" s="110"/>
    </row>
    <row r="154" spans="1:12" s="76" customFormat="1" ht="189" customHeight="1">
      <c r="A154" s="71"/>
      <c r="B154" s="72" t="s">
        <v>341</v>
      </c>
      <c r="C154" s="72" t="s">
        <v>343</v>
      </c>
      <c r="D154" s="72" t="s">
        <v>6</v>
      </c>
      <c r="E154" s="92" t="s">
        <v>342</v>
      </c>
      <c r="F154" s="73" t="s">
        <v>25</v>
      </c>
      <c r="G154" s="74"/>
      <c r="H154" s="74">
        <v>-2104092</v>
      </c>
      <c r="I154" s="74">
        <f>G154+H154</f>
        <v>-2104092</v>
      </c>
      <c r="J154" s="110"/>
      <c r="K154" s="129"/>
      <c r="L154" s="129"/>
    </row>
    <row r="155" spans="2:10" ht="118.5" customHeight="1">
      <c r="B155" s="94"/>
      <c r="C155" s="94"/>
      <c r="D155" s="94"/>
      <c r="E155" s="95" t="s">
        <v>98</v>
      </c>
      <c r="F155" s="97"/>
      <c r="G155" s="20">
        <f>G156+G158+G157</f>
        <v>2181656.67</v>
      </c>
      <c r="H155" s="20">
        <f>H156+H158+H157</f>
        <v>64343.33</v>
      </c>
      <c r="I155" s="20">
        <f>I156+I158+I157</f>
        <v>2246000</v>
      </c>
      <c r="J155" s="110"/>
    </row>
    <row r="156" spans="2:10" ht="215.25" customHeight="1">
      <c r="B156" s="47" t="s">
        <v>185</v>
      </c>
      <c r="C156" s="47" t="s">
        <v>184</v>
      </c>
      <c r="D156" s="47" t="s">
        <v>48</v>
      </c>
      <c r="E156" s="48" t="s">
        <v>167</v>
      </c>
      <c r="F156" s="49" t="s">
        <v>101</v>
      </c>
      <c r="G156" s="21">
        <f>28000+296656.67</f>
        <v>324656.67</v>
      </c>
      <c r="H156" s="21">
        <f>50000+14343.33</f>
        <v>64343.33</v>
      </c>
      <c r="I156" s="21">
        <f>G156+H156</f>
        <v>389000</v>
      </c>
      <c r="J156" s="110"/>
    </row>
    <row r="157" spans="2:10" ht="185.25" customHeight="1">
      <c r="B157" s="47" t="s">
        <v>318</v>
      </c>
      <c r="C157" s="47" t="s">
        <v>290</v>
      </c>
      <c r="D157" s="47" t="s">
        <v>7</v>
      </c>
      <c r="E157" s="48" t="s">
        <v>141</v>
      </c>
      <c r="F157" s="46" t="s">
        <v>319</v>
      </c>
      <c r="G157" s="21">
        <f>227000+1000000</f>
        <v>1227000</v>
      </c>
      <c r="H157" s="21"/>
      <c r="I157" s="21">
        <f>G157+H157</f>
        <v>1227000</v>
      </c>
      <c r="J157" s="110"/>
    </row>
    <row r="158" spans="2:10" ht="59.25" customHeight="1">
      <c r="B158" s="47" t="s">
        <v>187</v>
      </c>
      <c r="C158" s="47" t="s">
        <v>186</v>
      </c>
      <c r="D158" s="47" t="s">
        <v>24</v>
      </c>
      <c r="E158" s="48" t="s">
        <v>12</v>
      </c>
      <c r="F158" s="49"/>
      <c r="G158" s="21">
        <f>G159</f>
        <v>630000</v>
      </c>
      <c r="H158" s="21">
        <f>H159</f>
        <v>0</v>
      </c>
      <c r="I158" s="21">
        <f>I159</f>
        <v>630000</v>
      </c>
      <c r="J158" s="110"/>
    </row>
    <row r="159" spans="1:12" s="76" customFormat="1" ht="239.25" customHeight="1">
      <c r="A159" s="71"/>
      <c r="B159" s="72" t="s">
        <v>187</v>
      </c>
      <c r="C159" s="72" t="s">
        <v>186</v>
      </c>
      <c r="D159" s="72" t="s">
        <v>24</v>
      </c>
      <c r="E159" s="73" t="s">
        <v>365</v>
      </c>
      <c r="F159" s="77" t="s">
        <v>101</v>
      </c>
      <c r="G159" s="74">
        <f>430000+200000</f>
        <v>630000</v>
      </c>
      <c r="H159" s="74"/>
      <c r="I159" s="75">
        <f>G159+H159</f>
        <v>630000</v>
      </c>
      <c r="J159" s="110"/>
      <c r="K159" s="129"/>
      <c r="L159" s="129"/>
    </row>
    <row r="160" spans="1:12" s="8" customFormat="1" ht="123.75" customHeight="1">
      <c r="A160" s="7"/>
      <c r="B160" s="94"/>
      <c r="C160" s="94"/>
      <c r="D160" s="94"/>
      <c r="E160" s="95" t="s">
        <v>52</v>
      </c>
      <c r="F160" s="97"/>
      <c r="G160" s="20">
        <f>G161+G162+G163+G164+G165+G166+G168+G170+G171+G172+G175+G179+G180</f>
        <v>83668000</v>
      </c>
      <c r="H160" s="20">
        <f>H161+H162+H163+H164+H165+H166+H168+H170+H171+H172+H175+H179+H180</f>
        <v>280491162</v>
      </c>
      <c r="I160" s="20">
        <f>I161+I162+I163+I164+I165+I166+I168+I170+I171+I172+I175+I179+I180</f>
        <v>364159162</v>
      </c>
      <c r="J160" s="110"/>
      <c r="K160" s="131"/>
      <c r="L160" s="131"/>
    </row>
    <row r="161" spans="2:10" ht="114" customHeight="1">
      <c r="B161" s="50" t="s">
        <v>131</v>
      </c>
      <c r="C161" s="50" t="s">
        <v>55</v>
      </c>
      <c r="D161" s="51" t="s">
        <v>2</v>
      </c>
      <c r="E161" s="48" t="s">
        <v>415</v>
      </c>
      <c r="F161" s="46" t="s">
        <v>100</v>
      </c>
      <c r="G161" s="21"/>
      <c r="H161" s="21">
        <v>10000</v>
      </c>
      <c r="I161" s="21">
        <f>G161+H161</f>
        <v>10000</v>
      </c>
      <c r="J161" s="110"/>
    </row>
    <row r="162" spans="2:10" ht="222.75" customHeight="1">
      <c r="B162" s="50" t="s">
        <v>197</v>
      </c>
      <c r="C162" s="50" t="s">
        <v>107</v>
      </c>
      <c r="D162" s="47" t="s">
        <v>34</v>
      </c>
      <c r="E162" s="48" t="s">
        <v>148</v>
      </c>
      <c r="F162" s="52" t="s">
        <v>81</v>
      </c>
      <c r="G162" s="21"/>
      <c r="H162" s="21">
        <v>5000000</v>
      </c>
      <c r="I162" s="21">
        <f aca="true" t="shared" si="7" ref="I162:I180">G162+H162</f>
        <v>5000000</v>
      </c>
      <c r="J162" s="110"/>
    </row>
    <row r="163" spans="2:10" ht="132" customHeight="1">
      <c r="B163" s="47" t="s">
        <v>198</v>
      </c>
      <c r="C163" s="47" t="s">
        <v>192</v>
      </c>
      <c r="D163" s="47" t="s">
        <v>14</v>
      </c>
      <c r="E163" s="48" t="s">
        <v>13</v>
      </c>
      <c r="F163" s="52" t="s">
        <v>25</v>
      </c>
      <c r="G163" s="21">
        <f>37238000+32930000</f>
        <v>70168000</v>
      </c>
      <c r="H163" s="21">
        <f>62165698+19609036.18+21390963.82</f>
        <v>103165698</v>
      </c>
      <c r="I163" s="21">
        <f t="shared" si="7"/>
        <v>173333698</v>
      </c>
      <c r="J163" s="110"/>
    </row>
    <row r="164" spans="2:10" ht="90" customHeight="1">
      <c r="B164" s="166" t="s">
        <v>200</v>
      </c>
      <c r="C164" s="166" t="s">
        <v>199</v>
      </c>
      <c r="D164" s="149" t="s">
        <v>6</v>
      </c>
      <c r="E164" s="163" t="s">
        <v>166</v>
      </c>
      <c r="F164" s="52" t="s">
        <v>321</v>
      </c>
      <c r="G164" s="21"/>
      <c r="H164" s="21">
        <f>81158102-10000000-300000+2000000+1000000+300000+100000+2000000+100000+96600+100000+28485193+13012+3023836+21000</f>
        <v>108097743</v>
      </c>
      <c r="I164" s="21">
        <f t="shared" si="7"/>
        <v>108097743</v>
      </c>
      <c r="J164" s="110"/>
    </row>
    <row r="165" spans="1:12" s="91" customFormat="1" ht="120.75" customHeight="1">
      <c r="A165" s="90"/>
      <c r="B165" s="166"/>
      <c r="C165" s="166"/>
      <c r="D165" s="149"/>
      <c r="E165" s="163"/>
      <c r="F165" s="52" t="s">
        <v>67</v>
      </c>
      <c r="G165" s="21"/>
      <c r="H165" s="21">
        <v>8300000</v>
      </c>
      <c r="I165" s="21">
        <f t="shared" si="7"/>
        <v>8300000</v>
      </c>
      <c r="J165" s="110"/>
      <c r="K165" s="135"/>
      <c r="L165" s="135"/>
    </row>
    <row r="166" spans="2:10" ht="63.75" customHeight="1">
      <c r="B166" s="47" t="s">
        <v>203</v>
      </c>
      <c r="C166" s="47" t="s">
        <v>202</v>
      </c>
      <c r="D166" s="47"/>
      <c r="E166" s="48" t="s">
        <v>201</v>
      </c>
      <c r="F166" s="52"/>
      <c r="G166" s="21">
        <f>G167</f>
        <v>0</v>
      </c>
      <c r="H166" s="21">
        <f>H167</f>
        <v>21000000</v>
      </c>
      <c r="I166" s="21">
        <f>I167</f>
        <v>21000000</v>
      </c>
      <c r="J166" s="110"/>
    </row>
    <row r="167" spans="1:12" s="76" customFormat="1" ht="131.25" customHeight="1">
      <c r="A167" s="71"/>
      <c r="B167" s="72" t="s">
        <v>205</v>
      </c>
      <c r="C167" s="72" t="s">
        <v>204</v>
      </c>
      <c r="D167" s="72" t="s">
        <v>5</v>
      </c>
      <c r="E167" s="70" t="s">
        <v>99</v>
      </c>
      <c r="F167" s="73" t="s">
        <v>321</v>
      </c>
      <c r="G167" s="74"/>
      <c r="H167" s="74">
        <f>10000000+11000000</f>
        <v>21000000</v>
      </c>
      <c r="I167" s="74">
        <f t="shared" si="7"/>
        <v>21000000</v>
      </c>
      <c r="J167" s="110"/>
      <c r="K167" s="129"/>
      <c r="L167" s="129"/>
    </row>
    <row r="168" spans="1:12" s="10" customFormat="1" ht="101.25" customHeight="1">
      <c r="A168" s="1"/>
      <c r="B168" s="47" t="s">
        <v>208</v>
      </c>
      <c r="C168" s="47" t="s">
        <v>207</v>
      </c>
      <c r="D168" s="47"/>
      <c r="E168" s="48" t="s">
        <v>206</v>
      </c>
      <c r="F168" s="67"/>
      <c r="G168" s="21">
        <f>G169</f>
        <v>0</v>
      </c>
      <c r="H168" s="21">
        <f>H169</f>
        <v>708100</v>
      </c>
      <c r="I168" s="21">
        <f>I169</f>
        <v>708100</v>
      </c>
      <c r="J168" s="110"/>
      <c r="K168" s="125"/>
      <c r="L168" s="125"/>
    </row>
    <row r="169" spans="1:12" s="76" customFormat="1" ht="171.75" customHeight="1">
      <c r="A169" s="71"/>
      <c r="B169" s="72" t="s">
        <v>210</v>
      </c>
      <c r="C169" s="72" t="s">
        <v>209</v>
      </c>
      <c r="D169" s="72" t="s">
        <v>15</v>
      </c>
      <c r="E169" s="70" t="s">
        <v>169</v>
      </c>
      <c r="F169" s="82" t="s">
        <v>321</v>
      </c>
      <c r="G169" s="74"/>
      <c r="H169" s="74">
        <f>108100+100000+500000</f>
        <v>708100</v>
      </c>
      <c r="I169" s="74">
        <f t="shared" si="7"/>
        <v>708100</v>
      </c>
      <c r="J169" s="110"/>
      <c r="K169" s="129"/>
      <c r="L169" s="129"/>
    </row>
    <row r="170" spans="2:10" ht="124.5" customHeight="1">
      <c r="B170" s="47" t="s">
        <v>335</v>
      </c>
      <c r="C170" s="47" t="s">
        <v>240</v>
      </c>
      <c r="D170" s="47" t="s">
        <v>49</v>
      </c>
      <c r="E170" s="48" t="s">
        <v>168</v>
      </c>
      <c r="F170" s="46" t="s">
        <v>377</v>
      </c>
      <c r="G170" s="21"/>
      <c r="H170" s="21">
        <v>16524000</v>
      </c>
      <c r="I170" s="21">
        <f t="shared" si="7"/>
        <v>16524000</v>
      </c>
      <c r="J170" s="110"/>
    </row>
    <row r="171" spans="2:10" ht="165.75" customHeight="1">
      <c r="B171" s="47" t="s">
        <v>211</v>
      </c>
      <c r="C171" s="47" t="s">
        <v>194</v>
      </c>
      <c r="D171" s="47" t="s">
        <v>6</v>
      </c>
      <c r="E171" s="48" t="s">
        <v>142</v>
      </c>
      <c r="F171" s="52" t="s">
        <v>89</v>
      </c>
      <c r="G171" s="21"/>
      <c r="H171" s="21">
        <f>13700000+2000000+9850000</f>
        <v>25550000</v>
      </c>
      <c r="I171" s="21">
        <f>G171+H171</f>
        <v>25550000</v>
      </c>
      <c r="J171" s="110"/>
    </row>
    <row r="172" spans="1:12" s="10" customFormat="1" ht="99.75" customHeight="1">
      <c r="A172" s="1"/>
      <c r="B172" s="47" t="s">
        <v>338</v>
      </c>
      <c r="C172" s="47" t="s">
        <v>337</v>
      </c>
      <c r="D172" s="47"/>
      <c r="E172" s="48" t="s">
        <v>336</v>
      </c>
      <c r="F172" s="52"/>
      <c r="G172" s="22">
        <f>G173+G174</f>
        <v>12000000</v>
      </c>
      <c r="H172" s="22">
        <f>H173+H174</f>
        <v>-12000000</v>
      </c>
      <c r="I172" s="22">
        <f>I173+I174</f>
        <v>0</v>
      </c>
      <c r="J172" s="110"/>
      <c r="K172" s="125"/>
      <c r="L172" s="125"/>
    </row>
    <row r="173" spans="1:12" s="76" customFormat="1" ht="165.75" customHeight="1">
      <c r="A173" s="71"/>
      <c r="B173" s="72" t="s">
        <v>323</v>
      </c>
      <c r="C173" s="72" t="s">
        <v>324</v>
      </c>
      <c r="D173" s="72" t="s">
        <v>6</v>
      </c>
      <c r="E173" s="70" t="s">
        <v>322</v>
      </c>
      <c r="F173" s="82" t="s">
        <v>89</v>
      </c>
      <c r="G173" s="80">
        <v>12000000</v>
      </c>
      <c r="H173" s="80"/>
      <c r="I173" s="87">
        <f t="shared" si="7"/>
        <v>12000000</v>
      </c>
      <c r="J173" s="110"/>
      <c r="K173" s="129"/>
      <c r="L173" s="129"/>
    </row>
    <row r="174" spans="1:12" s="76" customFormat="1" ht="165.75" customHeight="1">
      <c r="A174" s="71"/>
      <c r="B174" s="72" t="s">
        <v>344</v>
      </c>
      <c r="C174" s="72" t="s">
        <v>343</v>
      </c>
      <c r="D174" s="72" t="s">
        <v>6</v>
      </c>
      <c r="E174" s="92" t="s">
        <v>342</v>
      </c>
      <c r="F174" s="73" t="s">
        <v>25</v>
      </c>
      <c r="G174" s="80"/>
      <c r="H174" s="80">
        <v>-12000000</v>
      </c>
      <c r="I174" s="87">
        <f>G174+H174</f>
        <v>-12000000</v>
      </c>
      <c r="J174" s="110"/>
      <c r="K174" s="129"/>
      <c r="L174" s="129"/>
    </row>
    <row r="175" spans="1:12" s="10" customFormat="1" ht="141.75" customHeight="1">
      <c r="A175" s="1"/>
      <c r="B175" s="47" t="s">
        <v>220</v>
      </c>
      <c r="C175" s="47" t="s">
        <v>219</v>
      </c>
      <c r="D175" s="47"/>
      <c r="E175" s="48" t="s">
        <v>218</v>
      </c>
      <c r="F175" s="46"/>
      <c r="G175" s="22">
        <f>G176+G177+G178</f>
        <v>1500000</v>
      </c>
      <c r="H175" s="22">
        <f>H176+H177+H178</f>
        <v>1431</v>
      </c>
      <c r="I175" s="22">
        <f>I176+I177+I178</f>
        <v>1501431</v>
      </c>
      <c r="J175" s="110"/>
      <c r="K175" s="125"/>
      <c r="L175" s="125"/>
    </row>
    <row r="176" spans="1:12" s="76" customFormat="1" ht="155.25" customHeight="1">
      <c r="A176" s="71"/>
      <c r="B176" s="72" t="s">
        <v>325</v>
      </c>
      <c r="C176" s="72" t="s">
        <v>326</v>
      </c>
      <c r="D176" s="72" t="s">
        <v>5</v>
      </c>
      <c r="E176" s="73" t="s">
        <v>327</v>
      </c>
      <c r="F176" s="82" t="s">
        <v>53</v>
      </c>
      <c r="G176" s="80">
        <v>1415100</v>
      </c>
      <c r="H176" s="80">
        <v>541462</v>
      </c>
      <c r="I176" s="87">
        <f>SUM(G176:H176)</f>
        <v>1956562</v>
      </c>
      <c r="J176" s="110"/>
      <c r="K176" s="129"/>
      <c r="L176" s="129"/>
    </row>
    <row r="177" spans="1:12" s="76" customFormat="1" ht="155.25" customHeight="1">
      <c r="A177" s="71"/>
      <c r="B177" s="72" t="s">
        <v>346</v>
      </c>
      <c r="C177" s="72" t="s">
        <v>347</v>
      </c>
      <c r="D177" s="72" t="s">
        <v>5</v>
      </c>
      <c r="E177" s="73" t="s">
        <v>345</v>
      </c>
      <c r="F177" s="82" t="s">
        <v>53</v>
      </c>
      <c r="G177" s="22"/>
      <c r="H177" s="80">
        <v>-572519</v>
      </c>
      <c r="I177" s="87">
        <f>G177+H177</f>
        <v>-572519</v>
      </c>
      <c r="J177" s="110"/>
      <c r="K177" s="129"/>
      <c r="L177" s="129"/>
    </row>
    <row r="178" spans="1:12" s="10" customFormat="1" ht="177.75" customHeight="1">
      <c r="A178" s="1"/>
      <c r="B178" s="72" t="s">
        <v>339</v>
      </c>
      <c r="C178" s="72" t="s">
        <v>340</v>
      </c>
      <c r="D178" s="72" t="s">
        <v>5</v>
      </c>
      <c r="E178" s="70" t="s">
        <v>54</v>
      </c>
      <c r="F178" s="82" t="s">
        <v>53</v>
      </c>
      <c r="G178" s="80">
        <v>84900</v>
      </c>
      <c r="H178" s="80">
        <v>32488</v>
      </c>
      <c r="I178" s="87">
        <f>G178+H178</f>
        <v>117388</v>
      </c>
      <c r="J178" s="110"/>
      <c r="K178" s="125"/>
      <c r="L178" s="125"/>
    </row>
    <row r="179" spans="2:10" ht="177" customHeight="1">
      <c r="B179" s="50" t="s">
        <v>215</v>
      </c>
      <c r="C179" s="50" t="s">
        <v>212</v>
      </c>
      <c r="D179" s="47" t="s">
        <v>51</v>
      </c>
      <c r="E179" s="48" t="s">
        <v>50</v>
      </c>
      <c r="F179" s="52" t="s">
        <v>67</v>
      </c>
      <c r="G179" s="21"/>
      <c r="H179" s="21">
        <v>1230670</v>
      </c>
      <c r="I179" s="21">
        <f t="shared" si="7"/>
        <v>1230670</v>
      </c>
      <c r="J179" s="110"/>
    </row>
    <row r="180" spans="2:10" ht="165" customHeight="1">
      <c r="B180" s="47" t="s">
        <v>216</v>
      </c>
      <c r="C180" s="47" t="s">
        <v>213</v>
      </c>
      <c r="D180" s="47" t="s">
        <v>91</v>
      </c>
      <c r="E180" s="48" t="s">
        <v>90</v>
      </c>
      <c r="F180" s="49" t="s">
        <v>67</v>
      </c>
      <c r="G180" s="21"/>
      <c r="H180" s="21">
        <f>715000+2188520</f>
        <v>2903520</v>
      </c>
      <c r="I180" s="21">
        <f t="shared" si="7"/>
        <v>2903520</v>
      </c>
      <c r="J180" s="110"/>
    </row>
    <row r="181" spans="2:10" ht="108" customHeight="1">
      <c r="B181" s="47"/>
      <c r="C181" s="47"/>
      <c r="D181" s="47"/>
      <c r="E181" s="95" t="s">
        <v>95</v>
      </c>
      <c r="F181" s="52"/>
      <c r="G181" s="20">
        <f>G182+G184+G186+G183+G187</f>
        <v>289000</v>
      </c>
      <c r="H181" s="20">
        <f>H182+H184+H186+H183+H187</f>
        <v>378003</v>
      </c>
      <c r="I181" s="20">
        <f>I182+I184+I186+I183+I187</f>
        <v>667003</v>
      </c>
      <c r="J181" s="110"/>
    </row>
    <row r="182" spans="2:10" ht="135" customHeight="1">
      <c r="B182" s="47" t="s">
        <v>132</v>
      </c>
      <c r="C182" s="47" t="s">
        <v>55</v>
      </c>
      <c r="D182" s="47" t="s">
        <v>2</v>
      </c>
      <c r="E182" s="48" t="s">
        <v>415</v>
      </c>
      <c r="F182" s="46" t="s">
        <v>100</v>
      </c>
      <c r="G182" s="21">
        <v>49000</v>
      </c>
      <c r="H182" s="20"/>
      <c r="I182" s="21">
        <f>G182+H182</f>
        <v>49000</v>
      </c>
      <c r="J182" s="110"/>
    </row>
    <row r="183" spans="2:10" ht="141" customHeight="1">
      <c r="B183" s="47" t="s">
        <v>419</v>
      </c>
      <c r="C183" s="47" t="s">
        <v>194</v>
      </c>
      <c r="D183" s="47" t="s">
        <v>6</v>
      </c>
      <c r="E183" s="48" t="s">
        <v>142</v>
      </c>
      <c r="F183" s="46" t="s">
        <v>321</v>
      </c>
      <c r="G183" s="21"/>
      <c r="H183" s="21">
        <v>17173</v>
      </c>
      <c r="I183" s="21">
        <f>G183+H183</f>
        <v>17173</v>
      </c>
      <c r="J183" s="110"/>
    </row>
    <row r="184" spans="2:10" ht="75" customHeight="1">
      <c r="B184" s="50" t="s">
        <v>217</v>
      </c>
      <c r="C184" s="50" t="s">
        <v>186</v>
      </c>
      <c r="D184" s="47" t="s">
        <v>24</v>
      </c>
      <c r="E184" s="48" t="s">
        <v>12</v>
      </c>
      <c r="F184" s="49"/>
      <c r="G184" s="21">
        <f>G185</f>
        <v>240000</v>
      </c>
      <c r="H184" s="21">
        <f>H185</f>
        <v>0</v>
      </c>
      <c r="I184" s="21">
        <f>I185</f>
        <v>240000</v>
      </c>
      <c r="J184" s="110"/>
    </row>
    <row r="185" spans="1:12" s="76" customFormat="1" ht="168" customHeight="1">
      <c r="A185" s="71"/>
      <c r="B185" s="81" t="s">
        <v>217</v>
      </c>
      <c r="C185" s="81" t="s">
        <v>186</v>
      </c>
      <c r="D185" s="72" t="s">
        <v>24</v>
      </c>
      <c r="E185" s="73" t="s">
        <v>364</v>
      </c>
      <c r="F185" s="73" t="s">
        <v>25</v>
      </c>
      <c r="G185" s="74">
        <v>240000</v>
      </c>
      <c r="H185" s="74"/>
      <c r="I185" s="75">
        <f>G185+H185</f>
        <v>240000</v>
      </c>
      <c r="J185" s="110"/>
      <c r="K185" s="129"/>
      <c r="L185" s="129"/>
    </row>
    <row r="186" spans="1:12" s="76" customFormat="1" ht="159" customHeight="1">
      <c r="A186" s="71"/>
      <c r="B186" s="144" t="s">
        <v>196</v>
      </c>
      <c r="C186" s="144" t="s">
        <v>195</v>
      </c>
      <c r="D186" s="144" t="s">
        <v>24</v>
      </c>
      <c r="E186" s="142" t="s">
        <v>23</v>
      </c>
      <c r="F186" s="46" t="s">
        <v>25</v>
      </c>
      <c r="G186" s="21"/>
      <c r="H186" s="22">
        <v>342830</v>
      </c>
      <c r="I186" s="21">
        <f>G186+H186</f>
        <v>342830</v>
      </c>
      <c r="J186" s="113"/>
      <c r="K186" s="129"/>
      <c r="L186" s="129"/>
    </row>
    <row r="187" spans="1:12" s="76" customFormat="1" ht="90" customHeight="1">
      <c r="A187" s="71"/>
      <c r="B187" s="145"/>
      <c r="C187" s="145"/>
      <c r="D187" s="145"/>
      <c r="E187" s="143"/>
      <c r="F187" s="46" t="s">
        <v>425</v>
      </c>
      <c r="G187" s="21"/>
      <c r="H187" s="22">
        <v>18000</v>
      </c>
      <c r="I187" s="21">
        <f>G187+H187</f>
        <v>18000</v>
      </c>
      <c r="J187" s="113"/>
      <c r="K187" s="129"/>
      <c r="L187" s="129"/>
    </row>
    <row r="188" spans="2:10" ht="97.5" customHeight="1">
      <c r="B188" s="94"/>
      <c r="C188" s="94"/>
      <c r="D188" s="94"/>
      <c r="E188" s="95" t="s">
        <v>57</v>
      </c>
      <c r="F188" s="97"/>
      <c r="G188" s="20">
        <f>G189+G190</f>
        <v>776500</v>
      </c>
      <c r="H188" s="20">
        <f>H189+H190</f>
        <v>0</v>
      </c>
      <c r="I188" s="20">
        <f>I189+I190</f>
        <v>776500</v>
      </c>
      <c r="J188" s="113"/>
    </row>
    <row r="189" spans="2:10" ht="158.25" customHeight="1">
      <c r="B189" s="47" t="s">
        <v>193</v>
      </c>
      <c r="C189" s="47" t="s">
        <v>192</v>
      </c>
      <c r="D189" s="47" t="s">
        <v>14</v>
      </c>
      <c r="E189" s="48" t="s">
        <v>97</v>
      </c>
      <c r="F189" s="52" t="s">
        <v>25</v>
      </c>
      <c r="G189" s="21">
        <v>360000</v>
      </c>
      <c r="H189" s="21"/>
      <c r="I189" s="21">
        <f>G189+H189</f>
        <v>360000</v>
      </c>
      <c r="J189" s="113"/>
    </row>
    <row r="190" spans="2:10" ht="80.25" customHeight="1">
      <c r="B190" s="47" t="s">
        <v>424</v>
      </c>
      <c r="C190" s="47" t="s">
        <v>186</v>
      </c>
      <c r="D190" s="47" t="s">
        <v>24</v>
      </c>
      <c r="E190" s="48" t="s">
        <v>12</v>
      </c>
      <c r="F190" s="52"/>
      <c r="G190" s="21">
        <f>G191</f>
        <v>416500</v>
      </c>
      <c r="H190" s="21">
        <f>H191</f>
        <v>0</v>
      </c>
      <c r="I190" s="21">
        <f>I191</f>
        <v>416500</v>
      </c>
      <c r="J190" s="113"/>
    </row>
    <row r="191" spans="1:12" s="79" customFormat="1" ht="145.5" customHeight="1">
      <c r="A191" s="78"/>
      <c r="B191" s="72" t="s">
        <v>424</v>
      </c>
      <c r="C191" s="72" t="s">
        <v>186</v>
      </c>
      <c r="D191" s="72" t="s">
        <v>24</v>
      </c>
      <c r="E191" s="73" t="s">
        <v>366</v>
      </c>
      <c r="F191" s="46" t="s">
        <v>329</v>
      </c>
      <c r="G191" s="74">
        <v>416500</v>
      </c>
      <c r="H191" s="74"/>
      <c r="I191" s="75">
        <f>G191+H191</f>
        <v>416500</v>
      </c>
      <c r="J191" s="113"/>
      <c r="K191" s="136"/>
      <c r="L191" s="136"/>
    </row>
    <row r="192" spans="1:12" s="8" customFormat="1" ht="111.75" customHeight="1">
      <c r="A192" s="7"/>
      <c r="B192" s="47"/>
      <c r="C192" s="47"/>
      <c r="D192" s="47"/>
      <c r="E192" s="95" t="s">
        <v>93</v>
      </c>
      <c r="F192" s="52"/>
      <c r="G192" s="20">
        <f>G193</f>
        <v>0</v>
      </c>
      <c r="H192" s="20">
        <f>H193</f>
        <v>19000</v>
      </c>
      <c r="I192" s="20">
        <f>I193</f>
        <v>19000</v>
      </c>
      <c r="J192" s="113"/>
      <c r="K192" s="131"/>
      <c r="L192" s="131"/>
    </row>
    <row r="193" spans="2:10" ht="141.75" customHeight="1">
      <c r="B193" s="47" t="s">
        <v>191</v>
      </c>
      <c r="C193" s="47" t="s">
        <v>190</v>
      </c>
      <c r="D193" s="47" t="s">
        <v>22</v>
      </c>
      <c r="E193" s="48" t="s">
        <v>88</v>
      </c>
      <c r="F193" s="49" t="s">
        <v>67</v>
      </c>
      <c r="G193" s="21"/>
      <c r="H193" s="21">
        <v>19000</v>
      </c>
      <c r="I193" s="21">
        <f>G193+H193</f>
        <v>19000</v>
      </c>
      <c r="J193" s="113"/>
    </row>
    <row r="194" spans="2:10" ht="168.75" customHeight="1">
      <c r="B194" s="94"/>
      <c r="C194" s="94"/>
      <c r="D194" s="94"/>
      <c r="E194" s="95" t="s">
        <v>96</v>
      </c>
      <c r="F194" s="96"/>
      <c r="G194" s="20">
        <f aca="true" t="shared" si="8" ref="G194:I195">G195</f>
        <v>0</v>
      </c>
      <c r="H194" s="20">
        <f t="shared" si="8"/>
        <v>1500000</v>
      </c>
      <c r="I194" s="20">
        <f t="shared" si="8"/>
        <v>1500000</v>
      </c>
      <c r="J194" s="113"/>
    </row>
    <row r="195" spans="1:12" s="10" customFormat="1" ht="69.75" customHeight="1">
      <c r="A195" s="1"/>
      <c r="B195" s="47" t="s">
        <v>189</v>
      </c>
      <c r="C195" s="47" t="s">
        <v>188</v>
      </c>
      <c r="D195" s="47" t="s">
        <v>55</v>
      </c>
      <c r="E195" s="93" t="s">
        <v>56</v>
      </c>
      <c r="F195" s="52"/>
      <c r="G195" s="21">
        <f t="shared" si="8"/>
        <v>0</v>
      </c>
      <c r="H195" s="21">
        <f t="shared" si="8"/>
        <v>1500000</v>
      </c>
      <c r="I195" s="21">
        <f t="shared" si="8"/>
        <v>1500000</v>
      </c>
      <c r="J195" s="113"/>
      <c r="K195" s="125"/>
      <c r="L195" s="125"/>
    </row>
    <row r="196" spans="1:12" s="76" customFormat="1" ht="102" customHeight="1">
      <c r="A196" s="71"/>
      <c r="B196" s="72" t="s">
        <v>189</v>
      </c>
      <c r="C196" s="72" t="s">
        <v>188</v>
      </c>
      <c r="D196" s="72" t="s">
        <v>55</v>
      </c>
      <c r="E196" s="73" t="s">
        <v>376</v>
      </c>
      <c r="F196" s="77" t="s">
        <v>328</v>
      </c>
      <c r="G196" s="80"/>
      <c r="H196" s="80">
        <f>1000000+500000</f>
        <v>1500000</v>
      </c>
      <c r="I196" s="75">
        <f>G196+H196</f>
        <v>1500000</v>
      </c>
      <c r="J196" s="113"/>
      <c r="K196" s="129"/>
      <c r="L196" s="129"/>
    </row>
    <row r="197" spans="2:12" ht="96.75" customHeight="1">
      <c r="B197" s="32"/>
      <c r="C197" s="32"/>
      <c r="D197" s="31"/>
      <c r="E197" s="64" t="s">
        <v>3</v>
      </c>
      <c r="F197" s="65"/>
      <c r="G197" s="66">
        <f>G11+G62+G85+G92+G115+G118+G124+G155+G160+G181+G188+G192+G194</f>
        <v>281477059.66999996</v>
      </c>
      <c r="H197" s="66">
        <f>H11+H62+H85+H92+H115+H118+H124+H155+H160+H181+H188+H192+H194</f>
        <v>551064418.3299999</v>
      </c>
      <c r="I197" s="66">
        <f>I11+I62+I85+I92+I115+I118+I124+I155+I160+I181+I188+I192+I194</f>
        <v>832541478</v>
      </c>
      <c r="J197" s="122"/>
      <c r="K197" s="122"/>
      <c r="L197" s="122"/>
    </row>
    <row r="198" spans="2:10" ht="30.75" customHeight="1">
      <c r="B198" s="33"/>
      <c r="C198" s="33"/>
      <c r="D198" s="34"/>
      <c r="E198" s="35"/>
      <c r="F198" s="36"/>
      <c r="G198" s="37"/>
      <c r="H198" s="37"/>
      <c r="I198" s="37"/>
      <c r="J198" s="113"/>
    </row>
    <row r="199" spans="2:10" ht="41.25" customHeight="1">
      <c r="B199" s="33"/>
      <c r="C199" s="33"/>
      <c r="D199" s="34"/>
      <c r="E199" s="35"/>
      <c r="F199" s="36"/>
      <c r="G199" s="37"/>
      <c r="H199" s="37"/>
      <c r="I199" s="37"/>
      <c r="J199" s="113"/>
    </row>
    <row r="200" spans="2:10" ht="39.75" customHeight="1">
      <c r="B200" s="33"/>
      <c r="C200" s="33"/>
      <c r="D200" s="34"/>
      <c r="E200" s="35"/>
      <c r="F200" s="36"/>
      <c r="G200" s="37"/>
      <c r="H200" s="37"/>
      <c r="I200" s="37"/>
      <c r="J200" s="113"/>
    </row>
    <row r="201" spans="2:10" ht="34.5" customHeight="1" hidden="1">
      <c r="B201" s="41"/>
      <c r="C201" s="41"/>
      <c r="D201" s="42"/>
      <c r="E201" s="43"/>
      <c r="F201" s="44"/>
      <c r="G201" s="45"/>
      <c r="H201" s="45"/>
      <c r="I201" s="45"/>
      <c r="J201" s="113"/>
    </row>
    <row r="202" spans="1:20" s="13" customFormat="1" ht="68.25" customHeight="1">
      <c r="A202" s="12"/>
      <c r="B202" s="147" t="s">
        <v>403</v>
      </c>
      <c r="C202" s="147"/>
      <c r="D202" s="147"/>
      <c r="E202" s="147"/>
      <c r="F202" s="147"/>
      <c r="G202" s="148" t="s">
        <v>397</v>
      </c>
      <c r="H202" s="148"/>
      <c r="I202" s="148"/>
      <c r="J202" s="113"/>
      <c r="K202" s="114"/>
      <c r="L202" s="114"/>
      <c r="M202" s="2"/>
      <c r="N202" s="2"/>
      <c r="O202" s="2"/>
      <c r="P202" s="2"/>
      <c r="Q202" s="12"/>
      <c r="R202" s="2"/>
      <c r="T202" s="14"/>
    </row>
    <row r="203" spans="1:20" s="13" customFormat="1" ht="34.5" customHeight="1">
      <c r="A203" s="12"/>
      <c r="B203" s="55"/>
      <c r="C203" s="55"/>
      <c r="D203" s="56"/>
      <c r="E203" s="57"/>
      <c r="F203" s="58"/>
      <c r="G203" s="59"/>
      <c r="H203" s="59"/>
      <c r="I203" s="60"/>
      <c r="J203" s="113"/>
      <c r="K203" s="115"/>
      <c r="L203" s="115"/>
      <c r="M203" s="15"/>
      <c r="N203" s="15"/>
      <c r="O203" s="12"/>
      <c r="P203" s="12"/>
      <c r="Q203" s="12"/>
      <c r="R203" s="2"/>
      <c r="T203" s="14"/>
    </row>
    <row r="204" spans="1:18" s="19" customFormat="1" ht="78.75" customHeight="1">
      <c r="A204" s="16"/>
      <c r="B204" s="151" t="s">
        <v>398</v>
      </c>
      <c r="C204" s="151"/>
      <c r="D204" s="151"/>
      <c r="E204" s="151"/>
      <c r="F204" s="151"/>
      <c r="G204" s="60"/>
      <c r="H204" s="60"/>
      <c r="I204" s="60"/>
      <c r="J204" s="113"/>
      <c r="K204" s="115"/>
      <c r="L204" s="115"/>
      <c r="M204" s="17"/>
      <c r="N204" s="17"/>
      <c r="O204" s="17"/>
      <c r="P204" s="18"/>
      <c r="Q204" s="18"/>
      <c r="R204" s="11"/>
    </row>
    <row r="205" spans="2:10" ht="44.25">
      <c r="B205" s="137"/>
      <c r="J205" s="116"/>
    </row>
    <row r="207" spans="7:9" ht="131.25" customHeight="1">
      <c r="G207" s="140"/>
      <c r="H207" s="140"/>
      <c r="I207" s="140"/>
    </row>
    <row r="208" spans="7:9" ht="131.25" customHeight="1">
      <c r="G208" s="140"/>
      <c r="H208" s="140"/>
      <c r="I208" s="140"/>
    </row>
    <row r="209" ht="131.25" customHeight="1"/>
  </sheetData>
  <sheetProtection/>
  <mergeCells count="70">
    <mergeCell ref="H14:H15"/>
    <mergeCell ref="I14:I15"/>
    <mergeCell ref="E164:E165"/>
    <mergeCell ref="D164:D165"/>
    <mergeCell ref="I94:I95"/>
    <mergeCell ref="G1:I1"/>
    <mergeCell ref="G2:I2"/>
    <mergeCell ref="G3:I3"/>
    <mergeCell ref="B8:I8"/>
    <mergeCell ref="E12:E13"/>
    <mergeCell ref="D12:D13"/>
    <mergeCell ref="F14:F15"/>
    <mergeCell ref="I96:I97"/>
    <mergeCell ref="D96:D97"/>
    <mergeCell ref="F96:F97"/>
    <mergeCell ref="G96:G97"/>
    <mergeCell ref="H96:H97"/>
    <mergeCell ref="H94:H95"/>
    <mergeCell ref="G94:G95"/>
    <mergeCell ref="C164:C165"/>
    <mergeCell ref="D94:D95"/>
    <mergeCell ref="F94:F95"/>
    <mergeCell ref="E126:E127"/>
    <mergeCell ref="E134:E135"/>
    <mergeCell ref="C94:C95"/>
    <mergeCell ref="C96:C97"/>
    <mergeCell ref="E143:E144"/>
    <mergeCell ref="D14:D15"/>
    <mergeCell ref="G14:G15"/>
    <mergeCell ref="E64:E67"/>
    <mergeCell ref="E78:E79"/>
    <mergeCell ref="E68:E72"/>
    <mergeCell ref="D64:D67"/>
    <mergeCell ref="D68:D72"/>
    <mergeCell ref="D78:D79"/>
    <mergeCell ref="E46:E47"/>
    <mergeCell ref="B12:B13"/>
    <mergeCell ref="B14:B15"/>
    <mergeCell ref="C14:C15"/>
    <mergeCell ref="B78:B79"/>
    <mergeCell ref="B64:B67"/>
    <mergeCell ref="C64:C67"/>
    <mergeCell ref="C12:C13"/>
    <mergeCell ref="C68:C72"/>
    <mergeCell ref="B46:B47"/>
    <mergeCell ref="C46:C47"/>
    <mergeCell ref="B204:F204"/>
    <mergeCell ref="B68:B72"/>
    <mergeCell ref="D126:D127"/>
    <mergeCell ref="D143:D144"/>
    <mergeCell ref="D134:D135"/>
    <mergeCell ref="B96:B97"/>
    <mergeCell ref="B94:B95"/>
    <mergeCell ref="C78:C79"/>
    <mergeCell ref="B164:B165"/>
    <mergeCell ref="B143:B144"/>
    <mergeCell ref="G4:I4"/>
    <mergeCell ref="D46:D47"/>
    <mergeCell ref="G5:I5"/>
    <mergeCell ref="B202:F202"/>
    <mergeCell ref="G202:I202"/>
    <mergeCell ref="C143:C144"/>
    <mergeCell ref="C134:C135"/>
    <mergeCell ref="C126:C127"/>
    <mergeCell ref="B126:B127"/>
    <mergeCell ref="B134:B135"/>
    <mergeCell ref="E186:E187"/>
    <mergeCell ref="B186:B187"/>
    <mergeCell ref="C186:C187"/>
    <mergeCell ref="D186:D187"/>
  </mergeCells>
  <printOptions horizontalCentered="1"/>
  <pageMargins left="0.29" right="0.1968503937007874" top="0.58" bottom="0.71" header="0.38" footer="0.4724409448818898"/>
  <pageSetup firstPageNumber="1" useFirstPageNumber="1" fitToHeight="17" fitToWidth="1" horizontalDpi="600" verticalDpi="600" orientation="landscape" paperSize="9" scale="23" r:id="rId1"/>
  <headerFooter alignWithMargins="0">
    <oddFooter xml:space="preserve">&amp;R&amp;36Сторінка  &amp;P&amp;48 </oddFooter>
  </headerFooter>
  <rowBreaks count="1" manualBreakCount="1">
    <brk id="9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Alex Sun</cp:lastModifiedBy>
  <cp:lastPrinted>2017-02-27T13:51:35Z</cp:lastPrinted>
  <dcterms:created xsi:type="dcterms:W3CDTF">2014-01-17T10:52:16Z</dcterms:created>
  <dcterms:modified xsi:type="dcterms:W3CDTF">2017-02-28T06:11:42Z</dcterms:modified>
  <cp:category/>
  <cp:version/>
  <cp:contentType/>
  <cp:contentStatus/>
</cp:coreProperties>
</file>