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13" activeTab="0"/>
  </bookViews>
  <sheets>
    <sheet name="дод 1" sheetId="1" r:id="rId1"/>
    <sheet name="дод 2 Вода" sheetId="2" r:id="rId2"/>
    <sheet name="дод 3 Полігон" sheetId="3" r:id="rId3"/>
    <sheet name="дод 4 Кладовща" sheetId="4" r:id="rId4"/>
  </sheets>
  <externalReferences>
    <externalReference r:id="rId7"/>
    <externalReference r:id="rId8"/>
  </externalReferences>
  <definedNames>
    <definedName name="_xlnm.Print_Area" localSheetId="0">'дод 1'!$A$1:$S$48</definedName>
  </definedNames>
  <calcPr fullCalcOnLoad="1"/>
</workbook>
</file>

<file path=xl/sharedStrings.xml><?xml version="1.0" encoding="utf-8"?>
<sst xmlns="http://schemas.openxmlformats.org/spreadsheetml/2006/main" count="239" uniqueCount="114">
  <si>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</si>
  <si>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</si>
  <si>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</si>
  <si>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</si>
  <si>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</si>
  <si>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</si>
  <si>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</si>
  <si>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</si>
  <si>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</si>
  <si>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</si>
  <si>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</si>
  <si>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</si>
  <si>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</si>
  <si>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</si>
  <si>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</si>
  <si>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</si>
  <si>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</si>
  <si>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</si>
  <si>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</si>
  <si>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</si>
  <si>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</si>
  <si>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</si>
  <si>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</si>
  <si>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</si>
  <si>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</si>
  <si>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</si>
  <si>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</si>
  <si>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</si>
  <si>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</si>
  <si>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</si>
  <si>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</si>
  <si>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</si>
  <si>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</si>
  <si>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</si>
  <si>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</si>
  <si>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</si>
  <si>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</si>
  <si>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</si>
  <si>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</si>
  <si>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</si>
  <si>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</si>
  <si>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>до рішення Сумської міської ради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</si>
  <si>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</si>
  <si>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</si>
  <si>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</si>
  <si>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</si>
  <si>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Міський бюджет</t>
  </si>
  <si>
    <t>Виконавець: Яременко Г.І.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</si>
  <si>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</si>
  <si>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</si>
  <si>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власні кошти підприємства</t>
  </si>
  <si>
    <t>Поводження з твердими побутовими відходами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</si>
  <si>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</si>
  <si>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</si>
  <si>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</si>
  <si>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</si>
  <si>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</si>
  <si>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</si>
  <si>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</si>
  <si>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</si>
  <si>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</si>
  <si>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</si>
  <si>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</si>
  <si>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</si>
  <si>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2008 рік</t>
  </si>
  <si>
    <t>2009 рік</t>
  </si>
  <si>
    <t>2010 рік</t>
  </si>
  <si>
    <t>2017рік</t>
  </si>
  <si>
    <t>Департамент інфраструктури міста Сумської міської ради, КП "Міськводоканал" СМР та інші суб'єкти господарювання</t>
  </si>
  <si>
    <t>Забезпечення належного облуговування каналізаційно-насосної станції за адресою: м. Суми, вул. Привокзальна,4/13</t>
  </si>
  <si>
    <t>Придбання водопровідних та каналізаційних люків</t>
  </si>
  <si>
    <t>О.М. Лисенко</t>
  </si>
  <si>
    <t xml:space="preserve">житлово-комунального господарства м.Суми </t>
  </si>
  <si>
    <t>на  2015 - 2017 роки» (зі змінами)</t>
  </si>
  <si>
    <t>Департамент інфраструктури міста Сумської міської ради та інші суб'єкти господарювання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</si>
  <si>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</si>
  <si>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</si>
  <si>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Додаток 2</t>
  </si>
  <si>
    <t>Заходи з реконструкції, в тому числі розробка проектно-кошторисної документації по реконструкції колекторів міста Суми</t>
  </si>
  <si>
    <t>№ з/п</t>
  </si>
  <si>
    <t>Департамент інфраструктури міста Сумської міської ради, КП "Спеціалізований комбінат" СМР та інші суб'єкти господарювання</t>
  </si>
  <si>
    <t>Департамент інфраструктури міста Сумської міської ради, КП "Сумижилкомсервіс" СМР</t>
  </si>
  <si>
    <t>Забезпечення функціонування водопровідно-каналізаційного господарства міста Суми на період до 2017 року</t>
  </si>
  <si>
    <t>Розробка нормативів питного водопостачання для населення м. Суми</t>
  </si>
  <si>
    <t xml:space="preserve">Забезпечення охорони водозаборів та очисних споруд КП «Міськводоканал»  СМР, придбання матеріалів на капітальний  ремонт колекторів  та на створення аварійного запасу матеріальних цінностей, оплата частини заборгованості за спожиту електричну енергію </t>
  </si>
  <si>
    <t>Заміна пожежних гідрантів та оновлення покажчиків пожежних гідрантів по місту</t>
  </si>
  <si>
    <t>Розрахунок допустимих концентрацій (ДК) забруднюючих речовин в скидах стічних вод споживачів у каналізаційну мережу м. Суми</t>
  </si>
  <si>
    <t>Коригування Правил приймання стічних вод в систему каналізації м. Суми</t>
  </si>
  <si>
    <t>Проведення капітального ремонту колекторів, каналізаційних та водопровідних мереж</t>
  </si>
  <si>
    <t>Виконання геофізичного обстеження відпрацьованих свердловин</t>
  </si>
  <si>
    <t>Додаток 4</t>
  </si>
  <si>
    <t>Повернення бюджетних позичок на поворотній основі</t>
  </si>
  <si>
    <t>Цільовий фонд, утворений Сумською міською радою</t>
  </si>
  <si>
    <t>Проведення реконструкції  полігону для складування твердих побутових відходів на території В.Бобрицької сільської ради Краснопільського району</t>
  </si>
  <si>
    <t xml:space="preserve">від                   2017 року №                  -МР </t>
  </si>
  <si>
    <t xml:space="preserve">від                             2017 року №                 -МР </t>
  </si>
  <si>
    <t>Забезпечення благоустрою кладовищ, діяльності спецслужби, поховання безрідних та функціонування громадських вбиралень міста Суми, організація громадських робіт на період до 2017 року</t>
  </si>
  <si>
    <t>Забезпечення благоустрою кладовищ</t>
  </si>
  <si>
    <t xml:space="preserve">Облаштування Алеї Почесних громадян  на Центральному кладовищі системою відеоспостереження та її утримання </t>
  </si>
  <si>
    <t>Забезпечення діяльності спецслужби</t>
  </si>
  <si>
    <t>Забезпечення поховання безрідних</t>
  </si>
  <si>
    <t>Забезпечення функціонування громадських вбиралень</t>
  </si>
  <si>
    <t>Організація та проведення оплачуваних громадських робіт</t>
  </si>
  <si>
    <t>Ремонт контейнерів для сміття на кладовищах міста</t>
  </si>
  <si>
    <t>Поточний ремонт огорожі на кладовищах міста</t>
  </si>
  <si>
    <t>Поточний ремонт доріжок на кладовищах міста</t>
  </si>
  <si>
    <t>Придбання контейнерів на кладовища міста</t>
  </si>
  <si>
    <t>Встановлення секторних стовпів на кладовищах міста</t>
  </si>
  <si>
    <t>Капітальний ремонт (проведення) водопроводу на кладовищах міста</t>
  </si>
  <si>
    <t>Капітальний ремонт доріжок на кладовищах</t>
  </si>
  <si>
    <t>Сумській міський голова</t>
  </si>
  <si>
    <t xml:space="preserve">від                2017 року №            -МР </t>
  </si>
  <si>
    <t>Додаток  3</t>
  </si>
  <si>
    <t xml:space="preserve">від                         2017 року №                  -МР 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</si>
</sst>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#,##0.00;[Red]\-#,##0.00"/>
    <numFmt numFmtId="207" formatCode="0.00_ ;[Red]\-0.00\ "/>
    <numFmt numFmtId="208" formatCode="#,##0.000"/>
    <numFmt numFmtId="209" formatCode="#,##0.0000"/>
    <numFmt numFmtId="210" formatCode="#,##0.0"/>
    <numFmt numFmtId="211" formatCode="#,##0.00000"/>
    <numFmt numFmtId="212" formatCode="0.000_ ;[Red]\-0.000\ "/>
    <numFmt numFmtId="213" formatCode="0.0000_ ;[Red]\-0.0000\ "/>
    <numFmt numFmtId="214" formatCode="_(* #,##0.000_);_(* \(#,##0.000\);_(* &quot;-&quot;??_);_(@_)"/>
  </numFmts>
  <fonts count="5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96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10" fontId="2" fillId="0" borderId="15" xfId="0" applyNumberFormat="1" applyFont="1" applyFill="1" applyBorder="1" applyAlignment="1">
      <alignment horizontal="center" vertical="center" wrapText="1"/>
    </xf>
    <xf numFmtId="210" fontId="3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208" fontId="2" fillId="34" borderId="13" xfId="0" applyNumberFormat="1" applyFont="1" applyFill="1" applyBorder="1" applyAlignment="1">
      <alignment horizontal="center" vertical="center" wrapText="1"/>
    </xf>
    <xf numFmtId="196" fontId="48" fillId="0" borderId="0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8" fontId="0" fillId="0" borderId="0" xfId="0" applyNumberForma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08" fontId="3" fillId="0" borderId="13" xfId="0" applyNumberFormat="1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195" fontId="3" fillId="0" borderId="0" xfId="61" applyFont="1" applyBorder="1" applyAlignment="1">
      <alignment horizontal="center" vertical="center"/>
    </xf>
    <xf numFmtId="214" fontId="3" fillId="0" borderId="0" xfId="61" applyNumberFormat="1" applyFont="1" applyBorder="1" applyAlignment="1">
      <alignment horizontal="center" vertical="center"/>
    </xf>
    <xf numFmtId="0" fontId="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196" fontId="3" fillId="0" borderId="13" xfId="53" applyNumberFormat="1" applyFont="1" applyBorder="1" applyAlignment="1">
      <alignment horizontal="center" vertical="center" wrapText="1"/>
      <protection/>
    </xf>
    <xf numFmtId="196" fontId="2" fillId="34" borderId="15" xfId="53" applyNumberFormat="1" applyFont="1" applyFill="1" applyBorder="1" applyAlignment="1">
      <alignment horizontal="center" vertical="center" wrapText="1"/>
      <protection/>
    </xf>
    <xf numFmtId="196" fontId="2" fillId="0" borderId="15" xfId="53" applyNumberFormat="1" applyFont="1" applyFill="1" applyBorder="1" applyAlignment="1">
      <alignment horizontal="center" vertical="center" wrapText="1"/>
      <protection/>
    </xf>
    <xf numFmtId="196" fontId="2" fillId="0" borderId="15" xfId="53" applyNumberFormat="1" applyFont="1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196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196" fontId="0" fillId="0" borderId="0" xfId="53" applyNumberFormat="1">
      <alignment/>
      <protection/>
    </xf>
    <xf numFmtId="197" fontId="2" fillId="0" borderId="15" xfId="53" applyNumberFormat="1" applyFont="1" applyBorder="1" applyAlignment="1">
      <alignment horizontal="center" vertical="center" wrapText="1"/>
      <protection/>
    </xf>
    <xf numFmtId="197" fontId="3" fillId="0" borderId="13" xfId="53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210" fontId="3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196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1" fillId="33" borderId="0" xfId="53" applyFont="1" applyFill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2">
        <row r="22">
          <cell r="E22">
            <v>16775</v>
          </cell>
        </row>
      </sheetData>
      <sheetData sheetId="3">
        <row r="44">
          <cell r="E44">
            <v>7480.3</v>
          </cell>
          <cell r="G44">
            <v>10106</v>
          </cell>
        </row>
      </sheetData>
      <sheetData sheetId="4">
        <row r="21">
          <cell r="J21">
            <v>9150</v>
          </cell>
        </row>
      </sheetData>
      <sheetData sheetId="5">
        <row r="27">
          <cell r="E27">
            <v>1035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86"/>
  <sheetViews>
    <sheetView tabSelected="1" view="pageBreakPreview" zoomScale="87" zoomScaleSheetLayoutView="87" zoomScalePageLayoutView="0" workbookViewId="0" topLeftCell="C1">
      <selection activeCell="J43" sqref="J43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15.42187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6.00390625" style="0" customWidth="1"/>
    <col min="8" max="8" width="13.7109375" style="0" bestFit="1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3.00390625" style="0" customWidth="1"/>
    <col min="13" max="13" width="14.28125" style="0" customWidth="1"/>
    <col min="14" max="14" width="18.421875" style="0" bestFit="1" customWidth="1"/>
    <col min="15" max="15" width="6.140625" style="0" hidden="1" customWidth="1"/>
    <col min="16" max="16" width="15.57421875" style="0" bestFit="1" customWidth="1"/>
    <col min="17" max="17" width="13.140625" style="0" customWidth="1"/>
    <col min="18" max="18" width="11.8515625" style="0" customWidth="1"/>
    <col min="19" max="19" width="17.28125" style="0" customWidth="1"/>
    <col min="21" max="21" width="10.7109375" style="0" bestFit="1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39" t="s">
        <v>27</v>
      </c>
      <c r="N1" s="139"/>
      <c r="O1" s="139"/>
      <c r="P1" s="139"/>
      <c r="Q1" s="139"/>
      <c r="R1" s="139"/>
      <c r="S1" s="139"/>
    </row>
    <row r="2" spans="1:19" ht="15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140" t="s">
        <v>9</v>
      </c>
      <c r="N2" s="140"/>
      <c r="O2" s="140"/>
      <c r="P2" s="140"/>
      <c r="Q2" s="140"/>
      <c r="R2" s="140"/>
      <c r="S2" s="140"/>
    </row>
    <row r="3" spans="1:19" ht="15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140" t="s">
        <v>29</v>
      </c>
      <c r="N3" s="140"/>
      <c r="O3" s="140"/>
      <c r="P3" s="140"/>
      <c r="Q3" s="140"/>
      <c r="R3" s="140"/>
      <c r="S3" s="140"/>
    </row>
    <row r="4" spans="1:19" ht="15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140" t="s">
        <v>10</v>
      </c>
      <c r="N4" s="140"/>
      <c r="O4" s="140"/>
      <c r="P4" s="140"/>
      <c r="Q4" s="140"/>
      <c r="R4" s="140"/>
      <c r="S4" s="140"/>
    </row>
    <row r="5" spans="1:19" ht="15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140" t="s">
        <v>3</v>
      </c>
      <c r="N5" s="140"/>
      <c r="O5" s="140"/>
      <c r="P5" s="140"/>
      <c r="Q5" s="140"/>
      <c r="R5" s="140"/>
      <c r="S5" s="140"/>
    </row>
    <row r="6" spans="1:19" ht="15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140" t="s">
        <v>31</v>
      </c>
      <c r="N6" s="140"/>
      <c r="O6" s="140"/>
      <c r="P6" s="140"/>
      <c r="Q6" s="140"/>
      <c r="R6" s="140"/>
      <c r="S6" s="140"/>
    </row>
    <row r="7" spans="1:19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13" t="s">
        <v>113</v>
      </c>
      <c r="N7" s="13"/>
      <c r="O7" s="13" t="s">
        <v>32</v>
      </c>
      <c r="P7" s="13"/>
      <c r="Q7" s="13"/>
      <c r="R7" s="13"/>
      <c r="S7" s="13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>
      <c r="A9" s="141" t="s">
        <v>18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42" t="s">
        <v>11</v>
      </c>
      <c r="L10" s="142"/>
      <c r="M10" s="142"/>
      <c r="N10" s="142"/>
      <c r="O10" s="142"/>
      <c r="P10" s="142"/>
      <c r="Q10" s="142"/>
      <c r="R10" s="142"/>
      <c r="S10" s="142"/>
    </row>
    <row r="11" spans="1:19" ht="19.5" customHeight="1">
      <c r="A11" s="143" t="s">
        <v>1</v>
      </c>
      <c r="B11" s="143" t="s">
        <v>12</v>
      </c>
      <c r="C11" s="146" t="s">
        <v>13</v>
      </c>
      <c r="D11" s="16"/>
      <c r="E11" s="147" t="s">
        <v>14</v>
      </c>
      <c r="F11" s="148"/>
      <c r="G11" s="149"/>
      <c r="H11" s="146" t="s">
        <v>4</v>
      </c>
      <c r="I11" s="146"/>
      <c r="J11" s="146"/>
      <c r="K11" s="146"/>
      <c r="L11" s="143"/>
      <c r="M11" s="143"/>
      <c r="N11" s="143"/>
      <c r="O11" s="146"/>
      <c r="P11" s="146"/>
      <c r="Q11" s="146"/>
      <c r="R11" s="146"/>
      <c r="S11" s="146"/>
    </row>
    <row r="12" spans="1:19" ht="21" customHeight="1">
      <c r="A12" s="144"/>
      <c r="B12" s="144"/>
      <c r="C12" s="146"/>
      <c r="D12" s="14"/>
      <c r="E12" s="143" t="s">
        <v>15</v>
      </c>
      <c r="F12" s="143" t="s">
        <v>16</v>
      </c>
      <c r="G12" s="143" t="s">
        <v>17</v>
      </c>
      <c r="H12" s="146" t="s">
        <v>5</v>
      </c>
      <c r="I12" s="146"/>
      <c r="J12" s="146"/>
      <c r="K12" s="155" t="s">
        <v>8</v>
      </c>
      <c r="L12" s="150" t="s">
        <v>6</v>
      </c>
      <c r="M12" s="150"/>
      <c r="N12" s="150"/>
      <c r="O12" s="150"/>
      <c r="P12" s="150"/>
      <c r="Q12" s="146" t="s">
        <v>7</v>
      </c>
      <c r="R12" s="146"/>
      <c r="S12" s="146"/>
    </row>
    <row r="13" spans="1:19" ht="46.5" customHeight="1">
      <c r="A13" s="145"/>
      <c r="B13" s="145"/>
      <c r="C13" s="143"/>
      <c r="D13" s="15"/>
      <c r="E13" s="145"/>
      <c r="F13" s="145"/>
      <c r="G13" s="145"/>
      <c r="H13" s="17" t="s">
        <v>15</v>
      </c>
      <c r="I13" s="17" t="s">
        <v>16</v>
      </c>
      <c r="J13" s="17" t="s">
        <v>17</v>
      </c>
      <c r="K13" s="155"/>
      <c r="L13" s="69" t="s">
        <v>15</v>
      </c>
      <c r="M13" s="69" t="s">
        <v>16</v>
      </c>
      <c r="N13" s="69" t="s">
        <v>17</v>
      </c>
      <c r="O13" s="70"/>
      <c r="P13" s="70" t="s">
        <v>50</v>
      </c>
      <c r="Q13" s="17" t="s">
        <v>15</v>
      </c>
      <c r="R13" s="17" t="s">
        <v>16</v>
      </c>
      <c r="S13" s="17" t="s">
        <v>17</v>
      </c>
    </row>
    <row r="14" spans="1:21" ht="43.5" customHeight="1">
      <c r="A14" s="22">
        <v>1</v>
      </c>
      <c r="B14" s="23" t="s">
        <v>19</v>
      </c>
      <c r="C14" s="52">
        <f>E14+F14+G14</f>
        <v>505273.55</v>
      </c>
      <c r="D14" s="52">
        <f>E14+F14+G14</f>
        <v>505273.55</v>
      </c>
      <c r="E14" s="52">
        <f>H14</f>
        <v>2117.8</v>
      </c>
      <c r="F14" s="52"/>
      <c r="G14" s="52">
        <f>J14+N14+S14</f>
        <v>503155.75</v>
      </c>
      <c r="H14" s="53">
        <f>2117.8</f>
        <v>2117.8</v>
      </c>
      <c r="I14" s="53"/>
      <c r="J14" s="54">
        <f>119401.9-1000-3-127.9-13</f>
        <v>118258</v>
      </c>
      <c r="K14" s="53" t="e">
        <f>#REF!</f>
        <v>#REF!</v>
      </c>
      <c r="L14" s="55"/>
      <c r="M14" s="55"/>
      <c r="N14" s="55">
        <v>212869.75</v>
      </c>
      <c r="O14" s="55" t="e">
        <f>#REF!</f>
        <v>#REF!</v>
      </c>
      <c r="P14" s="55"/>
      <c r="Q14" s="53"/>
      <c r="R14" s="53"/>
      <c r="S14" s="53">
        <v>172028</v>
      </c>
      <c r="U14" s="6"/>
    </row>
    <row r="15" spans="1:19" ht="34.5" customHeight="1">
      <c r="A15" s="22">
        <f>A14+1</f>
        <v>2</v>
      </c>
      <c r="B15" s="23" t="s">
        <v>20</v>
      </c>
      <c r="C15" s="52">
        <f aca="true" t="shared" si="0" ref="C15:C27">E15+F15+G15</f>
        <v>78175</v>
      </c>
      <c r="D15" s="52">
        <f aca="true" t="shared" si="1" ref="D15:D25">E15+F15+G15</f>
        <v>78175</v>
      </c>
      <c r="E15" s="52"/>
      <c r="F15" s="52"/>
      <c r="G15" s="52">
        <f aca="true" t="shared" si="2" ref="G15:G37">J15+N15+S15</f>
        <v>78175</v>
      </c>
      <c r="H15" s="53"/>
      <c r="I15" s="53"/>
      <c r="J15" s="54">
        <f>'[2]міськсвітло'!E22</f>
        <v>16775</v>
      </c>
      <c r="K15" s="53">
        <v>4760</v>
      </c>
      <c r="L15" s="55">
        <v>1700</v>
      </c>
      <c r="M15" s="55">
        <v>20</v>
      </c>
      <c r="N15" s="55">
        <f>22600+3000+2100+600+100</f>
        <v>28400</v>
      </c>
      <c r="O15" s="55">
        <v>4807</v>
      </c>
      <c r="P15" s="55"/>
      <c r="Q15" s="53"/>
      <c r="R15" s="53"/>
      <c r="S15" s="53">
        <v>33000</v>
      </c>
    </row>
    <row r="16" spans="1:19" ht="59.25" customHeight="1">
      <c r="A16" s="22">
        <f aca="true" t="shared" si="3" ref="A16:A23">A15+1</f>
        <v>3</v>
      </c>
      <c r="B16" s="23" t="s">
        <v>75</v>
      </c>
      <c r="C16" s="52">
        <f>E16+F16+G16</f>
        <v>30101.9</v>
      </c>
      <c r="D16" s="52">
        <f t="shared" si="1"/>
        <v>30101.9</v>
      </c>
      <c r="E16" s="52"/>
      <c r="F16" s="52">
        <f>I16+M16+R16</f>
        <v>2.5</v>
      </c>
      <c r="G16" s="52">
        <f>J16+N16+S16</f>
        <v>30099.4</v>
      </c>
      <c r="H16" s="53"/>
      <c r="I16" s="53"/>
      <c r="J16" s="55">
        <f>'[2]зеленбуд'!E44</f>
        <v>7480.3</v>
      </c>
      <c r="K16" s="55">
        <v>13299.9</v>
      </c>
      <c r="L16" s="55"/>
      <c r="M16" s="55">
        <v>2.5</v>
      </c>
      <c r="N16" s="55">
        <f>9615.2+128</f>
        <v>9743.2</v>
      </c>
      <c r="O16" s="55">
        <v>11861</v>
      </c>
      <c r="P16" s="55"/>
      <c r="Q16" s="55"/>
      <c r="R16" s="55"/>
      <c r="S16" s="53">
        <f>'[2]зеленбуд'!G44+2769.9</f>
        <v>12875.9</v>
      </c>
    </row>
    <row r="17" spans="1:19" ht="48.75" customHeight="1">
      <c r="A17" s="22">
        <f t="shared" si="3"/>
        <v>4</v>
      </c>
      <c r="B17" s="23" t="s">
        <v>76</v>
      </c>
      <c r="C17" s="52">
        <f t="shared" si="0"/>
        <v>36436.9</v>
      </c>
      <c r="D17" s="52">
        <f t="shared" si="1"/>
        <v>36436.9</v>
      </c>
      <c r="E17" s="52"/>
      <c r="F17" s="52"/>
      <c r="G17" s="52">
        <f t="shared" si="2"/>
        <v>36436.9</v>
      </c>
      <c r="H17" s="53"/>
      <c r="I17" s="53"/>
      <c r="J17" s="55">
        <v>6413</v>
      </c>
      <c r="K17" s="55">
        <v>117795.5</v>
      </c>
      <c r="L17" s="55"/>
      <c r="M17" s="55"/>
      <c r="N17" s="55">
        <f>10231.5+1</f>
        <v>10232.5</v>
      </c>
      <c r="O17" s="55">
        <v>130320.5</v>
      </c>
      <c r="P17" s="55"/>
      <c r="Q17" s="55"/>
      <c r="R17" s="55"/>
      <c r="S17" s="53">
        <f>'[2]спецкомбінат'!J21+10441.4+200</f>
        <v>19791.4</v>
      </c>
    </row>
    <row r="18" spans="1:19" ht="27" customHeight="1">
      <c r="A18" s="22">
        <f t="shared" si="3"/>
        <v>5</v>
      </c>
      <c r="B18" s="23" t="s">
        <v>21</v>
      </c>
      <c r="C18" s="52">
        <f t="shared" si="0"/>
        <v>4310.08</v>
      </c>
      <c r="D18" s="52">
        <f t="shared" si="1"/>
        <v>4310.08</v>
      </c>
      <c r="E18" s="52"/>
      <c r="F18" s="52"/>
      <c r="G18" s="52">
        <f t="shared" si="2"/>
        <v>4310.08</v>
      </c>
      <c r="H18" s="53"/>
      <c r="I18" s="53"/>
      <c r="J18" s="55">
        <f>'[2]саночистка'!E27</f>
        <v>1035</v>
      </c>
      <c r="K18" s="55">
        <v>7405.3</v>
      </c>
      <c r="L18" s="55"/>
      <c r="M18" s="55"/>
      <c r="N18" s="55">
        <f>1140+365.08</f>
        <v>1505.08</v>
      </c>
      <c r="O18" s="55">
        <v>8198.7</v>
      </c>
      <c r="P18" s="55"/>
      <c r="Q18" s="55"/>
      <c r="R18" s="55"/>
      <c r="S18" s="53">
        <v>1770</v>
      </c>
    </row>
    <row r="19" spans="1:19" ht="35.25" customHeight="1">
      <c r="A19" s="22">
        <f t="shared" si="3"/>
        <v>6</v>
      </c>
      <c r="B19" s="23" t="s">
        <v>22</v>
      </c>
      <c r="C19" s="52">
        <f t="shared" si="0"/>
        <v>11508.1</v>
      </c>
      <c r="D19" s="52">
        <f t="shared" si="1"/>
        <v>11508.1</v>
      </c>
      <c r="E19" s="52"/>
      <c r="F19" s="52"/>
      <c r="G19" s="52">
        <f t="shared" si="2"/>
        <v>11508.1</v>
      </c>
      <c r="H19" s="53"/>
      <c r="I19" s="53"/>
      <c r="J19" s="55">
        <f>2957.5+100</f>
        <v>3057.5</v>
      </c>
      <c r="K19" s="55">
        <v>22035.5</v>
      </c>
      <c r="L19" s="55"/>
      <c r="M19" s="55"/>
      <c r="N19" s="55">
        <v>3781.6</v>
      </c>
      <c r="O19" s="55">
        <v>21202</v>
      </c>
      <c r="P19" s="55"/>
      <c r="Q19" s="55"/>
      <c r="R19" s="55"/>
      <c r="S19" s="53">
        <v>4669</v>
      </c>
    </row>
    <row r="20" spans="1:19" ht="32.25" customHeight="1">
      <c r="A20" s="22">
        <f t="shared" si="3"/>
        <v>7</v>
      </c>
      <c r="B20" s="23" t="s">
        <v>23</v>
      </c>
      <c r="C20" s="52">
        <f t="shared" si="0"/>
        <v>1460</v>
      </c>
      <c r="D20" s="52">
        <f t="shared" si="1"/>
        <v>1460</v>
      </c>
      <c r="E20" s="52"/>
      <c r="F20" s="52"/>
      <c r="G20" s="52">
        <f t="shared" si="2"/>
        <v>1460</v>
      </c>
      <c r="H20" s="53"/>
      <c r="I20" s="53"/>
      <c r="J20" s="55">
        <f>'[2]евтаназія'!E26</f>
        <v>400</v>
      </c>
      <c r="K20" s="55">
        <v>13568.2</v>
      </c>
      <c r="L20" s="55"/>
      <c r="M20" s="55"/>
      <c r="N20" s="55">
        <f>'[2]евтаназія'!F26</f>
        <v>480</v>
      </c>
      <c r="O20" s="55">
        <v>9730.1</v>
      </c>
      <c r="P20" s="55"/>
      <c r="Q20" s="55"/>
      <c r="R20" s="55"/>
      <c r="S20" s="53">
        <f>'[2]евтаназія'!I26</f>
        <v>580</v>
      </c>
    </row>
    <row r="21" spans="1:19" ht="32.25" customHeight="1">
      <c r="A21" s="22">
        <f t="shared" si="3"/>
        <v>8</v>
      </c>
      <c r="B21" s="23" t="s">
        <v>24</v>
      </c>
      <c r="C21" s="52">
        <f t="shared" si="0"/>
        <v>26583.2</v>
      </c>
      <c r="D21" s="52">
        <f t="shared" si="1"/>
        <v>26583.2</v>
      </c>
      <c r="E21" s="52"/>
      <c r="F21" s="52"/>
      <c r="G21" s="52">
        <f t="shared" si="2"/>
        <v>26583.2</v>
      </c>
      <c r="H21" s="53"/>
      <c r="I21" s="53"/>
      <c r="J21" s="55">
        <f>'[2]капітальний ремонт'!E20</f>
        <v>3365</v>
      </c>
      <c r="K21" s="55">
        <v>2008.9</v>
      </c>
      <c r="L21" s="55"/>
      <c r="M21" s="55"/>
      <c r="N21" s="55">
        <v>4482</v>
      </c>
      <c r="O21" s="55">
        <v>1978.9</v>
      </c>
      <c r="P21" s="55"/>
      <c r="Q21" s="55"/>
      <c r="R21" s="55"/>
      <c r="S21" s="55">
        <v>18736.2</v>
      </c>
    </row>
    <row r="22" spans="1:19" ht="37.5" customHeight="1">
      <c r="A22" s="22">
        <f t="shared" si="3"/>
        <v>9</v>
      </c>
      <c r="B22" s="25" t="s">
        <v>49</v>
      </c>
      <c r="C22" s="56">
        <f>E22+F22+G22</f>
        <v>306585</v>
      </c>
      <c r="D22" s="56">
        <f t="shared" si="1"/>
        <v>306585</v>
      </c>
      <c r="E22" s="56">
        <f>H22+L22+Q22</f>
        <v>4800</v>
      </c>
      <c r="F22" s="56">
        <f>I22+M22+R22</f>
        <v>7500</v>
      </c>
      <c r="G22" s="56">
        <f>J22+N22+S22</f>
        <v>294285</v>
      </c>
      <c r="H22" s="54">
        <v>4800</v>
      </c>
      <c r="I22" s="54">
        <v>2500</v>
      </c>
      <c r="J22" s="54">
        <f>19978-250+23500</f>
        <v>43228</v>
      </c>
      <c r="K22" s="54">
        <v>882.7</v>
      </c>
      <c r="L22" s="54"/>
      <c r="M22" s="54">
        <v>2500</v>
      </c>
      <c r="N22" s="55">
        <f>94070+1902+1000+85</f>
        <v>97057</v>
      </c>
      <c r="O22" s="55">
        <v>469.8</v>
      </c>
      <c r="P22" s="55"/>
      <c r="Q22" s="55"/>
      <c r="R22" s="55">
        <v>2500</v>
      </c>
      <c r="S22" s="55">
        <v>154000</v>
      </c>
    </row>
    <row r="23" spans="1:19" ht="46.5" customHeight="1">
      <c r="A23" s="22">
        <f t="shared" si="3"/>
        <v>10</v>
      </c>
      <c r="B23" s="23" t="s">
        <v>25</v>
      </c>
      <c r="C23" s="52">
        <f t="shared" si="0"/>
        <v>8975.99</v>
      </c>
      <c r="D23" s="52">
        <f t="shared" si="1"/>
        <v>8975.99</v>
      </c>
      <c r="E23" s="52"/>
      <c r="F23" s="52"/>
      <c r="G23" s="52">
        <f t="shared" si="2"/>
        <v>8975.99</v>
      </c>
      <c r="H23" s="53"/>
      <c r="I23" s="53"/>
      <c r="J23" s="55">
        <v>2423.76</v>
      </c>
      <c r="K23" s="55">
        <v>1969.3</v>
      </c>
      <c r="L23" s="55"/>
      <c r="M23" s="55"/>
      <c r="N23" s="55">
        <v>3218.51</v>
      </c>
      <c r="O23" s="55">
        <v>2146</v>
      </c>
      <c r="P23" s="55"/>
      <c r="Q23" s="55"/>
      <c r="R23" s="55"/>
      <c r="S23" s="55">
        <v>3333.72</v>
      </c>
    </row>
    <row r="24" spans="1:19" ht="38.25" customHeight="1">
      <c r="A24" s="22">
        <v>11</v>
      </c>
      <c r="B24" s="23" t="s">
        <v>26</v>
      </c>
      <c r="C24" s="52">
        <f t="shared" si="0"/>
        <v>20008.87</v>
      </c>
      <c r="D24" s="52">
        <f t="shared" si="1"/>
        <v>20008.87</v>
      </c>
      <c r="E24" s="52"/>
      <c r="F24" s="52"/>
      <c r="G24" s="52">
        <f t="shared" si="2"/>
        <v>20008.87</v>
      </c>
      <c r="H24" s="53"/>
      <c r="I24" s="53"/>
      <c r="J24" s="55">
        <f>1470.4+1000+127.9+224.2-120</f>
        <v>2702.5</v>
      </c>
      <c r="K24" s="55"/>
      <c r="L24" s="55"/>
      <c r="M24" s="55"/>
      <c r="N24" s="55">
        <f>1850+70.1+50.1+500+3129.5+300.7+664.534+174.6+2729+200.666+1057.61+230-50</f>
        <v>10906.81</v>
      </c>
      <c r="O24" s="55"/>
      <c r="P24" s="55"/>
      <c r="Q24" s="55"/>
      <c r="R24" s="55"/>
      <c r="S24" s="55">
        <f>6169.56+180+50</f>
        <v>6399.56</v>
      </c>
    </row>
    <row r="25" spans="1:19" s="26" customFormat="1" ht="34.5" customHeight="1">
      <c r="A25" s="24">
        <v>12</v>
      </c>
      <c r="B25" s="25" t="s">
        <v>34</v>
      </c>
      <c r="C25" s="56">
        <f t="shared" si="0"/>
        <v>2611.84</v>
      </c>
      <c r="D25" s="56">
        <f t="shared" si="1"/>
        <v>2611.84</v>
      </c>
      <c r="E25" s="56"/>
      <c r="F25" s="56"/>
      <c r="G25" s="56">
        <f t="shared" si="2"/>
        <v>2611.84</v>
      </c>
      <c r="H25" s="54"/>
      <c r="I25" s="54"/>
      <c r="J25" s="55">
        <f>583.8+1589</f>
        <v>2172.8</v>
      </c>
      <c r="K25" s="55"/>
      <c r="L25" s="55"/>
      <c r="M25" s="55"/>
      <c r="N25" s="55">
        <f>298.34+46</f>
        <v>344.34</v>
      </c>
      <c r="O25" s="55"/>
      <c r="P25" s="55"/>
      <c r="Q25" s="55"/>
      <c r="R25" s="55"/>
      <c r="S25" s="55">
        <v>94.7</v>
      </c>
    </row>
    <row r="26" spans="1:19" ht="15.75">
      <c r="A26" s="22">
        <v>13</v>
      </c>
      <c r="B26" s="23" t="s">
        <v>30</v>
      </c>
      <c r="C26" s="52">
        <f t="shared" si="0"/>
        <v>8301.50029</v>
      </c>
      <c r="D26" s="52"/>
      <c r="E26" s="52"/>
      <c r="F26" s="52"/>
      <c r="G26" s="52">
        <f t="shared" si="2"/>
        <v>8301.50029</v>
      </c>
      <c r="H26" s="53"/>
      <c r="I26" s="53"/>
      <c r="J26" s="55">
        <f>3+3</f>
        <v>6</v>
      </c>
      <c r="K26" s="55"/>
      <c r="L26" s="55"/>
      <c r="M26" s="55"/>
      <c r="N26" s="65">
        <f>4461+34.53529-1500-2500.035</f>
        <v>495.50028999999995</v>
      </c>
      <c r="O26" s="55"/>
      <c r="P26" s="55"/>
      <c r="Q26" s="55"/>
      <c r="R26" s="55"/>
      <c r="S26" s="55">
        <v>7800</v>
      </c>
    </row>
    <row r="27" spans="1:19" ht="15.75">
      <c r="A27" s="22">
        <v>14</v>
      </c>
      <c r="B27" s="23" t="s">
        <v>48</v>
      </c>
      <c r="C27" s="52">
        <f t="shared" si="0"/>
        <v>21294</v>
      </c>
      <c r="D27" s="52"/>
      <c r="E27" s="52"/>
      <c r="F27" s="57"/>
      <c r="G27" s="52">
        <f t="shared" si="2"/>
        <v>21294</v>
      </c>
      <c r="H27" s="58"/>
      <c r="I27" s="53"/>
      <c r="J27" s="55">
        <v>1214</v>
      </c>
      <c r="K27" s="55"/>
      <c r="L27" s="55"/>
      <c r="M27" s="55"/>
      <c r="N27" s="55">
        <f>8000+80</f>
        <v>8080</v>
      </c>
      <c r="O27" s="55"/>
      <c r="P27" s="55"/>
      <c r="Q27" s="55"/>
      <c r="R27" s="55"/>
      <c r="S27" s="55">
        <v>12000</v>
      </c>
    </row>
    <row r="28" spans="1:19" ht="15.75">
      <c r="A28" s="22">
        <v>15</v>
      </c>
      <c r="B28" s="23" t="s">
        <v>39</v>
      </c>
      <c r="C28" s="52">
        <f aca="true" t="shared" si="4" ref="C28:C37">G28</f>
        <v>2200</v>
      </c>
      <c r="D28" s="52"/>
      <c r="E28" s="52"/>
      <c r="F28" s="52"/>
      <c r="G28" s="52">
        <f t="shared" si="2"/>
        <v>2200</v>
      </c>
      <c r="H28" s="53"/>
      <c r="I28" s="53"/>
      <c r="J28" s="55">
        <f>200-200</f>
        <v>0</v>
      </c>
      <c r="K28" s="55"/>
      <c r="L28" s="55"/>
      <c r="M28" s="55"/>
      <c r="N28" s="55">
        <f>500+200+500</f>
        <v>1200</v>
      </c>
      <c r="O28" s="55"/>
      <c r="P28" s="55"/>
      <c r="Q28" s="55"/>
      <c r="R28" s="55"/>
      <c r="S28" s="55">
        <v>1000</v>
      </c>
    </row>
    <row r="29" spans="1:19" ht="31.5">
      <c r="A29" s="22">
        <v>16</v>
      </c>
      <c r="B29" s="23" t="s">
        <v>35</v>
      </c>
      <c r="C29" s="52">
        <f t="shared" si="4"/>
        <v>5784.42</v>
      </c>
      <c r="D29" s="52"/>
      <c r="E29" s="52"/>
      <c r="F29" s="52"/>
      <c r="G29" s="52">
        <f t="shared" si="2"/>
        <v>5784.42</v>
      </c>
      <c r="H29" s="53"/>
      <c r="I29" s="53"/>
      <c r="J29" s="55">
        <v>1084.42</v>
      </c>
      <c r="K29" s="55"/>
      <c r="L29" s="55"/>
      <c r="M29" s="55"/>
      <c r="N29" s="55">
        <v>3700</v>
      </c>
      <c r="O29" s="55"/>
      <c r="P29" s="55"/>
      <c r="Q29" s="55"/>
      <c r="R29" s="55"/>
      <c r="S29" s="55">
        <v>1000</v>
      </c>
    </row>
    <row r="30" spans="1:19" ht="49.5" customHeight="1">
      <c r="A30" s="22">
        <v>17</v>
      </c>
      <c r="B30" s="23" t="s">
        <v>36</v>
      </c>
      <c r="C30" s="52">
        <f t="shared" si="4"/>
        <v>1349.4</v>
      </c>
      <c r="D30" s="52"/>
      <c r="E30" s="52"/>
      <c r="F30" s="52"/>
      <c r="G30" s="52">
        <f t="shared" si="2"/>
        <v>1349.4</v>
      </c>
      <c r="H30" s="53"/>
      <c r="I30" s="53"/>
      <c r="J30" s="55"/>
      <c r="K30" s="55"/>
      <c r="L30" s="55"/>
      <c r="M30" s="55"/>
      <c r="N30" s="55">
        <f>465+4461-4461+200+34.4</f>
        <v>699.4</v>
      </c>
      <c r="O30" s="55"/>
      <c r="P30" s="55"/>
      <c r="Q30" s="55"/>
      <c r="R30" s="55"/>
      <c r="S30" s="55">
        <v>650</v>
      </c>
    </row>
    <row r="31" spans="1:19" ht="49.5" customHeight="1">
      <c r="A31" s="22">
        <v>18</v>
      </c>
      <c r="B31" s="23" t="s">
        <v>38</v>
      </c>
      <c r="C31" s="52">
        <f t="shared" si="4"/>
        <v>185120.615</v>
      </c>
      <c r="D31" s="52"/>
      <c r="E31" s="52"/>
      <c r="F31" s="52"/>
      <c r="G31" s="52">
        <f t="shared" si="2"/>
        <v>185120.615</v>
      </c>
      <c r="H31" s="53"/>
      <c r="I31" s="53"/>
      <c r="J31" s="55"/>
      <c r="K31" s="55"/>
      <c r="L31" s="55"/>
      <c r="M31" s="55"/>
      <c r="N31" s="65">
        <f>49855.6+12000+250+339.9+1116.3+677.7+277.2+14.159+17.372+292+5+2725+1800+1470+21+72.61+1134.95+5798.8+317.6+470+49.8+700</f>
        <v>79404.99100000001</v>
      </c>
      <c r="O31" s="55"/>
      <c r="P31" s="55">
        <v>47</v>
      </c>
      <c r="Q31" s="55"/>
      <c r="R31" s="55"/>
      <c r="S31" s="65">
        <f>88015.624+13700+4000</f>
        <v>105715.624</v>
      </c>
    </row>
    <row r="32" spans="1:19" ht="48.75" customHeight="1">
      <c r="A32" s="22">
        <v>19</v>
      </c>
      <c r="B32" s="23" t="s">
        <v>37</v>
      </c>
      <c r="C32" s="52">
        <f t="shared" si="4"/>
        <v>3410</v>
      </c>
      <c r="D32" s="52"/>
      <c r="E32" s="52"/>
      <c r="F32" s="52"/>
      <c r="G32" s="52">
        <f t="shared" si="2"/>
        <v>3410</v>
      </c>
      <c r="H32" s="53"/>
      <c r="I32" s="53"/>
      <c r="J32" s="55"/>
      <c r="K32" s="55"/>
      <c r="L32" s="55"/>
      <c r="M32" s="55"/>
      <c r="N32" s="55">
        <f>980+450</f>
        <v>1430</v>
      </c>
      <c r="O32" s="55"/>
      <c r="P32" s="55"/>
      <c r="Q32" s="55"/>
      <c r="R32" s="55"/>
      <c r="S32" s="55">
        <f>1000+980</f>
        <v>1980</v>
      </c>
    </row>
    <row r="33" spans="1:23" ht="39.75" customHeight="1">
      <c r="A33" s="22">
        <v>20</v>
      </c>
      <c r="B33" s="23" t="s">
        <v>40</v>
      </c>
      <c r="C33" s="52">
        <f t="shared" si="4"/>
        <v>5200</v>
      </c>
      <c r="D33" s="52"/>
      <c r="E33" s="52"/>
      <c r="F33" s="52"/>
      <c r="G33" s="52">
        <f t="shared" si="2"/>
        <v>5200</v>
      </c>
      <c r="H33" s="53"/>
      <c r="I33" s="53"/>
      <c r="J33" s="55"/>
      <c r="K33" s="55"/>
      <c r="L33" s="55"/>
      <c r="M33" s="55"/>
      <c r="N33" s="55">
        <f>4461-2461</f>
        <v>2000</v>
      </c>
      <c r="O33" s="55"/>
      <c r="P33" s="55"/>
      <c r="Q33" s="55"/>
      <c r="R33" s="55"/>
      <c r="S33" s="55">
        <v>3200</v>
      </c>
      <c r="W33" s="19"/>
    </row>
    <row r="34" spans="1:23" ht="47.25">
      <c r="A34" s="22">
        <v>21</v>
      </c>
      <c r="B34" s="23" t="s">
        <v>78</v>
      </c>
      <c r="C34" s="52">
        <f t="shared" si="4"/>
        <v>6619.8</v>
      </c>
      <c r="D34" s="52"/>
      <c r="E34" s="52"/>
      <c r="F34" s="52"/>
      <c r="G34" s="52">
        <f t="shared" si="2"/>
        <v>6619.8</v>
      </c>
      <c r="H34" s="53"/>
      <c r="I34" s="53"/>
      <c r="J34" s="55"/>
      <c r="K34" s="55"/>
      <c r="L34" s="55"/>
      <c r="M34" s="55"/>
      <c r="N34" s="55">
        <f>541+78.8</f>
        <v>619.8</v>
      </c>
      <c r="O34" s="55"/>
      <c r="P34" s="55"/>
      <c r="Q34" s="55"/>
      <c r="R34" s="55"/>
      <c r="S34" s="55">
        <v>6000</v>
      </c>
      <c r="W34" s="19"/>
    </row>
    <row r="35" spans="1:23" ht="24.75" customHeight="1">
      <c r="A35" s="22">
        <v>22</v>
      </c>
      <c r="B35" s="23" t="s">
        <v>51</v>
      </c>
      <c r="C35" s="52">
        <f t="shared" si="4"/>
        <v>8248</v>
      </c>
      <c r="D35" s="52"/>
      <c r="E35" s="52"/>
      <c r="F35" s="52"/>
      <c r="G35" s="52">
        <f t="shared" si="2"/>
        <v>8248</v>
      </c>
      <c r="H35" s="53"/>
      <c r="I35" s="53"/>
      <c r="J35" s="55"/>
      <c r="K35" s="55"/>
      <c r="L35" s="55"/>
      <c r="M35" s="55"/>
      <c r="N35" s="55">
        <v>1473</v>
      </c>
      <c r="O35" s="55"/>
      <c r="P35" s="55"/>
      <c r="Q35" s="55"/>
      <c r="R35" s="55"/>
      <c r="S35" s="65">
        <f>5200+1575</f>
        <v>6775</v>
      </c>
      <c r="W35" s="19"/>
    </row>
    <row r="36" spans="1:23" ht="24.75" customHeight="1">
      <c r="A36" s="22">
        <v>23</v>
      </c>
      <c r="B36" s="23" t="s">
        <v>91</v>
      </c>
      <c r="C36" s="52">
        <f t="shared" si="4"/>
        <v>-4908.092000000001</v>
      </c>
      <c r="D36" s="52"/>
      <c r="E36" s="52"/>
      <c r="F36" s="52"/>
      <c r="G36" s="52">
        <f t="shared" si="2"/>
        <v>-4908.092000000001</v>
      </c>
      <c r="H36" s="53"/>
      <c r="I36" s="53"/>
      <c r="J36" s="55"/>
      <c r="K36" s="55"/>
      <c r="L36" s="55"/>
      <c r="M36" s="55"/>
      <c r="N36" s="55">
        <v>-2804</v>
      </c>
      <c r="O36" s="55"/>
      <c r="P36" s="55"/>
      <c r="Q36" s="55"/>
      <c r="R36" s="55"/>
      <c r="S36" s="65">
        <v>-2104.092</v>
      </c>
      <c r="W36" s="19"/>
    </row>
    <row r="37" spans="1:23" ht="24.75" customHeight="1">
      <c r="A37" s="22">
        <v>24</v>
      </c>
      <c r="B37" s="23" t="s">
        <v>92</v>
      </c>
      <c r="C37" s="52">
        <f t="shared" si="4"/>
        <v>5318</v>
      </c>
      <c r="D37" s="52"/>
      <c r="E37" s="52"/>
      <c r="F37" s="52"/>
      <c r="G37" s="52">
        <f t="shared" si="2"/>
        <v>5318</v>
      </c>
      <c r="H37" s="53"/>
      <c r="I37" s="53"/>
      <c r="J37" s="55"/>
      <c r="K37" s="55"/>
      <c r="L37" s="55"/>
      <c r="M37" s="55"/>
      <c r="N37" s="55">
        <v>238</v>
      </c>
      <c r="O37" s="55"/>
      <c r="P37" s="55"/>
      <c r="Q37" s="55"/>
      <c r="R37" s="55"/>
      <c r="S37" s="65">
        <v>5080</v>
      </c>
      <c r="W37" s="19"/>
    </row>
    <row r="38" spans="1:19" ht="15.75">
      <c r="A38" s="150" t="s">
        <v>0</v>
      </c>
      <c r="B38" s="150"/>
      <c r="C38" s="52">
        <f>G38+F38+E38</f>
        <v>1279968.0732900002</v>
      </c>
      <c r="D38" s="52">
        <f>SUM(D14:D25)</f>
        <v>1032030.4299999999</v>
      </c>
      <c r="E38" s="52">
        <f>SUM(E14:E25)+E26+E27+E28+E29+E30+E31+E32+E33</f>
        <v>6917.8</v>
      </c>
      <c r="F38" s="52">
        <f>SUM(F14:F25)+F26+F27+F28+F29+F30+F31+F32+F33</f>
        <v>7502.5</v>
      </c>
      <c r="G38" s="52">
        <f>J38+N38+S38</f>
        <v>1265547.7732900002</v>
      </c>
      <c r="H38" s="52">
        <f>SUM(H14:H25)+H26+H27+H28+H29+H30+H31+H32+H33</f>
        <v>6917.8</v>
      </c>
      <c r="I38" s="52">
        <f>SUM(I14:I25)+I26+I27+I28+I29+I30+I31+I32+I33</f>
        <v>2500</v>
      </c>
      <c r="J38" s="59">
        <f>J14+J15+J16+J17+J18+J19+J20+J21+J22+J23+J24+J25+J26+J27+J28+J29+J30+J31+J32+J33</f>
        <v>209615.28</v>
      </c>
      <c r="K38" s="59" t="e">
        <f>SUM(K14:K25)</f>
        <v>#REF!</v>
      </c>
      <c r="L38" s="59">
        <f>SUM(L14:L25)+L26+L27+L28+L29+L30+L31+L32+L33+L34</f>
        <v>1700</v>
      </c>
      <c r="M38" s="59">
        <f>SUM(M14:M25)+M26+M27+M28+M29+M30+M31+M32+M33</f>
        <v>2522.5</v>
      </c>
      <c r="N38" s="59">
        <f>N14+N15+N16+N17+N18+N19+N20+N21+N22+N23+N24+N25+N28+N29+N30+N31+N32+N33+N26+N27+N34+N35+N36+N37</f>
        <v>479557.4812900001</v>
      </c>
      <c r="O38" s="59" t="e">
        <f>O14+O15+O16+O17+O18+O19+O20+O21+O22+O23+O24+O25+O28+O29+O30+O31+O32+O33+O26+O27</f>
        <v>#REF!</v>
      </c>
      <c r="P38" s="59">
        <f>P14+P15+P16+P17+P18+P19+P20+P21+P22+P23+P24+P25+P28+P29+P30+P31+P32+P33+P26+P27</f>
        <v>47</v>
      </c>
      <c r="Q38" s="59">
        <f>SUM(Q14:Q25)+Q26+Q27+Q28+Q29+Q30+Q31+Q32+Q33</f>
        <v>0</v>
      </c>
      <c r="R38" s="59">
        <f>SUM(R14:R25)+R26+R27+R28+R29+R30+R31+R32+R33</f>
        <v>2500</v>
      </c>
      <c r="S38" s="59">
        <f>S14+S15+S16+S17+S18+S19+S20+S21+S22+S23+S25+S28+S29+S30+S31+S32+S33+S24+S26+S34+S35+S36+S37+S27</f>
        <v>576375.0120000001</v>
      </c>
    </row>
    <row r="39" spans="1:19" ht="15.75">
      <c r="A39" s="38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5.75">
      <c r="A40" s="3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5.75">
      <c r="A41" s="38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6.5" customHeight="1">
      <c r="A42" s="4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51"/>
      <c r="O42" s="7"/>
      <c r="P42" s="67"/>
      <c r="Q42" s="66"/>
      <c r="S42" s="79"/>
    </row>
    <row r="43" spans="1:21" ht="25.5" customHeight="1">
      <c r="A43" s="151" t="s">
        <v>52</v>
      </c>
      <c r="B43" s="151"/>
      <c r="C43" s="27"/>
      <c r="D43" s="9"/>
      <c r="E43" s="11"/>
      <c r="F43" s="9"/>
      <c r="G43" s="9"/>
      <c r="H43" s="7"/>
      <c r="I43" s="7"/>
      <c r="J43" s="7"/>
      <c r="N43" s="19"/>
      <c r="P43" s="19"/>
      <c r="Q43" s="152" t="s">
        <v>2</v>
      </c>
      <c r="R43" s="152"/>
      <c r="S43" s="85"/>
      <c r="T43" s="5"/>
      <c r="U43" s="5"/>
    </row>
    <row r="44" spans="1:21" ht="25.5" customHeight="1">
      <c r="A44" s="28"/>
      <c r="B44" s="28"/>
      <c r="C44" s="27"/>
      <c r="D44" s="9"/>
      <c r="E44" s="11"/>
      <c r="F44" s="9"/>
      <c r="G44" s="9"/>
      <c r="H44" s="7"/>
      <c r="I44" s="7"/>
      <c r="J44" s="7"/>
      <c r="N44" s="19"/>
      <c r="Q44" s="37"/>
      <c r="R44" s="37"/>
      <c r="S44" s="84"/>
      <c r="T44" s="5"/>
      <c r="U44" s="5"/>
    </row>
    <row r="45" spans="1:20" ht="15" customHeight="1">
      <c r="A45" s="153" t="s">
        <v>33</v>
      </c>
      <c r="B45" s="153"/>
      <c r="C45" s="12"/>
      <c r="D45" s="8"/>
      <c r="E45" s="8"/>
      <c r="F45" s="1"/>
      <c r="G45" s="1"/>
      <c r="H45" s="154"/>
      <c r="I45" s="154"/>
      <c r="J45" s="154"/>
      <c r="K45" s="154"/>
      <c r="L45" s="154"/>
      <c r="M45" s="154"/>
      <c r="N45" s="154"/>
      <c r="O45" s="154"/>
      <c r="P45" s="10"/>
      <c r="Q45" s="10"/>
      <c r="R45" s="18"/>
      <c r="T45" s="10"/>
    </row>
    <row r="46" spans="1:7" ht="29.25" customHeight="1">
      <c r="A46" s="13" t="s">
        <v>28</v>
      </c>
      <c r="B46" s="13"/>
      <c r="C46" s="19"/>
      <c r="D46" s="19"/>
      <c r="E46" s="19"/>
      <c r="F46" s="19"/>
      <c r="G46" s="19"/>
    </row>
    <row r="47" spans="1:17" ht="12.75" hidden="1">
      <c r="A47" s="20"/>
      <c r="B47" s="21"/>
      <c r="O47" s="19"/>
      <c r="P47" s="19"/>
      <c r="Q47" s="19"/>
    </row>
    <row r="48" spans="1:2" ht="12.75">
      <c r="A48" s="20"/>
      <c r="B48" s="20"/>
    </row>
    <row r="49" spans="1:19" ht="12.75">
      <c r="A49" s="20"/>
      <c r="B49" s="2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2" ht="12.75">
      <c r="A50" s="20"/>
      <c r="B50" s="20"/>
    </row>
    <row r="51" spans="1:2" ht="12.75">
      <c r="A51" s="20"/>
      <c r="B51" s="20"/>
    </row>
    <row r="52" spans="1:17" ht="12.75">
      <c r="A52" s="20"/>
      <c r="B52" s="20"/>
      <c r="O52" s="19"/>
      <c r="P52" s="19"/>
      <c r="Q52" s="19"/>
    </row>
    <row r="53" spans="1:17" ht="12.75">
      <c r="A53" s="20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.75">
      <c r="A54" s="20"/>
      <c r="B54" s="20"/>
      <c r="C54" s="19"/>
      <c r="D54" s="19"/>
      <c r="E54" s="19"/>
      <c r="F54" s="19"/>
      <c r="G54" s="19"/>
      <c r="O54" s="19"/>
      <c r="P54" s="19"/>
      <c r="Q54" s="19"/>
    </row>
    <row r="55" spans="1:2" ht="12.75">
      <c r="A55" s="20"/>
      <c r="B55" s="20"/>
    </row>
    <row r="56" spans="1:2" ht="12.75">
      <c r="A56" s="20"/>
      <c r="B56" s="20"/>
    </row>
    <row r="57" spans="1:17" ht="12.75">
      <c r="A57" s="20"/>
      <c r="B57" s="20"/>
      <c r="O57" s="19" t="e">
        <f>O54+O14+929.5+692.9</f>
        <v>#REF!</v>
      </c>
      <c r="P57" s="19"/>
      <c r="Q57" s="19"/>
    </row>
    <row r="58" spans="1:2" ht="12.75">
      <c r="A58" s="20"/>
      <c r="B58" s="20"/>
    </row>
    <row r="59" spans="1:17" ht="12.75">
      <c r="A59" s="20"/>
      <c r="B59" s="20"/>
      <c r="O59" s="19" t="e">
        <f>O57+16506</f>
        <v>#REF!</v>
      </c>
      <c r="P59" s="19"/>
      <c r="Q59" s="19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  <row r="80" spans="1:2" ht="12.75">
      <c r="A80" s="20"/>
      <c r="B80" s="20"/>
    </row>
    <row r="81" spans="1:2" ht="12.75">
      <c r="A81" s="20"/>
      <c r="B81" s="20"/>
    </row>
    <row r="82" spans="1:2" ht="12.75">
      <c r="A82" s="20"/>
      <c r="B82" s="20"/>
    </row>
    <row r="83" spans="1:2" ht="12.75">
      <c r="A83" s="20"/>
      <c r="B83" s="20"/>
    </row>
    <row r="84" spans="1:2" ht="12.75">
      <c r="A84" s="20"/>
      <c r="B84" s="20"/>
    </row>
    <row r="85" spans="1:2" ht="12.75">
      <c r="A85" s="20"/>
      <c r="B85" s="20"/>
    </row>
    <row r="86" ht="12.75">
      <c r="A86" s="20"/>
    </row>
  </sheetData>
  <sheetProtection/>
  <mergeCells count="25">
    <mergeCell ref="L12:P12"/>
    <mergeCell ref="A43:B43"/>
    <mergeCell ref="Q43:R43"/>
    <mergeCell ref="A45:B45"/>
    <mergeCell ref="H45:O45"/>
    <mergeCell ref="H12:J12"/>
    <mergeCell ref="K12:K13"/>
    <mergeCell ref="Q12:S12"/>
    <mergeCell ref="A38:B38"/>
    <mergeCell ref="A9:S9"/>
    <mergeCell ref="K10:S10"/>
    <mergeCell ref="A11:A13"/>
    <mergeCell ref="B11:B13"/>
    <mergeCell ref="C11:C13"/>
    <mergeCell ref="E11:G11"/>
    <mergeCell ref="H11:S11"/>
    <mergeCell ref="E12:E13"/>
    <mergeCell ref="F12:F13"/>
    <mergeCell ref="G12:G13"/>
    <mergeCell ref="M1:S1"/>
    <mergeCell ref="M2:S2"/>
    <mergeCell ref="M3:S3"/>
    <mergeCell ref="M4:S4"/>
    <mergeCell ref="M5:S5"/>
    <mergeCell ref="M6:S6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view="pageBreakPreview" zoomScale="83" zoomScaleSheetLayoutView="83" zoomScalePageLayoutView="0" workbookViewId="0" topLeftCell="A1">
      <selection activeCell="J1" sqref="J1:K1"/>
    </sheetView>
  </sheetViews>
  <sheetFormatPr defaultColWidth="9.140625" defaultRowHeight="12.75"/>
  <cols>
    <col min="1" max="1" width="5.28125" style="0" customWidth="1"/>
    <col min="2" max="2" width="46.14062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11.7109375" style="0" customWidth="1"/>
    <col min="7" max="8" width="11.57421875" style="0" hidden="1" customWidth="1"/>
    <col min="9" max="9" width="12.57421875" style="0" hidden="1" customWidth="1"/>
    <col min="10" max="10" width="12.7109375" style="0" customWidth="1"/>
    <col min="11" max="11" width="43.2812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2" t="s">
        <v>53</v>
      </c>
      <c r="J1" s="139" t="s">
        <v>77</v>
      </c>
      <c r="K1" s="139"/>
    </row>
    <row r="2" spans="2:11" ht="15.75">
      <c r="B2" s="1"/>
      <c r="C2" s="1"/>
      <c r="D2" s="1"/>
      <c r="E2" s="1"/>
      <c r="F2" s="1"/>
      <c r="G2" s="1"/>
      <c r="H2" s="1"/>
      <c r="I2" s="3" t="s">
        <v>41</v>
      </c>
      <c r="J2" s="140" t="s">
        <v>41</v>
      </c>
      <c r="K2" s="140"/>
    </row>
    <row r="3" spans="2:11" ht="15.75">
      <c r="B3" s="1"/>
      <c r="C3" s="1"/>
      <c r="D3" s="1"/>
      <c r="E3" s="1"/>
      <c r="F3" s="1"/>
      <c r="G3" s="1"/>
      <c r="H3" s="1"/>
      <c r="I3" s="3" t="s">
        <v>54</v>
      </c>
      <c r="J3" s="3" t="s">
        <v>55</v>
      </c>
      <c r="K3" s="3"/>
    </row>
    <row r="4" spans="2:11" ht="15.75">
      <c r="B4" s="1"/>
      <c r="C4" s="1"/>
      <c r="D4" s="1"/>
      <c r="E4" s="1"/>
      <c r="F4" s="1"/>
      <c r="G4" s="1"/>
      <c r="H4" s="1"/>
      <c r="I4" s="3" t="s">
        <v>56</v>
      </c>
      <c r="J4" s="3" t="s">
        <v>57</v>
      </c>
      <c r="K4" s="3"/>
    </row>
    <row r="5" spans="2:11" ht="15.75">
      <c r="B5" s="1"/>
      <c r="C5" s="1"/>
      <c r="D5" s="1"/>
      <c r="E5" s="1"/>
      <c r="F5" s="1"/>
      <c r="G5" s="1"/>
      <c r="H5" s="1"/>
      <c r="I5" s="3" t="s">
        <v>58</v>
      </c>
      <c r="J5" s="3" t="s">
        <v>59</v>
      </c>
      <c r="K5" s="3"/>
    </row>
    <row r="6" spans="2:11" ht="15.75">
      <c r="B6" s="1"/>
      <c r="C6" s="1"/>
      <c r="D6" s="1"/>
      <c r="E6" s="1"/>
      <c r="F6" s="1"/>
      <c r="G6" s="1"/>
      <c r="H6" s="11"/>
      <c r="I6" s="3" t="s">
        <v>60</v>
      </c>
      <c r="J6" s="3" t="s">
        <v>61</v>
      </c>
      <c r="K6" s="3"/>
    </row>
    <row r="7" spans="2:11" ht="15.75" customHeight="1">
      <c r="B7" s="1"/>
      <c r="C7" s="1"/>
      <c r="D7" s="1"/>
      <c r="E7" s="1"/>
      <c r="F7" s="1"/>
      <c r="G7" s="1"/>
      <c r="H7" s="11"/>
      <c r="I7" s="3" t="s">
        <v>62</v>
      </c>
      <c r="J7" s="157" t="s">
        <v>95</v>
      </c>
      <c r="K7" s="140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158" t="s">
        <v>82</v>
      </c>
      <c r="C9" s="158"/>
      <c r="D9" s="158"/>
      <c r="E9" s="158"/>
      <c r="F9" s="158"/>
      <c r="G9" s="158"/>
      <c r="H9" s="158"/>
      <c r="I9" s="158"/>
      <c r="J9" s="158"/>
      <c r="K9" s="158"/>
    </row>
    <row r="10" spans="2:11" ht="15.75">
      <c r="B10" s="1"/>
      <c r="C10" s="1"/>
      <c r="D10" s="159"/>
      <c r="E10" s="159"/>
      <c r="F10" s="159"/>
      <c r="G10" s="159"/>
      <c r="H10" s="159"/>
      <c r="I10" s="1"/>
      <c r="J10" s="1"/>
      <c r="K10" s="42" t="s">
        <v>63</v>
      </c>
    </row>
    <row r="11" spans="1:11" ht="15.75">
      <c r="A11" s="143" t="s">
        <v>1</v>
      </c>
      <c r="B11" s="143" t="s">
        <v>42</v>
      </c>
      <c r="C11" s="143" t="s">
        <v>43</v>
      </c>
      <c r="D11" s="143" t="s">
        <v>44</v>
      </c>
      <c r="E11" s="160" t="s">
        <v>4</v>
      </c>
      <c r="F11" s="160"/>
      <c r="G11" s="160"/>
      <c r="H11" s="160"/>
      <c r="I11" s="160"/>
      <c r="J11" s="161"/>
      <c r="K11" s="146" t="s">
        <v>45</v>
      </c>
    </row>
    <row r="12" spans="1:11" ht="12.75">
      <c r="A12" s="144"/>
      <c r="B12" s="144"/>
      <c r="C12" s="144"/>
      <c r="D12" s="144"/>
      <c r="E12" s="143" t="s">
        <v>5</v>
      </c>
      <c r="F12" s="143" t="s">
        <v>6</v>
      </c>
      <c r="G12" s="143" t="s">
        <v>64</v>
      </c>
      <c r="H12" s="143" t="s">
        <v>65</v>
      </c>
      <c r="I12" s="143" t="s">
        <v>66</v>
      </c>
      <c r="J12" s="146" t="s">
        <v>67</v>
      </c>
      <c r="K12" s="146"/>
    </row>
    <row r="13" spans="1:11" ht="22.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6"/>
      <c r="K13" s="146"/>
    </row>
    <row r="14" spans="1:11" ht="63">
      <c r="A14" s="43">
        <v>1</v>
      </c>
      <c r="B14" s="29" t="s">
        <v>83</v>
      </c>
      <c r="C14" s="30" t="s">
        <v>46</v>
      </c>
      <c r="D14" s="60">
        <f aca="true" t="shared" si="0" ref="D14:D22">SUM(E14:J14)</f>
        <v>120</v>
      </c>
      <c r="E14" s="63"/>
      <c r="F14" s="64">
        <f>120-50</f>
        <v>70</v>
      </c>
      <c r="G14" s="63"/>
      <c r="H14" s="63"/>
      <c r="I14" s="63"/>
      <c r="J14" s="63">
        <v>50</v>
      </c>
      <c r="K14" s="30" t="s">
        <v>68</v>
      </c>
    </row>
    <row r="15" spans="1:11" ht="110.25">
      <c r="A15" s="43">
        <v>2</v>
      </c>
      <c r="B15" s="29" t="s">
        <v>84</v>
      </c>
      <c r="C15" s="30" t="s">
        <v>46</v>
      </c>
      <c r="D15" s="60">
        <f t="shared" si="0"/>
        <v>14256.169999999998</v>
      </c>
      <c r="E15" s="71">
        <f>1200+1000</f>
        <v>2200</v>
      </c>
      <c r="F15" s="64">
        <f>2100+2729+1057.61</f>
        <v>5886.61</v>
      </c>
      <c r="G15" s="63"/>
      <c r="H15" s="63"/>
      <c r="I15" s="63"/>
      <c r="J15" s="63">
        <f>2970.96+3198.6</f>
        <v>6169.5599999999995</v>
      </c>
      <c r="K15" s="30" t="s">
        <v>68</v>
      </c>
    </row>
    <row r="16" spans="1:11" ht="63">
      <c r="A16" s="43">
        <v>3</v>
      </c>
      <c r="B16" s="29" t="s">
        <v>85</v>
      </c>
      <c r="C16" s="30" t="s">
        <v>46</v>
      </c>
      <c r="D16" s="60">
        <f t="shared" si="0"/>
        <v>150.4</v>
      </c>
      <c r="E16" s="71">
        <v>150.4</v>
      </c>
      <c r="F16" s="63"/>
      <c r="G16" s="63"/>
      <c r="H16" s="63"/>
      <c r="I16" s="63"/>
      <c r="J16" s="63"/>
      <c r="K16" s="30" t="s">
        <v>68</v>
      </c>
    </row>
    <row r="17" spans="1:11" ht="63">
      <c r="A17" s="43">
        <v>4</v>
      </c>
      <c r="B17" s="29" t="s">
        <v>69</v>
      </c>
      <c r="C17" s="30" t="s">
        <v>46</v>
      </c>
      <c r="D17" s="60">
        <f t="shared" si="0"/>
        <v>257.9</v>
      </c>
      <c r="E17" s="71">
        <v>127.9</v>
      </c>
      <c r="F17" s="64">
        <v>130</v>
      </c>
      <c r="G17" s="63"/>
      <c r="H17" s="63"/>
      <c r="I17" s="63"/>
      <c r="J17" s="63"/>
      <c r="K17" s="30" t="s">
        <v>68</v>
      </c>
    </row>
    <row r="18" spans="1:11" ht="63">
      <c r="A18" s="43">
        <v>5</v>
      </c>
      <c r="B18" s="44" t="s">
        <v>70</v>
      </c>
      <c r="C18" s="68" t="s">
        <v>46</v>
      </c>
      <c r="D18" s="59">
        <f t="shared" si="0"/>
        <v>224.2</v>
      </c>
      <c r="E18" s="64">
        <v>224.2</v>
      </c>
      <c r="F18" s="64"/>
      <c r="G18" s="63"/>
      <c r="H18" s="63"/>
      <c r="I18" s="63"/>
      <c r="J18" s="63"/>
      <c r="K18" s="30" t="s">
        <v>68</v>
      </c>
    </row>
    <row r="19" spans="1:11" ht="63">
      <c r="A19" s="43">
        <v>6</v>
      </c>
      <c r="B19" s="44" t="s">
        <v>86</v>
      </c>
      <c r="C19" s="68" t="s">
        <v>46</v>
      </c>
      <c r="D19" s="59">
        <f t="shared" si="0"/>
        <v>70.1</v>
      </c>
      <c r="E19" s="64"/>
      <c r="F19" s="64">
        <v>70.1</v>
      </c>
      <c r="G19" s="63"/>
      <c r="H19" s="63"/>
      <c r="I19" s="63"/>
      <c r="J19" s="63"/>
      <c r="K19" s="30" t="s">
        <v>68</v>
      </c>
    </row>
    <row r="20" spans="1:11" ht="63">
      <c r="A20" s="43">
        <v>7</v>
      </c>
      <c r="B20" s="44" t="s">
        <v>87</v>
      </c>
      <c r="C20" s="68" t="s">
        <v>46</v>
      </c>
      <c r="D20" s="59">
        <f t="shared" si="0"/>
        <v>50.1</v>
      </c>
      <c r="E20" s="64"/>
      <c r="F20" s="64">
        <v>50.1</v>
      </c>
      <c r="G20" s="63"/>
      <c r="H20" s="63"/>
      <c r="I20" s="63"/>
      <c r="J20" s="63"/>
      <c r="K20" s="30" t="s">
        <v>68</v>
      </c>
    </row>
    <row r="21" spans="1:11" ht="63">
      <c r="A21" s="43">
        <v>8</v>
      </c>
      <c r="B21" s="44" t="s">
        <v>88</v>
      </c>
      <c r="C21" s="68" t="s">
        <v>46</v>
      </c>
      <c r="D21" s="59">
        <f t="shared" si="0"/>
        <v>4700</v>
      </c>
      <c r="E21" s="64"/>
      <c r="F21" s="64">
        <f>3129.5+300.7+664.534+174.6+200.666+230</f>
        <v>4700</v>
      </c>
      <c r="G21" s="63"/>
      <c r="H21" s="63"/>
      <c r="I21" s="63"/>
      <c r="J21" s="63"/>
      <c r="K21" s="30" t="s">
        <v>68</v>
      </c>
    </row>
    <row r="22" spans="1:11" ht="63">
      <c r="A22" s="43">
        <v>9</v>
      </c>
      <c r="B22" s="44" t="s">
        <v>89</v>
      </c>
      <c r="C22" s="68" t="s">
        <v>46</v>
      </c>
      <c r="D22" s="59">
        <f t="shared" si="0"/>
        <v>180</v>
      </c>
      <c r="E22" s="64"/>
      <c r="F22" s="64"/>
      <c r="G22" s="63"/>
      <c r="H22" s="63"/>
      <c r="I22" s="63"/>
      <c r="J22" s="63">
        <v>180</v>
      </c>
      <c r="K22" s="30" t="s">
        <v>68</v>
      </c>
    </row>
    <row r="23" spans="1:11" ht="15.75">
      <c r="A23" s="45"/>
      <c r="B23" s="40" t="s">
        <v>0</v>
      </c>
      <c r="C23" s="41"/>
      <c r="D23" s="60">
        <f aca="true" t="shared" si="1" ref="D23:I23">D14+D15+D16+D17+D18+D19+D20+D21</f>
        <v>19828.87</v>
      </c>
      <c r="E23" s="60">
        <f t="shared" si="1"/>
        <v>2702.5</v>
      </c>
      <c r="F23" s="82">
        <f t="shared" si="1"/>
        <v>10906.810000000001</v>
      </c>
      <c r="G23" s="60">
        <f t="shared" si="1"/>
        <v>0</v>
      </c>
      <c r="H23" s="60">
        <f t="shared" si="1"/>
        <v>0</v>
      </c>
      <c r="I23" s="60">
        <f t="shared" si="1"/>
        <v>0</v>
      </c>
      <c r="J23" s="60">
        <f>J14+J15+J16+J17+J18+J19+J20+J21+J22</f>
        <v>6399.5599999999995</v>
      </c>
      <c r="K23" s="31"/>
    </row>
    <row r="24" spans="1:11" ht="15.75">
      <c r="A24" s="46"/>
      <c r="B24" s="4"/>
      <c r="C24" s="4"/>
      <c r="D24" s="7"/>
      <c r="E24" s="7"/>
      <c r="F24" s="7"/>
      <c r="G24" s="7"/>
      <c r="H24" s="7"/>
      <c r="I24" s="7"/>
      <c r="J24" s="7"/>
      <c r="K24" s="32"/>
    </row>
    <row r="25" spans="1:11" ht="15.75">
      <c r="A25" s="46"/>
      <c r="B25" s="4"/>
      <c r="C25" s="4"/>
      <c r="D25" s="7"/>
      <c r="E25" s="7"/>
      <c r="F25" s="7"/>
      <c r="G25" s="7"/>
      <c r="H25" s="7"/>
      <c r="I25" s="7"/>
      <c r="J25" s="7"/>
      <c r="K25" s="32"/>
    </row>
    <row r="26" spans="1:11" ht="15.75">
      <c r="A26" s="46"/>
      <c r="B26" s="4"/>
      <c r="C26" s="4"/>
      <c r="D26" s="7"/>
      <c r="E26" s="7"/>
      <c r="F26" s="7"/>
      <c r="G26" s="7"/>
      <c r="H26" s="7"/>
      <c r="I26" s="7"/>
      <c r="J26" s="7"/>
      <c r="K26" s="32"/>
    </row>
    <row r="27" spans="2:11" ht="15.75">
      <c r="B27" s="4"/>
      <c r="C27" s="4"/>
      <c r="D27" s="7"/>
      <c r="E27" s="7"/>
      <c r="F27" s="7"/>
      <c r="G27" s="7"/>
      <c r="H27" s="7"/>
      <c r="I27" s="7"/>
      <c r="J27" s="7"/>
      <c r="K27" s="32"/>
    </row>
    <row r="28" spans="2:11" ht="18.75">
      <c r="B28" s="151" t="s">
        <v>52</v>
      </c>
      <c r="C28" s="151"/>
      <c r="D28" s="28"/>
      <c r="E28" s="9"/>
      <c r="F28" s="9"/>
      <c r="J28" s="33"/>
      <c r="K28" s="34" t="s">
        <v>71</v>
      </c>
    </row>
    <row r="29" spans="2:11" ht="18.75">
      <c r="B29" s="28"/>
      <c r="C29" s="28"/>
      <c r="D29" s="28"/>
      <c r="E29" s="9"/>
      <c r="F29" s="9"/>
      <c r="J29" s="33"/>
      <c r="K29" s="34"/>
    </row>
    <row r="30" spans="2:11" ht="18.75">
      <c r="B30" s="28"/>
      <c r="C30" s="28"/>
      <c r="D30" s="28"/>
      <c r="E30" s="9"/>
      <c r="F30" s="9"/>
      <c r="J30" s="33"/>
      <c r="K30" s="34"/>
    </row>
    <row r="31" spans="2:11" ht="18.75">
      <c r="B31" s="28"/>
      <c r="C31" s="28"/>
      <c r="D31" s="28"/>
      <c r="E31" s="9"/>
      <c r="F31" s="9"/>
      <c r="J31" s="33"/>
      <c r="K31" s="34"/>
    </row>
    <row r="32" spans="2:11" ht="18.75">
      <c r="B32" s="28"/>
      <c r="C32" s="28"/>
      <c r="D32" s="28"/>
      <c r="E32" s="9"/>
      <c r="F32" s="9"/>
      <c r="J32" s="33"/>
      <c r="K32" s="34"/>
    </row>
    <row r="33" spans="2:11" ht="18.75">
      <c r="B33" s="28"/>
      <c r="C33" s="28"/>
      <c r="D33" s="28"/>
      <c r="E33" s="9"/>
      <c r="F33" s="9"/>
      <c r="J33" s="33"/>
      <c r="K33" s="34"/>
    </row>
    <row r="34" spans="2:11" ht="18.75">
      <c r="B34" s="156" t="s">
        <v>47</v>
      </c>
      <c r="C34" s="156"/>
      <c r="D34" s="35"/>
      <c r="E34" s="8"/>
      <c r="F34" s="8"/>
      <c r="G34" s="8"/>
      <c r="H34" s="8"/>
      <c r="I34" s="8"/>
      <c r="J34" s="1"/>
      <c r="K34" s="1"/>
    </row>
    <row r="35" spans="2:11" ht="15.75">
      <c r="B35" s="36" t="s">
        <v>28</v>
      </c>
      <c r="C35" s="36"/>
      <c r="D35" s="8"/>
      <c r="E35" s="8"/>
      <c r="F35" s="8"/>
      <c r="G35" s="8"/>
      <c r="H35" s="8"/>
      <c r="I35" s="8"/>
      <c r="J35" s="1"/>
      <c r="K35" s="1"/>
    </row>
    <row r="36" spans="2:11" ht="15.75">
      <c r="B36" s="47"/>
      <c r="C36" s="12"/>
      <c r="D36" s="48"/>
      <c r="E36" s="8"/>
      <c r="F36" s="8"/>
      <c r="G36" s="8"/>
      <c r="H36" s="8"/>
      <c r="I36" s="8"/>
      <c r="J36" s="1"/>
      <c r="K36" s="1"/>
    </row>
    <row r="37" spans="3:10" ht="15.75">
      <c r="C37" s="48"/>
      <c r="D37" s="8"/>
      <c r="E37" s="8"/>
      <c r="F37" s="8"/>
      <c r="G37" s="8"/>
      <c r="H37" s="8"/>
      <c r="I37" s="8"/>
      <c r="J37" s="8"/>
    </row>
    <row r="38" spans="3:10" ht="15.75">
      <c r="C38" s="49"/>
      <c r="D38" s="8"/>
      <c r="E38" s="8"/>
      <c r="F38" s="8"/>
      <c r="G38" s="8"/>
      <c r="H38" s="8"/>
      <c r="I38" s="8"/>
      <c r="J38" s="8"/>
    </row>
    <row r="40" ht="12.75">
      <c r="H40" s="6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28:C28"/>
    <mergeCell ref="B34:C34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1">
      <selection activeCell="J1" sqref="J1:K1"/>
    </sheetView>
  </sheetViews>
  <sheetFormatPr defaultColWidth="9.140625" defaultRowHeight="12.75"/>
  <cols>
    <col min="1" max="1" width="6.140625" style="87" bestFit="1" customWidth="1"/>
    <col min="2" max="2" width="51.28125" style="87" customWidth="1"/>
    <col min="3" max="3" width="18.00390625" style="87" customWidth="1"/>
    <col min="4" max="4" width="13.57421875" style="87" customWidth="1"/>
    <col min="5" max="5" width="10.421875" style="87" customWidth="1"/>
    <col min="6" max="6" width="11.7109375" style="87" customWidth="1"/>
    <col min="7" max="8" width="11.57421875" style="87" hidden="1" customWidth="1"/>
    <col min="9" max="9" width="12.57421875" style="87" hidden="1" customWidth="1"/>
    <col min="10" max="10" width="13.57421875" style="87" customWidth="1"/>
    <col min="11" max="11" width="43.28125" style="87" customWidth="1"/>
    <col min="12" max="13" width="9.140625" style="87" hidden="1" customWidth="1"/>
    <col min="14" max="14" width="9.8515625" style="87" customWidth="1"/>
    <col min="15" max="15" width="10.140625" style="87" customWidth="1"/>
    <col min="16" max="16384" width="9.140625" style="87" customWidth="1"/>
  </cols>
  <sheetData>
    <row r="1" spans="2:12" ht="15.75">
      <c r="B1" s="88"/>
      <c r="C1" s="88"/>
      <c r="D1" s="88"/>
      <c r="E1" s="88"/>
      <c r="F1" s="88"/>
      <c r="G1" s="88"/>
      <c r="H1" s="88"/>
      <c r="I1" s="86" t="s">
        <v>53</v>
      </c>
      <c r="J1" s="162" t="s">
        <v>112</v>
      </c>
      <c r="K1" s="162"/>
      <c r="L1" s="86" t="s">
        <v>53</v>
      </c>
    </row>
    <row r="2" spans="2:12" ht="15.75">
      <c r="B2" s="88"/>
      <c r="C2" s="88"/>
      <c r="D2" s="88"/>
      <c r="E2" s="88"/>
      <c r="F2" s="88"/>
      <c r="G2" s="88"/>
      <c r="H2" s="88"/>
      <c r="I2" s="83" t="s">
        <v>41</v>
      </c>
      <c r="J2" s="163" t="s">
        <v>41</v>
      </c>
      <c r="K2" s="163"/>
      <c r="L2" s="83" t="s">
        <v>41</v>
      </c>
    </row>
    <row r="3" spans="2:12" ht="15.75">
      <c r="B3" s="88"/>
      <c r="C3" s="88"/>
      <c r="D3" s="88"/>
      <c r="E3" s="88"/>
      <c r="F3" s="88"/>
      <c r="G3" s="88"/>
      <c r="H3" s="88"/>
      <c r="I3" s="83" t="s">
        <v>54</v>
      </c>
      <c r="J3" s="83" t="s">
        <v>55</v>
      </c>
      <c r="K3" s="83"/>
      <c r="L3" s="83" t="s">
        <v>54</v>
      </c>
    </row>
    <row r="4" spans="2:12" ht="15.75">
      <c r="B4" s="88"/>
      <c r="C4" s="88"/>
      <c r="D4" s="88"/>
      <c r="E4" s="88"/>
      <c r="F4" s="88"/>
      <c r="G4" s="88"/>
      <c r="H4" s="88"/>
      <c r="I4" s="83" t="s">
        <v>56</v>
      </c>
      <c r="J4" s="83" t="s">
        <v>57</v>
      </c>
      <c r="K4" s="83"/>
      <c r="L4" s="83" t="s">
        <v>56</v>
      </c>
    </row>
    <row r="5" spans="2:12" ht="15.75">
      <c r="B5" s="88"/>
      <c r="C5" s="88"/>
      <c r="D5" s="88"/>
      <c r="E5" s="88"/>
      <c r="F5" s="88"/>
      <c r="G5" s="88"/>
      <c r="H5" s="88"/>
      <c r="I5" s="83" t="s">
        <v>58</v>
      </c>
      <c r="J5" s="83" t="s">
        <v>72</v>
      </c>
      <c r="K5" s="83"/>
      <c r="L5" s="83" t="s">
        <v>58</v>
      </c>
    </row>
    <row r="6" spans="2:12" ht="15.75">
      <c r="B6" s="88"/>
      <c r="C6" s="88"/>
      <c r="D6" s="88"/>
      <c r="E6" s="88"/>
      <c r="F6" s="88"/>
      <c r="G6" s="88"/>
      <c r="H6" s="89"/>
      <c r="I6" s="83" t="s">
        <v>60</v>
      </c>
      <c r="J6" s="83" t="s">
        <v>73</v>
      </c>
      <c r="K6" s="83"/>
      <c r="L6" s="83" t="s">
        <v>60</v>
      </c>
    </row>
    <row r="7" spans="2:15" ht="15.75" customHeight="1">
      <c r="B7" s="88"/>
      <c r="C7" s="88"/>
      <c r="D7" s="88"/>
      <c r="E7" s="88"/>
      <c r="F7" s="88"/>
      <c r="G7" s="88"/>
      <c r="H7" s="89"/>
      <c r="I7" s="83" t="s">
        <v>62</v>
      </c>
      <c r="J7" s="157" t="s">
        <v>94</v>
      </c>
      <c r="K7" s="140"/>
      <c r="L7" s="90"/>
      <c r="M7" s="90"/>
      <c r="N7" s="90"/>
      <c r="O7" s="90"/>
    </row>
    <row r="8" spans="2:12" ht="15.75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2:12" ht="18.75" customHeight="1">
      <c r="B9" s="164" t="s">
        <v>51</v>
      </c>
      <c r="C9" s="164"/>
      <c r="D9" s="164"/>
      <c r="E9" s="164"/>
      <c r="F9" s="164"/>
      <c r="G9" s="164"/>
      <c r="H9" s="164"/>
      <c r="I9" s="164"/>
      <c r="J9" s="164"/>
      <c r="K9" s="164"/>
      <c r="L9" s="88"/>
    </row>
    <row r="10" spans="2:12" ht="15.75">
      <c r="B10" s="88"/>
      <c r="C10" s="88"/>
      <c r="D10" s="165"/>
      <c r="E10" s="165"/>
      <c r="F10" s="165"/>
      <c r="G10" s="165"/>
      <c r="H10" s="165"/>
      <c r="I10" s="88"/>
      <c r="J10" s="88"/>
      <c r="K10" s="88"/>
      <c r="L10" s="88"/>
    </row>
    <row r="11" spans="1:12" ht="15.75" customHeight="1">
      <c r="A11" s="166" t="s">
        <v>1</v>
      </c>
      <c r="B11" s="169" t="s">
        <v>42</v>
      </c>
      <c r="C11" s="169" t="s">
        <v>43</v>
      </c>
      <c r="D11" s="169" t="s">
        <v>44</v>
      </c>
      <c r="E11" s="172" t="s">
        <v>4</v>
      </c>
      <c r="F11" s="172"/>
      <c r="G11" s="172"/>
      <c r="H11" s="172"/>
      <c r="I11" s="172"/>
      <c r="J11" s="173"/>
      <c r="K11" s="175" t="s">
        <v>45</v>
      </c>
      <c r="L11" s="88"/>
    </row>
    <row r="12" spans="1:12" ht="15.75">
      <c r="A12" s="167"/>
      <c r="B12" s="170"/>
      <c r="C12" s="170"/>
      <c r="D12" s="170"/>
      <c r="E12" s="169" t="s">
        <v>5</v>
      </c>
      <c r="F12" s="169" t="s">
        <v>6</v>
      </c>
      <c r="G12" s="169" t="s">
        <v>64</v>
      </c>
      <c r="H12" s="169" t="s">
        <v>65</v>
      </c>
      <c r="I12" s="169" t="s">
        <v>66</v>
      </c>
      <c r="J12" s="175" t="s">
        <v>7</v>
      </c>
      <c r="K12" s="175"/>
      <c r="L12" s="88"/>
    </row>
    <row r="13" spans="1:12" ht="15.75">
      <c r="A13" s="168"/>
      <c r="B13" s="171"/>
      <c r="C13" s="171"/>
      <c r="D13" s="171"/>
      <c r="E13" s="171"/>
      <c r="F13" s="171"/>
      <c r="G13" s="171"/>
      <c r="H13" s="171"/>
      <c r="I13" s="171"/>
      <c r="J13" s="175"/>
      <c r="K13" s="175"/>
      <c r="L13" s="88"/>
    </row>
    <row r="14" spans="1:12" ht="72.75" customHeight="1">
      <c r="A14" s="92">
        <v>1</v>
      </c>
      <c r="B14" s="93" t="s">
        <v>93</v>
      </c>
      <c r="C14" s="94" t="s">
        <v>46</v>
      </c>
      <c r="D14" s="95">
        <f>E14+F14+J14</f>
        <v>8248</v>
      </c>
      <c r="E14" s="96"/>
      <c r="F14" s="97">
        <v>1473</v>
      </c>
      <c r="G14" s="98"/>
      <c r="H14" s="98"/>
      <c r="I14" s="98"/>
      <c r="J14" s="119">
        <f>5200+1575</f>
        <v>6775</v>
      </c>
      <c r="K14" s="94" t="s">
        <v>81</v>
      </c>
      <c r="L14" s="88"/>
    </row>
    <row r="15" spans="1:12" ht="32.25" customHeight="1">
      <c r="A15" s="99"/>
      <c r="B15" s="91" t="s">
        <v>0</v>
      </c>
      <c r="C15" s="100"/>
      <c r="D15" s="95">
        <f>D14</f>
        <v>8248</v>
      </c>
      <c r="E15" s="95">
        <f aca="true" t="shared" si="0" ref="E15:J15">E14</f>
        <v>0</v>
      </c>
      <c r="F15" s="95">
        <f t="shared" si="0"/>
        <v>1473</v>
      </c>
      <c r="G15" s="95">
        <f t="shared" si="0"/>
        <v>0</v>
      </c>
      <c r="H15" s="95">
        <f t="shared" si="0"/>
        <v>0</v>
      </c>
      <c r="I15" s="95">
        <f t="shared" si="0"/>
        <v>0</v>
      </c>
      <c r="J15" s="120">
        <f t="shared" si="0"/>
        <v>6775</v>
      </c>
      <c r="K15" s="101"/>
      <c r="L15" s="88"/>
    </row>
    <row r="16" spans="2:12" ht="15.75">
      <c r="B16" s="102"/>
      <c r="C16" s="102"/>
      <c r="D16" s="103"/>
      <c r="E16" s="103"/>
      <c r="F16" s="103"/>
      <c r="G16" s="103"/>
      <c r="H16" s="103"/>
      <c r="I16" s="103"/>
      <c r="J16" s="103"/>
      <c r="K16" s="104"/>
      <c r="L16" s="88"/>
    </row>
    <row r="17" spans="2:12" ht="15.75" hidden="1">
      <c r="B17" s="102"/>
      <c r="C17" s="102"/>
      <c r="D17" s="103"/>
      <c r="E17" s="103"/>
      <c r="F17" s="103"/>
      <c r="G17" s="103"/>
      <c r="H17" s="103"/>
      <c r="I17" s="103"/>
      <c r="J17" s="103"/>
      <c r="K17" s="104"/>
      <c r="L17" s="88"/>
    </row>
    <row r="18" spans="2:12" ht="18.75">
      <c r="B18" s="105"/>
      <c r="C18" s="106"/>
      <c r="E18" s="103"/>
      <c r="F18" s="103"/>
      <c r="G18" s="103"/>
      <c r="H18" s="103"/>
      <c r="I18" s="103"/>
      <c r="J18" s="103"/>
      <c r="K18" s="106"/>
      <c r="L18" s="88"/>
    </row>
    <row r="19" spans="2:12" ht="48" customHeight="1">
      <c r="B19" s="107" t="s">
        <v>52</v>
      </c>
      <c r="C19" s="107"/>
      <c r="D19" s="107"/>
      <c r="E19" s="108"/>
      <c r="F19" s="108"/>
      <c r="J19" s="109"/>
      <c r="K19" s="110" t="s">
        <v>2</v>
      </c>
      <c r="L19" s="109"/>
    </row>
    <row r="20" spans="2:12" ht="48" customHeight="1">
      <c r="B20" s="107"/>
      <c r="C20" s="107"/>
      <c r="D20" s="107"/>
      <c r="E20" s="108"/>
      <c r="F20" s="108"/>
      <c r="J20" s="109"/>
      <c r="K20" s="110"/>
      <c r="L20" s="109"/>
    </row>
    <row r="21" spans="2:12" ht="48" customHeight="1">
      <c r="B21" s="107"/>
      <c r="C21" s="107"/>
      <c r="D21" s="107"/>
      <c r="E21" s="108"/>
      <c r="F21" s="108"/>
      <c r="J21" s="109"/>
      <c r="K21" s="110"/>
      <c r="L21" s="109"/>
    </row>
    <row r="22" spans="2:11" ht="18.75">
      <c r="B22" s="174" t="s">
        <v>47</v>
      </c>
      <c r="C22" s="174"/>
      <c r="D22" s="111"/>
      <c r="E22" s="112"/>
      <c r="F22" s="112"/>
      <c r="G22" s="112"/>
      <c r="H22" s="112"/>
      <c r="I22" s="112"/>
      <c r="J22" s="88"/>
      <c r="K22" s="88"/>
    </row>
    <row r="23" spans="2:13" ht="15.75">
      <c r="B23" s="113" t="s">
        <v>28</v>
      </c>
      <c r="C23" s="113"/>
      <c r="D23" s="112"/>
      <c r="E23" s="112"/>
      <c r="F23" s="112"/>
      <c r="G23" s="112"/>
      <c r="H23" s="112"/>
      <c r="I23" s="112"/>
      <c r="J23" s="88"/>
      <c r="K23" s="88"/>
      <c r="M23" s="83"/>
    </row>
    <row r="24" spans="2:11" ht="15.75">
      <c r="B24" s="114"/>
      <c r="C24" s="115"/>
      <c r="D24" s="116"/>
      <c r="E24" s="112"/>
      <c r="F24" s="112"/>
      <c r="G24" s="112"/>
      <c r="H24" s="112"/>
      <c r="I24" s="112"/>
      <c r="J24" s="88"/>
      <c r="K24" s="88"/>
    </row>
    <row r="25" spans="3:10" ht="15.75">
      <c r="C25" s="116"/>
      <c r="D25" s="112"/>
      <c r="E25" s="112"/>
      <c r="F25" s="112"/>
      <c r="G25" s="112"/>
      <c r="H25" s="112"/>
      <c r="I25" s="112"/>
      <c r="J25" s="112"/>
    </row>
    <row r="26" spans="3:10" ht="15.75">
      <c r="C26" s="117"/>
      <c r="D26" s="112"/>
      <c r="E26" s="112"/>
      <c r="F26" s="112"/>
      <c r="G26" s="112"/>
      <c r="H26" s="112"/>
      <c r="I26" s="112"/>
      <c r="J26" s="112"/>
    </row>
    <row r="28" ht="12.75">
      <c r="H28" s="118"/>
    </row>
  </sheetData>
  <sheetProtection/>
  <mergeCells count="18">
    <mergeCell ref="B22:C22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1968503937007874" right="0.3937007874015748" top="0.5905511811023623" bottom="0.3937007874015748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41"/>
  <sheetViews>
    <sheetView view="pageBreakPreview" zoomScale="87" zoomScaleSheetLayoutView="87" zoomScalePageLayoutView="0" workbookViewId="0" topLeftCell="A19">
      <selection activeCell="D32" sqref="D32"/>
    </sheetView>
  </sheetViews>
  <sheetFormatPr defaultColWidth="9.140625" defaultRowHeight="12.75"/>
  <cols>
    <col min="1" max="1" width="6.7109375" style="72" customWidth="1"/>
    <col min="2" max="2" width="44.421875" style="72" customWidth="1"/>
    <col min="3" max="3" width="18.00390625" style="72" customWidth="1"/>
    <col min="4" max="4" width="12.00390625" style="72" customWidth="1"/>
    <col min="5" max="5" width="9.7109375" style="72" customWidth="1"/>
    <col min="6" max="6" width="10.8515625" style="72" customWidth="1"/>
    <col min="7" max="8" width="11.57421875" style="72" hidden="1" customWidth="1"/>
    <col min="9" max="9" width="12.57421875" style="72" hidden="1" customWidth="1"/>
    <col min="10" max="10" width="10.00390625" style="72" customWidth="1"/>
    <col min="11" max="11" width="43.28125" style="72" customWidth="1"/>
    <col min="12" max="13" width="9.140625" style="72" hidden="1" customWidth="1"/>
    <col min="14" max="14" width="9.8515625" style="72" hidden="1" customWidth="1"/>
    <col min="15" max="15" width="10.140625" style="72" customWidth="1"/>
    <col min="16" max="16384" width="9.140625" style="72" customWidth="1"/>
  </cols>
  <sheetData>
    <row r="1" spans="2:12" ht="15.75">
      <c r="B1" s="77"/>
      <c r="C1" s="77"/>
      <c r="D1" s="77"/>
      <c r="E1" s="77"/>
      <c r="F1" s="77"/>
      <c r="G1" s="77"/>
      <c r="H1" s="77"/>
      <c r="I1" s="121" t="s">
        <v>53</v>
      </c>
      <c r="J1" s="181" t="s">
        <v>90</v>
      </c>
      <c r="K1" s="181"/>
      <c r="L1" s="121" t="s">
        <v>53</v>
      </c>
    </row>
    <row r="2" spans="2:12" ht="15.75">
      <c r="B2" s="77"/>
      <c r="C2" s="77"/>
      <c r="D2" s="77"/>
      <c r="E2" s="77"/>
      <c r="F2" s="77"/>
      <c r="G2" s="77"/>
      <c r="H2" s="77"/>
      <c r="I2" s="122" t="s">
        <v>41</v>
      </c>
      <c r="J2" s="182" t="s">
        <v>41</v>
      </c>
      <c r="K2" s="182"/>
      <c r="L2" s="122" t="s">
        <v>41</v>
      </c>
    </row>
    <row r="3" spans="2:12" ht="15.75">
      <c r="B3" s="77"/>
      <c r="C3" s="77"/>
      <c r="D3" s="77"/>
      <c r="E3" s="77"/>
      <c r="F3" s="77"/>
      <c r="G3" s="77"/>
      <c r="H3" s="77"/>
      <c r="I3" s="122" t="s">
        <v>54</v>
      </c>
      <c r="J3" s="122" t="s">
        <v>55</v>
      </c>
      <c r="K3" s="122"/>
      <c r="L3" s="122" t="s">
        <v>54</v>
      </c>
    </row>
    <row r="4" spans="2:12" ht="15.75">
      <c r="B4" s="77"/>
      <c r="C4" s="77"/>
      <c r="D4" s="77"/>
      <c r="E4" s="77"/>
      <c r="F4" s="77"/>
      <c r="G4" s="77"/>
      <c r="H4" s="77"/>
      <c r="I4" s="122" t="s">
        <v>56</v>
      </c>
      <c r="J4" s="122" t="s">
        <v>57</v>
      </c>
      <c r="K4" s="122"/>
      <c r="L4" s="122" t="s">
        <v>56</v>
      </c>
    </row>
    <row r="5" spans="2:12" ht="15.75">
      <c r="B5" s="77"/>
      <c r="C5" s="77"/>
      <c r="D5" s="77"/>
      <c r="E5" s="77"/>
      <c r="F5" s="77"/>
      <c r="G5" s="77"/>
      <c r="H5" s="77"/>
      <c r="I5" s="122" t="s">
        <v>58</v>
      </c>
      <c r="J5" s="122" t="s">
        <v>59</v>
      </c>
      <c r="K5" s="122"/>
      <c r="L5" s="122" t="s">
        <v>58</v>
      </c>
    </row>
    <row r="6" spans="2:12" ht="15.75">
      <c r="B6" s="77"/>
      <c r="C6" s="77"/>
      <c r="D6" s="77"/>
      <c r="E6" s="77"/>
      <c r="F6" s="77"/>
      <c r="G6" s="77"/>
      <c r="I6" s="122" t="s">
        <v>60</v>
      </c>
      <c r="J6" s="122" t="s">
        <v>61</v>
      </c>
      <c r="K6" s="122"/>
      <c r="L6" s="122" t="s">
        <v>60</v>
      </c>
    </row>
    <row r="7" spans="2:15" ht="15.75" customHeight="1">
      <c r="B7" s="77"/>
      <c r="C7" s="77"/>
      <c r="D7" s="77"/>
      <c r="E7" s="77"/>
      <c r="F7" s="77"/>
      <c r="G7" s="77"/>
      <c r="I7" s="122" t="s">
        <v>62</v>
      </c>
      <c r="J7" s="157" t="s">
        <v>111</v>
      </c>
      <c r="K7" s="140"/>
      <c r="L7" s="123"/>
      <c r="M7" s="123"/>
      <c r="N7" s="123"/>
      <c r="O7" s="123"/>
    </row>
    <row r="8" spans="2:12" ht="15.7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36.75" customHeight="1">
      <c r="A9" s="183" t="s">
        <v>96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77"/>
    </row>
    <row r="10" spans="2:12" ht="15.75">
      <c r="B10" s="77"/>
      <c r="C10" s="77"/>
      <c r="D10" s="184"/>
      <c r="E10" s="184"/>
      <c r="F10" s="184"/>
      <c r="G10" s="184"/>
      <c r="H10" s="184"/>
      <c r="I10" s="77"/>
      <c r="J10" s="77"/>
      <c r="K10" s="77"/>
      <c r="L10" s="77"/>
    </row>
    <row r="11" spans="1:12" ht="15.75">
      <c r="A11" s="179" t="s">
        <v>79</v>
      </c>
      <c r="B11" s="179" t="s">
        <v>42</v>
      </c>
      <c r="C11" s="179" t="s">
        <v>43</v>
      </c>
      <c r="D11" s="179" t="s">
        <v>44</v>
      </c>
      <c r="E11" s="186" t="s">
        <v>4</v>
      </c>
      <c r="F11" s="186"/>
      <c r="G11" s="186"/>
      <c r="H11" s="186"/>
      <c r="I11" s="186"/>
      <c r="J11" s="187"/>
      <c r="K11" s="178" t="s">
        <v>45</v>
      </c>
      <c r="L11" s="77"/>
    </row>
    <row r="12" spans="1:12" ht="15.75">
      <c r="A12" s="185"/>
      <c r="B12" s="185"/>
      <c r="C12" s="185"/>
      <c r="D12" s="185"/>
      <c r="E12" s="179" t="s">
        <v>5</v>
      </c>
      <c r="F12" s="179" t="s">
        <v>6</v>
      </c>
      <c r="G12" s="179" t="s">
        <v>64</v>
      </c>
      <c r="H12" s="179" t="s">
        <v>65</v>
      </c>
      <c r="I12" s="179" t="s">
        <v>66</v>
      </c>
      <c r="J12" s="178" t="s">
        <v>7</v>
      </c>
      <c r="K12" s="178"/>
      <c r="L12" s="77"/>
    </row>
    <row r="13" spans="1:12" ht="15.75">
      <c r="A13" s="180"/>
      <c r="B13" s="180"/>
      <c r="C13" s="180"/>
      <c r="D13" s="180"/>
      <c r="E13" s="180"/>
      <c r="F13" s="180"/>
      <c r="G13" s="180"/>
      <c r="H13" s="180"/>
      <c r="I13" s="180"/>
      <c r="J13" s="178"/>
      <c r="K13" s="178"/>
      <c r="L13" s="77"/>
    </row>
    <row r="14" spans="1:12" ht="45">
      <c r="A14" s="80">
        <v>1</v>
      </c>
      <c r="B14" s="25" t="s">
        <v>97</v>
      </c>
      <c r="C14" s="24" t="s">
        <v>46</v>
      </c>
      <c r="D14" s="62">
        <f aca="true" t="shared" si="0" ref="D14:D26">SUM(E14:J14)</f>
        <v>16222.5</v>
      </c>
      <c r="E14" s="61">
        <v>4500</v>
      </c>
      <c r="F14" s="61">
        <v>5042.5</v>
      </c>
      <c r="G14" s="61"/>
      <c r="H14" s="61"/>
      <c r="I14" s="61"/>
      <c r="J14" s="61">
        <f>6480+200</f>
        <v>6680</v>
      </c>
      <c r="K14" s="81" t="s">
        <v>80</v>
      </c>
      <c r="L14" s="77"/>
    </row>
    <row r="15" spans="1:14" ht="47.25">
      <c r="A15" s="80">
        <v>2</v>
      </c>
      <c r="B15" s="25" t="s">
        <v>98</v>
      </c>
      <c r="C15" s="24" t="s">
        <v>46</v>
      </c>
      <c r="D15" s="125">
        <f t="shared" si="0"/>
        <v>16.4</v>
      </c>
      <c r="E15" s="61">
        <v>13</v>
      </c>
      <c r="F15" s="61">
        <v>1</v>
      </c>
      <c r="G15" s="61"/>
      <c r="H15" s="61"/>
      <c r="I15" s="61"/>
      <c r="J15" s="61">
        <v>2.4</v>
      </c>
      <c r="K15" s="81" t="s">
        <v>74</v>
      </c>
      <c r="L15" s="77"/>
      <c r="N15" s="72">
        <v>441</v>
      </c>
    </row>
    <row r="16" spans="1:12" ht="45">
      <c r="A16" s="80">
        <v>3</v>
      </c>
      <c r="B16" s="25" t="s">
        <v>99</v>
      </c>
      <c r="C16" s="24" t="s">
        <v>46</v>
      </c>
      <c r="D16" s="62">
        <f t="shared" si="0"/>
        <v>5760</v>
      </c>
      <c r="E16" s="61">
        <v>1580</v>
      </c>
      <c r="F16" s="61">
        <v>1900</v>
      </c>
      <c r="G16" s="61"/>
      <c r="H16" s="61"/>
      <c r="I16" s="61"/>
      <c r="J16" s="61">
        <v>2280</v>
      </c>
      <c r="K16" s="81" t="s">
        <v>80</v>
      </c>
      <c r="L16" s="77"/>
    </row>
    <row r="17" spans="1:12" ht="45">
      <c r="A17" s="80">
        <v>4</v>
      </c>
      <c r="B17" s="25" t="s">
        <v>100</v>
      </c>
      <c r="C17" s="24" t="s">
        <v>46</v>
      </c>
      <c r="D17" s="62">
        <f t="shared" si="0"/>
        <v>495</v>
      </c>
      <c r="E17" s="61">
        <v>130</v>
      </c>
      <c r="F17" s="61">
        <v>175</v>
      </c>
      <c r="G17" s="61"/>
      <c r="H17" s="61"/>
      <c r="I17" s="61"/>
      <c r="J17" s="61">
        <v>190</v>
      </c>
      <c r="K17" s="81" t="s">
        <v>80</v>
      </c>
      <c r="L17" s="77"/>
    </row>
    <row r="18" spans="1:12" ht="45">
      <c r="A18" s="80">
        <v>5</v>
      </c>
      <c r="B18" s="25" t="s">
        <v>101</v>
      </c>
      <c r="C18" s="24" t="s">
        <v>46</v>
      </c>
      <c r="D18" s="62">
        <f t="shared" si="0"/>
        <v>510</v>
      </c>
      <c r="E18" s="61">
        <v>140</v>
      </c>
      <c r="F18" s="61">
        <v>170</v>
      </c>
      <c r="G18" s="61"/>
      <c r="H18" s="61"/>
      <c r="I18" s="61"/>
      <c r="J18" s="61">
        <v>200</v>
      </c>
      <c r="K18" s="81" t="s">
        <v>80</v>
      </c>
      <c r="L18" s="77"/>
    </row>
    <row r="19" spans="1:12" ht="45">
      <c r="A19" s="80">
        <v>6</v>
      </c>
      <c r="B19" s="25" t="s">
        <v>102</v>
      </c>
      <c r="C19" s="24" t="s">
        <v>46</v>
      </c>
      <c r="D19" s="62">
        <f t="shared" si="0"/>
        <v>150</v>
      </c>
      <c r="E19" s="61">
        <v>50</v>
      </c>
      <c r="F19" s="61">
        <v>50</v>
      </c>
      <c r="G19" s="61"/>
      <c r="H19" s="61"/>
      <c r="I19" s="61"/>
      <c r="J19" s="61">
        <v>50</v>
      </c>
      <c r="K19" s="81" t="s">
        <v>80</v>
      </c>
      <c r="L19" s="77"/>
    </row>
    <row r="20" spans="1:12" ht="45">
      <c r="A20" s="80">
        <v>7</v>
      </c>
      <c r="B20" s="25" t="s">
        <v>103</v>
      </c>
      <c r="C20" s="24" t="s">
        <v>46</v>
      </c>
      <c r="D20" s="62">
        <f t="shared" si="0"/>
        <v>115</v>
      </c>
      <c r="E20" s="61"/>
      <c r="F20" s="61">
        <v>65</v>
      </c>
      <c r="G20" s="61"/>
      <c r="H20" s="61"/>
      <c r="I20" s="61"/>
      <c r="J20" s="61">
        <v>50</v>
      </c>
      <c r="K20" s="81" t="s">
        <v>80</v>
      </c>
      <c r="L20" s="77"/>
    </row>
    <row r="21" spans="1:12" ht="45">
      <c r="A21" s="80">
        <v>8</v>
      </c>
      <c r="B21" s="25" t="s">
        <v>104</v>
      </c>
      <c r="C21" s="24" t="s">
        <v>46</v>
      </c>
      <c r="D21" s="62">
        <f t="shared" si="0"/>
        <v>514</v>
      </c>
      <c r="E21" s="61"/>
      <c r="F21" s="61">
        <v>359</v>
      </c>
      <c r="G21" s="61"/>
      <c r="H21" s="61"/>
      <c r="I21" s="61"/>
      <c r="J21" s="61">
        <v>155</v>
      </c>
      <c r="K21" s="81" t="s">
        <v>80</v>
      </c>
      <c r="L21" s="77"/>
    </row>
    <row r="22" spans="1:12" ht="50.25" customHeight="1">
      <c r="A22" s="80">
        <v>9</v>
      </c>
      <c r="B22" s="25" t="s">
        <v>105</v>
      </c>
      <c r="C22" s="24" t="s">
        <v>46</v>
      </c>
      <c r="D22" s="62">
        <f t="shared" si="0"/>
        <v>4720</v>
      </c>
      <c r="E22" s="61"/>
      <c r="F22" s="61">
        <v>2000</v>
      </c>
      <c r="G22" s="61"/>
      <c r="H22" s="61"/>
      <c r="I22" s="61"/>
      <c r="J22" s="61">
        <v>2720</v>
      </c>
      <c r="K22" s="81" t="s">
        <v>80</v>
      </c>
      <c r="L22" s="77"/>
    </row>
    <row r="23" spans="1:12" ht="45">
      <c r="A23" s="80">
        <v>10</v>
      </c>
      <c r="B23" s="25" t="s">
        <v>106</v>
      </c>
      <c r="C23" s="24" t="s">
        <v>46</v>
      </c>
      <c r="D23" s="62">
        <f t="shared" si="0"/>
        <v>292</v>
      </c>
      <c r="E23" s="61"/>
      <c r="F23" s="61">
        <v>50</v>
      </c>
      <c r="G23" s="61"/>
      <c r="H23" s="61"/>
      <c r="I23" s="61"/>
      <c r="J23" s="61">
        <v>242</v>
      </c>
      <c r="K23" s="81" t="s">
        <v>80</v>
      </c>
      <c r="L23" s="77"/>
    </row>
    <row r="24" spans="1:12" ht="45">
      <c r="A24" s="80">
        <v>11</v>
      </c>
      <c r="B24" s="25" t="s">
        <v>107</v>
      </c>
      <c r="C24" s="24" t="s">
        <v>46</v>
      </c>
      <c r="D24" s="62">
        <f t="shared" si="0"/>
        <v>548</v>
      </c>
      <c r="E24" s="61"/>
      <c r="F24" s="61">
        <v>300</v>
      </c>
      <c r="G24" s="61"/>
      <c r="H24" s="61"/>
      <c r="I24" s="61"/>
      <c r="J24" s="61">
        <v>248</v>
      </c>
      <c r="K24" s="81" t="s">
        <v>80</v>
      </c>
      <c r="L24" s="77"/>
    </row>
    <row r="25" spans="1:12" ht="45">
      <c r="A25" s="80">
        <v>12</v>
      </c>
      <c r="B25" s="25" t="s">
        <v>108</v>
      </c>
      <c r="C25" s="24" t="s">
        <v>46</v>
      </c>
      <c r="D25" s="62">
        <f t="shared" si="0"/>
        <v>294</v>
      </c>
      <c r="E25" s="61"/>
      <c r="F25" s="61">
        <v>120</v>
      </c>
      <c r="G25" s="61"/>
      <c r="H25" s="61"/>
      <c r="I25" s="61"/>
      <c r="J25" s="61">
        <v>174</v>
      </c>
      <c r="K25" s="81" t="s">
        <v>80</v>
      </c>
      <c r="L25" s="77"/>
    </row>
    <row r="26" spans="1:12" ht="45">
      <c r="A26" s="80">
        <v>13</v>
      </c>
      <c r="B26" s="25" t="s">
        <v>109</v>
      </c>
      <c r="C26" s="24" t="s">
        <v>46</v>
      </c>
      <c r="D26" s="62">
        <f t="shared" si="0"/>
        <v>6800</v>
      </c>
      <c r="E26" s="61"/>
      <c r="F26" s="61"/>
      <c r="G26" s="61"/>
      <c r="H26" s="61"/>
      <c r="I26" s="61"/>
      <c r="J26" s="61">
        <v>6800</v>
      </c>
      <c r="K26" s="81" t="s">
        <v>80</v>
      </c>
      <c r="L26" s="77"/>
    </row>
    <row r="27" spans="1:12" ht="15.75">
      <c r="A27" s="126"/>
      <c r="B27" s="124" t="s">
        <v>0</v>
      </c>
      <c r="C27" s="127"/>
      <c r="D27" s="62">
        <f>E27+F27+J27</f>
        <v>36436.9</v>
      </c>
      <c r="E27" s="62">
        <f>E14+E15+E16+E17+E18+E19</f>
        <v>6413</v>
      </c>
      <c r="F27" s="62">
        <f>F14+F15+F16+F17+F18+F19+F20+F21+F22+F23+F24+F25</f>
        <v>10232.5</v>
      </c>
      <c r="G27" s="62">
        <f>G14+G15+G16+G17+G18+G19</f>
        <v>0</v>
      </c>
      <c r="H27" s="62">
        <f>H14+H15+H16+H17+H18+H19</f>
        <v>0</v>
      </c>
      <c r="I27" s="62">
        <f>I14+I15+I16+I17+I18+I19</f>
        <v>0</v>
      </c>
      <c r="J27" s="62">
        <f>J14+J15+J16+J17+J18+J19+J20+J21+J22+J23+J24+J25+J26</f>
        <v>19791.4</v>
      </c>
      <c r="K27" s="128"/>
      <c r="L27" s="77"/>
    </row>
    <row r="28" spans="1:12" ht="15.75">
      <c r="A28" s="129"/>
      <c r="B28" s="130"/>
      <c r="C28" s="130"/>
      <c r="D28" s="50"/>
      <c r="E28" s="50"/>
      <c r="F28" s="50"/>
      <c r="G28" s="50"/>
      <c r="H28" s="50"/>
      <c r="I28" s="50"/>
      <c r="J28" s="50"/>
      <c r="K28" s="131"/>
      <c r="L28" s="77"/>
    </row>
    <row r="29" spans="1:12" ht="15.75">
      <c r="A29" s="129"/>
      <c r="B29" s="130"/>
      <c r="C29" s="130"/>
      <c r="D29" s="50"/>
      <c r="E29" s="50"/>
      <c r="F29" s="50"/>
      <c r="G29" s="50"/>
      <c r="H29" s="50"/>
      <c r="I29" s="50"/>
      <c r="J29" s="50"/>
      <c r="K29" s="131"/>
      <c r="L29" s="77"/>
    </row>
    <row r="30" spans="1:12" ht="15.75">
      <c r="A30" s="129"/>
      <c r="B30" s="130"/>
      <c r="C30" s="130"/>
      <c r="D30" s="50"/>
      <c r="E30" s="50"/>
      <c r="F30" s="50"/>
      <c r="G30" s="50"/>
      <c r="H30" s="50"/>
      <c r="I30" s="50"/>
      <c r="J30" s="50"/>
      <c r="K30" s="131"/>
      <c r="L30" s="77"/>
    </row>
    <row r="31" spans="2:12" ht="15.75">
      <c r="B31" s="130"/>
      <c r="C31" s="130"/>
      <c r="D31" s="50"/>
      <c r="E31" s="50"/>
      <c r="F31" s="50"/>
      <c r="G31" s="50"/>
      <c r="H31" s="50"/>
      <c r="I31" s="50"/>
      <c r="J31" s="50"/>
      <c r="K31" s="131"/>
      <c r="L31" s="77"/>
    </row>
    <row r="32" spans="2:12" ht="18.75">
      <c r="B32" s="176" t="s">
        <v>110</v>
      </c>
      <c r="C32" s="176"/>
      <c r="D32" s="73"/>
      <c r="E32" s="132"/>
      <c r="F32" s="132"/>
      <c r="J32" s="74"/>
      <c r="K32" s="133" t="s">
        <v>2</v>
      </c>
      <c r="L32" s="74"/>
    </row>
    <row r="33" spans="2:12" ht="18.75">
      <c r="B33" s="73"/>
      <c r="C33" s="73"/>
      <c r="D33" s="73"/>
      <c r="E33" s="132"/>
      <c r="F33" s="132"/>
      <c r="J33" s="74"/>
      <c r="K33" s="133"/>
      <c r="L33" s="74"/>
    </row>
    <row r="34" spans="2:12" ht="18.75">
      <c r="B34" s="73"/>
      <c r="C34" s="73"/>
      <c r="D34" s="73"/>
      <c r="E34" s="132"/>
      <c r="F34" s="132"/>
      <c r="J34" s="74"/>
      <c r="K34" s="133"/>
      <c r="L34" s="74"/>
    </row>
    <row r="35" spans="2:11" ht="18.75">
      <c r="B35" s="177" t="s">
        <v>47</v>
      </c>
      <c r="C35" s="177"/>
      <c r="D35" s="75"/>
      <c r="E35" s="76"/>
      <c r="F35" s="76"/>
      <c r="G35" s="76"/>
      <c r="H35" s="76"/>
      <c r="I35" s="76"/>
      <c r="J35" s="77"/>
      <c r="K35" s="77"/>
    </row>
    <row r="36" spans="2:13" ht="15.75">
      <c r="B36" s="78" t="s">
        <v>28</v>
      </c>
      <c r="C36" s="78"/>
      <c r="D36" s="76"/>
      <c r="E36" s="76"/>
      <c r="F36" s="76"/>
      <c r="G36" s="76"/>
      <c r="H36" s="76"/>
      <c r="I36" s="76"/>
      <c r="J36" s="77"/>
      <c r="K36" s="77"/>
      <c r="M36" s="122"/>
    </row>
    <row r="37" spans="2:11" ht="15.75">
      <c r="B37" s="134"/>
      <c r="C37" s="135"/>
      <c r="D37" s="136"/>
      <c r="E37" s="76"/>
      <c r="F37" s="76"/>
      <c r="G37" s="76"/>
      <c r="H37" s="76"/>
      <c r="I37" s="76"/>
      <c r="J37" s="77"/>
      <c r="K37" s="77"/>
    </row>
    <row r="38" spans="3:10" ht="15.75">
      <c r="C38" s="136"/>
      <c r="D38" s="76"/>
      <c r="E38" s="76"/>
      <c r="F38" s="76"/>
      <c r="G38" s="76"/>
      <c r="H38" s="76"/>
      <c r="I38" s="76"/>
      <c r="J38" s="76"/>
    </row>
    <row r="39" spans="3:10" ht="15.75">
      <c r="C39" s="137"/>
      <c r="D39" s="76"/>
      <c r="E39" s="76"/>
      <c r="F39" s="76"/>
      <c r="G39" s="76"/>
      <c r="H39" s="76"/>
      <c r="I39" s="76"/>
      <c r="J39" s="76"/>
    </row>
    <row r="41" ht="12.75">
      <c r="H41" s="138"/>
    </row>
  </sheetData>
  <sheetProtection/>
  <mergeCells count="19">
    <mergeCell ref="J1:K1"/>
    <mergeCell ref="J2:K2"/>
    <mergeCell ref="J7:K7"/>
    <mergeCell ref="A9:K9"/>
    <mergeCell ref="D10:H10"/>
    <mergeCell ref="A11:A13"/>
    <mergeCell ref="B11:B13"/>
    <mergeCell ref="C11:C13"/>
    <mergeCell ref="D11:D13"/>
    <mergeCell ref="E11:J11"/>
    <mergeCell ref="B32:C32"/>
    <mergeCell ref="B35:C35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2016-12-27T12:31:47Z</cp:lastPrinted>
  <dcterms:created xsi:type="dcterms:W3CDTF">1996-10-08T23:32:33Z</dcterms:created>
  <dcterms:modified xsi:type="dcterms:W3CDTF">2016-12-27T13:21:59Z</dcterms:modified>
  <cp:category/>
  <cp:version/>
  <cp:contentType/>
  <cp:contentStatus/>
</cp:coreProperties>
</file>