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96" windowWidth="15192" windowHeight="11220" activeTab="0"/>
  </bookViews>
  <sheets>
    <sheet name="дод 6 (с) " sheetId="1" r:id="rId1"/>
  </sheets>
  <definedNames>
    <definedName name="_xlnm.Print_Area" localSheetId="0">'дод 6 (с) '!$A$1:$J$241</definedName>
  </definedNames>
  <calcPr fullCalcOnLoad="1"/>
</workbook>
</file>

<file path=xl/sharedStrings.xml><?xml version="1.0" encoding="utf-8"?>
<sst xmlns="http://schemas.openxmlformats.org/spreadsheetml/2006/main" count="394" uniqueCount="273">
  <si>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</si>
  <si>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</si>
  <si>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</si>
  <si>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</si>
  <si>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</si>
  <si>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</si>
  <si>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</si>
  <si>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</si>
  <si>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</si>
  <si>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</si>
  <si>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</si>
  <si>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</si>
  <si>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</si>
  <si>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</si>
  <si>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</si>
  <si>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</si>
  <si>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</si>
  <si>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</si>
  <si>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</si>
  <si>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</si>
  <si>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</si>
  <si>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</si>
  <si>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</si>
  <si>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</si>
  <si>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</si>
  <si>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</si>
  <si>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</si>
  <si>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Перелік об'єктів,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</si>
  <si>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</si>
  <si>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</si>
  <si>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</si>
  <si>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</si>
  <si>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</si>
  <si>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</si>
  <si>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</si>
  <si>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</si>
  <si>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</si>
  <si>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</si>
  <si>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</si>
  <si>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</si>
  <si>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</si>
  <si>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</si>
  <si>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</si>
  <si>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</si>
  <si>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</si>
  <si>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</si>
  <si>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</si>
  <si>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</si>
  <si>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</si>
  <si>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</si>
  <si>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</si>
  <si>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</si>
  <si>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</si>
  <si>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</si>
  <si>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</si>
  <si>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</si>
  <si>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</si>
  <si>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</si>
  <si>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</si>
  <si>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</si>
  <si>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</si>
  <si>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</si>
  <si>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</si>
  <si>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</si>
  <si>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</si>
  <si>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</si>
  <si>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</si>
  <si>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</si>
  <si>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</si>
  <si>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</si>
  <si>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</si>
  <si>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</si>
  <si>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</si>
  <si>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</si>
  <si>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</si>
  <si>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</si>
  <si>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</si>
  <si>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</si>
  <si>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</si>
  <si>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</si>
  <si>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</si>
  <si>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</si>
  <si>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</si>
  <si>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</si>
  <si>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</si>
  <si>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</si>
  <si>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</si>
  <si>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</si>
  <si>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</si>
  <si>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</si>
  <si>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</si>
  <si>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</si>
  <si>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</si>
  <si>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</si>
  <si>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</si>
  <si>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</si>
  <si>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</si>
  <si>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</si>
  <si>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</si>
  <si>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</si>
  <si>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</si>
  <si>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41 Департамент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</si>
  <si>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</si>
  <si>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</si>
  <si>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</si>
  <si>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>Найменування згідно з типовою відомчою / тимчасовою класифікацією видатків та кредитування місцевого бюджету</t>
  </si>
  <si>
    <t>24 Відділ культури та туризму Сумської міської ради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</si>
  <si>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</si>
  <si>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</si>
  <si>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</si>
  <si>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</si>
  <si>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</si>
  <si>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</si>
  <si>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</si>
  <si>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</si>
  <si>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</si>
  <si>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</si>
  <si>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</si>
  <si>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</si>
  <si>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</si>
  <si>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</si>
  <si>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</si>
  <si>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</si>
  <si>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</si>
  <si>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</si>
  <si>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</si>
  <si>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</si>
  <si>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</si>
  <si>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видатки на які у 2016 році будуть проводитися за рахунок коштів бюджету розвитку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</si>
  <si>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</si>
  <si>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</si>
  <si>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</si>
  <si>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</si>
  <si>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</si>
  <si>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</si>
  <si>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</si>
  <si>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</si>
  <si>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</si>
  <si>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</si>
  <si>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</si>
  <si>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</si>
  <si>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</si>
  <si>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</si>
  <si>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</si>
  <si>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</si>
  <si>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</si>
  <si>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</si>
  <si>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</si>
  <si>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</si>
  <si>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</si>
  <si>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</si>
  <si>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</si>
  <si>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</si>
  <si>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</si>
  <si>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</si>
  <si>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</si>
  <si>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</si>
  <si>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</si>
  <si>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</si>
  <si>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</si>
  <si>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</si>
  <si>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</si>
  <si>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</si>
  <si>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</si>
  <si>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</si>
  <si>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</si>
  <si>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</si>
  <si>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</si>
  <si>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</si>
  <si>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</si>
  <si>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</si>
  <si>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</si>
  <si>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</si>
  <si>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</si>
  <si>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</si>
  <si>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</si>
  <si>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</si>
  <si>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</si>
  <si>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</si>
  <si>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</si>
  <si>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</si>
  <si>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</si>
  <si>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</si>
  <si>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</si>
  <si>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</si>
  <si>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</si>
  <si>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</si>
  <si>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</si>
  <si>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</si>
  <si>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Збереження, розвиток, реконструкція та реставрація пам'яток історії та культури </t>
  </si>
  <si>
    <t>Реставрація будівлі по вул. Троїцька, 8</t>
  </si>
  <si>
    <t xml:space="preserve"> 15 Департамент  соціального захисту населення Сумської міської ради</t>
  </si>
  <si>
    <t>45 Департамент забезпечення ресурсних платежів Сумської міської ради</t>
  </si>
  <si>
    <t>48 Управління архітектури та містобудування Сумської міської ради</t>
  </si>
  <si>
    <t xml:space="preserve">75 Департамент фінансів, економіки та інвестицій Сумської міської ради </t>
  </si>
  <si>
    <t xml:space="preserve">76 Департамент фінансів, економіки та інвестицій Сумської міської ради (в частині міжбюджетних трансфертів, резервного фонду) 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</si>
  <si>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</si>
  <si>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</si>
  <si>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</si>
  <si>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</si>
  <si>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</si>
  <si>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</si>
  <si>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</si>
  <si>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</si>
  <si>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</si>
  <si>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</si>
  <si>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</si>
  <si>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</si>
  <si>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</si>
  <si>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</si>
  <si>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</si>
  <si>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</si>
  <si>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</si>
  <si>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</si>
  <si>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</si>
  <si>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</si>
  <si>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</si>
  <si>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</si>
  <si>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</si>
  <si>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</si>
  <si>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</si>
  <si>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</si>
  <si>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</si>
  <si>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</si>
  <si>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</si>
  <si>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</si>
  <si>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</si>
  <si>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</si>
  <si>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</si>
  <si>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</si>
  <si>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</si>
  <si>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Реконструкція системи електрозабезпечення 48-квартирного будинку по вулиці Холодногірська, 30/1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</si>
  <si>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</si>
  <si>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</si>
  <si>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</si>
  <si>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</si>
  <si>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</si>
  <si>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</si>
  <si>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</si>
  <si>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 xml:space="preserve"> 2. Реконструкція житлового фонду</t>
  </si>
  <si>
    <t>46 Управління державного архітектурно - будівельного контролю  Сумської міської ради</t>
  </si>
  <si>
    <t>Будівництво футбольного поля біля житлових будинків № 32а, 32б по вул. Металургів</t>
  </si>
  <si>
    <t>Будівництво волейбольно-баскетбольного майданчика в районі житлових будинків                        № 32а, 32б по вул. Металургів</t>
  </si>
  <si>
    <t>Будівництво зливної каналізації в районі житлових будинків №51 та №59 по                       вул. Романа Атаманюка</t>
  </si>
  <si>
    <t>Реставрація будівлі по вул. Петропавлівська, 91</t>
  </si>
  <si>
    <t>Реконструкція денного відділення стаціонару КУ "Сумська міська клінічна лікарня №1"</t>
  </si>
  <si>
    <t>О.М. Лисенко</t>
  </si>
  <si>
    <t xml:space="preserve"> ____________  </t>
  </si>
  <si>
    <t>1. Реконструкція житлового фонду</t>
  </si>
  <si>
    <t xml:space="preserve">2. Реконструкція інших об’єктів   </t>
  </si>
  <si>
    <t>070501</t>
  </si>
  <si>
    <t>Професійно-технічні заклади освіти </t>
  </si>
  <si>
    <t>0930</t>
  </si>
  <si>
    <t>Встановлення дитячого майданчика за адресою: м.Суми, вул. Харитоненка, біля будинків № 24, 26</t>
  </si>
  <si>
    <t>Житлове будівництво та придбання житла для окремих категорій населення </t>
  </si>
  <si>
    <t>Реконструкція інженерних мереж КУ Піщанська ЗОШ І-ІІ ступенів</t>
  </si>
  <si>
    <t>КП "Інфосервіс" Сумської міської ради</t>
  </si>
  <si>
    <t>Реконструкція житлового будинку з влаштуванням пандусу по вул. Харківська, 25</t>
  </si>
  <si>
    <t>Реконструкція житлового будинку з влаштуванням пандусу по вул. Івана Сірка, 45</t>
  </si>
  <si>
    <t>Реконструкція житлового будинку з влаштуванням пандусу по вул. Івана Сірка, 31</t>
  </si>
  <si>
    <t>Реконструкція житлового будинку з влаштуванням пандусу по вул. Інтернаціоналістів, 25</t>
  </si>
  <si>
    <t>Реконструкція житлового будинку з влаштуванням пандусу по вул. Покоф'єва, 24Б</t>
  </si>
  <si>
    <t>Будівництво дитячого багатофункціонального спортивного майданчика з поліуретановим покриттям по вул. Новомісенській,4, м. Суми</t>
  </si>
  <si>
    <t>Виконавець: Липова С.А.</t>
  </si>
  <si>
    <t>Будівництво багатофункціонального спортивного майданчика з поліуретановим покриттям та вуличними тренажерами на території  комунальної установи Сумська гімназія № 1 м. Суми Сумської області по вулиці Засумська, 3 міста Суми</t>
  </si>
  <si>
    <t>Реконструкція водопроводу Д500 мм від Тополянського водозабору до пр.Курський</t>
  </si>
  <si>
    <t>Реконструкція спортивного майданчику біля будинку № 12 по вул. Шишкіна в місті Суми</t>
  </si>
  <si>
    <t xml:space="preserve">до   міського   бюджету   на   2016  рік» </t>
  </si>
  <si>
    <t>«Про   внесення    змін    та   доповнень</t>
  </si>
  <si>
    <t>до   рішення   Сумської    міської   ради</t>
  </si>
  <si>
    <t>Сумський міський голова</t>
  </si>
  <si>
    <t xml:space="preserve">                    Додаток № 6</t>
  </si>
  <si>
    <t>від                       2016 року №      -  МР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</si>
</sst>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5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5" fillId="32" borderId="0" xfId="0" applyFont="1" applyFill="1" applyAlignment="1">
      <alignment horizontal="left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14" fillId="32" borderId="0" xfId="0" applyFont="1" applyFill="1" applyAlignment="1">
      <alignment horizontal="right"/>
    </xf>
    <xf numFmtId="0" fontId="14" fillId="32" borderId="0" xfId="0" applyFont="1" applyFill="1" applyBorder="1" applyAlignment="1">
      <alignment vertical="center" textRotation="180"/>
    </xf>
    <xf numFmtId="3" fontId="14" fillId="32" borderId="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4" fontId="1" fillId="32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4" fontId="16" fillId="32" borderId="1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3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wrapText="1"/>
    </xf>
    <xf numFmtId="194" fontId="1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3" fontId="2" fillId="32" borderId="10" xfId="0" applyNumberFormat="1" applyFont="1" applyFill="1" applyBorder="1" applyAlignment="1">
      <alignment horizontal="right" vertical="center"/>
    </xf>
    <xf numFmtId="4" fontId="2" fillId="32" borderId="1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wrapText="1"/>
    </xf>
    <xf numFmtId="194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justify" vertical="center" wrapText="1"/>
    </xf>
    <xf numFmtId="194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4" fontId="2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vertical="center" textRotation="180"/>
    </xf>
    <xf numFmtId="0" fontId="2" fillId="32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194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vertical="center"/>
    </xf>
    <xf numFmtId="4" fontId="14" fillId="32" borderId="0" xfId="0" applyNumberFormat="1" applyFont="1" applyFill="1" applyBorder="1" applyAlignment="1">
      <alignment vertical="center" textRotation="180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192" fontId="11" fillId="32" borderId="0" xfId="0" applyNumberFormat="1" applyFont="1" applyFill="1" applyBorder="1" applyAlignment="1">
      <alignment vertical="center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3" fillId="32" borderId="0" xfId="0" applyFont="1" applyFill="1" applyAlignment="1">
      <alignment vertical="top"/>
    </xf>
    <xf numFmtId="0" fontId="11" fillId="32" borderId="0" xfId="0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1" fontId="6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11" fillId="32" borderId="0" xfId="0" applyFont="1" applyFill="1" applyAlignment="1">
      <alignment/>
    </xf>
    <xf numFmtId="2" fontId="11" fillId="32" borderId="0" xfId="0" applyNumberFormat="1" applyFont="1" applyFill="1" applyBorder="1" applyAlignment="1">
      <alignment horizontal="center" vertical="center"/>
    </xf>
    <xf numFmtId="2" fontId="11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 vertical="center"/>
    </xf>
    <xf numFmtId="0" fontId="7" fillId="32" borderId="0" xfId="0" applyFont="1" applyFill="1" applyBorder="1" applyAlignment="1">
      <alignment horizontal="left" vertical="center" wrapText="1"/>
    </xf>
    <xf numFmtId="3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/>
    </xf>
    <xf numFmtId="3" fontId="7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vertic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 horizontal="center"/>
    </xf>
    <xf numFmtId="3" fontId="8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3" fontId="1" fillId="32" borderId="10" xfId="0" applyNumberFormat="1" applyFont="1" applyFill="1" applyBorder="1" applyAlignment="1">
      <alignment vertical="center"/>
    </xf>
    <xf numFmtId="3" fontId="2" fillId="32" borderId="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 vertical="center" textRotation="180"/>
    </xf>
    <xf numFmtId="0" fontId="15" fillId="32" borderId="0" xfId="0" applyFont="1" applyFill="1" applyBorder="1" applyAlignment="1">
      <alignment horizontal="left"/>
    </xf>
    <xf numFmtId="14" fontId="13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left" vertical="distributed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 vertical="center" textRotation="180"/>
    </xf>
    <xf numFmtId="0" fontId="15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left" vertical="distributed" wrapText="1"/>
    </xf>
    <xf numFmtId="0" fontId="14" fillId="32" borderId="13" xfId="0" applyFont="1" applyFill="1" applyBorder="1" applyAlignment="1">
      <alignment horizontal="center" vertical="center" textRotation="180"/>
    </xf>
    <xf numFmtId="14" fontId="7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Y346"/>
  <sheetViews>
    <sheetView tabSelected="1" view="pageBreakPreview" zoomScale="60" zoomScaleNormal="75" zoomScalePageLayoutView="0" workbookViewId="0" topLeftCell="C232">
      <selection activeCell="F6" sqref="F6"/>
    </sheetView>
  </sheetViews>
  <sheetFormatPr defaultColWidth="9.125" defaultRowHeight="12.75"/>
  <cols>
    <col min="1" max="1" width="15.625" style="1" customWidth="1"/>
    <col min="2" max="2" width="19.50390625" style="1" customWidth="1"/>
    <col min="3" max="3" width="43.50390625" style="1" customWidth="1"/>
    <col min="4" max="4" width="51.375" style="1" customWidth="1"/>
    <col min="5" max="5" width="19.375" style="1" customWidth="1"/>
    <col min="6" max="6" width="15.00390625" style="1" customWidth="1"/>
    <col min="7" max="7" width="20.375" style="1" customWidth="1"/>
    <col min="8" max="8" width="21.375" style="89" customWidth="1"/>
    <col min="9" max="9" width="18.375" style="94" customWidth="1"/>
    <col min="10" max="10" width="20.625" style="3" customWidth="1"/>
    <col min="11" max="11" width="9.125" style="94" customWidth="1"/>
    <col min="12" max="12" width="19.875" style="3" bestFit="1" customWidth="1"/>
    <col min="13" max="154" width="9.125" style="3" customWidth="1"/>
    <col min="155" max="16384" width="9.125" style="1" customWidth="1"/>
  </cols>
  <sheetData>
    <row r="1" spans="5:11" ht="32.25">
      <c r="E1" s="2"/>
      <c r="F1" s="95" t="s">
        <v>271</v>
      </c>
      <c r="G1" s="95"/>
      <c r="H1" s="95"/>
      <c r="I1" s="95"/>
      <c r="J1" s="95"/>
      <c r="K1" s="101"/>
    </row>
    <row r="2" spans="5:11" ht="32.25">
      <c r="E2" s="2"/>
      <c r="F2" s="95" t="s">
        <v>269</v>
      </c>
      <c r="G2" s="95"/>
      <c r="H2" s="95"/>
      <c r="I2" s="95"/>
      <c r="J2" s="95"/>
      <c r="K2" s="101"/>
    </row>
    <row r="3" spans="6:11" ht="32.25">
      <c r="F3" s="95" t="s">
        <v>268</v>
      </c>
      <c r="G3" s="95"/>
      <c r="H3" s="95"/>
      <c r="I3" s="95"/>
      <c r="J3" s="95"/>
      <c r="K3" s="101"/>
    </row>
    <row r="4" spans="6:11" ht="32.25">
      <c r="F4" s="95" t="s">
        <v>267</v>
      </c>
      <c r="G4" s="95"/>
      <c r="H4" s="95"/>
      <c r="I4" s="95"/>
      <c r="J4" s="95"/>
      <c r="K4" s="101"/>
    </row>
    <row r="5" spans="6:11" ht="32.25">
      <c r="F5" s="102" t="s">
        <v>272</v>
      </c>
      <c r="G5" s="102"/>
      <c r="H5" s="102"/>
      <c r="I5" s="102"/>
      <c r="J5" s="102"/>
      <c r="K5" s="101"/>
    </row>
    <row r="6" spans="6:11" ht="32.25">
      <c r="F6" s="4"/>
      <c r="G6" s="4"/>
      <c r="H6" s="4"/>
      <c r="I6" s="4"/>
      <c r="J6" s="4"/>
      <c r="K6" s="101"/>
    </row>
    <row r="7" spans="6:11" ht="32.25">
      <c r="F7" s="4"/>
      <c r="G7" s="4"/>
      <c r="H7" s="4"/>
      <c r="I7" s="4"/>
      <c r="J7" s="4"/>
      <c r="K7" s="101"/>
    </row>
    <row r="8" spans="1:154" s="6" customFormat="1" ht="27">
      <c r="A8" s="109" t="s">
        <v>27</v>
      </c>
      <c r="B8" s="109"/>
      <c r="C8" s="109"/>
      <c r="D8" s="109"/>
      <c r="E8" s="109"/>
      <c r="F8" s="109"/>
      <c r="G8" s="109"/>
      <c r="H8" s="109"/>
      <c r="I8" s="109"/>
      <c r="J8" s="109"/>
      <c r="K8" s="10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</row>
    <row r="9" spans="1:154" s="6" customFormat="1" ht="27">
      <c r="A9" s="106" t="s">
        <v>128</v>
      </c>
      <c r="B9" s="106"/>
      <c r="C9" s="106"/>
      <c r="D9" s="106"/>
      <c r="E9" s="106"/>
      <c r="F9" s="106"/>
      <c r="G9" s="106"/>
      <c r="H9" s="106"/>
      <c r="I9" s="106"/>
      <c r="J9" s="106"/>
      <c r="K9" s="10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</row>
    <row r="10" spans="3:154" s="6" customFormat="1" ht="27">
      <c r="C10" s="93"/>
      <c r="D10" s="93"/>
      <c r="E10" s="93"/>
      <c r="F10" s="93"/>
      <c r="G10" s="93"/>
      <c r="H10" s="7"/>
      <c r="I10" s="8"/>
      <c r="J10" s="9" t="s">
        <v>107</v>
      </c>
      <c r="K10" s="10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</row>
    <row r="11" spans="1:154" s="6" customFormat="1" ht="63" customHeight="1">
      <c r="A11" s="98" t="s">
        <v>76</v>
      </c>
      <c r="B11" s="98" t="s">
        <v>108</v>
      </c>
      <c r="C11" s="98" t="s">
        <v>105</v>
      </c>
      <c r="D11" s="98" t="s">
        <v>0</v>
      </c>
      <c r="E11" s="99" t="s">
        <v>1</v>
      </c>
      <c r="F11" s="108" t="s">
        <v>8</v>
      </c>
      <c r="G11" s="99" t="s">
        <v>2</v>
      </c>
      <c r="H11" s="107" t="s">
        <v>3</v>
      </c>
      <c r="I11" s="98" t="s">
        <v>110</v>
      </c>
      <c r="J11" s="98" t="s">
        <v>111</v>
      </c>
      <c r="K11" s="10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</row>
    <row r="12" spans="1:11" ht="99" customHeight="1">
      <c r="A12" s="98"/>
      <c r="B12" s="98"/>
      <c r="C12" s="98"/>
      <c r="D12" s="98"/>
      <c r="E12" s="99"/>
      <c r="F12" s="108"/>
      <c r="G12" s="99"/>
      <c r="H12" s="107"/>
      <c r="I12" s="98"/>
      <c r="J12" s="98"/>
      <c r="K12" s="101"/>
    </row>
    <row r="13" spans="1:11" ht="18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1">
        <v>8</v>
      </c>
      <c r="I13" s="11">
        <v>9</v>
      </c>
      <c r="J13" s="11">
        <v>10</v>
      </c>
      <c r="K13" s="101"/>
    </row>
    <row r="14" spans="1:154" s="18" customFormat="1" ht="36">
      <c r="A14" s="12"/>
      <c r="B14" s="12"/>
      <c r="C14" s="13" t="s">
        <v>98</v>
      </c>
      <c r="D14" s="14"/>
      <c r="E14" s="15"/>
      <c r="F14" s="15"/>
      <c r="G14" s="15"/>
      <c r="H14" s="16">
        <f>SUM(H15:H26)-H22</f>
        <v>60415805</v>
      </c>
      <c r="I14" s="16">
        <f>SUM(I15:I26)-I22</f>
        <v>359470</v>
      </c>
      <c r="J14" s="16">
        <f>SUM(J15:J26)-J22</f>
        <v>60775275</v>
      </c>
      <c r="K14" s="101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</row>
    <row r="15" spans="1:154" s="18" customFormat="1" ht="18">
      <c r="A15" s="19" t="s">
        <v>9</v>
      </c>
      <c r="B15" s="19" t="s">
        <v>77</v>
      </c>
      <c r="C15" s="14" t="s">
        <v>10</v>
      </c>
      <c r="D15" s="20" t="s">
        <v>11</v>
      </c>
      <c r="E15" s="15"/>
      <c r="F15" s="15"/>
      <c r="G15" s="15"/>
      <c r="H15" s="21">
        <f>4043480+1612806+34835+97600+213827</f>
        <v>6002548</v>
      </c>
      <c r="I15" s="21"/>
      <c r="J15" s="21">
        <f aca="true" t="shared" si="0" ref="J15:J21">I15+H15</f>
        <v>6002548</v>
      </c>
      <c r="K15" s="101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</row>
    <row r="16" spans="1:154" s="18" customFormat="1" ht="18">
      <c r="A16" s="19" t="s">
        <v>125</v>
      </c>
      <c r="B16" s="19" t="s">
        <v>127</v>
      </c>
      <c r="C16" s="14" t="s">
        <v>126</v>
      </c>
      <c r="D16" s="20" t="s">
        <v>11</v>
      </c>
      <c r="E16" s="15"/>
      <c r="F16" s="15"/>
      <c r="G16" s="15"/>
      <c r="H16" s="21">
        <v>9645</v>
      </c>
      <c r="I16" s="21"/>
      <c r="J16" s="21">
        <f t="shared" si="0"/>
        <v>9645</v>
      </c>
      <c r="K16" s="101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</row>
    <row r="17" spans="1:154" s="18" customFormat="1" ht="36">
      <c r="A17" s="19" t="s">
        <v>60</v>
      </c>
      <c r="B17" s="19" t="s">
        <v>78</v>
      </c>
      <c r="C17" s="14" t="s">
        <v>41</v>
      </c>
      <c r="D17" s="20" t="s">
        <v>11</v>
      </c>
      <c r="E17" s="15"/>
      <c r="F17" s="15"/>
      <c r="G17" s="15"/>
      <c r="H17" s="21">
        <f>74759+42000-4177</f>
        <v>112582</v>
      </c>
      <c r="I17" s="21">
        <f>35665+1070+163335+4900</f>
        <v>204970</v>
      </c>
      <c r="J17" s="21">
        <f t="shared" si="0"/>
        <v>317552</v>
      </c>
      <c r="K17" s="101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</row>
    <row r="18" spans="1:154" s="18" customFormat="1" ht="54">
      <c r="A18" s="19" t="s">
        <v>32</v>
      </c>
      <c r="B18" s="19" t="s">
        <v>79</v>
      </c>
      <c r="C18" s="14" t="s">
        <v>33</v>
      </c>
      <c r="D18" s="20" t="s">
        <v>11</v>
      </c>
      <c r="E18" s="15"/>
      <c r="F18" s="15"/>
      <c r="G18" s="15"/>
      <c r="H18" s="21">
        <f>210000-13000+14000+33000</f>
        <v>244000</v>
      </c>
      <c r="I18" s="21">
        <f>33520+1006+116480+3494</f>
        <v>154500</v>
      </c>
      <c r="J18" s="21">
        <f t="shared" si="0"/>
        <v>398500</v>
      </c>
      <c r="K18" s="101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</row>
    <row r="19" spans="1:154" s="18" customFormat="1" ht="36">
      <c r="A19" s="19" t="s">
        <v>23</v>
      </c>
      <c r="B19" s="19" t="s">
        <v>79</v>
      </c>
      <c r="C19" s="14" t="s">
        <v>38</v>
      </c>
      <c r="D19" s="20" t="s">
        <v>11</v>
      </c>
      <c r="E19" s="22"/>
      <c r="F19" s="22"/>
      <c r="G19" s="22"/>
      <c r="H19" s="21">
        <f>500000+96600-96600</f>
        <v>500000</v>
      </c>
      <c r="I19" s="21"/>
      <c r="J19" s="21">
        <f t="shared" si="0"/>
        <v>500000</v>
      </c>
      <c r="K19" s="101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</row>
    <row r="20" spans="1:154" s="18" customFormat="1" ht="108">
      <c r="A20" s="19" t="s">
        <v>203</v>
      </c>
      <c r="B20" s="19" t="s">
        <v>79</v>
      </c>
      <c r="C20" s="14" t="s">
        <v>204</v>
      </c>
      <c r="D20" s="20" t="s">
        <v>11</v>
      </c>
      <c r="E20" s="22"/>
      <c r="F20" s="22"/>
      <c r="G20" s="22"/>
      <c r="H20" s="21">
        <f>12000+11000</f>
        <v>23000</v>
      </c>
      <c r="I20" s="21"/>
      <c r="J20" s="21">
        <f t="shared" si="0"/>
        <v>23000</v>
      </c>
      <c r="K20" s="101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</row>
    <row r="21" spans="1:154" s="18" customFormat="1" ht="36">
      <c r="A21" s="19" t="s">
        <v>217</v>
      </c>
      <c r="B21" s="19" t="s">
        <v>219</v>
      </c>
      <c r="C21" s="14" t="s">
        <v>218</v>
      </c>
      <c r="D21" s="20" t="s">
        <v>11</v>
      </c>
      <c r="E21" s="22"/>
      <c r="F21" s="22"/>
      <c r="G21" s="22"/>
      <c r="H21" s="21">
        <v>650000</v>
      </c>
      <c r="I21" s="21"/>
      <c r="J21" s="21">
        <f t="shared" si="0"/>
        <v>650000</v>
      </c>
      <c r="K21" s="101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</row>
    <row r="22" spans="1:154" s="18" customFormat="1" ht="90">
      <c r="A22" s="11">
        <v>180409</v>
      </c>
      <c r="B22" s="19" t="s">
        <v>80</v>
      </c>
      <c r="C22" s="14" t="s">
        <v>29</v>
      </c>
      <c r="D22" s="20" t="s">
        <v>11</v>
      </c>
      <c r="E22" s="23"/>
      <c r="F22" s="23"/>
      <c r="G22" s="23"/>
      <c r="H22" s="21">
        <f>H23+H24</f>
        <v>52113000</v>
      </c>
      <c r="I22" s="21">
        <f>I23+I24</f>
        <v>0</v>
      </c>
      <c r="J22" s="21">
        <f>J23+J24</f>
        <v>52113000</v>
      </c>
      <c r="K22" s="101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</row>
    <row r="23" spans="1:154" s="18" customFormat="1" ht="36">
      <c r="A23" s="11"/>
      <c r="B23" s="11"/>
      <c r="C23" s="14"/>
      <c r="D23" s="14" t="s">
        <v>59</v>
      </c>
      <c r="E23" s="23"/>
      <c r="F23" s="23"/>
      <c r="G23" s="23"/>
      <c r="H23" s="21">
        <f>50000000-4000000+5400000</f>
        <v>51400000</v>
      </c>
      <c r="I23" s="21"/>
      <c r="J23" s="21">
        <f>I23+H23</f>
        <v>51400000</v>
      </c>
      <c r="K23" s="104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</row>
    <row r="24" spans="1:154" s="18" customFormat="1" ht="18">
      <c r="A24" s="11"/>
      <c r="B24" s="11"/>
      <c r="C24" s="14"/>
      <c r="D24" s="14" t="s">
        <v>256</v>
      </c>
      <c r="E24" s="23"/>
      <c r="F24" s="23"/>
      <c r="G24" s="23"/>
      <c r="H24" s="21">
        <f>405000+308000</f>
        <v>713000</v>
      </c>
      <c r="I24" s="21"/>
      <c r="J24" s="21">
        <f>I24+H24</f>
        <v>713000</v>
      </c>
      <c r="K24" s="104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</row>
    <row r="25" spans="1:154" s="18" customFormat="1" ht="18">
      <c r="A25" s="11">
        <v>250404</v>
      </c>
      <c r="B25" s="19" t="s">
        <v>121</v>
      </c>
      <c r="C25" s="14" t="s">
        <v>120</v>
      </c>
      <c r="D25" s="20" t="s">
        <v>11</v>
      </c>
      <c r="E25" s="15"/>
      <c r="F25" s="15"/>
      <c r="G25" s="15"/>
      <c r="H25" s="21">
        <f>114000+22200-89000-25000</f>
        <v>22200</v>
      </c>
      <c r="I25" s="21"/>
      <c r="J25" s="21">
        <f>I25+H25</f>
        <v>22200</v>
      </c>
      <c r="K25" s="104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</row>
    <row r="26" spans="1:154" s="18" customFormat="1" ht="72">
      <c r="A26" s="11">
        <v>250344</v>
      </c>
      <c r="B26" s="19" t="s">
        <v>97</v>
      </c>
      <c r="C26" s="14" t="s">
        <v>224</v>
      </c>
      <c r="D26" s="20" t="s">
        <v>11</v>
      </c>
      <c r="E26" s="15"/>
      <c r="F26" s="15"/>
      <c r="G26" s="15"/>
      <c r="H26" s="21">
        <f>518830+90000+130000</f>
        <v>738830</v>
      </c>
      <c r="I26" s="21"/>
      <c r="J26" s="21">
        <f>I26+H26</f>
        <v>738830</v>
      </c>
      <c r="K26" s="104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</row>
    <row r="27" spans="1:154" s="18" customFormat="1" ht="36">
      <c r="A27" s="12"/>
      <c r="B27" s="12"/>
      <c r="C27" s="13" t="s">
        <v>99</v>
      </c>
      <c r="D27" s="20"/>
      <c r="E27" s="15"/>
      <c r="F27" s="15"/>
      <c r="G27" s="15"/>
      <c r="H27" s="16">
        <f>SUM(H28:H37)</f>
        <v>33381847.45</v>
      </c>
      <c r="I27" s="16">
        <f>SUM(I28:I37)</f>
        <v>2600000</v>
      </c>
      <c r="J27" s="16">
        <f>SUM(J28:J37)</f>
        <v>35981847.45</v>
      </c>
      <c r="K27" s="104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</row>
    <row r="28" spans="1:154" s="18" customFormat="1" ht="18">
      <c r="A28" s="19" t="s">
        <v>9</v>
      </c>
      <c r="B28" s="19" t="s">
        <v>77</v>
      </c>
      <c r="C28" s="14" t="s">
        <v>10</v>
      </c>
      <c r="D28" s="20" t="s">
        <v>11</v>
      </c>
      <c r="E28" s="15"/>
      <c r="F28" s="15"/>
      <c r="G28" s="15"/>
      <c r="H28" s="21">
        <f>170000+18000+6600</f>
        <v>194600</v>
      </c>
      <c r="I28" s="21"/>
      <c r="J28" s="21">
        <f aca="true" t="shared" si="1" ref="J28:J37">I28+H28</f>
        <v>194600</v>
      </c>
      <c r="K28" s="104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</row>
    <row r="29" spans="1:154" s="18" customFormat="1" ht="18">
      <c r="A29" s="19" t="s">
        <v>12</v>
      </c>
      <c r="B29" s="19" t="s">
        <v>81</v>
      </c>
      <c r="C29" s="14" t="s">
        <v>13</v>
      </c>
      <c r="D29" s="20" t="s">
        <v>11</v>
      </c>
      <c r="E29" s="15"/>
      <c r="F29" s="15"/>
      <c r="G29" s="15"/>
      <c r="H29" s="21">
        <f>3832900+120392+2400+983150+1220049+964698-2600</f>
        <v>7120989</v>
      </c>
      <c r="I29" s="21">
        <f>570000+17100</f>
        <v>587100</v>
      </c>
      <c r="J29" s="21">
        <f t="shared" si="1"/>
        <v>7708089</v>
      </c>
      <c r="K29" s="104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</row>
    <row r="30" spans="1:154" s="18" customFormat="1" ht="72">
      <c r="A30" s="19" t="s">
        <v>65</v>
      </c>
      <c r="B30" s="19" t="s">
        <v>82</v>
      </c>
      <c r="C30" s="14" t="s">
        <v>70</v>
      </c>
      <c r="D30" s="20" t="s">
        <v>11</v>
      </c>
      <c r="E30" s="15"/>
      <c r="F30" s="15"/>
      <c r="G30" s="15"/>
      <c r="H30" s="21">
        <f>11144755+712693.45+471241+2413157+1855933+2647978+5158700+679300</f>
        <v>25083757.45</v>
      </c>
      <c r="I30" s="24">
        <f>1660000-28200</f>
        <v>1631800</v>
      </c>
      <c r="J30" s="21">
        <f t="shared" si="1"/>
        <v>26715557.45</v>
      </c>
      <c r="K30" s="104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</row>
    <row r="31" spans="1:154" s="18" customFormat="1" ht="72">
      <c r="A31" s="19" t="s">
        <v>66</v>
      </c>
      <c r="B31" s="19" t="s">
        <v>83</v>
      </c>
      <c r="C31" s="14" t="s">
        <v>71</v>
      </c>
      <c r="D31" s="20" t="s">
        <v>11</v>
      </c>
      <c r="E31" s="15"/>
      <c r="F31" s="15"/>
      <c r="G31" s="15"/>
      <c r="H31" s="21">
        <f>150000-26417+6200</f>
        <v>129783</v>
      </c>
      <c r="I31" s="24"/>
      <c r="J31" s="21">
        <f t="shared" si="1"/>
        <v>129783</v>
      </c>
      <c r="K31" s="104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</row>
    <row r="32" spans="1:154" s="18" customFormat="1" ht="36">
      <c r="A32" s="19" t="s">
        <v>67</v>
      </c>
      <c r="B32" s="19" t="s">
        <v>84</v>
      </c>
      <c r="C32" s="14" t="s">
        <v>72</v>
      </c>
      <c r="D32" s="20" t="s">
        <v>11</v>
      </c>
      <c r="E32" s="15"/>
      <c r="F32" s="15"/>
      <c r="G32" s="15"/>
      <c r="H32" s="21">
        <f>525000-75000</f>
        <v>450000</v>
      </c>
      <c r="I32" s="24">
        <f>190000+5700</f>
        <v>195700</v>
      </c>
      <c r="J32" s="21">
        <f t="shared" si="1"/>
        <v>645700</v>
      </c>
      <c r="K32" s="104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</row>
    <row r="33" spans="1:154" s="18" customFormat="1" ht="18">
      <c r="A33" s="19" t="s">
        <v>250</v>
      </c>
      <c r="B33" s="19" t="s">
        <v>252</v>
      </c>
      <c r="C33" s="25" t="s">
        <v>251</v>
      </c>
      <c r="D33" s="20" t="s">
        <v>11</v>
      </c>
      <c r="E33" s="15"/>
      <c r="F33" s="15"/>
      <c r="G33" s="15"/>
      <c r="H33" s="21">
        <v>41738</v>
      </c>
      <c r="I33" s="24"/>
      <c r="J33" s="21">
        <f t="shared" si="1"/>
        <v>41738</v>
      </c>
      <c r="K33" s="104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</row>
    <row r="34" spans="1:154" s="18" customFormat="1" ht="36">
      <c r="A34" s="19" t="s">
        <v>145</v>
      </c>
      <c r="B34" s="19" t="s">
        <v>85</v>
      </c>
      <c r="C34" s="14" t="s">
        <v>147</v>
      </c>
      <c r="D34" s="20" t="s">
        <v>11</v>
      </c>
      <c r="E34" s="15"/>
      <c r="F34" s="15"/>
      <c r="G34" s="15"/>
      <c r="H34" s="21">
        <f>121000-2270</f>
        <v>118730</v>
      </c>
      <c r="I34" s="21"/>
      <c r="J34" s="21">
        <f t="shared" si="1"/>
        <v>118730</v>
      </c>
      <c r="K34" s="104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</row>
    <row r="35" spans="1:154" s="18" customFormat="1" ht="36">
      <c r="A35" s="19" t="s">
        <v>146</v>
      </c>
      <c r="B35" s="19" t="s">
        <v>85</v>
      </c>
      <c r="C35" s="14" t="s">
        <v>148</v>
      </c>
      <c r="D35" s="20" t="s">
        <v>11</v>
      </c>
      <c r="E35" s="15"/>
      <c r="F35" s="15"/>
      <c r="G35" s="15"/>
      <c r="H35" s="21">
        <f>75000+18000-750</f>
        <v>92250</v>
      </c>
      <c r="I35" s="21"/>
      <c r="J35" s="21">
        <f t="shared" si="1"/>
        <v>92250</v>
      </c>
      <c r="K35" s="104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</row>
    <row r="36" spans="1:154" s="18" customFormat="1" ht="18">
      <c r="A36" s="19" t="s">
        <v>68</v>
      </c>
      <c r="B36" s="19" t="s">
        <v>85</v>
      </c>
      <c r="C36" s="14" t="s">
        <v>73</v>
      </c>
      <c r="D36" s="20" t="s">
        <v>11</v>
      </c>
      <c r="E36" s="15"/>
      <c r="F36" s="15"/>
      <c r="G36" s="15"/>
      <c r="H36" s="21">
        <v>150000</v>
      </c>
      <c r="I36" s="21"/>
      <c r="J36" s="21">
        <f t="shared" si="1"/>
        <v>150000</v>
      </c>
      <c r="K36" s="104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</row>
    <row r="37" spans="1:154" s="18" customFormat="1" ht="54">
      <c r="A37" s="19" t="s">
        <v>32</v>
      </c>
      <c r="B37" s="19" t="s">
        <v>79</v>
      </c>
      <c r="C37" s="14" t="s">
        <v>33</v>
      </c>
      <c r="D37" s="20" t="s">
        <v>11</v>
      </c>
      <c r="E37" s="15"/>
      <c r="F37" s="15"/>
      <c r="G37" s="15"/>
      <c r="H37" s="21"/>
      <c r="I37" s="21">
        <f>180000+5400</f>
        <v>185400</v>
      </c>
      <c r="J37" s="21">
        <f t="shared" si="1"/>
        <v>185400</v>
      </c>
      <c r="K37" s="104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</row>
    <row r="38" spans="1:154" s="18" customFormat="1" ht="36">
      <c r="A38" s="12"/>
      <c r="B38" s="12"/>
      <c r="C38" s="13" t="s">
        <v>100</v>
      </c>
      <c r="D38" s="20"/>
      <c r="E38" s="15"/>
      <c r="F38" s="15"/>
      <c r="G38" s="15"/>
      <c r="H38" s="16">
        <f>SUM(H39:H46)</f>
        <v>34140190</v>
      </c>
      <c r="I38" s="16">
        <f>SUM(I39:I46)</f>
        <v>2671000</v>
      </c>
      <c r="J38" s="16">
        <f>SUM(J39:J46)</f>
        <v>36811190</v>
      </c>
      <c r="K38" s="104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</row>
    <row r="39" spans="1:154" s="18" customFormat="1" ht="18">
      <c r="A39" s="19" t="s">
        <v>9</v>
      </c>
      <c r="B39" s="19" t="s">
        <v>77</v>
      </c>
      <c r="C39" s="14" t="s">
        <v>10</v>
      </c>
      <c r="D39" s="20" t="s">
        <v>11</v>
      </c>
      <c r="E39" s="15"/>
      <c r="F39" s="15"/>
      <c r="G39" s="15"/>
      <c r="H39" s="21">
        <f>333200+114700</f>
        <v>447900</v>
      </c>
      <c r="I39" s="21"/>
      <c r="J39" s="21">
        <f aca="true" t="shared" si="2" ref="J39:J46">I39+H39</f>
        <v>447900</v>
      </c>
      <c r="K39" s="104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</row>
    <row r="40" spans="1:154" s="18" customFormat="1" ht="18">
      <c r="A40" s="19" t="s">
        <v>14</v>
      </c>
      <c r="B40" s="19" t="s">
        <v>86</v>
      </c>
      <c r="C40" s="14" t="s">
        <v>15</v>
      </c>
      <c r="D40" s="20" t="s">
        <v>11</v>
      </c>
      <c r="E40" s="15"/>
      <c r="F40" s="15"/>
      <c r="G40" s="15"/>
      <c r="H40" s="21">
        <f>16431400+350200+35000+553200+813550+3618351</f>
        <v>21801701</v>
      </c>
      <c r="I40" s="21">
        <f>2521000+75630</f>
        <v>2596630</v>
      </c>
      <c r="J40" s="21">
        <f t="shared" si="2"/>
        <v>24398331</v>
      </c>
      <c r="K40" s="104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</row>
    <row r="41" spans="1:154" s="18" customFormat="1" ht="36">
      <c r="A41" s="19" t="s">
        <v>31</v>
      </c>
      <c r="B41" s="19" t="s">
        <v>87</v>
      </c>
      <c r="C41" s="14" t="s">
        <v>36</v>
      </c>
      <c r="D41" s="20" t="s">
        <v>11</v>
      </c>
      <c r="E41" s="15"/>
      <c r="F41" s="15"/>
      <c r="G41" s="15"/>
      <c r="H41" s="21">
        <f>2894064+289932-85407</f>
        <v>3098589</v>
      </c>
      <c r="I41" s="21"/>
      <c r="J41" s="21">
        <f t="shared" si="2"/>
        <v>3098589</v>
      </c>
      <c r="K41" s="104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</row>
    <row r="42" spans="1:154" s="18" customFormat="1" ht="36">
      <c r="A42" s="19" t="s">
        <v>62</v>
      </c>
      <c r="B42" s="19" t="s">
        <v>88</v>
      </c>
      <c r="C42" s="14" t="s">
        <v>74</v>
      </c>
      <c r="D42" s="20"/>
      <c r="E42" s="15"/>
      <c r="F42" s="15"/>
      <c r="G42" s="15"/>
      <c r="H42" s="21">
        <v>1000000</v>
      </c>
      <c r="I42" s="21"/>
      <c r="J42" s="21">
        <f t="shared" si="2"/>
        <v>1000000</v>
      </c>
      <c r="K42" s="104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</row>
    <row r="43" spans="1:154" s="18" customFormat="1" ht="36">
      <c r="A43" s="19" t="s">
        <v>45</v>
      </c>
      <c r="B43" s="19" t="s">
        <v>89</v>
      </c>
      <c r="C43" s="14" t="s">
        <v>47</v>
      </c>
      <c r="D43" s="20" t="s">
        <v>11</v>
      </c>
      <c r="E43" s="15"/>
      <c r="F43" s="15"/>
      <c r="G43" s="15"/>
      <c r="H43" s="21">
        <f>2419000+13000</f>
        <v>2432000</v>
      </c>
      <c r="I43" s="21">
        <v>-75630</v>
      </c>
      <c r="J43" s="21">
        <f t="shared" si="2"/>
        <v>2356370</v>
      </c>
      <c r="K43" s="104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</row>
    <row r="44" spans="1:154" s="18" customFormat="1" ht="18">
      <c r="A44" s="19" t="s">
        <v>143</v>
      </c>
      <c r="B44" s="19" t="s">
        <v>90</v>
      </c>
      <c r="C44" s="14" t="s">
        <v>144</v>
      </c>
      <c r="D44" s="20" t="s">
        <v>11</v>
      </c>
      <c r="E44" s="15"/>
      <c r="F44" s="15"/>
      <c r="G44" s="15"/>
      <c r="H44" s="21">
        <v>20000</v>
      </c>
      <c r="I44" s="21"/>
      <c r="J44" s="21">
        <f t="shared" si="2"/>
        <v>20000</v>
      </c>
      <c r="K44" s="104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</row>
    <row r="45" spans="1:154" s="18" customFormat="1" ht="90">
      <c r="A45" s="19" t="s">
        <v>69</v>
      </c>
      <c r="B45" s="19" t="s">
        <v>90</v>
      </c>
      <c r="C45" s="14" t="s">
        <v>91</v>
      </c>
      <c r="D45" s="20"/>
      <c r="E45" s="15"/>
      <c r="F45" s="15"/>
      <c r="G45" s="15"/>
      <c r="H45" s="21">
        <v>40000</v>
      </c>
      <c r="I45" s="21"/>
      <c r="J45" s="21">
        <f t="shared" si="2"/>
        <v>40000</v>
      </c>
      <c r="K45" s="104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</row>
    <row r="46" spans="1:154" s="18" customFormat="1" ht="18">
      <c r="A46" s="19" t="s">
        <v>183</v>
      </c>
      <c r="B46" s="19" t="s">
        <v>97</v>
      </c>
      <c r="C46" s="20" t="s">
        <v>20</v>
      </c>
      <c r="D46" s="20" t="s">
        <v>11</v>
      </c>
      <c r="E46" s="15"/>
      <c r="F46" s="15"/>
      <c r="G46" s="15"/>
      <c r="H46" s="21">
        <v>5300000</v>
      </c>
      <c r="I46" s="21">
        <v>150000</v>
      </c>
      <c r="J46" s="21">
        <f t="shared" si="2"/>
        <v>5450000</v>
      </c>
      <c r="K46" s="104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</row>
    <row r="47" spans="1:154" s="18" customFormat="1" ht="54">
      <c r="A47" s="12"/>
      <c r="B47" s="12"/>
      <c r="C47" s="13" t="s">
        <v>191</v>
      </c>
      <c r="D47" s="20"/>
      <c r="E47" s="15"/>
      <c r="F47" s="15"/>
      <c r="G47" s="15"/>
      <c r="H47" s="16">
        <f>SUM(H48:H51)</f>
        <v>5775087.59</v>
      </c>
      <c r="I47" s="16">
        <f>SUM(I48:I51)</f>
        <v>-1517920</v>
      </c>
      <c r="J47" s="16">
        <f>SUM(J48:J51)</f>
        <v>4257167.59</v>
      </c>
      <c r="K47" s="104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</row>
    <row r="48" spans="1:154" s="18" customFormat="1" ht="18">
      <c r="A48" s="19" t="s">
        <v>9</v>
      </c>
      <c r="B48" s="19" t="s">
        <v>77</v>
      </c>
      <c r="C48" s="14" t="s">
        <v>10</v>
      </c>
      <c r="D48" s="20" t="s">
        <v>11</v>
      </c>
      <c r="E48" s="15"/>
      <c r="F48" s="15"/>
      <c r="G48" s="15"/>
      <c r="H48" s="21">
        <f>80000+120000+142500</f>
        <v>342500</v>
      </c>
      <c r="I48" s="21"/>
      <c r="J48" s="21">
        <f>I48+H48</f>
        <v>342500</v>
      </c>
      <c r="K48" s="104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</row>
    <row r="49" spans="1:154" s="18" customFormat="1" ht="54">
      <c r="A49" s="19" t="s">
        <v>149</v>
      </c>
      <c r="B49" s="19" t="s">
        <v>150</v>
      </c>
      <c r="C49" s="14" t="s">
        <v>151</v>
      </c>
      <c r="D49" s="20" t="s">
        <v>11</v>
      </c>
      <c r="E49" s="15"/>
      <c r="F49" s="15"/>
      <c r="G49" s="15"/>
      <c r="H49" s="21">
        <f>308000+132000-3097-4000</f>
        <v>432903</v>
      </c>
      <c r="I49" s="21"/>
      <c r="J49" s="21">
        <f>I49+H49</f>
        <v>432903</v>
      </c>
      <c r="K49" s="104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</row>
    <row r="50" spans="1:154" s="18" customFormat="1" ht="18">
      <c r="A50" s="19" t="s">
        <v>24</v>
      </c>
      <c r="B50" s="19" t="s">
        <v>92</v>
      </c>
      <c r="C50" s="20" t="s">
        <v>25</v>
      </c>
      <c r="D50" s="20" t="s">
        <v>11</v>
      </c>
      <c r="E50" s="15"/>
      <c r="F50" s="15"/>
      <c r="G50" s="15"/>
      <c r="H50" s="21">
        <v>243500</v>
      </c>
      <c r="I50" s="21"/>
      <c r="J50" s="21">
        <f>I50+H50</f>
        <v>243500</v>
      </c>
      <c r="K50" s="104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</row>
    <row r="51" spans="1:154" s="18" customFormat="1" ht="54">
      <c r="A51" s="11">
        <v>150118</v>
      </c>
      <c r="B51" s="19">
        <v>1062</v>
      </c>
      <c r="C51" s="14" t="s">
        <v>254</v>
      </c>
      <c r="D51" s="20" t="s">
        <v>11</v>
      </c>
      <c r="E51" s="15"/>
      <c r="F51" s="15"/>
      <c r="G51" s="15"/>
      <c r="H51" s="21">
        <f>1090537.85+3665646.74</f>
        <v>4756184.59</v>
      </c>
      <c r="I51" s="21">
        <v>-1517920</v>
      </c>
      <c r="J51" s="21">
        <f>I51+H51</f>
        <v>3238264.59</v>
      </c>
      <c r="K51" s="104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</row>
    <row r="52" spans="1:155" s="23" customFormat="1" ht="36">
      <c r="A52" s="92"/>
      <c r="B52" s="92"/>
      <c r="C52" s="13" t="s">
        <v>106</v>
      </c>
      <c r="D52" s="20"/>
      <c r="E52" s="26"/>
      <c r="F52" s="26"/>
      <c r="G52" s="26"/>
      <c r="H52" s="16">
        <f>SUM(H53:H56)</f>
        <v>1165000</v>
      </c>
      <c r="I52" s="16">
        <f>SUM(I53:I56)</f>
        <v>391400</v>
      </c>
      <c r="J52" s="16">
        <f>SUM(J53:J56)</f>
        <v>1556400</v>
      </c>
      <c r="K52" s="104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27"/>
    </row>
    <row r="53" spans="1:155" s="23" customFormat="1" ht="18">
      <c r="A53" s="19" t="s">
        <v>9</v>
      </c>
      <c r="B53" s="19" t="s">
        <v>77</v>
      </c>
      <c r="C53" s="14" t="s">
        <v>10</v>
      </c>
      <c r="D53" s="20" t="s">
        <v>11</v>
      </c>
      <c r="E53" s="26"/>
      <c r="F53" s="26"/>
      <c r="G53" s="26"/>
      <c r="H53" s="21">
        <v>20000</v>
      </c>
      <c r="I53" s="21"/>
      <c r="J53" s="21">
        <f>I53+H53</f>
        <v>20000</v>
      </c>
      <c r="K53" s="104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27"/>
    </row>
    <row r="54" spans="1:155" s="23" customFormat="1" ht="18">
      <c r="A54" s="11">
        <v>110201</v>
      </c>
      <c r="B54" s="19" t="s">
        <v>93</v>
      </c>
      <c r="C54" s="20" t="s">
        <v>18</v>
      </c>
      <c r="D54" s="20" t="s">
        <v>11</v>
      </c>
      <c r="E54" s="26"/>
      <c r="F54" s="26"/>
      <c r="G54" s="26"/>
      <c r="H54" s="21">
        <f>678000+1500+5000</f>
        <v>684500</v>
      </c>
      <c r="I54" s="21">
        <f>190000+5700</f>
        <v>195700</v>
      </c>
      <c r="J54" s="21">
        <f>I54+H54</f>
        <v>880200</v>
      </c>
      <c r="K54" s="104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27"/>
    </row>
    <row r="55" spans="1:11" s="17" customFormat="1" ht="18">
      <c r="A55" s="11">
        <v>110205</v>
      </c>
      <c r="B55" s="19" t="s">
        <v>84</v>
      </c>
      <c r="C55" s="20" t="s">
        <v>61</v>
      </c>
      <c r="D55" s="20" t="s">
        <v>11</v>
      </c>
      <c r="E55" s="26"/>
      <c r="F55" s="26"/>
      <c r="G55" s="26"/>
      <c r="H55" s="21">
        <f>435500+2000</f>
        <v>437500</v>
      </c>
      <c r="I55" s="21">
        <f>190000+5700</f>
        <v>195700</v>
      </c>
      <c r="J55" s="21">
        <f>I55+H55</f>
        <v>633200</v>
      </c>
      <c r="K55" s="104"/>
    </row>
    <row r="56" spans="1:11" s="17" customFormat="1" ht="36">
      <c r="A56" s="11">
        <v>110502</v>
      </c>
      <c r="B56" s="19" t="s">
        <v>78</v>
      </c>
      <c r="C56" s="14" t="s">
        <v>41</v>
      </c>
      <c r="D56" s="20" t="s">
        <v>11</v>
      </c>
      <c r="E56" s="26"/>
      <c r="F56" s="26"/>
      <c r="G56" s="26"/>
      <c r="H56" s="21">
        <f>30000-7000</f>
        <v>23000</v>
      </c>
      <c r="I56" s="21"/>
      <c r="J56" s="21">
        <f>I56+H56</f>
        <v>23000</v>
      </c>
      <c r="K56" s="104"/>
    </row>
    <row r="57" spans="1:154" s="30" customFormat="1" ht="36">
      <c r="A57" s="92"/>
      <c r="B57" s="92"/>
      <c r="C57" s="13" t="s">
        <v>101</v>
      </c>
      <c r="D57" s="13"/>
      <c r="E57" s="28"/>
      <c r="F57" s="28"/>
      <c r="G57" s="28"/>
      <c r="H57" s="16">
        <f>H58+H59+H60+H61+H62+H63+H64+H72+H80</f>
        <v>129494653.37</v>
      </c>
      <c r="I57" s="16">
        <f>I58+I59+I60+I61+I62+I63+I64+I72+I80</f>
        <v>0</v>
      </c>
      <c r="J57" s="16">
        <f>J58+J59+J60+J61+J62+J63+J64+J72+J80</f>
        <v>129494653.37</v>
      </c>
      <c r="K57" s="104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</row>
    <row r="58" spans="1:154" s="18" customFormat="1" ht="18">
      <c r="A58" s="19" t="s">
        <v>9</v>
      </c>
      <c r="B58" s="19" t="s">
        <v>77</v>
      </c>
      <c r="C58" s="14" t="s">
        <v>10</v>
      </c>
      <c r="D58" s="20" t="s">
        <v>11</v>
      </c>
      <c r="E58" s="15"/>
      <c r="F58" s="15"/>
      <c r="G58" s="15"/>
      <c r="H58" s="21">
        <f>30000+18000</f>
        <v>48000</v>
      </c>
      <c r="I58" s="21"/>
      <c r="J58" s="21">
        <f aca="true" t="shared" si="3" ref="J58:J71">I58+H58</f>
        <v>48000</v>
      </c>
      <c r="K58" s="104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</row>
    <row r="59" spans="1:154" s="18" customFormat="1" ht="36">
      <c r="A59" s="11">
        <v>100102</v>
      </c>
      <c r="B59" s="19" t="s">
        <v>94</v>
      </c>
      <c r="C59" s="14" t="s">
        <v>17</v>
      </c>
      <c r="D59" s="20" t="s">
        <v>11</v>
      </c>
      <c r="E59" s="26"/>
      <c r="F59" s="26"/>
      <c r="G59" s="26"/>
      <c r="H59" s="21">
        <f>51271723.14+1543208+2219502+4281011+4400000</f>
        <v>63715444.14</v>
      </c>
      <c r="I59" s="21"/>
      <c r="J59" s="21">
        <f t="shared" si="3"/>
        <v>63715444.14</v>
      </c>
      <c r="K59" s="104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</row>
    <row r="60" spans="1:154" s="18" customFormat="1" ht="54">
      <c r="A60" s="11">
        <v>100106</v>
      </c>
      <c r="B60" s="19" t="s">
        <v>94</v>
      </c>
      <c r="C60" s="14" t="s">
        <v>34</v>
      </c>
      <c r="D60" s="20" t="s">
        <v>11</v>
      </c>
      <c r="E60" s="26"/>
      <c r="F60" s="26"/>
      <c r="G60" s="26"/>
      <c r="H60" s="21">
        <f>6000000+1000000</f>
        <v>7000000</v>
      </c>
      <c r="I60" s="21"/>
      <c r="J60" s="21">
        <f t="shared" si="3"/>
        <v>7000000</v>
      </c>
      <c r="K60" s="104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</row>
    <row r="61" spans="1:154" s="18" customFormat="1" ht="36">
      <c r="A61" s="11">
        <v>100202</v>
      </c>
      <c r="B61" s="19" t="s">
        <v>95</v>
      </c>
      <c r="C61" s="14" t="s">
        <v>176</v>
      </c>
      <c r="D61" s="20" t="s">
        <v>11</v>
      </c>
      <c r="E61" s="26"/>
      <c r="F61" s="26"/>
      <c r="G61" s="26"/>
      <c r="H61" s="21">
        <f>3430202+664532+174600+200666+172909</f>
        <v>4642909</v>
      </c>
      <c r="I61" s="21"/>
      <c r="J61" s="21">
        <f t="shared" si="3"/>
        <v>4642909</v>
      </c>
      <c r="K61" s="104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</row>
    <row r="62" spans="1:154" s="18" customFormat="1" ht="18">
      <c r="A62" s="11">
        <v>100203</v>
      </c>
      <c r="B62" s="19" t="s">
        <v>95</v>
      </c>
      <c r="C62" s="14" t="s">
        <v>16</v>
      </c>
      <c r="D62" s="20" t="s">
        <v>11</v>
      </c>
      <c r="E62" s="26"/>
      <c r="F62" s="26"/>
      <c r="G62" s="26"/>
      <c r="H62" s="21">
        <f>21022929.2-391391-343105-20217-41000+12774.03+1534900-5000</f>
        <v>21769890.23</v>
      </c>
      <c r="I62" s="21"/>
      <c r="J62" s="21">
        <f t="shared" si="3"/>
        <v>21769890.23</v>
      </c>
      <c r="K62" s="104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</row>
    <row r="63" spans="1:154" s="18" customFormat="1" ht="54">
      <c r="A63" s="11">
        <v>100208</v>
      </c>
      <c r="B63" s="19" t="s">
        <v>95</v>
      </c>
      <c r="C63" s="14" t="s">
        <v>152</v>
      </c>
      <c r="D63" s="20" t="s">
        <v>11</v>
      </c>
      <c r="E63" s="26"/>
      <c r="F63" s="26"/>
      <c r="G63" s="26"/>
      <c r="H63" s="21">
        <v>845938</v>
      </c>
      <c r="I63" s="21"/>
      <c r="J63" s="21">
        <f t="shared" si="3"/>
        <v>845938</v>
      </c>
      <c r="K63" s="104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</row>
    <row r="64" spans="1:154" s="18" customFormat="1" ht="18">
      <c r="A64" s="11">
        <v>150101</v>
      </c>
      <c r="B64" s="19" t="s">
        <v>80</v>
      </c>
      <c r="C64" s="31" t="s">
        <v>4</v>
      </c>
      <c r="D64" s="20"/>
      <c r="E64" s="26"/>
      <c r="F64" s="26"/>
      <c r="G64" s="26"/>
      <c r="H64" s="16">
        <f>H67+H65</f>
        <v>2059156</v>
      </c>
      <c r="I64" s="16">
        <f>I67+I65</f>
        <v>0</v>
      </c>
      <c r="J64" s="16">
        <f>J67+J65</f>
        <v>2059156</v>
      </c>
      <c r="K64" s="104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</row>
    <row r="65" spans="1:154" s="18" customFormat="1" ht="18">
      <c r="A65" s="11"/>
      <c r="B65" s="19"/>
      <c r="C65" s="31"/>
      <c r="D65" s="31" t="s">
        <v>248</v>
      </c>
      <c r="E65" s="26"/>
      <c r="F65" s="26"/>
      <c r="G65" s="26"/>
      <c r="H65" s="21">
        <f>H66</f>
        <v>41000</v>
      </c>
      <c r="I65" s="21">
        <f>I66</f>
        <v>0</v>
      </c>
      <c r="J65" s="21">
        <f>J66</f>
        <v>41000</v>
      </c>
      <c r="K65" s="104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</row>
    <row r="66" spans="1:154" s="18" customFormat="1" ht="54">
      <c r="A66" s="11"/>
      <c r="B66" s="19"/>
      <c r="C66" s="31"/>
      <c r="D66" s="32" t="s">
        <v>231</v>
      </c>
      <c r="E66" s="26"/>
      <c r="F66" s="26"/>
      <c r="G66" s="26"/>
      <c r="H66" s="21">
        <v>41000</v>
      </c>
      <c r="I66" s="21"/>
      <c r="J66" s="21">
        <f t="shared" si="3"/>
        <v>41000</v>
      </c>
      <c r="K66" s="104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</row>
    <row r="67" spans="1:154" s="18" customFormat="1" ht="18">
      <c r="A67" s="11"/>
      <c r="B67" s="19"/>
      <c r="C67" s="31"/>
      <c r="D67" s="31" t="s">
        <v>249</v>
      </c>
      <c r="E67" s="26"/>
      <c r="F67" s="26"/>
      <c r="G67" s="26"/>
      <c r="H67" s="16">
        <f>H68+H69+H70+H71</f>
        <v>2018156</v>
      </c>
      <c r="I67" s="16">
        <f>I68+I69+I70+I71</f>
        <v>0</v>
      </c>
      <c r="J67" s="16">
        <f>J68+J69+J70+J71</f>
        <v>2018156</v>
      </c>
      <c r="K67" s="104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</row>
    <row r="68" spans="1:154" s="18" customFormat="1" ht="90">
      <c r="A68" s="11"/>
      <c r="B68" s="19"/>
      <c r="C68" s="31"/>
      <c r="D68" s="32" t="s">
        <v>222</v>
      </c>
      <c r="E68" s="26"/>
      <c r="F68" s="26"/>
      <c r="G68" s="26"/>
      <c r="H68" s="21">
        <f>167000+32350</f>
        <v>199350</v>
      </c>
      <c r="I68" s="21"/>
      <c r="J68" s="21">
        <f t="shared" si="3"/>
        <v>199350</v>
      </c>
      <c r="K68" s="104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</row>
    <row r="69" spans="1:154" s="18" customFormat="1" ht="90">
      <c r="A69" s="11"/>
      <c r="B69" s="19"/>
      <c r="C69" s="31"/>
      <c r="D69" s="32" t="s">
        <v>220</v>
      </c>
      <c r="E69" s="26"/>
      <c r="F69" s="26"/>
      <c r="G69" s="26"/>
      <c r="H69" s="21">
        <f>167000+12806</f>
        <v>179806</v>
      </c>
      <c r="I69" s="21"/>
      <c r="J69" s="21">
        <f t="shared" si="3"/>
        <v>179806</v>
      </c>
      <c r="K69" s="104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</row>
    <row r="70" spans="1:154" s="18" customFormat="1" ht="120" customHeight="1">
      <c r="A70" s="11"/>
      <c r="B70" s="19"/>
      <c r="C70" s="31"/>
      <c r="D70" s="32" t="s">
        <v>221</v>
      </c>
      <c r="E70" s="26"/>
      <c r="F70" s="26"/>
      <c r="G70" s="26"/>
      <c r="H70" s="21">
        <f>166000+33545.9</f>
        <v>199545.9</v>
      </c>
      <c r="I70" s="21"/>
      <c r="J70" s="21">
        <f t="shared" si="3"/>
        <v>199545.9</v>
      </c>
      <c r="K70" s="104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</row>
    <row r="71" spans="1:154" s="18" customFormat="1" ht="72">
      <c r="A71" s="11"/>
      <c r="B71" s="19"/>
      <c r="C71" s="31"/>
      <c r="D71" s="33" t="s">
        <v>230</v>
      </c>
      <c r="E71" s="26"/>
      <c r="F71" s="26"/>
      <c r="G71" s="26"/>
      <c r="H71" s="21">
        <f>1473000-33545.9</f>
        <v>1439454.1</v>
      </c>
      <c r="I71" s="21"/>
      <c r="J71" s="21">
        <f t="shared" si="3"/>
        <v>1439454.1</v>
      </c>
      <c r="K71" s="104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</row>
    <row r="72" spans="1:154" s="18" customFormat="1" ht="90">
      <c r="A72" s="11">
        <v>180409</v>
      </c>
      <c r="B72" s="19" t="s">
        <v>80</v>
      </c>
      <c r="C72" s="14" t="s">
        <v>29</v>
      </c>
      <c r="D72" s="23"/>
      <c r="E72" s="91"/>
      <c r="F72" s="91"/>
      <c r="G72" s="91"/>
      <c r="H72" s="21">
        <f>H73+H74+H75+H76+H77+H79+H78</f>
        <v>28662816</v>
      </c>
      <c r="I72" s="21">
        <f>I73+I74+I75+I76+I77+I79+I78</f>
        <v>0</v>
      </c>
      <c r="J72" s="21">
        <f>J73+J74+J75+J76+J77+J79+J78</f>
        <v>28662816</v>
      </c>
      <c r="K72" s="104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</row>
    <row r="73" spans="1:154" s="18" customFormat="1" ht="36">
      <c r="A73" s="11"/>
      <c r="B73" s="11"/>
      <c r="C73" s="14"/>
      <c r="D73" s="14" t="s">
        <v>48</v>
      </c>
      <c r="E73" s="91"/>
      <c r="F73" s="91"/>
      <c r="G73" s="91"/>
      <c r="H73" s="21">
        <f>4311200+292000</f>
        <v>4603200</v>
      </c>
      <c r="I73" s="21"/>
      <c r="J73" s="21">
        <f aca="true" t="shared" si="4" ref="J73:J80">I73+H73</f>
        <v>4603200</v>
      </c>
      <c r="K73" s="104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</row>
    <row r="74" spans="1:154" s="18" customFormat="1" ht="36">
      <c r="A74" s="11"/>
      <c r="B74" s="11"/>
      <c r="C74" s="14"/>
      <c r="D74" s="14" t="s">
        <v>138</v>
      </c>
      <c r="E74" s="91"/>
      <c r="F74" s="91"/>
      <c r="G74" s="91"/>
      <c r="H74" s="21">
        <f>1600000+45800</f>
        <v>1645800</v>
      </c>
      <c r="I74" s="21"/>
      <c r="J74" s="21">
        <f t="shared" si="4"/>
        <v>1645800</v>
      </c>
      <c r="K74" s="104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</row>
    <row r="75" spans="1:154" s="18" customFormat="1" ht="36">
      <c r="A75" s="11"/>
      <c r="B75" s="11"/>
      <c r="C75" s="14"/>
      <c r="D75" s="14" t="s">
        <v>39</v>
      </c>
      <c r="E75" s="91"/>
      <c r="F75" s="91"/>
      <c r="G75" s="91"/>
      <c r="H75" s="21">
        <f>2188500+1470000</f>
        <v>3658500</v>
      </c>
      <c r="I75" s="21"/>
      <c r="J75" s="21">
        <f t="shared" si="4"/>
        <v>3658500</v>
      </c>
      <c r="K75" s="104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</row>
    <row r="76" spans="1:154" s="18" customFormat="1" ht="36">
      <c r="A76" s="11"/>
      <c r="B76" s="11"/>
      <c r="C76" s="14"/>
      <c r="D76" s="14" t="s">
        <v>44</v>
      </c>
      <c r="E76" s="91"/>
      <c r="F76" s="91"/>
      <c r="G76" s="91"/>
      <c r="H76" s="21">
        <v>2500000</v>
      </c>
      <c r="I76" s="21"/>
      <c r="J76" s="21">
        <f t="shared" si="4"/>
        <v>2500000</v>
      </c>
      <c r="K76" s="104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</row>
    <row r="77" spans="1:154" s="18" customFormat="1" ht="36">
      <c r="A77" s="11"/>
      <c r="B77" s="11"/>
      <c r="C77" s="14"/>
      <c r="D77" s="14" t="s">
        <v>119</v>
      </c>
      <c r="E77" s="91"/>
      <c r="F77" s="91"/>
      <c r="G77" s="91"/>
      <c r="H77" s="21">
        <f>8200+14159</f>
        <v>22359</v>
      </c>
      <c r="I77" s="21"/>
      <c r="J77" s="21">
        <f t="shared" si="4"/>
        <v>22359</v>
      </c>
      <c r="K77" s="104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</row>
    <row r="78" spans="1:154" s="18" customFormat="1" ht="36">
      <c r="A78" s="11"/>
      <c r="B78" s="11"/>
      <c r="C78" s="14"/>
      <c r="D78" s="14" t="s">
        <v>159</v>
      </c>
      <c r="E78" s="91"/>
      <c r="F78" s="91"/>
      <c r="G78" s="91"/>
      <c r="H78" s="21">
        <f>1116250+72607</f>
        <v>1188857</v>
      </c>
      <c r="I78" s="21"/>
      <c r="J78" s="21">
        <f t="shared" si="4"/>
        <v>1188857</v>
      </c>
      <c r="K78" s="104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</row>
    <row r="79" spans="1:154" s="18" customFormat="1" ht="18">
      <c r="A79" s="11"/>
      <c r="B79" s="11"/>
      <c r="C79" s="14"/>
      <c r="D79" s="14" t="s">
        <v>49</v>
      </c>
      <c r="E79" s="91"/>
      <c r="F79" s="91"/>
      <c r="G79" s="91"/>
      <c r="H79" s="21">
        <f>7769200+4969900+1835000+470000</f>
        <v>15044100</v>
      </c>
      <c r="I79" s="21"/>
      <c r="J79" s="21">
        <f t="shared" si="4"/>
        <v>15044100</v>
      </c>
      <c r="K79" s="104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</row>
    <row r="80" spans="1:154" s="18" customFormat="1" ht="18">
      <c r="A80" s="11">
        <v>250380</v>
      </c>
      <c r="B80" s="19" t="s">
        <v>97</v>
      </c>
      <c r="C80" s="20" t="s">
        <v>20</v>
      </c>
      <c r="D80" s="20" t="s">
        <v>11</v>
      </c>
      <c r="E80" s="91"/>
      <c r="F80" s="91"/>
      <c r="G80" s="91"/>
      <c r="H80" s="21">
        <v>750500</v>
      </c>
      <c r="I80" s="21"/>
      <c r="J80" s="21">
        <f t="shared" si="4"/>
        <v>750500</v>
      </c>
      <c r="K80" s="104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</row>
    <row r="81" spans="1:154" s="18" customFormat="1" ht="54">
      <c r="A81" s="12"/>
      <c r="B81" s="12"/>
      <c r="C81" s="13" t="s">
        <v>192</v>
      </c>
      <c r="D81" s="20"/>
      <c r="E81" s="91"/>
      <c r="F81" s="91"/>
      <c r="G81" s="91"/>
      <c r="H81" s="16">
        <f>H82+H83</f>
        <v>264300</v>
      </c>
      <c r="I81" s="16">
        <f>I82+I83</f>
        <v>0</v>
      </c>
      <c r="J81" s="16">
        <f>J82+J83</f>
        <v>264300</v>
      </c>
      <c r="K81" s="104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</row>
    <row r="82" spans="1:154" s="18" customFormat="1" ht="18">
      <c r="A82" s="19" t="s">
        <v>9</v>
      </c>
      <c r="B82" s="19" t="s">
        <v>77</v>
      </c>
      <c r="C82" s="14" t="s">
        <v>10</v>
      </c>
      <c r="D82" s="20" t="s">
        <v>11</v>
      </c>
      <c r="E82" s="91"/>
      <c r="F82" s="91"/>
      <c r="G82" s="91"/>
      <c r="H82" s="21">
        <f>240000+100000-18000-85333-72367</f>
        <v>164300</v>
      </c>
      <c r="I82" s="21"/>
      <c r="J82" s="21">
        <f>I82+H82</f>
        <v>164300</v>
      </c>
      <c r="K82" s="104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</row>
    <row r="83" spans="1:11" s="17" customFormat="1" ht="18">
      <c r="A83" s="19" t="s">
        <v>22</v>
      </c>
      <c r="B83" s="19" t="s">
        <v>96</v>
      </c>
      <c r="C83" s="14" t="s">
        <v>40</v>
      </c>
      <c r="D83" s="20" t="s">
        <v>11</v>
      </c>
      <c r="E83" s="15"/>
      <c r="F83" s="34"/>
      <c r="G83" s="15"/>
      <c r="H83" s="21">
        <f>141000-41000</f>
        <v>100000</v>
      </c>
      <c r="I83" s="21"/>
      <c r="J83" s="21">
        <f>I83+H83</f>
        <v>100000</v>
      </c>
      <c r="K83" s="104"/>
    </row>
    <row r="84" spans="1:11" s="17" customFormat="1" ht="54">
      <c r="A84" s="19"/>
      <c r="B84" s="19"/>
      <c r="C84" s="13" t="s">
        <v>240</v>
      </c>
      <c r="D84" s="20"/>
      <c r="E84" s="15"/>
      <c r="F84" s="34"/>
      <c r="G84" s="15"/>
      <c r="H84" s="16">
        <f>H85</f>
        <v>177897</v>
      </c>
      <c r="I84" s="16">
        <f>I85</f>
        <v>0</v>
      </c>
      <c r="J84" s="16">
        <f>J85</f>
        <v>177897</v>
      </c>
      <c r="K84" s="104"/>
    </row>
    <row r="85" spans="1:11" s="17" customFormat="1" ht="18">
      <c r="A85" s="19" t="s">
        <v>9</v>
      </c>
      <c r="B85" s="19" t="s">
        <v>77</v>
      </c>
      <c r="C85" s="14" t="s">
        <v>10</v>
      </c>
      <c r="D85" s="20" t="s">
        <v>11</v>
      </c>
      <c r="E85" s="15"/>
      <c r="F85" s="34"/>
      <c r="G85" s="15"/>
      <c r="H85" s="21">
        <f>134100+48600-4803</f>
        <v>177897</v>
      </c>
      <c r="I85" s="21"/>
      <c r="J85" s="21">
        <f>I85+H85</f>
        <v>177897</v>
      </c>
      <c r="K85" s="104"/>
    </row>
    <row r="86" spans="1:11" ht="54">
      <c r="A86" s="12"/>
      <c r="B86" s="12"/>
      <c r="C86" s="13" t="s">
        <v>102</v>
      </c>
      <c r="D86" s="20"/>
      <c r="E86" s="26"/>
      <c r="F86" s="26"/>
      <c r="G86" s="26"/>
      <c r="H86" s="16">
        <f>H87+H88+H89+H220+H217+H216</f>
        <v>249129382.94</v>
      </c>
      <c r="I86" s="16">
        <f>I87+I88+I89+I220+I217+I216</f>
        <v>0</v>
      </c>
      <c r="J86" s="16">
        <f>J87+J88+J89+J220+J217+J216</f>
        <v>249129382.94</v>
      </c>
      <c r="K86" s="104"/>
    </row>
    <row r="87" spans="1:11" ht="18">
      <c r="A87" s="19" t="s">
        <v>14</v>
      </c>
      <c r="B87" s="19" t="s">
        <v>86</v>
      </c>
      <c r="C87" s="14" t="s">
        <v>15</v>
      </c>
      <c r="D87" s="20"/>
      <c r="E87" s="26"/>
      <c r="F87" s="26"/>
      <c r="G87" s="26"/>
      <c r="H87" s="21">
        <v>1724000</v>
      </c>
      <c r="I87" s="21"/>
      <c r="J87" s="21">
        <f>I87+H87</f>
        <v>1724000</v>
      </c>
      <c r="K87" s="104"/>
    </row>
    <row r="88" spans="1:11" ht="18">
      <c r="A88" s="19" t="s">
        <v>30</v>
      </c>
      <c r="B88" s="19" t="s">
        <v>95</v>
      </c>
      <c r="C88" s="14" t="s">
        <v>16</v>
      </c>
      <c r="D88" s="20" t="s">
        <v>11</v>
      </c>
      <c r="E88" s="26"/>
      <c r="F88" s="26"/>
      <c r="G88" s="26"/>
      <c r="H88" s="21">
        <f>71252200+4000000+2500000+6465000</f>
        <v>84217200</v>
      </c>
      <c r="I88" s="21"/>
      <c r="J88" s="21">
        <f>I88+H88</f>
        <v>84217200</v>
      </c>
      <c r="K88" s="104"/>
    </row>
    <row r="89" spans="1:11" ht="18">
      <c r="A89" s="10">
        <v>150101</v>
      </c>
      <c r="B89" s="19" t="s">
        <v>80</v>
      </c>
      <c r="C89" s="31" t="s">
        <v>4</v>
      </c>
      <c r="D89" s="20"/>
      <c r="E89" s="26">
        <f>E90+E148</f>
        <v>156493313</v>
      </c>
      <c r="F89" s="26"/>
      <c r="G89" s="26">
        <f>G90+G148</f>
        <v>105987675</v>
      </c>
      <c r="H89" s="35">
        <f>H90+H142+H148</f>
        <v>144619382.94</v>
      </c>
      <c r="I89" s="35">
        <f>I90+I142+I148</f>
        <v>0</v>
      </c>
      <c r="J89" s="35">
        <f>J90+J142+J148</f>
        <v>144619382.94</v>
      </c>
      <c r="K89" s="104"/>
    </row>
    <row r="90" spans="1:11" ht="18">
      <c r="A90" s="10"/>
      <c r="B90" s="10"/>
      <c r="C90" s="13"/>
      <c r="D90" s="36" t="s">
        <v>5</v>
      </c>
      <c r="E90" s="37">
        <f>SUM(E91:E141)</f>
        <v>73757043</v>
      </c>
      <c r="F90" s="37"/>
      <c r="G90" s="37">
        <f>SUM(G91:G141)</f>
        <v>44832261</v>
      </c>
      <c r="H90" s="38">
        <f>SUM(H91:H141)</f>
        <v>41311360</v>
      </c>
      <c r="I90" s="38">
        <f>SUM(I91:I141)</f>
        <v>0</v>
      </c>
      <c r="J90" s="38">
        <f>SUM(J91:J141)</f>
        <v>41311360</v>
      </c>
      <c r="K90" s="104"/>
    </row>
    <row r="91" spans="1:11" ht="36">
      <c r="A91" s="14"/>
      <c r="B91" s="14"/>
      <c r="C91" s="39"/>
      <c r="D91" s="39" t="s">
        <v>6</v>
      </c>
      <c r="E91" s="15">
        <v>28556946</v>
      </c>
      <c r="F91" s="11">
        <v>86</v>
      </c>
      <c r="G91" s="22">
        <v>24569887</v>
      </c>
      <c r="H91" s="21">
        <f>1000000+850000</f>
        <v>1850000</v>
      </c>
      <c r="I91" s="21"/>
      <c r="J91" s="21">
        <f aca="true" t="shared" si="5" ref="J91:J140">I91+H91</f>
        <v>1850000</v>
      </c>
      <c r="K91" s="104"/>
    </row>
    <row r="92" spans="1:11" ht="36">
      <c r="A92" s="40"/>
      <c r="B92" s="40"/>
      <c r="C92" s="39"/>
      <c r="D92" s="39" t="s">
        <v>118</v>
      </c>
      <c r="E92" s="15"/>
      <c r="F92" s="34"/>
      <c r="G92" s="15"/>
      <c r="H92" s="21">
        <f>2500000-2200000-160000</f>
        <v>140000</v>
      </c>
      <c r="I92" s="21"/>
      <c r="J92" s="21">
        <f t="shared" si="5"/>
        <v>140000</v>
      </c>
      <c r="K92" s="104"/>
    </row>
    <row r="93" spans="1:11" ht="54">
      <c r="A93" s="40"/>
      <c r="B93" s="40"/>
      <c r="C93" s="39"/>
      <c r="D93" s="39" t="s">
        <v>46</v>
      </c>
      <c r="E93" s="15"/>
      <c r="F93" s="34"/>
      <c r="G93" s="15"/>
      <c r="H93" s="21">
        <f>3198625-110000-2575000-148844</f>
        <v>364781</v>
      </c>
      <c r="I93" s="21"/>
      <c r="J93" s="21">
        <f t="shared" si="5"/>
        <v>364781</v>
      </c>
      <c r="K93" s="104"/>
    </row>
    <row r="94" spans="1:11" ht="36">
      <c r="A94" s="10"/>
      <c r="B94" s="10"/>
      <c r="C94" s="39"/>
      <c r="D94" s="39" t="s">
        <v>109</v>
      </c>
      <c r="E94" s="22">
        <v>680490</v>
      </c>
      <c r="F94" s="41">
        <v>55.9</v>
      </c>
      <c r="G94" s="22">
        <v>380490</v>
      </c>
      <c r="H94" s="21">
        <f>380000-89000-230000+10000</f>
        <v>71000</v>
      </c>
      <c r="I94" s="21"/>
      <c r="J94" s="21">
        <f t="shared" si="5"/>
        <v>71000</v>
      </c>
      <c r="K94" s="104"/>
    </row>
    <row r="95" spans="1:11" ht="36">
      <c r="A95" s="14"/>
      <c r="B95" s="14"/>
      <c r="C95" s="39"/>
      <c r="D95" s="39" t="s">
        <v>42</v>
      </c>
      <c r="E95" s="15">
        <v>12997832</v>
      </c>
      <c r="F95" s="11">
        <v>47.7</v>
      </c>
      <c r="G95" s="22">
        <v>6200933</v>
      </c>
      <c r="H95" s="21">
        <f>3000000+2000000-320000-500000</f>
        <v>4180000</v>
      </c>
      <c r="I95" s="21"/>
      <c r="J95" s="21">
        <f t="shared" si="5"/>
        <v>4180000</v>
      </c>
      <c r="K95" s="104"/>
    </row>
    <row r="96" spans="1:11" ht="54">
      <c r="A96" s="14"/>
      <c r="B96" s="14"/>
      <c r="C96" s="39"/>
      <c r="D96" s="39" t="s">
        <v>235</v>
      </c>
      <c r="E96" s="15"/>
      <c r="F96" s="11"/>
      <c r="G96" s="22"/>
      <c r="H96" s="21">
        <v>1000</v>
      </c>
      <c r="I96" s="21"/>
      <c r="J96" s="21">
        <f t="shared" si="5"/>
        <v>1000</v>
      </c>
      <c r="K96" s="104"/>
    </row>
    <row r="97" spans="1:11" ht="36">
      <c r="A97" s="40"/>
      <c r="B97" s="40"/>
      <c r="C97" s="39"/>
      <c r="D97" s="39" t="s">
        <v>129</v>
      </c>
      <c r="E97" s="15"/>
      <c r="F97" s="34"/>
      <c r="G97" s="15"/>
      <c r="H97" s="21">
        <f>2000000-1750000</f>
        <v>250000</v>
      </c>
      <c r="I97" s="21"/>
      <c r="J97" s="21">
        <f t="shared" si="5"/>
        <v>250000</v>
      </c>
      <c r="K97" s="104"/>
    </row>
    <row r="98" spans="1:11" ht="36">
      <c r="A98" s="40"/>
      <c r="B98" s="40"/>
      <c r="C98" s="39"/>
      <c r="D98" s="39" t="s">
        <v>157</v>
      </c>
      <c r="E98" s="15"/>
      <c r="F98" s="34"/>
      <c r="G98" s="15"/>
      <c r="H98" s="21">
        <v>800000</v>
      </c>
      <c r="I98" s="21"/>
      <c r="J98" s="21">
        <f t="shared" si="5"/>
        <v>800000</v>
      </c>
      <c r="K98" s="104"/>
    </row>
    <row r="99" spans="1:11" ht="36">
      <c r="A99" s="40"/>
      <c r="B99" s="40"/>
      <c r="C99" s="39"/>
      <c r="D99" s="39" t="s">
        <v>206</v>
      </c>
      <c r="E99" s="15"/>
      <c r="F99" s="34"/>
      <c r="G99" s="15"/>
      <c r="H99" s="21">
        <v>100000</v>
      </c>
      <c r="I99" s="21"/>
      <c r="J99" s="21">
        <f t="shared" si="5"/>
        <v>100000</v>
      </c>
      <c r="K99" s="104"/>
    </row>
    <row r="100" spans="1:11" ht="18">
      <c r="A100" s="40"/>
      <c r="B100" s="40"/>
      <c r="C100" s="39"/>
      <c r="D100" s="39" t="s">
        <v>130</v>
      </c>
      <c r="E100" s="15"/>
      <c r="F100" s="34"/>
      <c r="G100" s="15"/>
      <c r="H100" s="21">
        <f>1000000+500000+410000</f>
        <v>1910000</v>
      </c>
      <c r="I100" s="21"/>
      <c r="J100" s="21">
        <f t="shared" si="5"/>
        <v>1910000</v>
      </c>
      <c r="K100" s="104"/>
    </row>
    <row r="101" spans="1:11" ht="54">
      <c r="A101" s="40"/>
      <c r="B101" s="40"/>
      <c r="C101" s="39"/>
      <c r="D101" s="39" t="s">
        <v>243</v>
      </c>
      <c r="E101" s="15"/>
      <c r="F101" s="34"/>
      <c r="G101" s="15"/>
      <c r="H101" s="21">
        <v>20000</v>
      </c>
      <c r="I101" s="21"/>
      <c r="J101" s="21">
        <f t="shared" si="5"/>
        <v>20000</v>
      </c>
      <c r="K101" s="104"/>
    </row>
    <row r="102" spans="1:11" ht="18">
      <c r="A102" s="40"/>
      <c r="B102" s="40"/>
      <c r="C102" s="39"/>
      <c r="D102" s="39" t="s">
        <v>28</v>
      </c>
      <c r="E102" s="15">
        <v>27952784</v>
      </c>
      <c r="F102" s="34">
        <v>36.5</v>
      </c>
      <c r="G102" s="15">
        <v>10189981</v>
      </c>
      <c r="H102" s="21">
        <f>5000000-1000000</f>
        <v>4000000</v>
      </c>
      <c r="I102" s="21"/>
      <c r="J102" s="21">
        <f t="shared" si="5"/>
        <v>4000000</v>
      </c>
      <c r="K102" s="104"/>
    </row>
    <row r="103" spans="1:11" ht="54">
      <c r="A103" s="40"/>
      <c r="B103" s="40"/>
      <c r="C103" s="39"/>
      <c r="D103" s="39" t="s">
        <v>131</v>
      </c>
      <c r="E103" s="15">
        <v>3568991</v>
      </c>
      <c r="F103" s="34">
        <v>97.8</v>
      </c>
      <c r="G103" s="15">
        <v>3490970</v>
      </c>
      <c r="H103" s="21">
        <f>5400000-500000+700000</f>
        <v>5600000</v>
      </c>
      <c r="I103" s="21"/>
      <c r="J103" s="21">
        <f t="shared" si="5"/>
        <v>5600000</v>
      </c>
      <c r="K103" s="104"/>
    </row>
    <row r="104" spans="1:11" ht="36">
      <c r="A104" s="40"/>
      <c r="B104" s="40"/>
      <c r="C104" s="39"/>
      <c r="D104" s="39" t="s">
        <v>75</v>
      </c>
      <c r="E104" s="15"/>
      <c r="F104" s="34"/>
      <c r="G104" s="15"/>
      <c r="H104" s="21">
        <f>9000000+8000000</f>
        <v>17000000</v>
      </c>
      <c r="I104" s="21"/>
      <c r="J104" s="21">
        <f t="shared" si="5"/>
        <v>17000000</v>
      </c>
      <c r="K104" s="104"/>
    </row>
    <row r="105" spans="1:11" ht="18">
      <c r="A105" s="40"/>
      <c r="B105" s="40"/>
      <c r="C105" s="39"/>
      <c r="D105" s="39" t="s">
        <v>154</v>
      </c>
      <c r="E105" s="15"/>
      <c r="F105" s="34"/>
      <c r="G105" s="15"/>
      <c r="H105" s="21">
        <f>500000-450000</f>
        <v>50000</v>
      </c>
      <c r="I105" s="21"/>
      <c r="J105" s="21">
        <f t="shared" si="5"/>
        <v>50000</v>
      </c>
      <c r="K105" s="104"/>
    </row>
    <row r="106" spans="1:11" ht="18">
      <c r="A106" s="40"/>
      <c r="B106" s="40"/>
      <c r="C106" s="39"/>
      <c r="D106" s="39" t="s">
        <v>155</v>
      </c>
      <c r="E106" s="15"/>
      <c r="F106" s="34"/>
      <c r="G106" s="15"/>
      <c r="H106" s="21">
        <v>1000000</v>
      </c>
      <c r="I106" s="21"/>
      <c r="J106" s="21">
        <f t="shared" si="5"/>
        <v>1000000</v>
      </c>
      <c r="K106" s="104"/>
    </row>
    <row r="107" spans="1:11" ht="36">
      <c r="A107" s="40"/>
      <c r="B107" s="40"/>
      <c r="C107" s="39"/>
      <c r="D107" s="39" t="s">
        <v>180</v>
      </c>
      <c r="E107" s="15"/>
      <c r="F107" s="34"/>
      <c r="G107" s="15"/>
      <c r="H107" s="21">
        <v>50000</v>
      </c>
      <c r="I107" s="21"/>
      <c r="J107" s="21">
        <f t="shared" si="5"/>
        <v>50000</v>
      </c>
      <c r="K107" s="104"/>
    </row>
    <row r="108" spans="1:11" ht="90">
      <c r="A108" s="40"/>
      <c r="B108" s="40"/>
      <c r="C108" s="39"/>
      <c r="D108" s="39" t="s">
        <v>223</v>
      </c>
      <c r="E108" s="15"/>
      <c r="F108" s="34"/>
      <c r="G108" s="15"/>
      <c r="H108" s="21">
        <f>490000-61000</f>
        <v>429000</v>
      </c>
      <c r="I108" s="21"/>
      <c r="J108" s="21">
        <f t="shared" si="5"/>
        <v>429000</v>
      </c>
      <c r="K108" s="104"/>
    </row>
    <row r="109" spans="1:11" ht="36">
      <c r="A109" s="40"/>
      <c r="B109" s="40"/>
      <c r="C109" s="39"/>
      <c r="D109" s="39" t="s">
        <v>172</v>
      </c>
      <c r="E109" s="15"/>
      <c r="F109" s="34"/>
      <c r="G109" s="15"/>
      <c r="H109" s="21">
        <f>300000-15000</f>
        <v>285000</v>
      </c>
      <c r="I109" s="21"/>
      <c r="J109" s="21">
        <f t="shared" si="5"/>
        <v>285000</v>
      </c>
      <c r="K109" s="104"/>
    </row>
    <row r="110" spans="1:11" ht="54">
      <c r="A110" s="40"/>
      <c r="B110" s="40"/>
      <c r="C110" s="39"/>
      <c r="D110" s="39" t="s">
        <v>181</v>
      </c>
      <c r="E110" s="15"/>
      <c r="F110" s="34"/>
      <c r="G110" s="15"/>
      <c r="H110" s="21">
        <v>80000</v>
      </c>
      <c r="I110" s="21"/>
      <c r="J110" s="21">
        <f t="shared" si="5"/>
        <v>80000</v>
      </c>
      <c r="K110" s="104"/>
    </row>
    <row r="111" spans="1:11" ht="54">
      <c r="A111" s="40"/>
      <c r="B111" s="40"/>
      <c r="C111" s="39"/>
      <c r="D111" s="39" t="s">
        <v>182</v>
      </c>
      <c r="E111" s="15"/>
      <c r="F111" s="34"/>
      <c r="G111" s="15"/>
      <c r="H111" s="21">
        <v>100000</v>
      </c>
      <c r="I111" s="21"/>
      <c r="J111" s="21">
        <f t="shared" si="5"/>
        <v>100000</v>
      </c>
      <c r="K111" s="104"/>
    </row>
    <row r="112" spans="1:11" ht="36">
      <c r="A112" s="40"/>
      <c r="B112" s="40"/>
      <c r="C112" s="39"/>
      <c r="D112" s="39" t="s">
        <v>196</v>
      </c>
      <c r="E112" s="15"/>
      <c r="F112" s="34"/>
      <c r="G112" s="15"/>
      <c r="H112" s="21">
        <v>57000</v>
      </c>
      <c r="I112" s="21"/>
      <c r="J112" s="21">
        <f t="shared" si="5"/>
        <v>57000</v>
      </c>
      <c r="K112" s="104"/>
    </row>
    <row r="113" spans="1:11" ht="52.5" customHeight="1">
      <c r="A113" s="40"/>
      <c r="B113" s="40"/>
      <c r="C113" s="39"/>
      <c r="D113" s="43" t="s">
        <v>241</v>
      </c>
      <c r="E113" s="15"/>
      <c r="F113" s="34"/>
      <c r="G113" s="15"/>
      <c r="H113" s="21">
        <v>50000</v>
      </c>
      <c r="I113" s="21"/>
      <c r="J113" s="21">
        <f t="shared" si="5"/>
        <v>50000</v>
      </c>
      <c r="K113" s="104"/>
    </row>
    <row r="114" spans="1:11" ht="54">
      <c r="A114" s="40"/>
      <c r="B114" s="40"/>
      <c r="C114" s="39"/>
      <c r="D114" s="42" t="s">
        <v>242</v>
      </c>
      <c r="E114" s="15"/>
      <c r="F114" s="34"/>
      <c r="G114" s="15"/>
      <c r="H114" s="21">
        <v>50000</v>
      </c>
      <c r="I114" s="21"/>
      <c r="J114" s="21">
        <f t="shared" si="5"/>
        <v>50000</v>
      </c>
      <c r="K114" s="104"/>
    </row>
    <row r="115" spans="1:11" ht="116.25" customHeight="1">
      <c r="A115" s="40"/>
      <c r="B115" s="40"/>
      <c r="C115" s="39"/>
      <c r="D115" s="39" t="s">
        <v>264</v>
      </c>
      <c r="E115" s="15"/>
      <c r="F115" s="34"/>
      <c r="G115" s="15"/>
      <c r="H115" s="21">
        <f>1437601-1396700</f>
        <v>40901</v>
      </c>
      <c r="I115" s="21"/>
      <c r="J115" s="21">
        <f t="shared" si="5"/>
        <v>40901</v>
      </c>
      <c r="K115" s="104"/>
    </row>
    <row r="116" spans="1:11" ht="72">
      <c r="A116" s="40"/>
      <c r="B116" s="40"/>
      <c r="C116" s="39"/>
      <c r="D116" s="39" t="s">
        <v>262</v>
      </c>
      <c r="E116" s="15"/>
      <c r="F116" s="34"/>
      <c r="G116" s="15"/>
      <c r="H116" s="21">
        <f>822043-798100</f>
        <v>23943</v>
      </c>
      <c r="I116" s="21"/>
      <c r="J116" s="21">
        <f t="shared" si="5"/>
        <v>23943</v>
      </c>
      <c r="K116" s="104"/>
    </row>
    <row r="117" spans="1:11" ht="36">
      <c r="A117" s="40"/>
      <c r="B117" s="40"/>
      <c r="C117" s="39"/>
      <c r="D117" s="39" t="s">
        <v>116</v>
      </c>
      <c r="E117" s="15"/>
      <c r="F117" s="34"/>
      <c r="G117" s="15"/>
      <c r="H117" s="21">
        <f>1000000+40000+120000+300000</f>
        <v>1460000</v>
      </c>
      <c r="I117" s="21"/>
      <c r="J117" s="21">
        <f t="shared" si="5"/>
        <v>1460000</v>
      </c>
      <c r="K117" s="104"/>
    </row>
    <row r="118" spans="1:11" ht="18">
      <c r="A118" s="40"/>
      <c r="B118" s="40"/>
      <c r="C118" s="39"/>
      <c r="D118" s="39"/>
      <c r="E118" s="15"/>
      <c r="F118" s="34"/>
      <c r="G118" s="15"/>
      <c r="H118" s="21"/>
      <c r="I118" s="21"/>
      <c r="J118" s="21"/>
      <c r="K118" s="104"/>
    </row>
    <row r="119" spans="1:11" ht="36">
      <c r="A119" s="40"/>
      <c r="B119" s="40"/>
      <c r="C119" s="39"/>
      <c r="D119" s="39" t="s">
        <v>234</v>
      </c>
      <c r="E119" s="15"/>
      <c r="F119" s="34"/>
      <c r="G119" s="15"/>
      <c r="H119" s="21">
        <v>80000</v>
      </c>
      <c r="I119" s="21"/>
      <c r="J119" s="21">
        <f t="shared" si="5"/>
        <v>80000</v>
      </c>
      <c r="K119" s="104"/>
    </row>
    <row r="120" spans="1:11" ht="54">
      <c r="A120" s="40"/>
      <c r="B120" s="40"/>
      <c r="C120" s="39"/>
      <c r="D120" s="39" t="s">
        <v>232</v>
      </c>
      <c r="E120" s="15"/>
      <c r="F120" s="34"/>
      <c r="G120" s="15"/>
      <c r="H120" s="21">
        <v>35000</v>
      </c>
      <c r="I120" s="21"/>
      <c r="J120" s="21">
        <f t="shared" si="5"/>
        <v>35000</v>
      </c>
      <c r="K120" s="104"/>
    </row>
    <row r="121" spans="1:11" ht="36">
      <c r="A121" s="40"/>
      <c r="B121" s="40"/>
      <c r="C121" s="39"/>
      <c r="D121" s="39" t="s">
        <v>170</v>
      </c>
      <c r="E121" s="15"/>
      <c r="F121" s="34"/>
      <c r="G121" s="15"/>
      <c r="H121" s="21">
        <v>150000</v>
      </c>
      <c r="I121" s="21"/>
      <c r="J121" s="21">
        <f t="shared" si="5"/>
        <v>150000</v>
      </c>
      <c r="K121" s="104"/>
    </row>
    <row r="122" spans="1:11" ht="36">
      <c r="A122" s="40"/>
      <c r="B122" s="40"/>
      <c r="C122" s="39"/>
      <c r="D122" s="39" t="s">
        <v>169</v>
      </c>
      <c r="E122" s="15"/>
      <c r="F122" s="34"/>
      <c r="G122" s="15"/>
      <c r="H122" s="21">
        <f>50000+15000</f>
        <v>65000</v>
      </c>
      <c r="I122" s="21"/>
      <c r="J122" s="21">
        <f t="shared" si="5"/>
        <v>65000</v>
      </c>
      <c r="K122" s="104"/>
    </row>
    <row r="123" spans="1:11" ht="54">
      <c r="A123" s="40"/>
      <c r="B123" s="40"/>
      <c r="C123" s="39"/>
      <c r="D123" s="39" t="s">
        <v>168</v>
      </c>
      <c r="E123" s="15"/>
      <c r="F123" s="34"/>
      <c r="G123" s="15"/>
      <c r="H123" s="21">
        <v>57000</v>
      </c>
      <c r="I123" s="21"/>
      <c r="J123" s="21">
        <f t="shared" si="5"/>
        <v>57000</v>
      </c>
      <c r="K123" s="104"/>
    </row>
    <row r="124" spans="1:11" ht="54">
      <c r="A124" s="40"/>
      <c r="B124" s="40"/>
      <c r="C124" s="39"/>
      <c r="D124" s="39" t="s">
        <v>162</v>
      </c>
      <c r="E124" s="15"/>
      <c r="F124" s="34"/>
      <c r="G124" s="15"/>
      <c r="H124" s="21">
        <v>57000</v>
      </c>
      <c r="I124" s="21"/>
      <c r="J124" s="21">
        <f t="shared" si="5"/>
        <v>57000</v>
      </c>
      <c r="K124" s="104"/>
    </row>
    <row r="125" spans="1:11" ht="54">
      <c r="A125" s="40"/>
      <c r="B125" s="40"/>
      <c r="C125" s="39"/>
      <c r="D125" s="39" t="s">
        <v>161</v>
      </c>
      <c r="E125" s="15"/>
      <c r="F125" s="34"/>
      <c r="G125" s="15"/>
      <c r="H125" s="21">
        <v>57000</v>
      </c>
      <c r="I125" s="21"/>
      <c r="J125" s="21">
        <f t="shared" si="5"/>
        <v>57000</v>
      </c>
      <c r="K125" s="104"/>
    </row>
    <row r="126" spans="1:11" ht="36">
      <c r="A126" s="40"/>
      <c r="B126" s="40"/>
      <c r="C126" s="39"/>
      <c r="D126" s="39" t="s">
        <v>208</v>
      </c>
      <c r="E126" s="15"/>
      <c r="F126" s="34"/>
      <c r="G126" s="15"/>
      <c r="H126" s="21">
        <v>45000</v>
      </c>
      <c r="I126" s="21"/>
      <c r="J126" s="21">
        <f t="shared" si="5"/>
        <v>45000</v>
      </c>
      <c r="K126" s="104"/>
    </row>
    <row r="127" spans="1:11" ht="36">
      <c r="A127" s="40"/>
      <c r="B127" s="40"/>
      <c r="C127" s="39"/>
      <c r="D127" s="39" t="s">
        <v>210</v>
      </c>
      <c r="E127" s="15"/>
      <c r="F127" s="34"/>
      <c r="G127" s="15"/>
      <c r="H127" s="21">
        <v>47628</v>
      </c>
      <c r="I127" s="21"/>
      <c r="J127" s="21">
        <f t="shared" si="5"/>
        <v>47628</v>
      </c>
      <c r="K127" s="104"/>
    </row>
    <row r="128" spans="1:11" ht="36">
      <c r="A128" s="40"/>
      <c r="B128" s="40"/>
      <c r="C128" s="39"/>
      <c r="D128" s="39" t="s">
        <v>211</v>
      </c>
      <c r="E128" s="15"/>
      <c r="F128" s="34"/>
      <c r="G128" s="15"/>
      <c r="H128" s="21">
        <v>44565</v>
      </c>
      <c r="I128" s="21"/>
      <c r="J128" s="21">
        <f t="shared" si="5"/>
        <v>44565</v>
      </c>
      <c r="K128" s="104"/>
    </row>
    <row r="129" spans="1:11" ht="54">
      <c r="A129" s="40"/>
      <c r="B129" s="40"/>
      <c r="C129" s="39"/>
      <c r="D129" s="39" t="s">
        <v>212</v>
      </c>
      <c r="E129" s="15"/>
      <c r="F129" s="34"/>
      <c r="G129" s="15"/>
      <c r="H129" s="21">
        <v>29703</v>
      </c>
      <c r="I129" s="21"/>
      <c r="J129" s="21">
        <f t="shared" si="5"/>
        <v>29703</v>
      </c>
      <c r="K129" s="104"/>
    </row>
    <row r="130" spans="1:11" ht="36">
      <c r="A130" s="40"/>
      <c r="B130" s="40"/>
      <c r="C130" s="39"/>
      <c r="D130" s="39" t="s">
        <v>213</v>
      </c>
      <c r="E130" s="15"/>
      <c r="F130" s="34"/>
      <c r="G130" s="15"/>
      <c r="H130" s="21">
        <v>41338</v>
      </c>
      <c r="I130" s="21"/>
      <c r="J130" s="21">
        <f t="shared" si="5"/>
        <v>41338</v>
      </c>
      <c r="K130" s="104"/>
    </row>
    <row r="131" spans="1:11" ht="72">
      <c r="A131" s="40"/>
      <c r="B131" s="40"/>
      <c r="C131" s="39"/>
      <c r="D131" s="39" t="s">
        <v>209</v>
      </c>
      <c r="E131" s="15"/>
      <c r="F131" s="34"/>
      <c r="G131" s="15"/>
      <c r="H131" s="21">
        <v>70000</v>
      </c>
      <c r="I131" s="21"/>
      <c r="J131" s="21">
        <f t="shared" si="5"/>
        <v>70000</v>
      </c>
      <c r="K131" s="104"/>
    </row>
    <row r="132" spans="1:11" ht="54">
      <c r="A132" s="40"/>
      <c r="B132" s="40"/>
      <c r="C132" s="39"/>
      <c r="D132" s="39" t="s">
        <v>160</v>
      </c>
      <c r="E132" s="15"/>
      <c r="F132" s="34"/>
      <c r="G132" s="15"/>
      <c r="H132" s="21">
        <v>122173</v>
      </c>
      <c r="I132" s="21"/>
      <c r="J132" s="21">
        <f t="shared" si="5"/>
        <v>122173</v>
      </c>
      <c r="K132" s="104"/>
    </row>
    <row r="133" spans="1:11" ht="36">
      <c r="A133" s="40"/>
      <c r="B133" s="40"/>
      <c r="C133" s="39"/>
      <c r="D133" s="39" t="s">
        <v>187</v>
      </c>
      <c r="E133" s="15"/>
      <c r="F133" s="34"/>
      <c r="G133" s="15"/>
      <c r="H133" s="21">
        <v>87000</v>
      </c>
      <c r="I133" s="21"/>
      <c r="J133" s="21">
        <f t="shared" si="5"/>
        <v>87000</v>
      </c>
      <c r="K133" s="104"/>
    </row>
    <row r="134" spans="1:11" ht="36">
      <c r="A134" s="40"/>
      <c r="B134" s="40"/>
      <c r="C134" s="39"/>
      <c r="D134" s="39" t="s">
        <v>225</v>
      </c>
      <c r="E134" s="15"/>
      <c r="F134" s="34"/>
      <c r="G134" s="15"/>
      <c r="H134" s="21">
        <f>60000+40000</f>
        <v>100000</v>
      </c>
      <c r="I134" s="21"/>
      <c r="J134" s="21">
        <f t="shared" si="5"/>
        <v>100000</v>
      </c>
      <c r="K134" s="104"/>
    </row>
    <row r="135" spans="1:11" ht="54">
      <c r="A135" s="40"/>
      <c r="B135" s="40"/>
      <c r="C135" s="39"/>
      <c r="D135" s="39" t="s">
        <v>226</v>
      </c>
      <c r="E135" s="15"/>
      <c r="F135" s="34"/>
      <c r="G135" s="15"/>
      <c r="H135" s="21">
        <v>16993</v>
      </c>
      <c r="I135" s="21"/>
      <c r="J135" s="21">
        <f t="shared" si="5"/>
        <v>16993</v>
      </c>
      <c r="K135" s="104"/>
    </row>
    <row r="136" spans="1:11" ht="36">
      <c r="A136" s="40"/>
      <c r="B136" s="40"/>
      <c r="C136" s="39"/>
      <c r="D136" s="39" t="s">
        <v>227</v>
      </c>
      <c r="E136" s="15"/>
      <c r="F136" s="34"/>
      <c r="G136" s="15"/>
      <c r="H136" s="21">
        <v>48998</v>
      </c>
      <c r="I136" s="21"/>
      <c r="J136" s="21">
        <f t="shared" si="5"/>
        <v>48998</v>
      </c>
      <c r="K136" s="104"/>
    </row>
    <row r="137" spans="1:11" ht="36">
      <c r="A137" s="40"/>
      <c r="B137" s="40"/>
      <c r="C137" s="39"/>
      <c r="D137" s="39" t="s">
        <v>228</v>
      </c>
      <c r="E137" s="15"/>
      <c r="F137" s="34"/>
      <c r="G137" s="15"/>
      <c r="H137" s="21">
        <v>16993</v>
      </c>
      <c r="I137" s="21"/>
      <c r="J137" s="21">
        <f t="shared" si="5"/>
        <v>16993</v>
      </c>
      <c r="K137" s="104"/>
    </row>
    <row r="138" spans="1:11" ht="54">
      <c r="A138" s="40"/>
      <c r="B138" s="40"/>
      <c r="C138" s="39"/>
      <c r="D138" s="39" t="s">
        <v>229</v>
      </c>
      <c r="E138" s="15"/>
      <c r="F138" s="34"/>
      <c r="G138" s="15"/>
      <c r="H138" s="21">
        <v>48988</v>
      </c>
      <c r="I138" s="21"/>
      <c r="J138" s="21">
        <f t="shared" si="5"/>
        <v>48988</v>
      </c>
      <c r="K138" s="104"/>
    </row>
    <row r="139" spans="1:11" ht="54">
      <c r="A139" s="40"/>
      <c r="B139" s="40"/>
      <c r="C139" s="39"/>
      <c r="D139" s="39" t="s">
        <v>253</v>
      </c>
      <c r="E139" s="15"/>
      <c r="F139" s="34"/>
      <c r="G139" s="15"/>
      <c r="H139" s="21">
        <v>35000</v>
      </c>
      <c r="I139" s="21"/>
      <c r="J139" s="21">
        <f t="shared" si="5"/>
        <v>35000</v>
      </c>
      <c r="K139" s="104"/>
    </row>
    <row r="140" spans="1:11" ht="54">
      <c r="A140" s="40"/>
      <c r="B140" s="40"/>
      <c r="C140" s="39"/>
      <c r="D140" s="39" t="s">
        <v>214</v>
      </c>
      <c r="E140" s="15"/>
      <c r="F140" s="34"/>
      <c r="G140" s="15"/>
      <c r="H140" s="21">
        <f>25000+15000+20000</f>
        <v>60000</v>
      </c>
      <c r="I140" s="21"/>
      <c r="J140" s="21">
        <f t="shared" si="5"/>
        <v>60000</v>
      </c>
      <c r="K140" s="104"/>
    </row>
    <row r="141" spans="1:11" ht="52.5" customHeight="1">
      <c r="A141" s="40"/>
      <c r="B141" s="40"/>
      <c r="C141" s="39"/>
      <c r="D141" s="39" t="s">
        <v>171</v>
      </c>
      <c r="E141" s="15"/>
      <c r="F141" s="34"/>
      <c r="G141" s="15"/>
      <c r="H141" s="21">
        <f>165000-131644</f>
        <v>33356</v>
      </c>
      <c r="I141" s="21"/>
      <c r="J141" s="21">
        <f>I141+H141</f>
        <v>33356</v>
      </c>
      <c r="K141" s="104"/>
    </row>
    <row r="142" spans="1:154" s="47" customFormat="1" ht="17.25">
      <c r="A142" s="40"/>
      <c r="B142" s="40"/>
      <c r="C142" s="44"/>
      <c r="D142" s="31" t="s">
        <v>239</v>
      </c>
      <c r="E142" s="91"/>
      <c r="F142" s="45"/>
      <c r="G142" s="91"/>
      <c r="H142" s="16">
        <f>SUM(H143:H147)</f>
        <v>300000</v>
      </c>
      <c r="I142" s="16">
        <f>SUM(I143:I147)</f>
        <v>0</v>
      </c>
      <c r="J142" s="16">
        <f>SUM(J143:J147)</f>
        <v>300000</v>
      </c>
      <c r="K142" s="104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</row>
    <row r="143" spans="1:11" ht="54">
      <c r="A143" s="40"/>
      <c r="B143" s="40"/>
      <c r="C143" s="39"/>
      <c r="D143" s="39" t="s">
        <v>257</v>
      </c>
      <c r="E143" s="15"/>
      <c r="F143" s="34"/>
      <c r="G143" s="15"/>
      <c r="H143" s="21">
        <v>60000</v>
      </c>
      <c r="I143" s="21"/>
      <c r="J143" s="21">
        <f>I143+H143</f>
        <v>60000</v>
      </c>
      <c r="K143" s="104"/>
    </row>
    <row r="144" spans="1:11" ht="54">
      <c r="A144" s="40"/>
      <c r="B144" s="40"/>
      <c r="C144" s="39"/>
      <c r="D144" s="39" t="s">
        <v>258</v>
      </c>
      <c r="E144" s="15"/>
      <c r="F144" s="34"/>
      <c r="G144" s="15"/>
      <c r="H144" s="21">
        <v>60000</v>
      </c>
      <c r="I144" s="21"/>
      <c r="J144" s="21">
        <f>I144+H144</f>
        <v>60000</v>
      </c>
      <c r="K144" s="104"/>
    </row>
    <row r="145" spans="1:11" ht="54">
      <c r="A145" s="40"/>
      <c r="B145" s="40"/>
      <c r="C145" s="39"/>
      <c r="D145" s="39" t="s">
        <v>259</v>
      </c>
      <c r="E145" s="15"/>
      <c r="F145" s="34"/>
      <c r="G145" s="15"/>
      <c r="H145" s="21">
        <v>60000</v>
      </c>
      <c r="I145" s="21"/>
      <c r="J145" s="21">
        <f>I145+H145</f>
        <v>60000</v>
      </c>
      <c r="K145" s="104"/>
    </row>
    <row r="146" spans="1:11" ht="54">
      <c r="A146" s="40"/>
      <c r="B146" s="40"/>
      <c r="C146" s="39"/>
      <c r="D146" s="39" t="s">
        <v>260</v>
      </c>
      <c r="E146" s="15"/>
      <c r="F146" s="34"/>
      <c r="G146" s="15"/>
      <c r="H146" s="21">
        <v>60000</v>
      </c>
      <c r="I146" s="21"/>
      <c r="J146" s="21">
        <f>I146+H146</f>
        <v>60000</v>
      </c>
      <c r="K146" s="104"/>
    </row>
    <row r="147" spans="1:11" ht="54">
      <c r="A147" s="40"/>
      <c r="B147" s="40"/>
      <c r="C147" s="39"/>
      <c r="D147" s="39" t="s">
        <v>261</v>
      </c>
      <c r="E147" s="15"/>
      <c r="F147" s="34"/>
      <c r="G147" s="15"/>
      <c r="H147" s="21">
        <v>60000</v>
      </c>
      <c r="I147" s="21"/>
      <c r="J147" s="21">
        <f>I147+H147</f>
        <v>60000</v>
      </c>
      <c r="K147" s="104"/>
    </row>
    <row r="148" spans="1:11" ht="18">
      <c r="A148" s="40"/>
      <c r="B148" s="40"/>
      <c r="C148" s="31"/>
      <c r="D148" s="31" t="s">
        <v>7</v>
      </c>
      <c r="E148" s="91">
        <f>SUM(E149:E211)</f>
        <v>82736270</v>
      </c>
      <c r="F148" s="91"/>
      <c r="G148" s="91">
        <f>SUM(G149:G211)</f>
        <v>61155414</v>
      </c>
      <c r="H148" s="48">
        <f>SUM(H149:H215)</f>
        <v>103008022.94</v>
      </c>
      <c r="I148" s="48">
        <f>SUM(I149:I215)</f>
        <v>0</v>
      </c>
      <c r="J148" s="48">
        <f>SUM(J149:J215)</f>
        <v>103008022.94</v>
      </c>
      <c r="K148" s="104"/>
    </row>
    <row r="149" spans="1:11" ht="36">
      <c r="A149" s="40"/>
      <c r="B149" s="40"/>
      <c r="C149" s="31"/>
      <c r="D149" s="39" t="s">
        <v>26</v>
      </c>
      <c r="E149" s="15">
        <v>9995386</v>
      </c>
      <c r="F149" s="34">
        <v>37.5</v>
      </c>
      <c r="G149" s="15">
        <v>3747696</v>
      </c>
      <c r="H149" s="21">
        <v>341000</v>
      </c>
      <c r="I149" s="21"/>
      <c r="J149" s="21">
        <f aca="true" t="shared" si="6" ref="J149:J181">I149+H149</f>
        <v>341000</v>
      </c>
      <c r="K149" s="104"/>
    </row>
    <row r="150" spans="1:11" ht="36">
      <c r="A150" s="40"/>
      <c r="B150" s="40"/>
      <c r="C150" s="31"/>
      <c r="D150" s="39" t="s">
        <v>37</v>
      </c>
      <c r="E150" s="15">
        <v>17687640</v>
      </c>
      <c r="F150" s="34">
        <v>63.8</v>
      </c>
      <c r="G150" s="15">
        <v>11282117</v>
      </c>
      <c r="H150" s="21">
        <v>7280000</v>
      </c>
      <c r="I150" s="21"/>
      <c r="J150" s="21">
        <f t="shared" si="6"/>
        <v>7280000</v>
      </c>
      <c r="K150" s="104"/>
    </row>
    <row r="151" spans="1:11" ht="36">
      <c r="A151" s="40"/>
      <c r="B151" s="40"/>
      <c r="C151" s="31"/>
      <c r="D151" s="39" t="s">
        <v>50</v>
      </c>
      <c r="E151" s="15">
        <v>3024919</v>
      </c>
      <c r="F151" s="34">
        <v>72</v>
      </c>
      <c r="G151" s="15">
        <v>2177942</v>
      </c>
      <c r="H151" s="21">
        <f>1600000+300000+90000</f>
        <v>1990000</v>
      </c>
      <c r="I151" s="21"/>
      <c r="J151" s="21">
        <f t="shared" si="6"/>
        <v>1990000</v>
      </c>
      <c r="K151" s="104"/>
    </row>
    <row r="152" spans="1:11" ht="36">
      <c r="A152" s="40"/>
      <c r="B152" s="40"/>
      <c r="C152" s="31"/>
      <c r="D152" s="39" t="s">
        <v>52</v>
      </c>
      <c r="E152" s="15"/>
      <c r="F152" s="34"/>
      <c r="G152" s="15"/>
      <c r="H152" s="21">
        <v>2461510</v>
      </c>
      <c r="I152" s="21"/>
      <c r="J152" s="21">
        <f t="shared" si="6"/>
        <v>2461510</v>
      </c>
      <c r="K152" s="104"/>
    </row>
    <row r="153" spans="1:11" ht="36">
      <c r="A153" s="40"/>
      <c r="B153" s="40"/>
      <c r="C153" s="31"/>
      <c r="D153" s="39" t="s">
        <v>122</v>
      </c>
      <c r="E153" s="15"/>
      <c r="F153" s="34"/>
      <c r="G153" s="15"/>
      <c r="H153" s="21">
        <f>250000-100000</f>
        <v>150000</v>
      </c>
      <c r="I153" s="21"/>
      <c r="J153" s="21">
        <f t="shared" si="6"/>
        <v>150000</v>
      </c>
      <c r="K153" s="104"/>
    </row>
    <row r="154" spans="1:11" ht="36">
      <c r="A154" s="40"/>
      <c r="B154" s="40"/>
      <c r="C154" s="31"/>
      <c r="D154" s="39" t="s">
        <v>53</v>
      </c>
      <c r="E154" s="15"/>
      <c r="F154" s="34"/>
      <c r="G154" s="15"/>
      <c r="H154" s="21">
        <f>2375600+498256-1322041</f>
        <v>1551815</v>
      </c>
      <c r="I154" s="21"/>
      <c r="J154" s="21">
        <f t="shared" si="6"/>
        <v>1551815</v>
      </c>
      <c r="K154" s="104"/>
    </row>
    <row r="155" spans="1:11" ht="18">
      <c r="A155" s="40"/>
      <c r="B155" s="40"/>
      <c r="C155" s="31"/>
      <c r="D155" s="39" t="s">
        <v>43</v>
      </c>
      <c r="E155" s="15"/>
      <c r="F155" s="34"/>
      <c r="G155" s="15"/>
      <c r="H155" s="21">
        <f>5075+3831675</f>
        <v>3836750</v>
      </c>
      <c r="I155" s="21"/>
      <c r="J155" s="21">
        <f>I155+H155</f>
        <v>3836750</v>
      </c>
      <c r="K155" s="104"/>
    </row>
    <row r="156" spans="1:11" ht="18">
      <c r="A156" s="40"/>
      <c r="B156" s="40"/>
      <c r="C156" s="31"/>
      <c r="D156" s="39" t="s">
        <v>186</v>
      </c>
      <c r="E156" s="15"/>
      <c r="F156" s="34"/>
      <c r="G156" s="15"/>
      <c r="H156" s="21">
        <v>110000</v>
      </c>
      <c r="I156" s="21"/>
      <c r="J156" s="21">
        <f>I156+H156</f>
        <v>110000</v>
      </c>
      <c r="K156" s="104"/>
    </row>
    <row r="157" spans="1:11" ht="36">
      <c r="A157" s="40"/>
      <c r="B157" s="40"/>
      <c r="C157" s="31"/>
      <c r="D157" s="39" t="s">
        <v>123</v>
      </c>
      <c r="E157" s="15"/>
      <c r="F157" s="34"/>
      <c r="G157" s="15"/>
      <c r="H157" s="21">
        <f>431300+161000</f>
        <v>592300</v>
      </c>
      <c r="I157" s="21"/>
      <c r="J157" s="21">
        <f>I157+H157</f>
        <v>592300</v>
      </c>
      <c r="K157" s="104"/>
    </row>
    <row r="158" spans="1:11" ht="36">
      <c r="A158" s="40"/>
      <c r="B158" s="40"/>
      <c r="C158" s="31"/>
      <c r="D158" s="39" t="s">
        <v>115</v>
      </c>
      <c r="E158" s="15"/>
      <c r="F158" s="34"/>
      <c r="G158" s="15"/>
      <c r="H158" s="21">
        <f>2000000-1750000</f>
        <v>250000</v>
      </c>
      <c r="I158" s="21"/>
      <c r="J158" s="21">
        <f>I158+H158</f>
        <v>250000</v>
      </c>
      <c r="K158" s="104"/>
    </row>
    <row r="159" spans="1:11" ht="18">
      <c r="A159" s="40"/>
      <c r="B159" s="40"/>
      <c r="C159" s="31"/>
      <c r="D159" s="39" t="s">
        <v>112</v>
      </c>
      <c r="E159" s="15">
        <v>3536069</v>
      </c>
      <c r="F159" s="34">
        <v>70.3</v>
      </c>
      <c r="G159" s="15">
        <v>2484527</v>
      </c>
      <c r="H159" s="21">
        <f>2400000+160000</f>
        <v>2560000</v>
      </c>
      <c r="I159" s="21"/>
      <c r="J159" s="21">
        <f t="shared" si="6"/>
        <v>2560000</v>
      </c>
      <c r="K159" s="104"/>
    </row>
    <row r="160" spans="1:11" ht="36">
      <c r="A160" s="40"/>
      <c r="B160" s="40"/>
      <c r="C160" s="31"/>
      <c r="D160" s="39" t="s">
        <v>255</v>
      </c>
      <c r="E160" s="15"/>
      <c r="F160" s="34"/>
      <c r="G160" s="15"/>
      <c r="H160" s="21">
        <v>100000</v>
      </c>
      <c r="I160" s="21"/>
      <c r="J160" s="21">
        <f t="shared" si="6"/>
        <v>100000</v>
      </c>
      <c r="K160" s="104"/>
    </row>
    <row r="161" spans="1:11" ht="108">
      <c r="A161" s="40"/>
      <c r="B161" s="40"/>
      <c r="C161" s="31"/>
      <c r="D161" s="39" t="s">
        <v>158</v>
      </c>
      <c r="E161" s="15"/>
      <c r="F161" s="34"/>
      <c r="G161" s="15"/>
      <c r="H161" s="21">
        <v>1422000</v>
      </c>
      <c r="I161" s="21"/>
      <c r="J161" s="21">
        <f t="shared" si="6"/>
        <v>1422000</v>
      </c>
      <c r="K161" s="104"/>
    </row>
    <row r="162" spans="1:11" ht="126">
      <c r="A162" s="40"/>
      <c r="B162" s="40"/>
      <c r="C162" s="31"/>
      <c r="D162" s="39" t="s">
        <v>156</v>
      </c>
      <c r="E162" s="15"/>
      <c r="F162" s="34"/>
      <c r="G162" s="15"/>
      <c r="H162" s="21">
        <v>1400000</v>
      </c>
      <c r="I162" s="21"/>
      <c r="J162" s="21">
        <f t="shared" si="6"/>
        <v>1400000</v>
      </c>
      <c r="K162" s="104"/>
    </row>
    <row r="163" spans="1:11" ht="36">
      <c r="A163" s="40"/>
      <c r="B163" s="40"/>
      <c r="C163" s="31"/>
      <c r="D163" s="39" t="s">
        <v>198</v>
      </c>
      <c r="E163" s="15"/>
      <c r="F163" s="34"/>
      <c r="G163" s="15"/>
      <c r="H163" s="21">
        <v>50000</v>
      </c>
      <c r="I163" s="21"/>
      <c r="J163" s="21">
        <f t="shared" si="6"/>
        <v>50000</v>
      </c>
      <c r="K163" s="104"/>
    </row>
    <row r="164" spans="1:11" ht="36">
      <c r="A164" s="40"/>
      <c r="B164" s="40"/>
      <c r="C164" s="31"/>
      <c r="D164" s="39" t="s">
        <v>197</v>
      </c>
      <c r="E164" s="15"/>
      <c r="F164" s="34"/>
      <c r="G164" s="15"/>
      <c r="H164" s="21">
        <v>50000</v>
      </c>
      <c r="I164" s="21"/>
      <c r="J164" s="21">
        <f t="shared" si="6"/>
        <v>50000</v>
      </c>
      <c r="K164" s="104"/>
    </row>
    <row r="165" spans="1:11" ht="36">
      <c r="A165" s="40"/>
      <c r="B165" s="40"/>
      <c r="C165" s="31"/>
      <c r="D165" s="39" t="s">
        <v>199</v>
      </c>
      <c r="E165" s="15"/>
      <c r="F165" s="34"/>
      <c r="G165" s="15"/>
      <c r="H165" s="21">
        <v>50000</v>
      </c>
      <c r="I165" s="21"/>
      <c r="J165" s="21">
        <f t="shared" si="6"/>
        <v>50000</v>
      </c>
      <c r="K165" s="104"/>
    </row>
    <row r="166" spans="1:11" ht="36">
      <c r="A166" s="40"/>
      <c r="B166" s="40"/>
      <c r="C166" s="31"/>
      <c r="D166" s="39" t="s">
        <v>200</v>
      </c>
      <c r="E166" s="15"/>
      <c r="F166" s="34"/>
      <c r="G166" s="15"/>
      <c r="H166" s="21">
        <v>50000</v>
      </c>
      <c r="I166" s="21"/>
      <c r="J166" s="21">
        <f t="shared" si="6"/>
        <v>50000</v>
      </c>
      <c r="K166" s="104"/>
    </row>
    <row r="167" spans="1:11" ht="36">
      <c r="A167" s="40"/>
      <c r="B167" s="40"/>
      <c r="C167" s="31"/>
      <c r="D167" s="39" t="s">
        <v>201</v>
      </c>
      <c r="E167" s="15"/>
      <c r="F167" s="34"/>
      <c r="G167" s="15"/>
      <c r="H167" s="21">
        <v>50000</v>
      </c>
      <c r="I167" s="21"/>
      <c r="J167" s="21">
        <f t="shared" si="6"/>
        <v>50000</v>
      </c>
      <c r="K167" s="104"/>
    </row>
    <row r="168" spans="1:11" ht="36">
      <c r="A168" s="40"/>
      <c r="B168" s="40"/>
      <c r="C168" s="31"/>
      <c r="D168" s="39" t="s">
        <v>202</v>
      </c>
      <c r="E168" s="15"/>
      <c r="F168" s="34"/>
      <c r="G168" s="15"/>
      <c r="H168" s="21">
        <v>50000</v>
      </c>
      <c r="I168" s="21"/>
      <c r="J168" s="21">
        <f t="shared" si="6"/>
        <v>50000</v>
      </c>
      <c r="K168" s="104"/>
    </row>
    <row r="169" spans="1:11" ht="36">
      <c r="A169" s="40"/>
      <c r="B169" s="40"/>
      <c r="C169" s="31"/>
      <c r="D169" s="39" t="s">
        <v>216</v>
      </c>
      <c r="E169" s="15"/>
      <c r="F169" s="34"/>
      <c r="G169" s="15"/>
      <c r="H169" s="21">
        <v>50000</v>
      </c>
      <c r="I169" s="21"/>
      <c r="J169" s="21">
        <f t="shared" si="6"/>
        <v>50000</v>
      </c>
      <c r="K169" s="104"/>
    </row>
    <row r="170" spans="1:11" ht="36">
      <c r="A170" s="40"/>
      <c r="B170" s="40"/>
      <c r="C170" s="31"/>
      <c r="D170" s="39" t="s">
        <v>56</v>
      </c>
      <c r="E170" s="15"/>
      <c r="F170" s="34"/>
      <c r="G170" s="15"/>
      <c r="H170" s="21">
        <f>1000000+2000000-2000000-980000</f>
        <v>20000</v>
      </c>
      <c r="I170" s="21"/>
      <c r="J170" s="21">
        <f t="shared" si="6"/>
        <v>20000</v>
      </c>
      <c r="K170" s="104"/>
    </row>
    <row r="171" spans="1:11" ht="45" customHeight="1">
      <c r="A171" s="40"/>
      <c r="B171" s="40"/>
      <c r="C171" s="39"/>
      <c r="D171" s="39" t="s">
        <v>139</v>
      </c>
      <c r="E171" s="15"/>
      <c r="F171" s="34"/>
      <c r="G171" s="15"/>
      <c r="H171" s="21">
        <v>1200000</v>
      </c>
      <c r="I171" s="21"/>
      <c r="J171" s="21">
        <f t="shared" si="6"/>
        <v>1200000</v>
      </c>
      <c r="K171" s="104"/>
    </row>
    <row r="172" spans="1:11" ht="36">
      <c r="A172" s="40"/>
      <c r="B172" s="40"/>
      <c r="C172" s="31"/>
      <c r="D172" s="39" t="s">
        <v>51</v>
      </c>
      <c r="E172" s="15"/>
      <c r="F172" s="34"/>
      <c r="G172" s="15"/>
      <c r="H172" s="21">
        <f>80000+300000+300000+218500-90000</f>
        <v>808500</v>
      </c>
      <c r="I172" s="21"/>
      <c r="J172" s="21">
        <f>I172+H172</f>
        <v>808500</v>
      </c>
      <c r="K172" s="104"/>
    </row>
    <row r="173" spans="1:11" ht="36">
      <c r="A173" s="40"/>
      <c r="B173" s="40"/>
      <c r="C173" s="31"/>
      <c r="D173" s="39" t="s">
        <v>173</v>
      </c>
      <c r="E173" s="15"/>
      <c r="F173" s="34"/>
      <c r="G173" s="15"/>
      <c r="H173" s="21">
        <f>300000+300000+169500</f>
        <v>769500</v>
      </c>
      <c r="I173" s="21"/>
      <c r="J173" s="21">
        <f>I173+H173</f>
        <v>769500</v>
      </c>
      <c r="K173" s="104"/>
    </row>
    <row r="174" spans="1:11" ht="18">
      <c r="A174" s="40"/>
      <c r="B174" s="40"/>
      <c r="C174" s="31"/>
      <c r="D174" s="39" t="s">
        <v>58</v>
      </c>
      <c r="E174" s="15"/>
      <c r="F174" s="34"/>
      <c r="G174" s="15"/>
      <c r="H174" s="21">
        <f>1000000+2000000+2000000-4465000</f>
        <v>535000</v>
      </c>
      <c r="I174" s="21"/>
      <c r="J174" s="21">
        <f t="shared" si="6"/>
        <v>535000</v>
      </c>
      <c r="K174" s="104"/>
    </row>
    <row r="175" spans="1:11" ht="36">
      <c r="A175" s="40"/>
      <c r="B175" s="40"/>
      <c r="C175" s="31"/>
      <c r="D175" s="39" t="s">
        <v>174</v>
      </c>
      <c r="E175" s="15"/>
      <c r="F175" s="34"/>
      <c r="G175" s="15"/>
      <c r="H175" s="21">
        <f>450000+1500000</f>
        <v>1950000</v>
      </c>
      <c r="I175" s="21"/>
      <c r="J175" s="21">
        <f t="shared" si="6"/>
        <v>1950000</v>
      </c>
      <c r="K175" s="104"/>
    </row>
    <row r="176" spans="1:11" ht="36">
      <c r="A176" s="40"/>
      <c r="B176" s="40"/>
      <c r="C176" s="31"/>
      <c r="D176" s="39" t="s">
        <v>175</v>
      </c>
      <c r="E176" s="15"/>
      <c r="F176" s="34"/>
      <c r="G176" s="15"/>
      <c r="H176" s="21">
        <f>450000+3500000</f>
        <v>3950000</v>
      </c>
      <c r="I176" s="21"/>
      <c r="J176" s="21">
        <f t="shared" si="6"/>
        <v>3950000</v>
      </c>
      <c r="K176" s="104"/>
    </row>
    <row r="177" spans="1:11" ht="40.5" customHeight="1">
      <c r="A177" s="40"/>
      <c r="B177" s="40"/>
      <c r="C177" s="31"/>
      <c r="D177" s="39" t="s">
        <v>265</v>
      </c>
      <c r="E177" s="15"/>
      <c r="F177" s="34"/>
      <c r="G177" s="15"/>
      <c r="H177" s="21">
        <v>6355000</v>
      </c>
      <c r="I177" s="21"/>
      <c r="J177" s="21">
        <f t="shared" si="6"/>
        <v>6355000</v>
      </c>
      <c r="K177" s="104"/>
    </row>
    <row r="178" spans="1:11" ht="54">
      <c r="A178" s="40"/>
      <c r="B178" s="40"/>
      <c r="C178" s="31"/>
      <c r="D178" s="39" t="s">
        <v>207</v>
      </c>
      <c r="E178" s="15"/>
      <c r="F178" s="34"/>
      <c r="G178" s="15"/>
      <c r="H178" s="21">
        <v>250000</v>
      </c>
      <c r="I178" s="21"/>
      <c r="J178" s="21">
        <f t="shared" si="6"/>
        <v>250000</v>
      </c>
      <c r="K178" s="104"/>
    </row>
    <row r="179" spans="1:11" ht="36">
      <c r="A179" s="40"/>
      <c r="B179" s="40"/>
      <c r="C179" s="31"/>
      <c r="D179" s="39" t="s">
        <v>236</v>
      </c>
      <c r="E179" s="15"/>
      <c r="F179" s="34"/>
      <c r="G179" s="15"/>
      <c r="H179" s="21">
        <v>1000</v>
      </c>
      <c r="I179" s="21"/>
      <c r="J179" s="21">
        <f t="shared" si="6"/>
        <v>1000</v>
      </c>
      <c r="K179" s="104"/>
    </row>
    <row r="180" spans="1:11" ht="54">
      <c r="A180" s="40"/>
      <c r="B180" s="40"/>
      <c r="C180" s="31"/>
      <c r="D180" s="39" t="s">
        <v>237</v>
      </c>
      <c r="E180" s="15"/>
      <c r="F180" s="34"/>
      <c r="G180" s="15"/>
      <c r="H180" s="21">
        <v>4783900</v>
      </c>
      <c r="I180" s="21"/>
      <c r="J180" s="21">
        <f t="shared" si="6"/>
        <v>4783900</v>
      </c>
      <c r="K180" s="104"/>
    </row>
    <row r="181" spans="1:11" ht="54">
      <c r="A181" s="40"/>
      <c r="B181" s="40"/>
      <c r="C181" s="31"/>
      <c r="D181" s="39" t="s">
        <v>238</v>
      </c>
      <c r="E181" s="15"/>
      <c r="F181" s="34"/>
      <c r="G181" s="15"/>
      <c r="H181" s="21">
        <v>2344877</v>
      </c>
      <c r="I181" s="21"/>
      <c r="J181" s="21">
        <f t="shared" si="6"/>
        <v>2344877</v>
      </c>
      <c r="K181" s="104"/>
    </row>
    <row r="182" spans="1:11" ht="72">
      <c r="A182" s="40"/>
      <c r="B182" s="40"/>
      <c r="C182" s="31"/>
      <c r="D182" s="39" t="s">
        <v>117</v>
      </c>
      <c r="E182" s="15"/>
      <c r="F182" s="34"/>
      <c r="G182" s="15"/>
      <c r="H182" s="21">
        <f>11000000+10000000-1000000</f>
        <v>20000000</v>
      </c>
      <c r="I182" s="21"/>
      <c r="J182" s="21">
        <f aca="true" t="shared" si="7" ref="J182:J196">I182+H182</f>
        <v>20000000</v>
      </c>
      <c r="K182" s="104"/>
    </row>
    <row r="183" spans="1:11" ht="54">
      <c r="A183" s="40"/>
      <c r="B183" s="40"/>
      <c r="C183" s="31"/>
      <c r="D183" s="39" t="s">
        <v>177</v>
      </c>
      <c r="E183" s="15"/>
      <c r="F183" s="34"/>
      <c r="G183" s="15"/>
      <c r="H183" s="21">
        <v>1210370</v>
      </c>
      <c r="I183" s="21"/>
      <c r="J183" s="21">
        <f t="shared" si="7"/>
        <v>1210370</v>
      </c>
      <c r="K183" s="104"/>
    </row>
    <row r="184" spans="1:11" ht="36">
      <c r="A184" s="40"/>
      <c r="B184" s="40"/>
      <c r="C184" s="31"/>
      <c r="D184" s="39" t="s">
        <v>54</v>
      </c>
      <c r="E184" s="15">
        <v>250015</v>
      </c>
      <c r="F184" s="34">
        <v>60</v>
      </c>
      <c r="G184" s="15">
        <v>150015</v>
      </c>
      <c r="H184" s="21">
        <v>150000</v>
      </c>
      <c r="I184" s="21"/>
      <c r="J184" s="21">
        <f t="shared" si="7"/>
        <v>150000</v>
      </c>
      <c r="K184" s="104"/>
    </row>
    <row r="185" spans="1:11" ht="36">
      <c r="A185" s="40"/>
      <c r="B185" s="40"/>
      <c r="C185" s="31"/>
      <c r="D185" s="39" t="s">
        <v>55</v>
      </c>
      <c r="E185" s="15">
        <v>4291979</v>
      </c>
      <c r="F185" s="34">
        <v>53.7</v>
      </c>
      <c r="G185" s="15">
        <v>2304238</v>
      </c>
      <c r="H185" s="21">
        <f>2000000-600000</f>
        <v>1400000</v>
      </c>
      <c r="I185" s="21"/>
      <c r="J185" s="21">
        <f t="shared" si="7"/>
        <v>1400000</v>
      </c>
      <c r="K185" s="104"/>
    </row>
    <row r="186" spans="1:11" ht="108">
      <c r="A186" s="40"/>
      <c r="B186" s="40"/>
      <c r="C186" s="31"/>
      <c r="D186" s="39" t="s">
        <v>133</v>
      </c>
      <c r="E186" s="15"/>
      <c r="F186" s="34"/>
      <c r="G186" s="15"/>
      <c r="H186" s="21">
        <f>4200000+2700000</f>
        <v>6900000</v>
      </c>
      <c r="I186" s="21"/>
      <c r="J186" s="21">
        <f t="shared" si="7"/>
        <v>6900000</v>
      </c>
      <c r="K186" s="104"/>
    </row>
    <row r="187" spans="1:11" ht="54">
      <c r="A187" s="40"/>
      <c r="B187" s="40"/>
      <c r="C187" s="31"/>
      <c r="D187" s="39" t="s">
        <v>245</v>
      </c>
      <c r="E187" s="15"/>
      <c r="F187" s="34"/>
      <c r="G187" s="15"/>
      <c r="H187" s="21">
        <v>912000</v>
      </c>
      <c r="I187" s="21"/>
      <c r="J187" s="21">
        <f t="shared" si="7"/>
        <v>912000</v>
      </c>
      <c r="K187" s="104"/>
    </row>
    <row r="188" spans="1:11" ht="54">
      <c r="A188" s="40"/>
      <c r="B188" s="40"/>
      <c r="C188" s="31"/>
      <c r="D188" s="39" t="s">
        <v>57</v>
      </c>
      <c r="E188" s="15">
        <v>1199810</v>
      </c>
      <c r="F188" s="34">
        <v>49.2</v>
      </c>
      <c r="G188" s="15">
        <v>589810</v>
      </c>
      <c r="H188" s="21">
        <v>580000</v>
      </c>
      <c r="I188" s="21"/>
      <c r="J188" s="21">
        <f t="shared" si="7"/>
        <v>580000</v>
      </c>
      <c r="K188" s="104"/>
    </row>
    <row r="189" spans="1:11" ht="54">
      <c r="A189" s="40"/>
      <c r="B189" s="40"/>
      <c r="C189" s="31"/>
      <c r="D189" s="39" t="s">
        <v>141</v>
      </c>
      <c r="E189" s="15"/>
      <c r="F189" s="34"/>
      <c r="G189" s="15"/>
      <c r="H189" s="21">
        <f>1000000-120000</f>
        <v>880000</v>
      </c>
      <c r="I189" s="21"/>
      <c r="J189" s="21">
        <f t="shared" si="7"/>
        <v>880000</v>
      </c>
      <c r="K189" s="104"/>
    </row>
    <row r="190" spans="1:11" ht="36">
      <c r="A190" s="40"/>
      <c r="B190" s="40"/>
      <c r="C190" s="31"/>
      <c r="D190" s="39" t="s">
        <v>132</v>
      </c>
      <c r="E190" s="15"/>
      <c r="F190" s="34"/>
      <c r="G190" s="15"/>
      <c r="H190" s="21">
        <v>200000</v>
      </c>
      <c r="I190" s="21"/>
      <c r="J190" s="21">
        <f t="shared" si="7"/>
        <v>200000</v>
      </c>
      <c r="K190" s="104"/>
    </row>
    <row r="191" spans="1:11" ht="54">
      <c r="A191" s="40"/>
      <c r="B191" s="40"/>
      <c r="C191" s="31"/>
      <c r="D191" s="39" t="s">
        <v>114</v>
      </c>
      <c r="E191" s="15"/>
      <c r="F191" s="34"/>
      <c r="G191" s="15"/>
      <c r="H191" s="21">
        <f>950000-320000</f>
        <v>630000</v>
      </c>
      <c r="I191" s="21"/>
      <c r="J191" s="21">
        <f t="shared" si="7"/>
        <v>630000</v>
      </c>
      <c r="K191" s="104"/>
    </row>
    <row r="192" spans="1:11" ht="54">
      <c r="A192" s="40"/>
      <c r="B192" s="40"/>
      <c r="C192" s="31"/>
      <c r="D192" s="39" t="s">
        <v>63</v>
      </c>
      <c r="E192" s="15"/>
      <c r="F192" s="34"/>
      <c r="G192" s="15"/>
      <c r="H192" s="21">
        <f>500000-100000</f>
        <v>400000</v>
      </c>
      <c r="I192" s="21"/>
      <c r="J192" s="21">
        <f t="shared" si="7"/>
        <v>400000</v>
      </c>
      <c r="K192" s="104"/>
    </row>
    <row r="193" spans="1:11" ht="90">
      <c r="A193" s="40"/>
      <c r="B193" s="40"/>
      <c r="C193" s="31"/>
      <c r="D193" s="39" t="s">
        <v>166</v>
      </c>
      <c r="E193" s="15"/>
      <c r="F193" s="34"/>
      <c r="G193" s="15"/>
      <c r="H193" s="21">
        <v>50000</v>
      </c>
      <c r="I193" s="21"/>
      <c r="J193" s="21">
        <f t="shared" si="7"/>
        <v>50000</v>
      </c>
      <c r="K193" s="104"/>
    </row>
    <row r="194" spans="1:11" ht="54">
      <c r="A194" s="40"/>
      <c r="B194" s="40"/>
      <c r="C194" s="31"/>
      <c r="D194" s="39" t="s">
        <v>179</v>
      </c>
      <c r="E194" s="15"/>
      <c r="F194" s="34"/>
      <c r="G194" s="15"/>
      <c r="H194" s="21">
        <f>750000-100000</f>
        <v>650000</v>
      </c>
      <c r="I194" s="21"/>
      <c r="J194" s="21">
        <f t="shared" si="7"/>
        <v>650000</v>
      </c>
      <c r="K194" s="104"/>
    </row>
    <row r="195" spans="1:11" ht="18">
      <c r="A195" s="40"/>
      <c r="B195" s="40"/>
      <c r="C195" s="31"/>
      <c r="D195" s="39" t="s">
        <v>142</v>
      </c>
      <c r="E195" s="15"/>
      <c r="F195" s="34"/>
      <c r="G195" s="15"/>
      <c r="H195" s="21">
        <f>4400000-2000000</f>
        <v>2400000</v>
      </c>
      <c r="I195" s="21"/>
      <c r="J195" s="21">
        <f t="shared" si="7"/>
        <v>2400000</v>
      </c>
      <c r="K195" s="104"/>
    </row>
    <row r="196" spans="1:11" ht="18">
      <c r="A196" s="40"/>
      <c r="B196" s="40"/>
      <c r="C196" s="31"/>
      <c r="D196" s="39" t="s">
        <v>64</v>
      </c>
      <c r="E196" s="15">
        <v>6201766</v>
      </c>
      <c r="F196" s="34">
        <v>48.4</v>
      </c>
      <c r="G196" s="15">
        <v>3001766</v>
      </c>
      <c r="H196" s="21">
        <f>3000000-1000000+0.94</f>
        <v>2000000.94</v>
      </c>
      <c r="I196" s="21"/>
      <c r="J196" s="21">
        <f t="shared" si="7"/>
        <v>2000000.94</v>
      </c>
      <c r="K196" s="104"/>
    </row>
    <row r="197" spans="1:11" ht="36">
      <c r="A197" s="40"/>
      <c r="B197" s="40"/>
      <c r="C197" s="31"/>
      <c r="D197" s="39" t="s">
        <v>35</v>
      </c>
      <c r="E197" s="15">
        <v>4276667</v>
      </c>
      <c r="F197" s="34">
        <v>75.4</v>
      </c>
      <c r="G197" s="15">
        <v>3225583</v>
      </c>
      <c r="H197" s="21">
        <v>3200000</v>
      </c>
      <c r="I197" s="21"/>
      <c r="J197" s="21">
        <f aca="true" t="shared" si="8" ref="J197:J220">I197+H197</f>
        <v>3200000</v>
      </c>
      <c r="K197" s="104"/>
    </row>
    <row r="198" spans="1:11" ht="54">
      <c r="A198" s="40"/>
      <c r="B198" s="40"/>
      <c r="C198" s="31"/>
      <c r="D198" s="39" t="s">
        <v>134</v>
      </c>
      <c r="E198" s="15">
        <v>3442904</v>
      </c>
      <c r="F198" s="34">
        <v>98.3</v>
      </c>
      <c r="G198" s="15">
        <v>3382909</v>
      </c>
      <c r="H198" s="21">
        <f>1000000+2636000</f>
        <v>3636000</v>
      </c>
      <c r="I198" s="21"/>
      <c r="J198" s="21">
        <f t="shared" si="8"/>
        <v>3636000</v>
      </c>
      <c r="K198" s="104"/>
    </row>
    <row r="199" spans="1:11" ht="18">
      <c r="A199" s="40"/>
      <c r="B199" s="40"/>
      <c r="C199" s="31"/>
      <c r="D199" s="39" t="s">
        <v>136</v>
      </c>
      <c r="E199" s="15">
        <v>25831121</v>
      </c>
      <c r="F199" s="34"/>
      <c r="G199" s="15">
        <v>25831121</v>
      </c>
      <c r="H199" s="21">
        <f>1000000+1000000-1500000</f>
        <v>500000</v>
      </c>
      <c r="I199" s="21"/>
      <c r="J199" s="21">
        <f t="shared" si="8"/>
        <v>500000</v>
      </c>
      <c r="K199" s="104"/>
    </row>
    <row r="200" spans="1:11" ht="36">
      <c r="A200" s="40"/>
      <c r="B200" s="40"/>
      <c r="C200" s="31"/>
      <c r="D200" s="39" t="s">
        <v>135</v>
      </c>
      <c r="E200" s="15"/>
      <c r="F200" s="34"/>
      <c r="G200" s="15"/>
      <c r="H200" s="21">
        <v>1000000</v>
      </c>
      <c r="I200" s="21"/>
      <c r="J200" s="21">
        <f t="shared" si="8"/>
        <v>1000000</v>
      </c>
      <c r="K200" s="104"/>
    </row>
    <row r="201" spans="1:11" ht="36">
      <c r="A201" s="40"/>
      <c r="B201" s="40"/>
      <c r="C201" s="31"/>
      <c r="D201" s="39" t="s">
        <v>140</v>
      </c>
      <c r="E201" s="15"/>
      <c r="F201" s="34"/>
      <c r="G201" s="15"/>
      <c r="H201" s="21">
        <f>1000000+500000-150000</f>
        <v>1350000</v>
      </c>
      <c r="I201" s="21"/>
      <c r="J201" s="21">
        <f t="shared" si="8"/>
        <v>1350000</v>
      </c>
      <c r="K201" s="104"/>
    </row>
    <row r="202" spans="1:11" ht="54">
      <c r="A202" s="40"/>
      <c r="B202" s="40"/>
      <c r="C202" s="31"/>
      <c r="D202" s="39" t="s">
        <v>113</v>
      </c>
      <c r="E202" s="15">
        <v>2997994</v>
      </c>
      <c r="F202" s="34">
        <v>99.2</v>
      </c>
      <c r="G202" s="15">
        <v>2977690</v>
      </c>
      <c r="H202" s="21">
        <v>1900000</v>
      </c>
      <c r="I202" s="21"/>
      <c r="J202" s="21">
        <f t="shared" si="8"/>
        <v>1900000</v>
      </c>
      <c r="K202" s="104"/>
    </row>
    <row r="203" spans="1:11" ht="54">
      <c r="A203" s="40"/>
      <c r="B203" s="40"/>
      <c r="C203" s="31"/>
      <c r="D203" s="39" t="s">
        <v>137</v>
      </c>
      <c r="E203" s="15"/>
      <c r="F203" s="34"/>
      <c r="G203" s="15"/>
      <c r="H203" s="21">
        <f>200000+250000+500000+600000</f>
        <v>1550000</v>
      </c>
      <c r="I203" s="21"/>
      <c r="J203" s="21">
        <f t="shared" si="8"/>
        <v>1550000</v>
      </c>
      <c r="K203" s="104"/>
    </row>
    <row r="204" spans="1:11" ht="36">
      <c r="A204" s="40"/>
      <c r="B204" s="40"/>
      <c r="C204" s="31"/>
      <c r="D204" s="39" t="s">
        <v>124</v>
      </c>
      <c r="E204" s="15"/>
      <c r="F204" s="34"/>
      <c r="G204" s="15"/>
      <c r="H204" s="21">
        <f>150000-45000</f>
        <v>105000</v>
      </c>
      <c r="I204" s="21"/>
      <c r="J204" s="21">
        <f t="shared" si="8"/>
        <v>105000</v>
      </c>
      <c r="K204" s="104"/>
    </row>
    <row r="205" spans="1:11" ht="36">
      <c r="A205" s="40"/>
      <c r="B205" s="40"/>
      <c r="C205" s="31"/>
      <c r="D205" s="39" t="s">
        <v>165</v>
      </c>
      <c r="E205" s="15"/>
      <c r="F205" s="34"/>
      <c r="G205" s="15"/>
      <c r="H205" s="21">
        <v>50000</v>
      </c>
      <c r="I205" s="21"/>
      <c r="J205" s="21">
        <f t="shared" si="8"/>
        <v>50000</v>
      </c>
      <c r="K205" s="104"/>
    </row>
    <row r="206" spans="1:11" ht="36">
      <c r="A206" s="40"/>
      <c r="B206" s="40"/>
      <c r="C206" s="31"/>
      <c r="D206" s="39" t="s">
        <v>164</v>
      </c>
      <c r="E206" s="15"/>
      <c r="F206" s="34"/>
      <c r="G206" s="15"/>
      <c r="H206" s="21">
        <f>981000+350000</f>
        <v>1331000</v>
      </c>
      <c r="I206" s="21"/>
      <c r="J206" s="21">
        <f t="shared" si="8"/>
        <v>1331000</v>
      </c>
      <c r="K206" s="104"/>
    </row>
    <row r="207" spans="1:11" ht="52.5" customHeight="1">
      <c r="A207" s="40"/>
      <c r="B207" s="40"/>
      <c r="C207" s="31"/>
      <c r="D207" s="39" t="s">
        <v>184</v>
      </c>
      <c r="E207" s="15"/>
      <c r="F207" s="34"/>
      <c r="G207" s="15"/>
      <c r="H207" s="21">
        <f>200000+500000+520000</f>
        <v>1220000</v>
      </c>
      <c r="I207" s="21"/>
      <c r="J207" s="21">
        <f t="shared" si="8"/>
        <v>1220000</v>
      </c>
      <c r="K207" s="104"/>
    </row>
    <row r="208" spans="1:11" ht="54">
      <c r="A208" s="40"/>
      <c r="B208" s="40"/>
      <c r="C208" s="31"/>
      <c r="D208" s="39" t="s">
        <v>163</v>
      </c>
      <c r="E208" s="15"/>
      <c r="F208" s="34"/>
      <c r="G208" s="15"/>
      <c r="H208" s="21">
        <v>530000</v>
      </c>
      <c r="I208" s="21"/>
      <c r="J208" s="21">
        <f t="shared" si="8"/>
        <v>530000</v>
      </c>
      <c r="K208" s="104"/>
    </row>
    <row r="209" spans="1:11" ht="36">
      <c r="A209" s="40"/>
      <c r="B209" s="40"/>
      <c r="C209" s="31"/>
      <c r="D209" s="39" t="s">
        <v>178</v>
      </c>
      <c r="E209" s="15"/>
      <c r="F209" s="34"/>
      <c r="G209" s="15"/>
      <c r="H209" s="21">
        <f>500000+69000+100000</f>
        <v>669000</v>
      </c>
      <c r="I209" s="21"/>
      <c r="J209" s="21">
        <f t="shared" si="8"/>
        <v>669000</v>
      </c>
      <c r="K209" s="104"/>
    </row>
    <row r="210" spans="1:11" ht="54">
      <c r="A210" s="40"/>
      <c r="B210" s="40"/>
      <c r="C210" s="31"/>
      <c r="D210" s="39" t="s">
        <v>215</v>
      </c>
      <c r="E210" s="15"/>
      <c r="F210" s="34"/>
      <c r="G210" s="15"/>
      <c r="H210" s="21">
        <v>100000</v>
      </c>
      <c r="I210" s="21"/>
      <c r="J210" s="21">
        <f t="shared" si="8"/>
        <v>100000</v>
      </c>
      <c r="K210" s="104"/>
    </row>
    <row r="211" spans="1:11" ht="54">
      <c r="A211" s="40"/>
      <c r="B211" s="40"/>
      <c r="C211" s="31"/>
      <c r="D211" s="39" t="s">
        <v>167</v>
      </c>
      <c r="E211" s="15"/>
      <c r="F211" s="34"/>
      <c r="G211" s="15"/>
      <c r="H211" s="21">
        <v>40000</v>
      </c>
      <c r="I211" s="21"/>
      <c r="J211" s="21">
        <f t="shared" si="8"/>
        <v>40000</v>
      </c>
      <c r="K211" s="104"/>
    </row>
    <row r="212" spans="1:11" ht="18">
      <c r="A212" s="40"/>
      <c r="B212" s="40"/>
      <c r="C212" s="31"/>
      <c r="D212" s="39"/>
      <c r="E212" s="15"/>
      <c r="F212" s="34"/>
      <c r="G212" s="15"/>
      <c r="H212" s="21"/>
      <c r="I212" s="21"/>
      <c r="J212" s="21"/>
      <c r="K212" s="104"/>
    </row>
    <row r="213" spans="1:11" ht="36">
      <c r="A213" s="40"/>
      <c r="B213" s="40"/>
      <c r="C213" s="31"/>
      <c r="D213" s="39" t="s">
        <v>266</v>
      </c>
      <c r="E213" s="15"/>
      <c r="F213" s="34"/>
      <c r="G213" s="15"/>
      <c r="H213" s="21">
        <v>50000</v>
      </c>
      <c r="I213" s="21"/>
      <c r="J213" s="21">
        <f t="shared" si="8"/>
        <v>50000</v>
      </c>
      <c r="K213" s="104"/>
    </row>
    <row r="214" spans="1:11" ht="162">
      <c r="A214" s="40"/>
      <c r="B214" s="40"/>
      <c r="C214" s="31"/>
      <c r="D214" s="39" t="s">
        <v>233</v>
      </c>
      <c r="E214" s="15"/>
      <c r="F214" s="34"/>
      <c r="G214" s="15"/>
      <c r="H214" s="21">
        <v>40000</v>
      </c>
      <c r="I214" s="21"/>
      <c r="J214" s="21">
        <f t="shared" si="8"/>
        <v>40000</v>
      </c>
      <c r="K214" s="104"/>
    </row>
    <row r="215" spans="1:11" ht="54">
      <c r="A215" s="40"/>
      <c r="B215" s="40"/>
      <c r="C215" s="31"/>
      <c r="D215" s="39" t="s">
        <v>205</v>
      </c>
      <c r="E215" s="15"/>
      <c r="F215" s="34"/>
      <c r="G215" s="15"/>
      <c r="H215" s="21">
        <v>11500</v>
      </c>
      <c r="I215" s="21"/>
      <c r="J215" s="21">
        <f t="shared" si="8"/>
        <v>11500</v>
      </c>
      <c r="K215" s="104"/>
    </row>
    <row r="216" spans="1:11" ht="54">
      <c r="A216" s="11">
        <v>150118</v>
      </c>
      <c r="B216" s="19">
        <v>1062</v>
      </c>
      <c r="C216" s="14" t="s">
        <v>254</v>
      </c>
      <c r="D216" s="20" t="s">
        <v>11</v>
      </c>
      <c r="E216" s="15"/>
      <c r="F216" s="34"/>
      <c r="G216" s="15"/>
      <c r="H216" s="21">
        <v>500000</v>
      </c>
      <c r="I216" s="21"/>
      <c r="J216" s="21">
        <f t="shared" si="8"/>
        <v>500000</v>
      </c>
      <c r="K216" s="104"/>
    </row>
    <row r="217" spans="1:11" ht="54">
      <c r="A217" s="11">
        <v>150201</v>
      </c>
      <c r="B217" s="19" t="s">
        <v>78</v>
      </c>
      <c r="C217" s="14" t="s">
        <v>189</v>
      </c>
      <c r="D217" s="39"/>
      <c r="E217" s="15"/>
      <c r="F217" s="34"/>
      <c r="G217" s="15"/>
      <c r="H217" s="21">
        <f>H218+H219</f>
        <v>270000</v>
      </c>
      <c r="I217" s="21">
        <f>I218+I219</f>
        <v>0</v>
      </c>
      <c r="J217" s="21">
        <f>J218+J219</f>
        <v>270000</v>
      </c>
      <c r="K217" s="104"/>
    </row>
    <row r="218" spans="1:11" ht="18">
      <c r="A218" s="11"/>
      <c r="B218" s="19"/>
      <c r="C218" s="14"/>
      <c r="D218" s="39" t="s">
        <v>190</v>
      </c>
      <c r="E218" s="15"/>
      <c r="F218" s="34"/>
      <c r="G218" s="15"/>
      <c r="H218" s="21">
        <v>200000</v>
      </c>
      <c r="I218" s="21"/>
      <c r="J218" s="21">
        <v>200000</v>
      </c>
      <c r="K218" s="104"/>
    </row>
    <row r="219" spans="1:11" ht="36">
      <c r="A219" s="11"/>
      <c r="B219" s="19"/>
      <c r="C219" s="14"/>
      <c r="D219" s="39" t="s">
        <v>244</v>
      </c>
      <c r="E219" s="15"/>
      <c r="F219" s="34"/>
      <c r="G219" s="15"/>
      <c r="H219" s="21">
        <v>70000</v>
      </c>
      <c r="I219" s="21"/>
      <c r="J219" s="21">
        <f>I219+H219</f>
        <v>70000</v>
      </c>
      <c r="K219" s="104"/>
    </row>
    <row r="220" spans="1:11" ht="90">
      <c r="A220" s="11">
        <v>180409</v>
      </c>
      <c r="B220" s="19" t="s">
        <v>80</v>
      </c>
      <c r="C220" s="14" t="s">
        <v>29</v>
      </c>
      <c r="D220" s="39" t="s">
        <v>153</v>
      </c>
      <c r="E220" s="15"/>
      <c r="F220" s="34"/>
      <c r="G220" s="15"/>
      <c r="H220" s="21">
        <f>12000000+5798800</f>
        <v>17798800</v>
      </c>
      <c r="I220" s="21"/>
      <c r="J220" s="21">
        <f t="shared" si="8"/>
        <v>17798800</v>
      </c>
      <c r="K220" s="104"/>
    </row>
    <row r="221" spans="1:155" s="23" customFormat="1" ht="54">
      <c r="A221" s="12"/>
      <c r="B221" s="12"/>
      <c r="C221" s="49" t="s">
        <v>103</v>
      </c>
      <c r="D221" s="36"/>
      <c r="E221" s="91"/>
      <c r="F221" s="45"/>
      <c r="G221" s="91"/>
      <c r="H221" s="16">
        <f>H222+H223</f>
        <v>37000</v>
      </c>
      <c r="I221" s="16">
        <f>I222+I223</f>
        <v>0</v>
      </c>
      <c r="J221" s="16">
        <f>J222+J223</f>
        <v>37000</v>
      </c>
      <c r="K221" s="104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27"/>
    </row>
    <row r="222" spans="1:155" s="23" customFormat="1" ht="18">
      <c r="A222" s="19" t="s">
        <v>9</v>
      </c>
      <c r="B222" s="19" t="s">
        <v>77</v>
      </c>
      <c r="C222" s="14" t="s">
        <v>10</v>
      </c>
      <c r="D222" s="20" t="s">
        <v>11</v>
      </c>
      <c r="E222" s="15"/>
      <c r="F222" s="34"/>
      <c r="G222" s="15"/>
      <c r="H222" s="21">
        <f>250000-220000</f>
        <v>30000</v>
      </c>
      <c r="I222" s="50"/>
      <c r="J222" s="21">
        <f>I222+H222</f>
        <v>30000</v>
      </c>
      <c r="K222" s="104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27"/>
    </row>
    <row r="223" spans="1:11" s="17" customFormat="1" ht="18">
      <c r="A223" s="19" t="s">
        <v>22</v>
      </c>
      <c r="B223" s="19" t="s">
        <v>96</v>
      </c>
      <c r="C223" s="14" t="s">
        <v>40</v>
      </c>
      <c r="D223" s="20" t="s">
        <v>11</v>
      </c>
      <c r="E223" s="15"/>
      <c r="F223" s="34"/>
      <c r="G223" s="15"/>
      <c r="H223" s="21">
        <f>148000-141000</f>
        <v>7000</v>
      </c>
      <c r="I223" s="50"/>
      <c r="J223" s="21">
        <f>I223+H223</f>
        <v>7000</v>
      </c>
      <c r="K223" s="104"/>
    </row>
    <row r="224" spans="1:155" s="23" customFormat="1" ht="54">
      <c r="A224" s="12"/>
      <c r="B224" s="12"/>
      <c r="C224" s="49" t="s">
        <v>193</v>
      </c>
      <c r="D224" s="36"/>
      <c r="E224" s="91"/>
      <c r="F224" s="45"/>
      <c r="G224" s="91"/>
      <c r="H224" s="16">
        <f>H226+H225</f>
        <v>381500</v>
      </c>
      <c r="I224" s="16">
        <f>I226+I225</f>
        <v>0</v>
      </c>
      <c r="J224" s="16">
        <f>J226+J225</f>
        <v>381500</v>
      </c>
      <c r="K224" s="101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27"/>
    </row>
    <row r="225" spans="1:11" s="17" customFormat="1" ht="90">
      <c r="A225" s="19" t="s">
        <v>185</v>
      </c>
      <c r="B225" s="19" t="s">
        <v>80</v>
      </c>
      <c r="C225" s="14" t="s">
        <v>29</v>
      </c>
      <c r="D225" s="14" t="s">
        <v>188</v>
      </c>
      <c r="E225" s="15"/>
      <c r="F225" s="34"/>
      <c r="G225" s="15"/>
      <c r="H225" s="21">
        <v>39000</v>
      </c>
      <c r="I225" s="21"/>
      <c r="J225" s="21">
        <f>I225+H225</f>
        <v>39000</v>
      </c>
      <c r="K225" s="101"/>
    </row>
    <row r="226" spans="1:11" s="17" customFormat="1" ht="18">
      <c r="A226" s="19" t="s">
        <v>183</v>
      </c>
      <c r="B226" s="19" t="s">
        <v>97</v>
      </c>
      <c r="C226" s="20" t="s">
        <v>20</v>
      </c>
      <c r="D226" s="20" t="s">
        <v>11</v>
      </c>
      <c r="E226" s="15"/>
      <c r="F226" s="34"/>
      <c r="G226" s="15"/>
      <c r="H226" s="21">
        <f>99500+243000</f>
        <v>342500</v>
      </c>
      <c r="I226" s="21"/>
      <c r="J226" s="21">
        <f>I226+H226</f>
        <v>342500</v>
      </c>
      <c r="K226" s="101"/>
    </row>
    <row r="227" spans="1:11" s="51" customFormat="1" ht="54">
      <c r="A227" s="12"/>
      <c r="B227" s="12"/>
      <c r="C227" s="13" t="s">
        <v>104</v>
      </c>
      <c r="D227" s="36"/>
      <c r="E227" s="91"/>
      <c r="F227" s="45"/>
      <c r="G227" s="91"/>
      <c r="H227" s="16">
        <f>H228</f>
        <v>30000</v>
      </c>
      <c r="I227" s="16">
        <f>I228</f>
        <v>0</v>
      </c>
      <c r="J227" s="16">
        <f>J228</f>
        <v>30000</v>
      </c>
      <c r="K227" s="101"/>
    </row>
    <row r="228" spans="1:11" s="17" customFormat="1" ht="18">
      <c r="A228" s="19" t="s">
        <v>9</v>
      </c>
      <c r="B228" s="19" t="s">
        <v>77</v>
      </c>
      <c r="C228" s="14" t="s">
        <v>10</v>
      </c>
      <c r="D228" s="20" t="s">
        <v>11</v>
      </c>
      <c r="E228" s="15"/>
      <c r="F228" s="34"/>
      <c r="G228" s="15"/>
      <c r="H228" s="21">
        <v>30000</v>
      </c>
      <c r="I228" s="21"/>
      <c r="J228" s="21">
        <f>I228+H228</f>
        <v>30000</v>
      </c>
      <c r="K228" s="101"/>
    </row>
    <row r="229" spans="1:11" ht="54">
      <c r="A229" s="52"/>
      <c r="B229" s="52"/>
      <c r="C229" s="49" t="s">
        <v>194</v>
      </c>
      <c r="D229" s="20"/>
      <c r="E229" s="53"/>
      <c r="F229" s="54"/>
      <c r="G229" s="53"/>
      <c r="H229" s="16">
        <f>H230</f>
        <v>64070</v>
      </c>
      <c r="I229" s="16">
        <f>I230</f>
        <v>0</v>
      </c>
      <c r="J229" s="16">
        <f>J230</f>
        <v>64070</v>
      </c>
      <c r="K229" s="101"/>
    </row>
    <row r="230" spans="1:11" ht="18">
      <c r="A230" s="19" t="s">
        <v>9</v>
      </c>
      <c r="B230" s="19" t="s">
        <v>77</v>
      </c>
      <c r="C230" s="20" t="s">
        <v>10</v>
      </c>
      <c r="D230" s="20" t="s">
        <v>19</v>
      </c>
      <c r="E230" s="53"/>
      <c r="F230" s="54"/>
      <c r="G230" s="53"/>
      <c r="H230" s="21">
        <f>52400+4670+7000</f>
        <v>64070</v>
      </c>
      <c r="I230" s="21"/>
      <c r="J230" s="21">
        <f>I230+H230</f>
        <v>64070</v>
      </c>
      <c r="K230" s="101"/>
    </row>
    <row r="231" spans="1:11" ht="90">
      <c r="A231" s="52"/>
      <c r="B231" s="52"/>
      <c r="C231" s="49" t="s">
        <v>195</v>
      </c>
      <c r="D231" s="20"/>
      <c r="E231" s="53"/>
      <c r="F231" s="54"/>
      <c r="G231" s="53"/>
      <c r="H231" s="16">
        <f>H232</f>
        <v>709900</v>
      </c>
      <c r="I231" s="16">
        <f>I232</f>
        <v>0</v>
      </c>
      <c r="J231" s="16">
        <f>J232</f>
        <v>709900</v>
      </c>
      <c r="K231" s="101"/>
    </row>
    <row r="232" spans="1:11" ht="18">
      <c r="A232" s="55">
        <v>250380</v>
      </c>
      <c r="B232" s="19" t="s">
        <v>97</v>
      </c>
      <c r="C232" s="20" t="s">
        <v>20</v>
      </c>
      <c r="D232" s="20" t="s">
        <v>11</v>
      </c>
      <c r="E232" s="53"/>
      <c r="F232" s="53"/>
      <c r="G232" s="53"/>
      <c r="H232" s="21">
        <f>700000+9900</f>
        <v>709900</v>
      </c>
      <c r="I232" s="21"/>
      <c r="J232" s="21">
        <f>I232+H232</f>
        <v>709900</v>
      </c>
      <c r="K232" s="101"/>
    </row>
    <row r="233" spans="1:154" s="47" customFormat="1" ht="17.25">
      <c r="A233" s="56"/>
      <c r="B233" s="56"/>
      <c r="C233" s="56" t="s">
        <v>21</v>
      </c>
      <c r="D233" s="56"/>
      <c r="E233" s="57"/>
      <c r="F233" s="57"/>
      <c r="G233" s="57"/>
      <c r="H233" s="16">
        <f>H231+H229+H227+H224+H86+H81+H57+H52+H47+H38+H27+H14+H84+H221</f>
        <v>515166633.34999996</v>
      </c>
      <c r="I233" s="16">
        <f>I231+I229+I227+I224+I86+I81+I57+I52+I47+I38+I27+I14+I84+I221</f>
        <v>4503950</v>
      </c>
      <c r="J233" s="16">
        <f>J231+J229+J227+J224+J86+J81+J57+J52+J47+J38+J27+J14+J84+J221</f>
        <v>519670583.34999996</v>
      </c>
      <c r="K233" s="101"/>
      <c r="L233" s="58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</row>
    <row r="234" spans="4:11" s="46" customFormat="1" ht="17.25">
      <c r="D234" s="59"/>
      <c r="E234" s="90"/>
      <c r="F234" s="100"/>
      <c r="G234" s="100"/>
      <c r="H234" s="60"/>
      <c r="I234" s="8"/>
      <c r="K234" s="101"/>
    </row>
    <row r="235" spans="4:11" s="46" customFormat="1" ht="17.25">
      <c r="D235" s="59"/>
      <c r="E235" s="90"/>
      <c r="F235" s="100"/>
      <c r="G235" s="100"/>
      <c r="H235" s="60"/>
      <c r="I235" s="8"/>
      <c r="K235" s="101"/>
    </row>
    <row r="236" spans="4:11" s="46" customFormat="1" ht="17.25">
      <c r="D236" s="59"/>
      <c r="E236" s="90"/>
      <c r="F236" s="100"/>
      <c r="G236" s="100"/>
      <c r="H236" s="60"/>
      <c r="I236" s="61"/>
      <c r="K236" s="101"/>
    </row>
    <row r="237" spans="4:11" s="46" customFormat="1" ht="17.25">
      <c r="D237" s="59"/>
      <c r="E237" s="90"/>
      <c r="F237" s="100"/>
      <c r="G237" s="100"/>
      <c r="H237" s="60"/>
      <c r="I237" s="8"/>
      <c r="K237" s="101"/>
    </row>
    <row r="238" spans="1:154" s="63" customFormat="1" ht="27.75" customHeight="1">
      <c r="A238" s="97" t="s">
        <v>270</v>
      </c>
      <c r="B238" s="97"/>
      <c r="C238" s="97"/>
      <c r="D238" s="62"/>
      <c r="G238" s="97"/>
      <c r="H238" s="97"/>
      <c r="I238" s="97" t="s">
        <v>246</v>
      </c>
      <c r="J238" s="97"/>
      <c r="K238" s="101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</row>
    <row r="239" spans="1:11" s="67" customFormat="1" ht="30">
      <c r="A239" s="103"/>
      <c r="B239" s="103"/>
      <c r="C239" s="103"/>
      <c r="D239" s="64"/>
      <c r="E239" s="65"/>
      <c r="F239" s="103"/>
      <c r="G239" s="103"/>
      <c r="H239" s="66"/>
      <c r="I239" s="8"/>
      <c r="K239" s="101"/>
    </row>
    <row r="240" spans="1:11" s="74" customFormat="1" ht="27.75">
      <c r="A240" s="68" t="s">
        <v>263</v>
      </c>
      <c r="B240" s="64"/>
      <c r="C240" s="69"/>
      <c r="D240" s="70"/>
      <c r="E240" s="71"/>
      <c r="F240" s="72"/>
      <c r="G240" s="72"/>
      <c r="H240" s="72"/>
      <c r="I240" s="8"/>
      <c r="J240" s="73"/>
      <c r="K240" s="101"/>
    </row>
    <row r="241" spans="1:11" s="74" customFormat="1" ht="27.75">
      <c r="A241" s="96" t="s">
        <v>247</v>
      </c>
      <c r="B241" s="96"/>
      <c r="C241" s="75"/>
      <c r="D241" s="75"/>
      <c r="E241" s="76"/>
      <c r="F241" s="75"/>
      <c r="G241" s="75"/>
      <c r="H241" s="75"/>
      <c r="I241" s="8"/>
      <c r="J241" s="75"/>
      <c r="K241" s="101"/>
    </row>
    <row r="242" spans="1:11" s="74" customFormat="1" ht="27.75">
      <c r="A242" s="96"/>
      <c r="B242" s="96"/>
      <c r="E242" s="73"/>
      <c r="H242" s="77"/>
      <c r="I242" s="8"/>
      <c r="J242" s="73"/>
      <c r="K242" s="101"/>
    </row>
    <row r="243" spans="1:154" s="67" customFormat="1" ht="30">
      <c r="A243" s="105"/>
      <c r="B243" s="105"/>
      <c r="C243" s="105"/>
      <c r="D243" s="78"/>
      <c r="E243" s="79"/>
      <c r="F243" s="80"/>
      <c r="H243" s="81"/>
      <c r="I243" s="8"/>
      <c r="J243" s="80"/>
      <c r="K243" s="8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  <c r="EV243" s="80"/>
      <c r="EW243" s="80"/>
      <c r="EX243" s="80"/>
    </row>
    <row r="244" spans="4:11" ht="18">
      <c r="D244" s="82"/>
      <c r="E244" s="83"/>
      <c r="F244" s="3"/>
      <c r="H244" s="84"/>
      <c r="I244" s="8"/>
      <c r="K244" s="8"/>
    </row>
    <row r="245" spans="4:11" ht="18">
      <c r="D245" s="82"/>
      <c r="E245" s="83"/>
      <c r="F245" s="3"/>
      <c r="H245" s="84"/>
      <c r="I245" s="8"/>
      <c r="K245" s="8"/>
    </row>
    <row r="246" spans="4:11" ht="18">
      <c r="D246" s="82"/>
      <c r="E246" s="83"/>
      <c r="H246" s="84"/>
      <c r="K246" s="8"/>
    </row>
    <row r="247" spans="4:11" ht="18">
      <c r="D247" s="82"/>
      <c r="E247" s="83"/>
      <c r="H247" s="84"/>
      <c r="K247" s="8"/>
    </row>
    <row r="248" spans="4:11" ht="18">
      <c r="D248" s="82"/>
      <c r="E248" s="83"/>
      <c r="H248" s="84"/>
      <c r="K248" s="8"/>
    </row>
    <row r="249" spans="4:154" s="85" customFormat="1" ht="18">
      <c r="D249" s="86"/>
      <c r="E249" s="87"/>
      <c r="H249" s="88"/>
      <c r="J249" s="88"/>
      <c r="K249" s="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  <c r="BZ249" s="88"/>
      <c r="CA249" s="88"/>
      <c r="CB249" s="88"/>
      <c r="CC249" s="88"/>
      <c r="CD249" s="88"/>
      <c r="CE249" s="88"/>
      <c r="CF249" s="88"/>
      <c r="CG249" s="88"/>
      <c r="CH249" s="88"/>
      <c r="CI249" s="88"/>
      <c r="CJ249" s="88"/>
      <c r="CK249" s="88"/>
      <c r="CL249" s="88"/>
      <c r="CM249" s="88"/>
      <c r="CN249" s="88"/>
      <c r="CO249" s="88"/>
      <c r="CP249" s="88"/>
      <c r="CQ249" s="88"/>
      <c r="CR249" s="88"/>
      <c r="CS249" s="88"/>
      <c r="CT249" s="88"/>
      <c r="CU249" s="88"/>
      <c r="CV249" s="88"/>
      <c r="CW249" s="88"/>
      <c r="CX249" s="88"/>
      <c r="CY249" s="88"/>
      <c r="CZ249" s="88"/>
      <c r="DA249" s="88"/>
      <c r="DB249" s="88"/>
      <c r="DC249" s="88"/>
      <c r="DD249" s="88"/>
      <c r="DE249" s="88"/>
      <c r="DF249" s="88"/>
      <c r="DG249" s="88"/>
      <c r="DH249" s="88"/>
      <c r="DI249" s="88"/>
      <c r="DJ249" s="88"/>
      <c r="DK249" s="88"/>
      <c r="DL249" s="88"/>
      <c r="DM249" s="88"/>
      <c r="DN249" s="88"/>
      <c r="DO249" s="88"/>
      <c r="DP249" s="88"/>
      <c r="DQ249" s="88"/>
      <c r="DR249" s="88"/>
      <c r="DS249" s="88"/>
      <c r="DT249" s="88"/>
      <c r="DU249" s="88"/>
      <c r="DV249" s="88"/>
      <c r="DW249" s="88"/>
      <c r="DX249" s="88"/>
      <c r="DY249" s="88"/>
      <c r="DZ249" s="88"/>
      <c r="EA249" s="88"/>
      <c r="EB249" s="88"/>
      <c r="EC249" s="88"/>
      <c r="ED249" s="88"/>
      <c r="EE249" s="88"/>
      <c r="EF249" s="88"/>
      <c r="EG249" s="88"/>
      <c r="EH249" s="88"/>
      <c r="EI249" s="88"/>
      <c r="EJ249" s="88"/>
      <c r="EK249" s="88"/>
      <c r="EL249" s="88"/>
      <c r="EM249" s="88"/>
      <c r="EN249" s="88"/>
      <c r="EO249" s="88"/>
      <c r="EP249" s="88"/>
      <c r="EQ249" s="88"/>
      <c r="ER249" s="88"/>
      <c r="ES249" s="88"/>
      <c r="ET249" s="88"/>
      <c r="EU249" s="88"/>
      <c r="EV249" s="88"/>
      <c r="EW249" s="88"/>
      <c r="EX249" s="88"/>
    </row>
    <row r="250" spans="8:11" ht="18">
      <c r="H250" s="84"/>
      <c r="K250" s="8"/>
    </row>
    <row r="251" spans="8:11" ht="18">
      <c r="H251" s="84"/>
      <c r="K251" s="8"/>
    </row>
    <row r="252" spans="8:11" ht="18">
      <c r="H252" s="84"/>
      <c r="K252" s="8"/>
    </row>
    <row r="253" spans="8:11" ht="18">
      <c r="H253" s="84"/>
      <c r="K253" s="8"/>
    </row>
    <row r="254" spans="8:11" ht="18">
      <c r="H254" s="84"/>
      <c r="K254" s="8"/>
    </row>
    <row r="255" spans="8:11" ht="18">
      <c r="H255" s="84"/>
      <c r="K255" s="8"/>
    </row>
    <row r="256" spans="8:11" ht="18">
      <c r="H256" s="84"/>
      <c r="K256" s="8"/>
    </row>
    <row r="257" spans="8:11" ht="18">
      <c r="H257" s="84"/>
      <c r="K257" s="8"/>
    </row>
    <row r="258" spans="8:11" ht="18">
      <c r="H258" s="84"/>
      <c r="K258" s="8"/>
    </row>
    <row r="259" spans="8:11" ht="18">
      <c r="H259" s="84"/>
      <c r="K259" s="8"/>
    </row>
    <row r="260" spans="8:11" ht="18">
      <c r="H260" s="84"/>
      <c r="K260" s="8"/>
    </row>
    <row r="261" spans="8:11" ht="18">
      <c r="H261" s="84"/>
      <c r="K261" s="8"/>
    </row>
    <row r="262" spans="8:11" ht="18">
      <c r="H262" s="84"/>
      <c r="K262" s="8"/>
    </row>
    <row r="263" spans="8:11" ht="18">
      <c r="H263" s="84"/>
      <c r="K263" s="8"/>
    </row>
    <row r="264" ht="18">
      <c r="H264" s="84"/>
    </row>
    <row r="265" ht="18">
      <c r="H265" s="84"/>
    </row>
    <row r="266" ht="18">
      <c r="H266" s="84"/>
    </row>
    <row r="267" ht="18">
      <c r="H267" s="84"/>
    </row>
    <row r="268" ht="18">
      <c r="H268" s="84"/>
    </row>
    <row r="269" ht="18">
      <c r="H269" s="84"/>
    </row>
    <row r="270" ht="18">
      <c r="H270" s="84"/>
    </row>
    <row r="271" ht="18">
      <c r="H271" s="84"/>
    </row>
    <row r="272" ht="18">
      <c r="H272" s="84"/>
    </row>
    <row r="273" ht="18">
      <c r="H273" s="84"/>
    </row>
    <row r="274" ht="18">
      <c r="H274" s="84"/>
    </row>
    <row r="275" ht="18">
      <c r="H275" s="84"/>
    </row>
    <row r="276" ht="18">
      <c r="H276" s="84"/>
    </row>
    <row r="277" ht="18">
      <c r="H277" s="84"/>
    </row>
    <row r="278" ht="18">
      <c r="H278" s="84"/>
    </row>
    <row r="279" ht="18">
      <c r="H279" s="84"/>
    </row>
    <row r="280" ht="18">
      <c r="H280" s="84"/>
    </row>
    <row r="281" ht="18">
      <c r="H281" s="84"/>
    </row>
    <row r="282" ht="18">
      <c r="H282" s="84"/>
    </row>
    <row r="283" ht="18">
      <c r="H283" s="84"/>
    </row>
    <row r="284" ht="18">
      <c r="H284" s="84"/>
    </row>
    <row r="285" ht="18">
      <c r="H285" s="84"/>
    </row>
    <row r="286" ht="18">
      <c r="H286" s="84"/>
    </row>
    <row r="287" ht="18">
      <c r="H287" s="84"/>
    </row>
    <row r="288" ht="18">
      <c r="H288" s="84"/>
    </row>
    <row r="289" ht="18">
      <c r="H289" s="84"/>
    </row>
    <row r="290" ht="18">
      <c r="H290" s="84"/>
    </row>
    <row r="291" ht="18">
      <c r="H291" s="84"/>
    </row>
    <row r="292" ht="18">
      <c r="H292" s="84"/>
    </row>
    <row r="293" ht="18">
      <c r="H293" s="84"/>
    </row>
    <row r="294" ht="18">
      <c r="H294" s="84"/>
    </row>
    <row r="295" ht="18">
      <c r="H295" s="84"/>
    </row>
    <row r="296" ht="18">
      <c r="H296" s="84"/>
    </row>
    <row r="297" ht="18">
      <c r="H297" s="84"/>
    </row>
    <row r="298" ht="18">
      <c r="H298" s="84"/>
    </row>
    <row r="299" ht="18">
      <c r="H299" s="84"/>
    </row>
    <row r="300" ht="18">
      <c r="H300" s="84"/>
    </row>
    <row r="301" ht="18">
      <c r="H301" s="84"/>
    </row>
    <row r="302" ht="18">
      <c r="H302" s="84"/>
    </row>
    <row r="303" ht="18">
      <c r="H303" s="84"/>
    </row>
    <row r="304" ht="18">
      <c r="H304" s="84"/>
    </row>
    <row r="305" ht="18">
      <c r="H305" s="84"/>
    </row>
    <row r="306" ht="18">
      <c r="H306" s="84"/>
    </row>
    <row r="307" ht="18">
      <c r="H307" s="84"/>
    </row>
    <row r="308" ht="18">
      <c r="H308" s="84"/>
    </row>
    <row r="309" ht="18">
      <c r="H309" s="84"/>
    </row>
    <row r="310" ht="18">
      <c r="H310" s="84"/>
    </row>
    <row r="311" ht="18">
      <c r="H311" s="84"/>
    </row>
    <row r="312" ht="18">
      <c r="H312" s="84"/>
    </row>
    <row r="313" ht="18">
      <c r="H313" s="84"/>
    </row>
    <row r="314" ht="18">
      <c r="H314" s="84"/>
    </row>
    <row r="315" ht="18">
      <c r="H315" s="84"/>
    </row>
    <row r="316" ht="18">
      <c r="H316" s="84"/>
    </row>
    <row r="317" ht="18">
      <c r="H317" s="84"/>
    </row>
    <row r="318" ht="18">
      <c r="H318" s="84"/>
    </row>
    <row r="319" ht="18">
      <c r="H319" s="84"/>
    </row>
    <row r="320" ht="18">
      <c r="H320" s="84"/>
    </row>
    <row r="321" ht="18">
      <c r="H321" s="84"/>
    </row>
    <row r="322" ht="18">
      <c r="H322" s="84"/>
    </row>
    <row r="323" ht="18">
      <c r="H323" s="84"/>
    </row>
    <row r="324" ht="18">
      <c r="H324" s="84"/>
    </row>
    <row r="325" ht="18">
      <c r="H325" s="84"/>
    </row>
    <row r="326" ht="18">
      <c r="H326" s="84"/>
    </row>
    <row r="327" ht="18">
      <c r="H327" s="84"/>
    </row>
    <row r="328" ht="18">
      <c r="H328" s="84"/>
    </row>
    <row r="329" ht="18">
      <c r="H329" s="84"/>
    </row>
    <row r="330" ht="18">
      <c r="H330" s="84"/>
    </row>
    <row r="331" ht="18">
      <c r="H331" s="84"/>
    </row>
    <row r="332" ht="18">
      <c r="H332" s="84"/>
    </row>
    <row r="333" ht="18">
      <c r="H333" s="84"/>
    </row>
    <row r="334" ht="18">
      <c r="H334" s="84"/>
    </row>
    <row r="335" ht="18">
      <c r="H335" s="84"/>
    </row>
    <row r="336" ht="18">
      <c r="H336" s="84"/>
    </row>
    <row r="337" ht="18">
      <c r="H337" s="84"/>
    </row>
    <row r="338" ht="18">
      <c r="H338" s="84"/>
    </row>
    <row r="339" ht="18">
      <c r="H339" s="84"/>
    </row>
    <row r="340" ht="18">
      <c r="H340" s="84"/>
    </row>
    <row r="341" ht="18">
      <c r="H341" s="84"/>
    </row>
    <row r="342" ht="18">
      <c r="H342" s="84"/>
    </row>
    <row r="343" ht="18">
      <c r="H343" s="84"/>
    </row>
    <row r="344" ht="18">
      <c r="H344" s="84"/>
    </row>
    <row r="345" ht="18">
      <c r="H345" s="84"/>
    </row>
    <row r="346" ht="18">
      <c r="H346" s="84"/>
    </row>
  </sheetData>
  <sheetProtection/>
  <mergeCells count="40">
    <mergeCell ref="A238:C238"/>
    <mergeCell ref="F236:G236"/>
    <mergeCell ref="H11:H12"/>
    <mergeCell ref="G11:G12"/>
    <mergeCell ref="F11:F12"/>
    <mergeCell ref="A8:J8"/>
    <mergeCell ref="D11:D12"/>
    <mergeCell ref="J11:J12"/>
    <mergeCell ref="A11:A12"/>
    <mergeCell ref="C11:C12"/>
    <mergeCell ref="K136:K162"/>
    <mergeCell ref="A243:C243"/>
    <mergeCell ref="A9:J9"/>
    <mergeCell ref="F234:G234"/>
    <mergeCell ref="A242:B242"/>
    <mergeCell ref="F237:G237"/>
    <mergeCell ref="K163:K184"/>
    <mergeCell ref="K185:K202"/>
    <mergeCell ref="K203:K223"/>
    <mergeCell ref="K224:K242"/>
    <mergeCell ref="K1:K22"/>
    <mergeCell ref="F5:J5"/>
    <mergeCell ref="I238:J238"/>
    <mergeCell ref="A239:C239"/>
    <mergeCell ref="F239:G239"/>
    <mergeCell ref="K23:K48"/>
    <mergeCell ref="K49:K70"/>
    <mergeCell ref="K71:K93"/>
    <mergeCell ref="K94:K117"/>
    <mergeCell ref="K118:K135"/>
    <mergeCell ref="F3:J3"/>
    <mergeCell ref="A241:B241"/>
    <mergeCell ref="G238:H238"/>
    <mergeCell ref="F1:J1"/>
    <mergeCell ref="F2:J2"/>
    <mergeCell ref="F4:J4"/>
    <mergeCell ref="B11:B12"/>
    <mergeCell ref="I11:I12"/>
    <mergeCell ref="E11:E12"/>
    <mergeCell ref="F235:G235"/>
  </mergeCells>
  <printOptions horizontalCentered="1"/>
  <pageMargins left="0.3937007874015748" right="0.3937007874015748" top="1.3779527559055118" bottom="0.3937007874015748" header="0.4330708661417323" footer="0.1968503937007874"/>
  <pageSetup fitToHeight="12" fitToWidth="1" horizontalDpi="600" verticalDpi="600" orientation="landscape" paperSize="9" scale="57" r:id="rId1"/>
  <headerFooter alignWithMargins="0">
    <oddFooter>&amp;R&amp;"Times New Roman,обычный"&amp;18Сторінка &amp;P</oddFooter>
  </headerFooter>
  <rowBreaks count="1" manualBreakCount="1">
    <brk id="2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Nelya11</cp:lastModifiedBy>
  <cp:lastPrinted>2016-12-29T13:20:22Z</cp:lastPrinted>
  <dcterms:created xsi:type="dcterms:W3CDTF">2011-11-24T09:09:31Z</dcterms:created>
  <dcterms:modified xsi:type="dcterms:W3CDTF">2016-12-30T10:07:03Z</dcterms:modified>
  <cp:category/>
  <cp:version/>
  <cp:contentType/>
  <cp:contentStatus/>
</cp:coreProperties>
</file>