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50" windowWidth="9720" windowHeight="13080" activeTab="0"/>
  </bookViews>
  <sheets>
    <sheet name="програма 2016 (точно) " sheetId="1" r:id="rId1"/>
  </sheets>
  <definedNames>
    <definedName name="_xlnm.Print_Area" localSheetId="0">'програма 2016 (точно) '!$A$1:$L$120</definedName>
  </definedNames>
  <calcPr fullCalcOnLoad="1"/>
</workbook>
</file>

<file path=xl/sharedStrings.xml><?xml version="1.0" encoding="utf-8"?>
<sst xmlns="http://schemas.openxmlformats.org/spreadsheetml/2006/main" count="209" uniqueCount="107">
  <si>
    <t>Мета, завдання, КТКВК</t>
  </si>
  <si>
    <t>у тому числі кошти міського бюджету</t>
  </si>
  <si>
    <t>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</si>
  <si>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</si>
  <si>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</si>
  <si>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</si>
  <si>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</si>
  <si>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>відповідальні виконавці</t>
  </si>
  <si>
    <t>2016 рік (план)</t>
  </si>
  <si>
    <t>2018 рік (прогноз)</t>
  </si>
  <si>
    <t>Джерела фінансу-вання</t>
  </si>
  <si>
    <t>2017 рік (прогноз)</t>
  </si>
  <si>
    <t>Сумський міський голова</t>
  </si>
  <si>
    <t>О.М.Лисенко</t>
  </si>
  <si>
    <t xml:space="preserve">Виконавець: </t>
  </si>
  <si>
    <t>КТКВК 090412</t>
  </si>
  <si>
    <r>
      <t>Підпрограма 2. Соціальні гарантії громадянам міста.</t>
    </r>
    <r>
      <rPr>
        <i/>
        <sz val="12"/>
        <rFont val="Times New Roman"/>
        <family val="1"/>
      </rPr>
      <t xml:space="preserve"> </t>
    </r>
  </si>
  <si>
    <t xml:space="preserve">Мета: Забезпечення надання соціальних гарантій, встановлених чинним законодавством та Сумською міською радою. </t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</si>
  <si>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</si>
  <si>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t>- громадянам міста, які опинилися в складних життєвих обставинах (надання  матеріальної допомоги);</t>
  </si>
  <si>
    <t>Міський бюджет</t>
  </si>
  <si>
    <t>- надання грошової допомоги на проведення поховання деяких категорій осіб;</t>
  </si>
  <si>
    <t>- дітям загиблих при виконанні службового обов'язку під час проведення антитерористичної операції (надання одноразової матеріальної допомоги);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</si>
  <si>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</si>
  <si>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t>- особам, яким виповнюється 100 років (надання одноразової грошової допомоги);</t>
  </si>
  <si>
    <t>- сім'ям загиблих або померлих військовослужбовців, мешканців міста Суми (надання одноразової матеріальної допомоги на виготовлення, встановлення намогильної споруди та елементів благоустрою на могилах);</t>
  </si>
  <si>
    <t>- добровольцям - учасникам антитерористичної операції, мешканцям міста Суми (надання разової грошової допомоги);</t>
  </si>
  <si>
    <t xml:space="preserve"> -  громадянам, які постраждали внаслідок Чорнобильської катастрофи категорії 1 та дітям-інвалідам, захворювання яких пов’язане з Чорнобильською катастрофою-мешканцям міста Суми (надання одноразової матеріальної допомоги до 30-х роковин Чорнобильської катастрофи);</t>
  </si>
  <si>
    <t>______________  Масік Т.О.</t>
  </si>
  <si>
    <t>- матерям дітей  віком до 7 років, батьки яких загинули під час антитерористичної операції (надання одноразової матеріальної допомоги для покриття витрат пов'язаних з перебуванням матері у Дитячому оздоровчому центрі "Червона гвоздика");</t>
  </si>
  <si>
    <t>ДСЗН Сумської міської ради</t>
  </si>
  <si>
    <t>- сім'ям загиблих при виконанні службового обов'язку або померлих в період проходження військової служби під час проведення антитерористичної операції (надання матеріальної допомоги на доукомплектування намогильних споруд);</t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</si>
  <si>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</si>
  <si>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t>- Почесним громадянам міста Суми (щорічне безплатне санаторно – курортне лікування);</t>
  </si>
  <si>
    <t>- Почесним громадянам міста Суми (виплата щомісячної грошової винагороди);</t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</si>
  <si>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</si>
  <si>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t>- громадянам, яким виповнилося 100 і більше років – мешканцям міста Суми (щомісячна стипендія);</t>
  </si>
  <si>
    <t>- одиноким громадянам похилого віку, інвалідам (благодійні обіди);</t>
  </si>
  <si>
    <t>- особам з обмеженими фізичними можливостями (оплата послуг з доступу до інформаційної мережі Інтернет);</t>
  </si>
  <si>
    <t>- інваліду 1 групи з дитинства, майстру спорту України з пауерліфтингу та армспорту, Чемпіону України та Європи з пауерліфтингу Педоренку М.М. (щомісячна стипендія);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</si>
  <si>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</si>
  <si>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КТКВК 091207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</si>
  <si>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</si>
  <si>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</si>
  <si>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 і природного газу:</t>
    </r>
  </si>
  <si>
    <t>- Почесним громадянам міста Суми (100 % пільги);</t>
  </si>
  <si>
    <t>- Почесним донорам України -мешканцям міста Суми                 (25 % пільги);</t>
  </si>
  <si>
    <t>- сім'ям інвалідів І-ІІ груп по зору - мешканцям міста Суми (50 % пільги);</t>
  </si>
  <si>
    <t>- сім'ям добровольців - учасників антитерористичної операції - мешканцям міста Суми (75% пільги).</t>
  </si>
  <si>
    <t>КТКВК 250380</t>
  </si>
  <si>
    <t>Підпрограма 13.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користування.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</si>
  <si>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користування.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</si>
  <si>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</si>
  <si>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r>
      <t xml:space="preserve">Завдання 2.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учасників  антитерористичної операції автомобільним транспортом на автобусних маршрутах загального користування в Сумській області.</t>
    </r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</si>
  <si>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</si>
  <si>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t>КТКВК 070201</t>
  </si>
  <si>
    <t>Управління освіти і науки Сумської міської ради</t>
  </si>
  <si>
    <t>КТКВК 070101</t>
  </si>
  <si>
    <t>КТКВК 091212</t>
  </si>
  <si>
    <t>Підпрограма 11. Інформування мешканців міста Суми про прийняте рішення про призначення (непризначення) житлової субсидії.</t>
  </si>
  <si>
    <t>Мета: Довести до відома заявників - мешканців міста Суми інформацію про прийняте управлінням соціального захисту населення Сумської міської ради рішення про призначення (непризначення) житлової субсидії.</t>
  </si>
  <si>
    <r>
      <t xml:space="preserve">Завдання 1. </t>
    </r>
    <r>
      <rPr>
        <sz val="10"/>
        <rFont val="Times New Roman"/>
        <family val="1"/>
      </rPr>
      <t>Письмово проінформувати заявників - мешканців міста про прийняте рішення про призначення (непризначення) житлової субсидії.</t>
    </r>
  </si>
  <si>
    <t>Підпрограма 12. Надання пільг, встановлених чинним законодавством</t>
  </si>
  <si>
    <t xml:space="preserve">Мета: забезпечення надання пільг окремим категоріям громадян з оплати послуг зв’язку, проїзду, безоплатного поховання і спорудження на могилі надгробка, компенсації витрат на автомобільне паливо </t>
  </si>
  <si>
    <t>КТКВК 090209</t>
  </si>
  <si>
    <r>
      <t>Завдання 3. З</t>
    </r>
    <r>
      <rPr>
        <sz val="10"/>
        <rFont val="Times New Roman"/>
        <family val="1"/>
      </rPr>
      <t>абезпечення надання інших передбачених законодавством пільг громадянам, які постраждали внаслідок Чорнобильської катастрофи.</t>
    </r>
  </si>
  <si>
    <t>КТКВК 090214</t>
  </si>
  <si>
    <r>
      <t xml:space="preserve">Завдання 4. </t>
    </r>
    <r>
      <rPr>
        <sz val="10"/>
        <rFont val="Times New Roman"/>
        <family val="1"/>
      </rPr>
      <t xml:space="preserve">Забезпечення надання пільг з послуг зв’язку. </t>
    </r>
  </si>
  <si>
    <t>КТКВК 090203</t>
  </si>
  <si>
    <r>
      <t xml:space="preserve">Завдання 5. </t>
    </r>
    <r>
      <rPr>
        <sz val="10"/>
        <rFont val="Times New Roman"/>
        <family val="1"/>
      </rPr>
      <t>Забезпечення надання інших пільг ветеранам війни, особам, на яких поширюється чинність Закону України «Про статус ветеранів війни, гарантії їх соціального захисту», особам, які мають особливі трудові заслуги перед Батьківщиною:</t>
    </r>
  </si>
  <si>
    <t xml:space="preserve"> - особам, які мають особливі заслуги перед Батьківщиною (компенсація витрат на автомобільне паливо); </t>
  </si>
  <si>
    <t xml:space="preserve"> - забезпечення поховання осіб, які мають особливі або особливі трудові заслуги перед Батьківщиною та спорудження надгробків;</t>
  </si>
  <si>
    <t xml:space="preserve"> - інвалідам війни та учасникам бойових дій (надання пільг на проїзд на залізничному транспорті у міжміському сполученні).</t>
  </si>
  <si>
    <t>Додаток 21</t>
  </si>
  <si>
    <t>від ___ листопада  2016 року № ______ - МР</t>
  </si>
  <si>
    <t xml:space="preserve"> -  громадянам, які постраждали внаслідок Чорнобильської катастрофи категорії 2 - мешканцям міста Суми (надання одноразової матеріальної допомоги до 30-х роковин Чорнобильської катастрофи).</t>
  </si>
  <si>
    <t xml:space="preserve">  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матеріальної допомоги на проведення благоустрою місця поховання);</t>
  </si>
  <si>
    <t xml:space="preserve"> - учасникам антитерористичної операції, сім'ям загиблих при виконанні службового обов’язку або померлих в період проходження військової служби під час проведення антитерористичної операції мешканцям міста Суми (надання матеріальної допомоги);</t>
  </si>
  <si>
    <t>КТКВК 090416</t>
  </si>
  <si>
    <r>
      <t>Підпрограма 5. Соціальні пільги та гарантії громадянам, які мають заслуги перед містом та сім'ям загиблих.</t>
    </r>
    <r>
      <rPr>
        <i/>
        <sz val="12"/>
        <rFont val="Times New Roman"/>
        <family val="1"/>
      </rPr>
      <t xml:space="preserve"> </t>
    </r>
  </si>
  <si>
    <t xml:space="preserve">Мета: Встановлення додаткових пільг, забезпечення належного соціального захисту окремих категорій громадян міста. 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</si>
  <si>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</si>
  <si>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t>- сім’ям загиблих в Афганістані воїнів-інтернаціоналістів                          (50 % пільги, а у разі втрати права на отримання пільг за рахунок коштів державного бюджету - 100% пільги);</t>
  </si>
  <si>
    <t>- сім'ям загиблих під час проведення антитерористичної операції мешканців міста Суми (50 % пільги, а у разі втрати права на отримання пільг за рахунок коштів державного бюджету - 100% пільги);</t>
  </si>
  <si>
    <t>- батькам загиблого мешканця міста Суми - Героя України, смерть якого пов'язана з участю в масових акціях громадського протесту, що відбулися у період з 21 листопада 2013 року по 21 лютого 2014 року.</t>
  </si>
  <si>
    <t>Підпрограма 8.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Афганістані.</t>
  </si>
  <si>
    <t>Підпрограма 9. Соціальна підтримка учнів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Афганістані.</t>
  </si>
  <si>
    <t>Продовження додатка 21</t>
  </si>
  <si>
    <t xml:space="preserve"> - Манько І.О. (цільова матеріальна допомога  на придбання системи кохлеарної імплантації для дитини-інваліда Манько Данііла)</t>
  </si>
  <si>
    <t>до рішення Сумської міської програми  "Про внесення змін до рішення Сумської міської ради від 24 грудня 2015 року № 148-МР "Про затвердження міської програми "Місто Суми - територія добра та милосердя" на 2016-2018 роки" (зі змінами)</t>
  </si>
  <si>
    <t>- сім’ям, в яких виховуються онкохворі діти - мешканцям міста Суми (50 % пільги);</t>
  </si>
  <si>
    <t>- інвалідам з дитинства I - II групи та дітям-інвалідам з діагнозом ДЦП - мешканцям міста Суми (50 % пільги);</t>
  </si>
  <si>
    <t>- сім’ям учасників антитерористичної операції (100% пільги   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</si>
  <si>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Всього на виконання підпрограми:</t>
  </si>
  <si>
    <t>Всього на виконання програми:</t>
  </si>
  <si>
    <t>Мета: забезпечення надання соціальних гарантій вихованцям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Афганістані.</t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</si>
  <si>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</si>
  <si>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</si>
  <si>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3. </t>
    </r>
    <r>
      <rPr>
        <sz val="10"/>
        <rFont val="Times New Roman"/>
        <family val="1"/>
      </rPr>
      <t>Забезпечити безкоштовним харчуванням дітей раннього віку дошкільних навчальних закладів, батьки яких є учасниками бойових дій в Афганістані.</t>
    </r>
  </si>
  <si>
    <r>
      <t xml:space="preserve">Завдання 4. </t>
    </r>
    <r>
      <rPr>
        <sz val="10"/>
        <rFont val="Times New Roman"/>
        <family val="1"/>
      </rPr>
      <t>Забезпечити безкоштовним харчуванням дітей дошкільного віку дошкільних навчальних закладів, батьки яких є учасниками бойових дій в Афганістані.</t>
    </r>
  </si>
  <si>
    <t>Мета: забезпечення надання соціальних гарантій учням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Афганістані.</t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</si>
  <si>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 учнів загальноосвітніх навчальних закладів, батьки яких безпосередньо беруть, брали участь у проведенні антитерористичної операції або занинули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</si>
  <si>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 учнів загальноосвітніх навчальних закладів, батьки яких є учасниками бойових дій в Афганістані.</t>
    </r>
  </si>
  <si>
    <t>Перелік завдань міської програми  «Місто Суми - територія добра та милосердя» на 2016-2018 роки»</t>
  </si>
  <si>
    <t xml:space="preserve">- відшкодування витрат КП "Спеціалізований комбінат" за організацію та проведення поховання померлого Героя Радянського Союзу, Почесного громадянина міста Суми Батєхи В.О. </t>
  </si>
  <si>
    <t>- відшкодування витрат КП громадського харчування Сумської обласної ради за послуги по обслуговуванню поминального обіду за померлим Героєм Радянського Союзу, Почесним громадянином міста Суми             Батєхою В.О.</t>
  </si>
  <si>
    <t xml:space="preserve">- відшкодування витрат КП "Спеціалізований комбінат" та ПП Лорд за організацію та проведення поховання померлого Почесного громадянина міста Суми Кравченка О.Й.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</si>
</sst>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0.0"/>
  </numFmts>
  <fonts count="6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2"/>
      <color indexed="12"/>
      <name val="Arial"/>
      <family val="2"/>
    </font>
    <font>
      <sz val="14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12" fillId="0" borderId="0" xfId="0" applyNumberFormat="1" applyFont="1" applyFill="1" applyAlignment="1">
      <alignment horizontal="center" vertical="center" textRotation="180"/>
    </xf>
    <xf numFmtId="0" fontId="0" fillId="0" borderId="0" xfId="0" applyNumberForma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justify" textRotation="180" wrapText="1"/>
    </xf>
    <xf numFmtId="0" fontId="11" fillId="0" borderId="0" xfId="0" applyFont="1" applyFill="1" applyBorder="1" applyAlignment="1">
      <alignment horizontal="right" vertical="justify" textRotation="180" wrapText="1"/>
    </xf>
    <xf numFmtId="0" fontId="1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4" fontId="0" fillId="0" borderId="0" xfId="0" applyNumberForma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textRotation="180"/>
    </xf>
    <xf numFmtId="0" fontId="1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textRotation="180" wrapText="1"/>
    </xf>
    <xf numFmtId="0" fontId="7" fillId="0" borderId="0" xfId="0" applyFont="1" applyFill="1" applyBorder="1" applyAlignment="1">
      <alignment textRotation="2" wrapText="1"/>
    </xf>
    <xf numFmtId="4" fontId="6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top"/>
    </xf>
    <xf numFmtId="0" fontId="6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left" vertical="top"/>
    </xf>
    <xf numFmtId="0" fontId="2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255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 shrinkToFit="1"/>
    </xf>
    <xf numFmtId="0" fontId="23" fillId="0" borderId="0" xfId="0" applyFont="1" applyFill="1" applyAlignment="1">
      <alignment horizontal="center" textRotation="180"/>
    </xf>
    <xf numFmtId="49" fontId="24" fillId="0" borderId="0" xfId="0" applyNumberFormat="1" applyFont="1" applyFill="1" applyAlignment="1">
      <alignment horizontal="center" vertical="center" textRotation="180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5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0" fontId="16" fillId="0" borderId="10" xfId="0" applyFont="1" applyFill="1" applyBorder="1" applyAlignment="1">
      <alignment wrapText="1"/>
    </xf>
    <xf numFmtId="2" fontId="1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justify" vertical="center"/>
    </xf>
    <xf numFmtId="49" fontId="1" fillId="0" borderId="0" xfId="0" applyNumberFormat="1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/>
    </xf>
    <xf numFmtId="4" fontId="13" fillId="0" borderId="1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0"/>
  <sheetViews>
    <sheetView tabSelected="1" zoomScaleSheetLayoutView="100" workbookViewId="0" topLeftCell="A109">
      <selection activeCell="C131" sqref="C131"/>
    </sheetView>
  </sheetViews>
  <sheetFormatPr defaultColWidth="9.140625" defaultRowHeight="12.75"/>
  <cols>
    <col min="1" max="1" width="47.421875" style="5" customWidth="1"/>
    <col min="2" max="2" width="10.421875" style="5" customWidth="1"/>
    <col min="3" max="3" width="15.8515625" style="5" customWidth="1"/>
    <col min="4" max="4" width="15.57421875" style="5" customWidth="1"/>
    <col min="5" max="5" width="14.421875" style="5" customWidth="1"/>
    <col min="6" max="6" width="16.421875" style="6" customWidth="1"/>
    <col min="7" max="7" width="16.00390625" style="6" bestFit="1" customWidth="1"/>
    <col min="8" max="8" width="13.140625" style="6" customWidth="1"/>
    <col min="9" max="9" width="16.7109375" style="6" customWidth="1"/>
    <col min="10" max="10" width="15.8515625" style="6" customWidth="1"/>
    <col min="11" max="11" width="14.00390625" style="6" customWidth="1"/>
    <col min="12" max="12" width="14.00390625" style="5" customWidth="1"/>
    <col min="13" max="16384" width="9.140625" style="5" customWidth="1"/>
  </cols>
  <sheetData>
    <row r="1" spans="1:12" s="8" customFormat="1" ht="16.5">
      <c r="A1" s="10"/>
      <c r="B1" s="10"/>
      <c r="C1" s="10"/>
      <c r="D1" s="10"/>
      <c r="E1" s="10"/>
      <c r="F1" s="11"/>
      <c r="G1" s="11"/>
      <c r="H1" s="11"/>
      <c r="I1" s="108" t="s">
        <v>73</v>
      </c>
      <c r="J1" s="108"/>
      <c r="K1" s="108"/>
      <c r="L1" s="2"/>
    </row>
    <row r="2" spans="6:12" s="8" customFormat="1" ht="114.75" customHeight="1">
      <c r="F2" s="11"/>
      <c r="G2" s="11"/>
      <c r="H2" s="11"/>
      <c r="I2" s="109" t="s">
        <v>89</v>
      </c>
      <c r="J2" s="109"/>
      <c r="K2" s="109"/>
      <c r="L2" s="109"/>
    </row>
    <row r="3" spans="6:12" s="8" customFormat="1" ht="22.5" customHeight="1">
      <c r="F3" s="11"/>
      <c r="G3" s="11"/>
      <c r="H3" s="11"/>
      <c r="I3" s="14" t="s">
        <v>74</v>
      </c>
      <c r="J3" s="15"/>
      <c r="K3" s="15"/>
      <c r="L3" s="16"/>
    </row>
    <row r="4" spans="6:11" s="8" customFormat="1" ht="15.75">
      <c r="F4" s="11"/>
      <c r="G4" s="11"/>
      <c r="H4" s="11"/>
      <c r="I4" s="13"/>
      <c r="J4" s="13"/>
      <c r="K4" s="13"/>
    </row>
    <row r="5" spans="3:11" s="8" customFormat="1" ht="12.75">
      <c r="C5" s="9"/>
      <c r="D5" s="9"/>
      <c r="E5" s="9"/>
      <c r="F5" s="12"/>
      <c r="G5" s="12"/>
      <c r="H5" s="12"/>
      <c r="I5" s="12"/>
      <c r="J5" s="12"/>
      <c r="K5" s="12"/>
    </row>
    <row r="6" spans="1:12" s="8" customFormat="1" ht="31.5" customHeight="1">
      <c r="A6" s="110" t="s">
        <v>103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s="8" customFormat="1" ht="15.75">
      <c r="A7" s="3" t="s">
        <v>3</v>
      </c>
      <c r="F7" s="11"/>
      <c r="G7" s="11"/>
      <c r="H7" s="11"/>
      <c r="I7" s="11"/>
      <c r="J7" s="11"/>
      <c r="K7" s="11"/>
      <c r="L7" s="89" t="s">
        <v>2</v>
      </c>
    </row>
    <row r="8" spans="1:12" s="8" customFormat="1" ht="18.75" customHeight="1">
      <c r="A8" s="101" t="s">
        <v>0</v>
      </c>
      <c r="B8" s="101" t="s">
        <v>10</v>
      </c>
      <c r="C8" s="103" t="s">
        <v>8</v>
      </c>
      <c r="D8" s="103"/>
      <c r="E8" s="103"/>
      <c r="F8" s="103" t="s">
        <v>11</v>
      </c>
      <c r="G8" s="103"/>
      <c r="H8" s="103"/>
      <c r="I8" s="103" t="s">
        <v>9</v>
      </c>
      <c r="J8" s="103"/>
      <c r="K8" s="103"/>
      <c r="L8" s="101" t="s">
        <v>7</v>
      </c>
    </row>
    <row r="9" spans="1:12" s="8" customFormat="1" ht="33" customHeight="1">
      <c r="A9" s="101"/>
      <c r="B9" s="101"/>
      <c r="C9" s="104" t="s">
        <v>4</v>
      </c>
      <c r="D9" s="101" t="s">
        <v>1</v>
      </c>
      <c r="E9" s="101"/>
      <c r="F9" s="104" t="s">
        <v>4</v>
      </c>
      <c r="G9" s="101" t="s">
        <v>1</v>
      </c>
      <c r="H9" s="101"/>
      <c r="I9" s="104" t="s">
        <v>4</v>
      </c>
      <c r="J9" s="101" t="s">
        <v>1</v>
      </c>
      <c r="K9" s="101"/>
      <c r="L9" s="101"/>
    </row>
    <row r="10" spans="1:12" s="8" customFormat="1" ht="72" customHeight="1">
      <c r="A10" s="101"/>
      <c r="B10" s="101"/>
      <c r="C10" s="105"/>
      <c r="D10" s="18" t="s">
        <v>5</v>
      </c>
      <c r="E10" s="18" t="s">
        <v>6</v>
      </c>
      <c r="F10" s="105"/>
      <c r="G10" s="18" t="s">
        <v>5</v>
      </c>
      <c r="H10" s="18" t="s">
        <v>6</v>
      </c>
      <c r="I10" s="105"/>
      <c r="J10" s="18" t="s">
        <v>5</v>
      </c>
      <c r="K10" s="18" t="s">
        <v>6</v>
      </c>
      <c r="L10" s="101"/>
    </row>
    <row r="11" spans="1:12" ht="14.25" customHeight="1">
      <c r="A11" s="56">
        <v>1</v>
      </c>
      <c r="B11" s="56">
        <v>2</v>
      </c>
      <c r="C11" s="56">
        <v>3</v>
      </c>
      <c r="D11" s="56">
        <v>4</v>
      </c>
      <c r="E11" s="56">
        <v>5</v>
      </c>
      <c r="F11" s="56">
        <v>6</v>
      </c>
      <c r="G11" s="56">
        <v>7</v>
      </c>
      <c r="H11" s="56">
        <v>8</v>
      </c>
      <c r="I11" s="56">
        <v>9</v>
      </c>
      <c r="J11" s="57">
        <v>10</v>
      </c>
      <c r="K11" s="57">
        <v>11</v>
      </c>
      <c r="L11" s="57">
        <v>12</v>
      </c>
    </row>
    <row r="12" spans="1:12" ht="33.75" customHeight="1">
      <c r="A12" s="87" t="s">
        <v>94</v>
      </c>
      <c r="B12" s="67"/>
      <c r="C12" s="4">
        <f>+D12+E12+35000</f>
        <v>30755582</v>
      </c>
      <c r="D12" s="4">
        <f>+D16+D51+D65+D73+D83+D90+D93+D109+831800+256500+500000+260900</f>
        <v>29973582</v>
      </c>
      <c r="E12" s="4">
        <f>747000</f>
        <v>747000</v>
      </c>
      <c r="F12" s="4">
        <f>+G12+H12+38640</f>
        <v>8246214</v>
      </c>
      <c r="G12" s="4">
        <f>+G16+G51+G65+G73+G83+G93+G90+G109+918307+283176+552000</f>
        <v>8207574</v>
      </c>
      <c r="H12" s="4">
        <v>0</v>
      </c>
      <c r="I12" s="4">
        <f>J12+41538</f>
        <v>8864681</v>
      </c>
      <c r="J12" s="4">
        <f>+J16+J51+J65+J73+J83+J93+J90+J109+987180+304414+593400</f>
        <v>8823143</v>
      </c>
      <c r="K12" s="4">
        <v>0</v>
      </c>
      <c r="L12" s="70"/>
    </row>
    <row r="13" spans="1:12" s="11" customFormat="1" ht="22.5" customHeight="1">
      <c r="A13" s="96" t="s">
        <v>15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1:12" s="11" customFormat="1" ht="24" customHeight="1">
      <c r="A14" s="106" t="s">
        <v>16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1:12" s="11" customFormat="1" ht="21.75" customHeight="1">
      <c r="A15" s="107" t="s">
        <v>17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</row>
    <row r="16" spans="1:12" s="11" customFormat="1" ht="24.75" customHeight="1">
      <c r="A16" s="87" t="s">
        <v>93</v>
      </c>
      <c r="B16" s="17"/>
      <c r="C16" s="1">
        <f>D16+E16</f>
        <v>6876235</v>
      </c>
      <c r="D16" s="1">
        <f>D17+D34+124140+97047+15000</f>
        <v>6876235</v>
      </c>
      <c r="E16" s="1">
        <v>0</v>
      </c>
      <c r="F16" s="1">
        <f>+G16</f>
        <v>3306498</v>
      </c>
      <c r="G16" s="1">
        <f>G17+G34+137051+16560</f>
        <v>3306498</v>
      </c>
      <c r="H16" s="4">
        <v>0</v>
      </c>
      <c r="I16" s="1">
        <f>+J16</f>
        <v>3554487</v>
      </c>
      <c r="J16" s="1">
        <f>J17+J34+147330+17802</f>
        <v>3554487</v>
      </c>
      <c r="K16" s="4">
        <v>0</v>
      </c>
      <c r="L16" s="71"/>
    </row>
    <row r="17" spans="1:12" ht="28.5" customHeight="1">
      <c r="A17" s="72" t="s">
        <v>18</v>
      </c>
      <c r="B17" s="17"/>
      <c r="C17" s="1">
        <f aca="true" t="shared" si="0" ref="C17:C28">D17+E17</f>
        <v>6237232</v>
      </c>
      <c r="D17" s="1">
        <f>SUM(D18,D19,D20,D21,D22,D26,D27,D28,D29,D30,D31,D33,D32)</f>
        <v>6237232</v>
      </c>
      <c r="E17" s="1">
        <f>SUM(E18:E19)</f>
        <v>0</v>
      </c>
      <c r="F17" s="4">
        <f aca="true" t="shared" si="1" ref="F17:K17">+SUM(F18,F19,F20,F22)</f>
        <v>2771924</v>
      </c>
      <c r="G17" s="4">
        <f t="shared" si="1"/>
        <v>2771924</v>
      </c>
      <c r="H17" s="4">
        <f t="shared" si="1"/>
        <v>0</v>
      </c>
      <c r="I17" s="4">
        <f t="shared" si="1"/>
        <v>2979819</v>
      </c>
      <c r="J17" s="4">
        <f t="shared" si="1"/>
        <v>2979819</v>
      </c>
      <c r="K17" s="4">
        <f t="shared" si="1"/>
        <v>0</v>
      </c>
      <c r="L17" s="71"/>
    </row>
    <row r="18" spans="1:12" ht="42.75" customHeight="1">
      <c r="A18" s="73" t="s">
        <v>19</v>
      </c>
      <c r="B18" s="18" t="s">
        <v>20</v>
      </c>
      <c r="C18" s="1">
        <f t="shared" si="0"/>
        <v>2190000</v>
      </c>
      <c r="D18" s="19">
        <f>1690000+500000</f>
        <v>2190000</v>
      </c>
      <c r="E18" s="19">
        <v>0</v>
      </c>
      <c r="F18" s="4">
        <f>+G18+H18</f>
        <v>2417760</v>
      </c>
      <c r="G18" s="20">
        <f>ROUND(D18*1.104,0)</f>
        <v>2417760</v>
      </c>
      <c r="H18" s="19">
        <v>0</v>
      </c>
      <c r="I18" s="1">
        <f>J18+K18</f>
        <v>2599092</v>
      </c>
      <c r="J18" s="20">
        <f>ROUND(G18*1.075,0)</f>
        <v>2599092</v>
      </c>
      <c r="K18" s="19">
        <v>0</v>
      </c>
      <c r="L18" s="29" t="s">
        <v>23</v>
      </c>
    </row>
    <row r="19" spans="1:12" ht="38.25" customHeight="1">
      <c r="A19" s="74" t="s">
        <v>21</v>
      </c>
      <c r="B19" s="18" t="s">
        <v>20</v>
      </c>
      <c r="C19" s="1">
        <f t="shared" si="0"/>
        <v>316773</v>
      </c>
      <c r="D19" s="19">
        <f>115770+201003</f>
        <v>316773</v>
      </c>
      <c r="E19" s="19">
        <v>0</v>
      </c>
      <c r="F19" s="4">
        <f>+G19+H19</f>
        <v>349717</v>
      </c>
      <c r="G19" s="20">
        <f>ROUND(D19*1.104,0)</f>
        <v>349717</v>
      </c>
      <c r="H19" s="19">
        <v>0</v>
      </c>
      <c r="I19" s="1">
        <f>J19+K19</f>
        <v>375946</v>
      </c>
      <c r="J19" s="20">
        <f>ROUND(G19*1.075,0)</f>
        <v>375946</v>
      </c>
      <c r="K19" s="19">
        <v>0</v>
      </c>
      <c r="L19" s="29" t="s">
        <v>23</v>
      </c>
    </row>
    <row r="20" spans="1:12" ht="72" customHeight="1">
      <c r="A20" s="76" t="s">
        <v>77</v>
      </c>
      <c r="B20" s="18" t="s">
        <v>20</v>
      </c>
      <c r="C20" s="4">
        <f t="shared" si="0"/>
        <v>1087970</v>
      </c>
      <c r="D20" s="20">
        <f>957060+96460+34450</f>
        <v>1087970</v>
      </c>
      <c r="E20" s="25">
        <v>0</v>
      </c>
      <c r="F20" s="4">
        <v>0</v>
      </c>
      <c r="G20" s="20">
        <v>0</v>
      </c>
      <c r="H20" s="19">
        <v>0</v>
      </c>
      <c r="I20" s="1">
        <v>0</v>
      </c>
      <c r="J20" s="20">
        <v>0</v>
      </c>
      <c r="K20" s="19">
        <v>0</v>
      </c>
      <c r="L20" s="29" t="s">
        <v>23</v>
      </c>
    </row>
    <row r="21" spans="1:12" ht="45.75" customHeight="1">
      <c r="A21" s="73" t="s">
        <v>22</v>
      </c>
      <c r="B21" s="18" t="s">
        <v>20</v>
      </c>
      <c r="C21" s="4">
        <f>D21+E21</f>
        <v>150000</v>
      </c>
      <c r="D21" s="20">
        <v>150000</v>
      </c>
      <c r="E21" s="25">
        <v>0</v>
      </c>
      <c r="F21" s="4">
        <v>0</v>
      </c>
      <c r="G21" s="20">
        <v>0</v>
      </c>
      <c r="H21" s="19">
        <v>0</v>
      </c>
      <c r="I21" s="1">
        <v>0</v>
      </c>
      <c r="J21" s="20">
        <v>0</v>
      </c>
      <c r="K21" s="19">
        <v>0</v>
      </c>
      <c r="L21" s="29" t="s">
        <v>23</v>
      </c>
    </row>
    <row r="22" spans="1:12" ht="41.25" customHeight="1">
      <c r="A22" s="73" t="s">
        <v>24</v>
      </c>
      <c r="B22" s="18" t="s">
        <v>20</v>
      </c>
      <c r="C22" s="4">
        <f>D22+E22</f>
        <v>4028</v>
      </c>
      <c r="D22" s="20">
        <v>4028</v>
      </c>
      <c r="E22" s="20">
        <v>0</v>
      </c>
      <c r="F22" s="4">
        <f>+G22+H22</f>
        <v>4447</v>
      </c>
      <c r="G22" s="20">
        <f>ROUND(D22*1.104,0)</f>
        <v>4447</v>
      </c>
      <c r="H22" s="19">
        <v>0</v>
      </c>
      <c r="I22" s="1">
        <f>J22+K22</f>
        <v>4781</v>
      </c>
      <c r="J22" s="20">
        <f>ROUND(G22*1.075,0)</f>
        <v>4781</v>
      </c>
      <c r="K22" s="19">
        <v>0</v>
      </c>
      <c r="L22" s="29" t="s">
        <v>23</v>
      </c>
    </row>
    <row r="23" spans="1:12" ht="3.75" customHeight="1">
      <c r="A23" s="90"/>
      <c r="B23" s="22"/>
      <c r="C23" s="23"/>
      <c r="D23" s="24"/>
      <c r="E23" s="24"/>
      <c r="F23" s="23"/>
      <c r="G23" s="24"/>
      <c r="H23" s="45"/>
      <c r="I23" s="44"/>
      <c r="J23" s="24"/>
      <c r="K23" s="45"/>
      <c r="L23" s="84"/>
    </row>
    <row r="24" spans="1:12" s="16" customFormat="1" ht="25.5" customHeight="1">
      <c r="A24" s="21"/>
      <c r="B24" s="22"/>
      <c r="C24" s="23"/>
      <c r="D24" s="24"/>
      <c r="E24" s="24"/>
      <c r="F24" s="23"/>
      <c r="G24" s="24"/>
      <c r="H24" s="24"/>
      <c r="I24" s="23"/>
      <c r="J24" s="93" t="s">
        <v>87</v>
      </c>
      <c r="K24" s="93"/>
      <c r="L24" s="93"/>
    </row>
    <row r="25" spans="1:12" s="16" customFormat="1" ht="18.75" customHeight="1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7">
        <v>10</v>
      </c>
      <c r="K25" s="57">
        <v>11</v>
      </c>
      <c r="L25" s="57">
        <v>12</v>
      </c>
    </row>
    <row r="26" spans="1:12" ht="60" customHeight="1">
      <c r="A26" s="73" t="s">
        <v>25</v>
      </c>
      <c r="B26" s="18" t="s">
        <v>20</v>
      </c>
      <c r="C26" s="4">
        <f t="shared" si="0"/>
        <v>190000</v>
      </c>
      <c r="D26" s="20">
        <f>130000+60000</f>
        <v>190000</v>
      </c>
      <c r="E26" s="20">
        <v>0</v>
      </c>
      <c r="F26" s="4">
        <f>G26+H26</f>
        <v>0</v>
      </c>
      <c r="G26" s="20">
        <v>0</v>
      </c>
      <c r="H26" s="19">
        <v>0</v>
      </c>
      <c r="I26" s="1">
        <f>J26+K26</f>
        <v>0</v>
      </c>
      <c r="J26" s="20">
        <v>0</v>
      </c>
      <c r="K26" s="19">
        <v>0</v>
      </c>
      <c r="L26" s="29" t="s">
        <v>23</v>
      </c>
    </row>
    <row r="27" spans="1:12" ht="42" customHeight="1">
      <c r="A27" s="73" t="s">
        <v>26</v>
      </c>
      <c r="B27" s="18" t="s">
        <v>20</v>
      </c>
      <c r="C27" s="4">
        <f t="shared" si="0"/>
        <v>3680</v>
      </c>
      <c r="D27" s="20">
        <v>3680</v>
      </c>
      <c r="E27" s="20">
        <v>0</v>
      </c>
      <c r="F27" s="4">
        <f>G27+H27</f>
        <v>0</v>
      </c>
      <c r="G27" s="20">
        <v>0</v>
      </c>
      <c r="H27" s="19">
        <v>0</v>
      </c>
      <c r="I27" s="1">
        <f>J27+K27</f>
        <v>0</v>
      </c>
      <c r="J27" s="20">
        <v>0</v>
      </c>
      <c r="K27" s="19">
        <v>0</v>
      </c>
      <c r="L27" s="29" t="s">
        <v>23</v>
      </c>
    </row>
    <row r="28" spans="1:12" ht="81.75" customHeight="1">
      <c r="A28" s="77" t="s">
        <v>27</v>
      </c>
      <c r="B28" s="18" t="s">
        <v>20</v>
      </c>
      <c r="C28" s="4">
        <f t="shared" si="0"/>
        <v>350611</v>
      </c>
      <c r="D28" s="20">
        <v>350611</v>
      </c>
      <c r="E28" s="20">
        <v>0</v>
      </c>
      <c r="F28" s="4">
        <f>G28+H28</f>
        <v>0</v>
      </c>
      <c r="G28" s="20">
        <v>0</v>
      </c>
      <c r="H28" s="19">
        <v>0</v>
      </c>
      <c r="I28" s="1">
        <f>J28+K28</f>
        <v>0</v>
      </c>
      <c r="J28" s="20">
        <v>0</v>
      </c>
      <c r="K28" s="19">
        <v>0</v>
      </c>
      <c r="L28" s="29" t="s">
        <v>23</v>
      </c>
    </row>
    <row r="29" spans="1:12" ht="69.75" customHeight="1">
      <c r="A29" s="78" t="s">
        <v>29</v>
      </c>
      <c r="B29" s="18" t="s">
        <v>20</v>
      </c>
      <c r="C29" s="1">
        <f>D29+E29</f>
        <v>27216</v>
      </c>
      <c r="D29" s="19">
        <v>27216</v>
      </c>
      <c r="E29" s="19">
        <v>0</v>
      </c>
      <c r="F29" s="1">
        <f>G29+H29</f>
        <v>0</v>
      </c>
      <c r="G29" s="19">
        <v>0</v>
      </c>
      <c r="H29" s="19">
        <v>0</v>
      </c>
      <c r="I29" s="1">
        <f>J29+K29</f>
        <v>0</v>
      </c>
      <c r="J29" s="19">
        <v>0</v>
      </c>
      <c r="K29" s="19">
        <v>0</v>
      </c>
      <c r="L29" s="29" t="s">
        <v>23</v>
      </c>
    </row>
    <row r="30" spans="1:15" s="16" customFormat="1" ht="64.5" customHeight="1">
      <c r="A30" s="73" t="s">
        <v>31</v>
      </c>
      <c r="B30" s="18" t="s">
        <v>20</v>
      </c>
      <c r="C30" s="1">
        <f>D30+E30</f>
        <v>19941</v>
      </c>
      <c r="D30" s="19">
        <v>19941</v>
      </c>
      <c r="E30" s="19">
        <v>0</v>
      </c>
      <c r="F30" s="4">
        <v>0</v>
      </c>
      <c r="G30" s="20">
        <v>0</v>
      </c>
      <c r="H30" s="19">
        <v>0</v>
      </c>
      <c r="I30" s="1">
        <v>0</v>
      </c>
      <c r="J30" s="20">
        <v>0</v>
      </c>
      <c r="K30" s="19">
        <v>0</v>
      </c>
      <c r="L30" s="29" t="s">
        <v>23</v>
      </c>
      <c r="M30" s="26"/>
      <c r="O30" s="27"/>
    </row>
    <row r="31" spans="1:13" s="16" customFormat="1" ht="109.5" customHeight="1">
      <c r="A31" s="30" t="s">
        <v>76</v>
      </c>
      <c r="B31" s="18" t="s">
        <v>20</v>
      </c>
      <c r="C31" s="1">
        <f>D31+E31</f>
        <v>1149360</v>
      </c>
      <c r="D31" s="19">
        <v>1149360</v>
      </c>
      <c r="E31" s="19">
        <v>0</v>
      </c>
      <c r="F31" s="4">
        <f>+G31+H31</f>
        <v>0</v>
      </c>
      <c r="G31" s="20">
        <v>0</v>
      </c>
      <c r="H31" s="19">
        <v>0</v>
      </c>
      <c r="I31" s="1">
        <f>J31+K31</f>
        <v>0</v>
      </c>
      <c r="J31" s="20">
        <v>0</v>
      </c>
      <c r="K31" s="19">
        <v>0</v>
      </c>
      <c r="L31" s="29" t="s">
        <v>30</v>
      </c>
      <c r="M31" s="28"/>
    </row>
    <row r="32" spans="1:13" s="16" customFormat="1" ht="46.5" customHeight="1">
      <c r="A32" s="30" t="s">
        <v>88</v>
      </c>
      <c r="B32" s="18" t="s">
        <v>20</v>
      </c>
      <c r="C32" s="1">
        <f>+D32</f>
        <v>375000</v>
      </c>
      <c r="D32" s="19">
        <v>375000</v>
      </c>
      <c r="E32" s="19">
        <v>0</v>
      </c>
      <c r="F32" s="4">
        <v>0</v>
      </c>
      <c r="G32" s="20">
        <v>0</v>
      </c>
      <c r="H32" s="19">
        <v>0</v>
      </c>
      <c r="I32" s="1">
        <v>0</v>
      </c>
      <c r="J32" s="20">
        <v>0</v>
      </c>
      <c r="K32" s="19">
        <v>0</v>
      </c>
      <c r="L32" s="29" t="s">
        <v>30</v>
      </c>
      <c r="M32" s="28"/>
    </row>
    <row r="33" spans="1:13" s="16" customFormat="1" ht="54.75" customHeight="1">
      <c r="A33" s="74" t="s">
        <v>75</v>
      </c>
      <c r="B33" s="18" t="s">
        <v>20</v>
      </c>
      <c r="C33" s="4">
        <f>D33+E33</f>
        <v>372653</v>
      </c>
      <c r="D33" s="20">
        <v>372653</v>
      </c>
      <c r="E33" s="20">
        <v>0</v>
      </c>
      <c r="F33" s="4">
        <v>0</v>
      </c>
      <c r="G33" s="20">
        <v>0</v>
      </c>
      <c r="H33" s="19">
        <v>0</v>
      </c>
      <c r="I33" s="1">
        <v>0</v>
      </c>
      <c r="J33" s="20">
        <v>0</v>
      </c>
      <c r="K33" s="19">
        <v>0</v>
      </c>
      <c r="L33" s="29" t="s">
        <v>23</v>
      </c>
      <c r="M33" s="28"/>
    </row>
    <row r="34" spans="1:15" s="16" customFormat="1" ht="30" customHeight="1">
      <c r="A34" s="75" t="s">
        <v>32</v>
      </c>
      <c r="B34" s="68"/>
      <c r="C34" s="1">
        <f>D34+E34</f>
        <v>402816</v>
      </c>
      <c r="D34" s="1">
        <f>D35+D36+D40+D41+D42+D43+D44+D45+D46+D47</f>
        <v>402816</v>
      </c>
      <c r="E34" s="1">
        <f>E35+E36+E40+E41+E42+E43</f>
        <v>0</v>
      </c>
      <c r="F34" s="4">
        <f>SUM(F35,F36,F40,F41,F42,F43,F44,F45,F46,F47)</f>
        <v>380963</v>
      </c>
      <c r="G34" s="4">
        <f>SUM(G35,G36,G40,G41,G42,G43,G44,G45,G46,G47)</f>
        <v>380963</v>
      </c>
      <c r="H34" s="4">
        <f>SUM(H35,H36,H40,H41,H42,H43)</f>
        <v>0</v>
      </c>
      <c r="I34" s="4">
        <f>SUM(I35,I36,I40,I41,I42,I43,I44,I45,I46,I47)</f>
        <v>409536</v>
      </c>
      <c r="J34" s="4">
        <f>SUM(J35,J36,J40,J41,J42,J43,J44,J45,J46,J47)</f>
        <v>409536</v>
      </c>
      <c r="K34" s="4">
        <f>SUM(K35,K36,K40,K41,K42,K43)</f>
        <v>0</v>
      </c>
      <c r="L34" s="79"/>
      <c r="M34" s="32"/>
      <c r="O34" s="27"/>
    </row>
    <row r="35" spans="1:15" s="16" customFormat="1" ht="41.25" customHeight="1">
      <c r="A35" s="78" t="s">
        <v>33</v>
      </c>
      <c r="B35" s="18" t="s">
        <v>20</v>
      </c>
      <c r="C35" s="1">
        <f>D35+E35</f>
        <v>4500</v>
      </c>
      <c r="D35" s="19">
        <v>4500</v>
      </c>
      <c r="E35" s="19">
        <v>0</v>
      </c>
      <c r="F35" s="4">
        <f>+G35+H35</f>
        <v>4968</v>
      </c>
      <c r="G35" s="20">
        <f>ROUND(D35*1.104,0)</f>
        <v>4968</v>
      </c>
      <c r="H35" s="19">
        <v>0</v>
      </c>
      <c r="I35" s="1">
        <f>J35+K35</f>
        <v>5341</v>
      </c>
      <c r="J35" s="20">
        <f>ROUND(G35*1.075,0)</f>
        <v>5341</v>
      </c>
      <c r="K35" s="19">
        <v>0</v>
      </c>
      <c r="L35" s="29" t="s">
        <v>23</v>
      </c>
      <c r="M35" s="33"/>
      <c r="O35" s="27"/>
    </row>
    <row r="36" spans="1:15" s="16" customFormat="1" ht="60.75" customHeight="1">
      <c r="A36" s="78" t="s">
        <v>34</v>
      </c>
      <c r="B36" s="18" t="s">
        <v>20</v>
      </c>
      <c r="C36" s="1">
        <f>D36+E36</f>
        <v>103704</v>
      </c>
      <c r="D36" s="19">
        <f>300+103404</f>
        <v>103704</v>
      </c>
      <c r="E36" s="19">
        <v>0</v>
      </c>
      <c r="F36" s="4">
        <f>+G36+H36</f>
        <v>114489</v>
      </c>
      <c r="G36" s="20">
        <f>ROUND(D36*1.104,0)</f>
        <v>114489</v>
      </c>
      <c r="H36" s="19">
        <v>0</v>
      </c>
      <c r="I36" s="1">
        <f>J36+K36</f>
        <v>123076</v>
      </c>
      <c r="J36" s="20">
        <f>ROUND(G36*1.075,0)</f>
        <v>123076</v>
      </c>
      <c r="K36" s="19">
        <v>0</v>
      </c>
      <c r="L36" s="29" t="s">
        <v>35</v>
      </c>
      <c r="M36" s="34"/>
      <c r="O36" s="27"/>
    </row>
    <row r="37" spans="1:15" s="16" customFormat="1" ht="8.25" customHeight="1">
      <c r="A37" s="91"/>
      <c r="B37" s="22"/>
      <c r="C37" s="44"/>
      <c r="D37" s="45"/>
      <c r="E37" s="45"/>
      <c r="F37" s="23"/>
      <c r="G37" s="24"/>
      <c r="H37" s="45"/>
      <c r="I37" s="44"/>
      <c r="J37" s="24"/>
      <c r="K37" s="45"/>
      <c r="L37" s="84"/>
      <c r="M37" s="34"/>
      <c r="O37" s="27"/>
    </row>
    <row r="38" spans="1:12" s="16" customFormat="1" ht="25.5" customHeight="1">
      <c r="A38" s="21"/>
      <c r="B38" s="22"/>
      <c r="C38" s="23"/>
      <c r="D38" s="24"/>
      <c r="E38" s="24"/>
      <c r="F38" s="23"/>
      <c r="G38" s="24"/>
      <c r="H38" s="24"/>
      <c r="I38" s="23"/>
      <c r="J38" s="93" t="s">
        <v>87</v>
      </c>
      <c r="K38" s="93"/>
      <c r="L38" s="93"/>
    </row>
    <row r="39" spans="1:12" s="16" customFormat="1" ht="18.75" customHeight="1">
      <c r="A39" s="56">
        <v>1</v>
      </c>
      <c r="B39" s="56">
        <v>2</v>
      </c>
      <c r="C39" s="56">
        <v>3</v>
      </c>
      <c r="D39" s="56">
        <v>4</v>
      </c>
      <c r="E39" s="56">
        <v>5</v>
      </c>
      <c r="F39" s="56">
        <v>6</v>
      </c>
      <c r="G39" s="56">
        <v>7</v>
      </c>
      <c r="H39" s="56">
        <v>8</v>
      </c>
      <c r="I39" s="56">
        <v>9</v>
      </c>
      <c r="J39" s="57">
        <v>10</v>
      </c>
      <c r="K39" s="57">
        <v>11</v>
      </c>
      <c r="L39" s="57">
        <v>12</v>
      </c>
    </row>
    <row r="40" spans="1:15" s="16" customFormat="1" ht="39" customHeight="1">
      <c r="A40" s="78" t="s">
        <v>36</v>
      </c>
      <c r="B40" s="18" t="s">
        <v>20</v>
      </c>
      <c r="C40" s="1">
        <f aca="true" t="shared" si="2" ref="C40:C47">D40+E40</f>
        <v>22694</v>
      </c>
      <c r="D40" s="19">
        <v>22694</v>
      </c>
      <c r="E40" s="19">
        <v>0</v>
      </c>
      <c r="F40" s="4">
        <f aca="true" t="shared" si="3" ref="F40:F47">+G40+H40</f>
        <v>25054</v>
      </c>
      <c r="G40" s="20">
        <f>ROUND(D40*1.104,0)</f>
        <v>25054</v>
      </c>
      <c r="H40" s="19">
        <v>0</v>
      </c>
      <c r="I40" s="1">
        <f aca="true" t="shared" si="4" ref="I40:I47">J40+K40</f>
        <v>26933</v>
      </c>
      <c r="J40" s="20">
        <f aca="true" t="shared" si="5" ref="J40:J45">ROUND(G40*1.075,0)</f>
        <v>26933</v>
      </c>
      <c r="K40" s="19">
        <v>0</v>
      </c>
      <c r="L40" s="29" t="s">
        <v>23</v>
      </c>
      <c r="M40" s="35"/>
      <c r="O40" s="27"/>
    </row>
    <row r="41" spans="1:18" s="16" customFormat="1" ht="38.25" customHeight="1">
      <c r="A41" s="74" t="s">
        <v>37</v>
      </c>
      <c r="B41" s="18" t="s">
        <v>20</v>
      </c>
      <c r="C41" s="1">
        <f t="shared" si="2"/>
        <v>177851</v>
      </c>
      <c r="D41" s="19">
        <f>86981+90870</f>
        <v>177851</v>
      </c>
      <c r="E41" s="19">
        <v>0</v>
      </c>
      <c r="F41" s="4">
        <f t="shared" si="3"/>
        <v>196348</v>
      </c>
      <c r="G41" s="20">
        <f>ROUND(D41*1.104,0)</f>
        <v>196348</v>
      </c>
      <c r="H41" s="19">
        <v>0</v>
      </c>
      <c r="I41" s="1">
        <f t="shared" si="4"/>
        <v>211074</v>
      </c>
      <c r="J41" s="20">
        <f t="shared" si="5"/>
        <v>211074</v>
      </c>
      <c r="K41" s="19">
        <v>0</v>
      </c>
      <c r="L41" s="29" t="s">
        <v>23</v>
      </c>
      <c r="M41" s="35"/>
      <c r="O41" s="27"/>
      <c r="P41" s="36"/>
      <c r="R41" s="36"/>
    </row>
    <row r="42" spans="1:15" s="16" customFormat="1" ht="43.5" customHeight="1">
      <c r="A42" s="73" t="s">
        <v>38</v>
      </c>
      <c r="B42" s="18" t="s">
        <v>20</v>
      </c>
      <c r="C42" s="1">
        <f t="shared" si="2"/>
        <v>30600</v>
      </c>
      <c r="D42" s="19">
        <v>30600</v>
      </c>
      <c r="E42" s="19">
        <v>0</v>
      </c>
      <c r="F42" s="4">
        <f t="shared" si="3"/>
        <v>33782</v>
      </c>
      <c r="G42" s="20">
        <f>ROUND(D42*1.104,0)</f>
        <v>33782</v>
      </c>
      <c r="H42" s="19">
        <v>0</v>
      </c>
      <c r="I42" s="1">
        <f t="shared" si="4"/>
        <v>36316</v>
      </c>
      <c r="J42" s="20">
        <f t="shared" si="5"/>
        <v>36316</v>
      </c>
      <c r="K42" s="19">
        <v>0</v>
      </c>
      <c r="L42" s="29" t="s">
        <v>23</v>
      </c>
      <c r="M42" s="35"/>
      <c r="N42" s="39"/>
      <c r="O42" s="27"/>
    </row>
    <row r="43" spans="1:15" s="16" customFormat="1" ht="50.25" customHeight="1">
      <c r="A43" s="78" t="s">
        <v>39</v>
      </c>
      <c r="B43" s="18" t="s">
        <v>20</v>
      </c>
      <c r="C43" s="1">
        <f t="shared" si="2"/>
        <v>5726</v>
      </c>
      <c r="D43" s="19">
        <v>5726</v>
      </c>
      <c r="E43" s="19">
        <v>0</v>
      </c>
      <c r="F43" s="4">
        <f t="shared" si="3"/>
        <v>6322</v>
      </c>
      <c r="G43" s="20">
        <f>ROUND(D43*1.104,0)</f>
        <v>6322</v>
      </c>
      <c r="H43" s="19">
        <v>0</v>
      </c>
      <c r="I43" s="1">
        <f t="shared" si="4"/>
        <v>6796</v>
      </c>
      <c r="J43" s="20">
        <f t="shared" si="5"/>
        <v>6796</v>
      </c>
      <c r="K43" s="19">
        <v>0</v>
      </c>
      <c r="L43" s="29" t="s">
        <v>23</v>
      </c>
      <c r="M43" s="33"/>
      <c r="O43" s="27"/>
    </row>
    <row r="44" spans="1:15" s="16" customFormat="1" ht="39" customHeight="1">
      <c r="A44" s="80" t="s">
        <v>40</v>
      </c>
      <c r="B44" s="18" t="s">
        <v>20</v>
      </c>
      <c r="C44" s="1">
        <f t="shared" si="2"/>
        <v>24192</v>
      </c>
      <c r="D44" s="19">
        <f>6624+17568</f>
        <v>24192</v>
      </c>
      <c r="E44" s="19">
        <v>0</v>
      </c>
      <c r="F44" s="4">
        <f t="shared" si="3"/>
        <v>0</v>
      </c>
      <c r="G44" s="20">
        <v>0</v>
      </c>
      <c r="H44" s="19">
        <v>0</v>
      </c>
      <c r="I44" s="1">
        <f t="shared" si="4"/>
        <v>0</v>
      </c>
      <c r="J44" s="20">
        <f t="shared" si="5"/>
        <v>0</v>
      </c>
      <c r="K44" s="19">
        <v>0</v>
      </c>
      <c r="L44" s="29" t="s">
        <v>23</v>
      </c>
      <c r="M44" s="33"/>
      <c r="O44" s="27"/>
    </row>
    <row r="45" spans="1:15" s="16" customFormat="1" ht="58.5" customHeight="1">
      <c r="A45" s="81" t="s">
        <v>104</v>
      </c>
      <c r="B45" s="18" t="s">
        <v>20</v>
      </c>
      <c r="C45" s="1">
        <f t="shared" si="2"/>
        <v>10688</v>
      </c>
      <c r="D45" s="19">
        <v>10688</v>
      </c>
      <c r="E45" s="19">
        <v>0</v>
      </c>
      <c r="F45" s="4">
        <f t="shared" si="3"/>
        <v>0</v>
      </c>
      <c r="G45" s="20">
        <v>0</v>
      </c>
      <c r="H45" s="19">
        <v>0</v>
      </c>
      <c r="I45" s="1">
        <f t="shared" si="4"/>
        <v>0</v>
      </c>
      <c r="J45" s="20">
        <f t="shared" si="5"/>
        <v>0</v>
      </c>
      <c r="K45" s="19">
        <v>0</v>
      </c>
      <c r="L45" s="29" t="s">
        <v>35</v>
      </c>
      <c r="M45" s="33"/>
      <c r="O45" s="27"/>
    </row>
    <row r="46" spans="1:15" s="16" customFormat="1" ht="66.75" customHeight="1">
      <c r="A46" s="78" t="s">
        <v>105</v>
      </c>
      <c r="B46" s="18" t="s">
        <v>20</v>
      </c>
      <c r="C46" s="1">
        <f t="shared" si="2"/>
        <v>12000</v>
      </c>
      <c r="D46" s="19">
        <v>12000</v>
      </c>
      <c r="E46" s="19">
        <v>0</v>
      </c>
      <c r="F46" s="4">
        <f t="shared" si="3"/>
        <v>0</v>
      </c>
      <c r="G46" s="20">
        <v>0</v>
      </c>
      <c r="H46" s="19">
        <v>0</v>
      </c>
      <c r="I46" s="1">
        <f t="shared" si="4"/>
        <v>0</v>
      </c>
      <c r="J46" s="20">
        <v>0</v>
      </c>
      <c r="K46" s="19">
        <v>0</v>
      </c>
      <c r="L46" s="29" t="s">
        <v>35</v>
      </c>
      <c r="M46" s="33"/>
      <c r="O46" s="27"/>
    </row>
    <row r="47" spans="1:15" s="16" customFormat="1" ht="59.25" customHeight="1">
      <c r="A47" s="81" t="s">
        <v>106</v>
      </c>
      <c r="B47" s="18" t="s">
        <v>20</v>
      </c>
      <c r="C47" s="1">
        <f t="shared" si="2"/>
        <v>10861</v>
      </c>
      <c r="D47" s="19">
        <v>10861</v>
      </c>
      <c r="E47" s="19">
        <v>0</v>
      </c>
      <c r="F47" s="4">
        <f t="shared" si="3"/>
        <v>0</v>
      </c>
      <c r="G47" s="20">
        <v>0</v>
      </c>
      <c r="H47" s="19">
        <v>0</v>
      </c>
      <c r="I47" s="1">
        <f t="shared" si="4"/>
        <v>0</v>
      </c>
      <c r="J47" s="20">
        <f>ROUND(G47*1.075,0)</f>
        <v>0</v>
      </c>
      <c r="K47" s="19">
        <v>0</v>
      </c>
      <c r="L47" s="29" t="s">
        <v>35</v>
      </c>
      <c r="M47" s="33"/>
      <c r="O47" s="27"/>
    </row>
    <row r="48" spans="1:15" s="69" customFormat="1" ht="24.75" customHeight="1">
      <c r="A48" s="96" t="s">
        <v>41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40"/>
      <c r="O48" s="27"/>
    </row>
    <row r="49" spans="1:15" s="69" customFormat="1" ht="36" customHeight="1">
      <c r="A49" s="97" t="s">
        <v>42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41"/>
      <c r="O49" s="27"/>
    </row>
    <row r="50" spans="1:15" s="69" customFormat="1" ht="33" customHeight="1">
      <c r="A50" s="98" t="s">
        <v>43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O50" s="27"/>
    </row>
    <row r="51" spans="1:15" s="69" customFormat="1" ht="37.5" customHeight="1">
      <c r="A51" s="88" t="s">
        <v>44</v>
      </c>
      <c r="B51" s="68"/>
      <c r="C51" s="1">
        <f>D51+E51</f>
        <v>2107046</v>
      </c>
      <c r="D51" s="1">
        <f>D52+D53+D54+D55+D59+D60+D61</f>
        <v>2107046</v>
      </c>
      <c r="E51" s="1">
        <f>SUM(E52,E53,E54,E55,E59,E60)</f>
        <v>0</v>
      </c>
      <c r="F51" s="1">
        <f>G51+H51</f>
        <v>2117831</v>
      </c>
      <c r="G51" s="1">
        <f>SUM(G52,G53,G54,G55,G59,G60)</f>
        <v>2117831</v>
      </c>
      <c r="H51" s="1">
        <f>SUM(H52,H53,H54,H55,H59,H60)</f>
        <v>0</v>
      </c>
      <c r="I51" s="1">
        <f>J51+K51</f>
        <v>2276668</v>
      </c>
      <c r="J51" s="1">
        <f>SUM(J52,J53,J54,J55,J59,J60)</f>
        <v>2276668</v>
      </c>
      <c r="K51" s="1">
        <f>SUM(K52,K53,K54,K55,K59,K60)</f>
        <v>0</v>
      </c>
      <c r="L51" s="79"/>
      <c r="M51" s="33"/>
      <c r="O51" s="27"/>
    </row>
    <row r="52" spans="1:16" s="69" customFormat="1" ht="38.25">
      <c r="A52" s="73" t="s">
        <v>45</v>
      </c>
      <c r="B52" s="18" t="s">
        <v>20</v>
      </c>
      <c r="C52" s="1">
        <f>D52+E52</f>
        <v>11838</v>
      </c>
      <c r="D52" s="19">
        <f>1500+10338</f>
        <v>11838</v>
      </c>
      <c r="E52" s="19">
        <v>0</v>
      </c>
      <c r="F52" s="4">
        <f>+G52+H52</f>
        <v>13069</v>
      </c>
      <c r="G52" s="20">
        <f>ROUND(D52*1.104,0)</f>
        <v>13069</v>
      </c>
      <c r="H52" s="19">
        <v>0</v>
      </c>
      <c r="I52" s="1">
        <f>J52+K52</f>
        <v>14049</v>
      </c>
      <c r="J52" s="20">
        <f>ROUND(G52*1.075,0)</f>
        <v>14049</v>
      </c>
      <c r="K52" s="19">
        <v>0</v>
      </c>
      <c r="L52" s="29" t="s">
        <v>23</v>
      </c>
      <c r="M52" s="42"/>
      <c r="N52" s="43"/>
      <c r="O52" s="39"/>
      <c r="P52" s="27"/>
    </row>
    <row r="53" spans="1:15" s="16" customFormat="1" ht="45.75" customHeight="1">
      <c r="A53" s="73" t="s">
        <v>46</v>
      </c>
      <c r="B53" s="18" t="s">
        <v>20</v>
      </c>
      <c r="C53" s="1">
        <f>D53+E53</f>
        <v>740871</v>
      </c>
      <c r="D53" s="19">
        <f>-31893+772764</f>
        <v>740871</v>
      </c>
      <c r="E53" s="19">
        <v>0</v>
      </c>
      <c r="F53" s="4">
        <f>+G53+H53</f>
        <v>817922</v>
      </c>
      <c r="G53" s="20">
        <f>ROUND(D53*1.104,0)</f>
        <v>817922</v>
      </c>
      <c r="H53" s="19">
        <v>0</v>
      </c>
      <c r="I53" s="1">
        <f>J53+K53</f>
        <v>879266</v>
      </c>
      <c r="J53" s="20">
        <f>ROUND(G53*1.075,0)</f>
        <v>879266</v>
      </c>
      <c r="K53" s="19">
        <v>0</v>
      </c>
      <c r="L53" s="29" t="s">
        <v>23</v>
      </c>
      <c r="M53" s="33"/>
      <c r="O53" s="27"/>
    </row>
    <row r="54" spans="1:15" s="16" customFormat="1" ht="42" customHeight="1">
      <c r="A54" s="73" t="s">
        <v>47</v>
      </c>
      <c r="B54" s="18" t="s">
        <v>20</v>
      </c>
      <c r="C54" s="1">
        <f>D54+E54</f>
        <v>433577</v>
      </c>
      <c r="D54" s="19">
        <v>433577</v>
      </c>
      <c r="E54" s="19">
        <v>0</v>
      </c>
      <c r="F54" s="4">
        <f>+G54+H54</f>
        <v>478669</v>
      </c>
      <c r="G54" s="20">
        <f>ROUND(D54*1.104,0)</f>
        <v>478669</v>
      </c>
      <c r="H54" s="19">
        <v>0</v>
      </c>
      <c r="I54" s="1">
        <f>J54+K54</f>
        <v>514569</v>
      </c>
      <c r="J54" s="20">
        <f>ROUND(G54*1.075,0)</f>
        <v>514569</v>
      </c>
      <c r="K54" s="19">
        <v>0</v>
      </c>
      <c r="L54" s="29" t="s">
        <v>23</v>
      </c>
      <c r="M54" s="32"/>
      <c r="O54" s="27"/>
    </row>
    <row r="55" spans="1:15" s="16" customFormat="1" ht="41.25" customHeight="1">
      <c r="A55" s="73" t="s">
        <v>90</v>
      </c>
      <c r="B55" s="18" t="s">
        <v>20</v>
      </c>
      <c r="C55" s="1">
        <f>D55+E55</f>
        <v>166331</v>
      </c>
      <c r="D55" s="19">
        <f>15217+151114</f>
        <v>166331</v>
      </c>
      <c r="E55" s="19">
        <v>0</v>
      </c>
      <c r="F55" s="4">
        <f>+G55+H55</f>
        <v>183629</v>
      </c>
      <c r="G55" s="20">
        <f>ROUND(D55*1.104,0)</f>
        <v>183629</v>
      </c>
      <c r="H55" s="19">
        <v>0</v>
      </c>
      <c r="I55" s="1">
        <f>J55+K55</f>
        <v>197401</v>
      </c>
      <c r="J55" s="20">
        <f>ROUND(G55*1.075,0)</f>
        <v>197401</v>
      </c>
      <c r="K55" s="19">
        <v>0</v>
      </c>
      <c r="L55" s="29" t="s">
        <v>23</v>
      </c>
      <c r="M55" s="33"/>
      <c r="O55" s="27"/>
    </row>
    <row r="56" spans="1:15" s="16" customFormat="1" ht="6.75" customHeight="1">
      <c r="A56" s="90"/>
      <c r="B56" s="22"/>
      <c r="C56" s="44"/>
      <c r="D56" s="45"/>
      <c r="E56" s="45"/>
      <c r="F56" s="23"/>
      <c r="G56" s="24"/>
      <c r="H56" s="45"/>
      <c r="I56" s="44"/>
      <c r="J56" s="24"/>
      <c r="K56" s="45"/>
      <c r="L56" s="84"/>
      <c r="M56" s="33"/>
      <c r="O56" s="27"/>
    </row>
    <row r="57" spans="1:16" s="69" customFormat="1" ht="26.25" customHeight="1">
      <c r="A57" s="21"/>
      <c r="B57" s="22"/>
      <c r="C57" s="23"/>
      <c r="D57" s="24"/>
      <c r="E57" s="24"/>
      <c r="F57" s="23"/>
      <c r="G57" s="24"/>
      <c r="H57" s="24"/>
      <c r="I57" s="23"/>
      <c r="J57" s="93" t="s">
        <v>87</v>
      </c>
      <c r="K57" s="93"/>
      <c r="L57" s="93"/>
      <c r="M57" s="37"/>
      <c r="N57" s="38"/>
      <c r="O57" s="27"/>
      <c r="P57" s="85"/>
    </row>
    <row r="58" spans="1:16" s="69" customFormat="1" ht="18.75" customHeight="1">
      <c r="A58" s="56">
        <v>1</v>
      </c>
      <c r="B58" s="56">
        <v>2</v>
      </c>
      <c r="C58" s="56">
        <v>3</v>
      </c>
      <c r="D58" s="56">
        <v>4</v>
      </c>
      <c r="E58" s="56">
        <v>5</v>
      </c>
      <c r="F58" s="56">
        <v>6</v>
      </c>
      <c r="G58" s="56">
        <v>7</v>
      </c>
      <c r="H58" s="56">
        <v>8</v>
      </c>
      <c r="I58" s="56">
        <v>9</v>
      </c>
      <c r="J58" s="57">
        <v>10</v>
      </c>
      <c r="K58" s="57">
        <v>11</v>
      </c>
      <c r="L58" s="57">
        <v>12</v>
      </c>
      <c r="M58" s="37"/>
      <c r="N58" s="38"/>
      <c r="O58" s="27"/>
      <c r="P58" s="85"/>
    </row>
    <row r="59" spans="1:15" s="16" customFormat="1" ht="48" customHeight="1">
      <c r="A59" s="78" t="s">
        <v>91</v>
      </c>
      <c r="B59" s="18" t="s">
        <v>20</v>
      </c>
      <c r="C59" s="1">
        <f>D59+E59</f>
        <v>565708</v>
      </c>
      <c r="D59" s="19">
        <v>565708</v>
      </c>
      <c r="E59" s="19">
        <v>0</v>
      </c>
      <c r="F59" s="4">
        <f>+G59+H59</f>
        <v>624542</v>
      </c>
      <c r="G59" s="20">
        <f>ROUND(D59*1.104,0)</f>
        <v>624542</v>
      </c>
      <c r="H59" s="19">
        <v>0</v>
      </c>
      <c r="I59" s="1">
        <f>J59+K59</f>
        <v>671383</v>
      </c>
      <c r="J59" s="20">
        <f>ROUND(G59*1.075,0)</f>
        <v>671383</v>
      </c>
      <c r="K59" s="19">
        <v>0</v>
      </c>
      <c r="L59" s="29" t="s">
        <v>23</v>
      </c>
      <c r="M59" s="35"/>
      <c r="O59" s="27"/>
    </row>
    <row r="60" spans="1:15" s="16" customFormat="1" ht="69.75" customHeight="1">
      <c r="A60" s="78" t="s">
        <v>92</v>
      </c>
      <c r="B60" s="18" t="s">
        <v>20</v>
      </c>
      <c r="C60" s="1">
        <f>D60+E60</f>
        <v>168197</v>
      </c>
      <c r="D60" s="19">
        <f>-345000+513197</f>
        <v>168197</v>
      </c>
      <c r="E60" s="19">
        <v>0</v>
      </c>
      <c r="F60" s="4">
        <v>0</v>
      </c>
      <c r="G60" s="20">
        <v>0</v>
      </c>
      <c r="H60" s="19">
        <v>0</v>
      </c>
      <c r="I60" s="1">
        <v>0</v>
      </c>
      <c r="J60" s="20">
        <v>0</v>
      </c>
      <c r="K60" s="19">
        <v>0</v>
      </c>
      <c r="L60" s="29" t="s">
        <v>23</v>
      </c>
      <c r="M60" s="35"/>
      <c r="O60" s="27"/>
    </row>
    <row r="61" spans="1:15" s="16" customFormat="1" ht="42" customHeight="1">
      <c r="A61" s="78" t="s">
        <v>48</v>
      </c>
      <c r="B61" s="18" t="s">
        <v>20</v>
      </c>
      <c r="C61" s="1">
        <f>D61+E61</f>
        <v>20524</v>
      </c>
      <c r="D61" s="19">
        <f>-15217+35741</f>
        <v>20524</v>
      </c>
      <c r="E61" s="19">
        <v>0</v>
      </c>
      <c r="F61" s="4">
        <v>0</v>
      </c>
      <c r="G61" s="20">
        <v>0</v>
      </c>
      <c r="H61" s="19">
        <v>0</v>
      </c>
      <c r="I61" s="1">
        <v>0</v>
      </c>
      <c r="J61" s="20">
        <v>0</v>
      </c>
      <c r="K61" s="19">
        <v>0</v>
      </c>
      <c r="L61" s="29" t="s">
        <v>23</v>
      </c>
      <c r="M61" s="35"/>
      <c r="O61" s="27"/>
    </row>
    <row r="62" spans="1:12" ht="24.75" customHeight="1">
      <c r="A62" s="96" t="s">
        <v>78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1:12" ht="24" customHeight="1">
      <c r="A63" s="106" t="s">
        <v>79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</row>
    <row r="64" spans="1:12" ht="23.25" customHeight="1">
      <c r="A64" s="107" t="s">
        <v>80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</row>
    <row r="65" spans="1:12" ht="30" customHeight="1">
      <c r="A65" s="87" t="s">
        <v>93</v>
      </c>
      <c r="B65" s="7"/>
      <c r="C65" s="1">
        <f>+D65+E65</f>
        <v>1621109</v>
      </c>
      <c r="D65" s="1">
        <f>+D66+1256694</f>
        <v>1621109</v>
      </c>
      <c r="E65" s="1">
        <v>0</v>
      </c>
      <c r="F65" s="1">
        <f>+G65+H65</f>
        <v>1029762</v>
      </c>
      <c r="G65" s="1">
        <f>+G66+627447</f>
        <v>1029762</v>
      </c>
      <c r="H65" s="4">
        <v>0</v>
      </c>
      <c r="I65" s="1">
        <f>+J65</f>
        <v>1106994</v>
      </c>
      <c r="J65" s="1">
        <f>+J66+674505</f>
        <v>1106994</v>
      </c>
      <c r="K65" s="4">
        <v>0</v>
      </c>
      <c r="L65" s="82"/>
    </row>
    <row r="66" spans="1:12" s="16" customFormat="1" ht="42.75" customHeight="1">
      <c r="A66" s="59" t="s">
        <v>81</v>
      </c>
      <c r="B66" s="31"/>
      <c r="C66" s="1">
        <f>D66+E66</f>
        <v>364415</v>
      </c>
      <c r="D66" s="1">
        <f>D67+D68+D69</f>
        <v>364415</v>
      </c>
      <c r="E66" s="1">
        <f>SUM(E67,E68,)</f>
        <v>0</v>
      </c>
      <c r="F66" s="1">
        <f>G66+H66</f>
        <v>402315</v>
      </c>
      <c r="G66" s="1">
        <f>SUM(G67,G68,G69)</f>
        <v>402315</v>
      </c>
      <c r="H66" s="1">
        <f>SUM(H67,H68,)</f>
        <v>0</v>
      </c>
      <c r="I66" s="1">
        <f>J66+K66</f>
        <v>432489</v>
      </c>
      <c r="J66" s="1">
        <f>SUM(J67,J68,J69)</f>
        <v>432489</v>
      </c>
      <c r="K66" s="1">
        <f>SUM(K67,K68,)</f>
        <v>0</v>
      </c>
      <c r="L66" s="29" t="s">
        <v>23</v>
      </c>
    </row>
    <row r="67" spans="1:12" s="16" customFormat="1" ht="42.75" customHeight="1">
      <c r="A67" s="78" t="s">
        <v>82</v>
      </c>
      <c r="B67" s="18" t="s">
        <v>20</v>
      </c>
      <c r="C67" s="1">
        <f>D67+E67</f>
        <v>102476</v>
      </c>
      <c r="D67" s="19">
        <f>-30374+132850</f>
        <v>102476</v>
      </c>
      <c r="E67" s="19">
        <v>0</v>
      </c>
      <c r="F67" s="4">
        <f>+G67+H67</f>
        <v>113134</v>
      </c>
      <c r="G67" s="20">
        <f>ROUND(D67*1.104,0)</f>
        <v>113134</v>
      </c>
      <c r="H67" s="19">
        <v>0</v>
      </c>
      <c r="I67" s="1">
        <f>J67+K67</f>
        <v>121619</v>
      </c>
      <c r="J67" s="20">
        <f>ROUND(G67*1.075,0)</f>
        <v>121619</v>
      </c>
      <c r="K67" s="19">
        <v>0</v>
      </c>
      <c r="L67" s="29" t="s">
        <v>23</v>
      </c>
    </row>
    <row r="68" spans="1:12" s="16" customFormat="1" ht="52.5" customHeight="1">
      <c r="A68" s="78" t="s">
        <v>83</v>
      </c>
      <c r="B68" s="18" t="s">
        <v>20</v>
      </c>
      <c r="C68" s="1">
        <f>D68+E68</f>
        <v>246613</v>
      </c>
      <c r="D68" s="19">
        <f>305120-13507-45000</f>
        <v>246613</v>
      </c>
      <c r="E68" s="19">
        <v>0</v>
      </c>
      <c r="F68" s="4">
        <f>+G68+H68</f>
        <v>272261</v>
      </c>
      <c r="G68" s="20">
        <f>ROUND(D68*1.104,0)</f>
        <v>272261</v>
      </c>
      <c r="H68" s="19">
        <v>0</v>
      </c>
      <c r="I68" s="1">
        <f>J68+K68</f>
        <v>292681</v>
      </c>
      <c r="J68" s="20">
        <f>ROUND(G68*1.075,0)</f>
        <v>292681</v>
      </c>
      <c r="K68" s="19">
        <v>0</v>
      </c>
      <c r="L68" s="29" t="s">
        <v>23</v>
      </c>
    </row>
    <row r="69" spans="1:12" s="16" customFormat="1" ht="51" customHeight="1">
      <c r="A69" s="78" t="s">
        <v>84</v>
      </c>
      <c r="B69" s="18" t="s">
        <v>20</v>
      </c>
      <c r="C69" s="1">
        <f>D69+E69</f>
        <v>15326</v>
      </c>
      <c r="D69" s="19">
        <v>15326</v>
      </c>
      <c r="E69" s="19">
        <v>0</v>
      </c>
      <c r="F69" s="4">
        <f>+G69+H69</f>
        <v>16920</v>
      </c>
      <c r="G69" s="20">
        <f>ROUND(D69*1.104,0)</f>
        <v>16920</v>
      </c>
      <c r="H69" s="19">
        <v>0</v>
      </c>
      <c r="I69" s="1">
        <f>J69+K69</f>
        <v>18189</v>
      </c>
      <c r="J69" s="20">
        <f>ROUND(G69*1.075,0)</f>
        <v>18189</v>
      </c>
      <c r="K69" s="19">
        <v>0</v>
      </c>
      <c r="L69" s="29" t="s">
        <v>23</v>
      </c>
    </row>
    <row r="70" spans="1:15" s="16" customFormat="1" ht="24" customHeight="1">
      <c r="A70" s="96" t="s">
        <v>57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33"/>
      <c r="O70" s="27"/>
    </row>
    <row r="71" spans="1:15" s="16" customFormat="1" ht="33.75" customHeight="1">
      <c r="A71" s="99" t="s">
        <v>85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62"/>
      <c r="N71" s="39"/>
      <c r="O71" s="27"/>
    </row>
    <row r="72" spans="1:15" s="16" customFormat="1" ht="34.5" customHeight="1">
      <c r="A72" s="100" t="s">
        <v>95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63"/>
      <c r="O72" s="27"/>
    </row>
    <row r="73" spans="1:15" s="16" customFormat="1" ht="30" customHeight="1">
      <c r="A73" s="87" t="s">
        <v>93</v>
      </c>
      <c r="B73" s="55"/>
      <c r="C73" s="4">
        <f>D73+E73</f>
        <v>741812</v>
      </c>
      <c r="D73" s="4">
        <f>D74+D75+D79+D80</f>
        <v>741812</v>
      </c>
      <c r="E73" s="4">
        <f>E74+E75+E79+E80</f>
        <v>0</v>
      </c>
      <c r="F73" s="1">
        <f>+SUM(F74,F75,F79,F80)</f>
        <v>0</v>
      </c>
      <c r="G73" s="1">
        <f>+SUM(G74,G75,G79,G80)</f>
        <v>0</v>
      </c>
      <c r="H73" s="4">
        <f>H74+H75+H79+H80</f>
        <v>0</v>
      </c>
      <c r="I73" s="1">
        <f>+SUM(I74,I75,I79,I80)</f>
        <v>0</v>
      </c>
      <c r="J73" s="1">
        <f>+SUM(J74,J75,J79,J80)</f>
        <v>0</v>
      </c>
      <c r="K73" s="4">
        <f>K74+K75+K79+K80</f>
        <v>0</v>
      </c>
      <c r="L73" s="72"/>
      <c r="M73" s="64"/>
      <c r="O73" s="27"/>
    </row>
    <row r="74" spans="1:15" s="16" customFormat="1" ht="71.25" customHeight="1">
      <c r="A74" s="59" t="s">
        <v>96</v>
      </c>
      <c r="B74" s="18" t="s">
        <v>20</v>
      </c>
      <c r="C74" s="1">
        <f>D74+E74</f>
        <v>114761</v>
      </c>
      <c r="D74" s="19">
        <f>66528+48233</f>
        <v>114761</v>
      </c>
      <c r="E74" s="19">
        <v>0</v>
      </c>
      <c r="F74" s="4">
        <f>G74+H74</f>
        <v>0</v>
      </c>
      <c r="G74" s="20">
        <v>0</v>
      </c>
      <c r="H74" s="20">
        <v>0</v>
      </c>
      <c r="I74" s="1">
        <f>J74+K74</f>
        <v>0</v>
      </c>
      <c r="J74" s="20">
        <v>0</v>
      </c>
      <c r="K74" s="19">
        <v>0</v>
      </c>
      <c r="L74" s="55" t="s">
        <v>56</v>
      </c>
      <c r="M74" s="65"/>
      <c r="O74" s="27"/>
    </row>
    <row r="75" spans="1:15" s="16" customFormat="1" ht="72.75" customHeight="1">
      <c r="A75" s="59" t="s">
        <v>97</v>
      </c>
      <c r="B75" s="18" t="s">
        <v>20</v>
      </c>
      <c r="C75" s="1">
        <f>D75+E75</f>
        <v>625968</v>
      </c>
      <c r="D75" s="19">
        <f>317520+308448</f>
        <v>625968</v>
      </c>
      <c r="E75" s="83">
        <v>0</v>
      </c>
      <c r="F75" s="4">
        <f>G75+H75</f>
        <v>0</v>
      </c>
      <c r="G75" s="20">
        <v>0</v>
      </c>
      <c r="H75" s="20">
        <v>0</v>
      </c>
      <c r="I75" s="1">
        <f>J75+K75</f>
        <v>0</v>
      </c>
      <c r="J75" s="20">
        <v>0</v>
      </c>
      <c r="K75" s="19">
        <v>0</v>
      </c>
      <c r="L75" s="55" t="s">
        <v>56</v>
      </c>
      <c r="M75" s="66"/>
      <c r="O75" s="27"/>
    </row>
    <row r="76" spans="1:15" s="16" customFormat="1" ht="6.75" customHeight="1">
      <c r="A76" s="90"/>
      <c r="B76" s="22"/>
      <c r="C76" s="44"/>
      <c r="D76" s="45"/>
      <c r="E76" s="45"/>
      <c r="F76" s="23"/>
      <c r="G76" s="24"/>
      <c r="H76" s="45"/>
      <c r="I76" s="44"/>
      <c r="J76" s="24"/>
      <c r="K76" s="45"/>
      <c r="L76" s="84"/>
      <c r="M76" s="33"/>
      <c r="O76" s="27"/>
    </row>
    <row r="77" spans="1:16" s="69" customFormat="1" ht="26.25" customHeight="1">
      <c r="A77" s="21"/>
      <c r="B77" s="22"/>
      <c r="C77" s="23"/>
      <c r="D77" s="24"/>
      <c r="E77" s="24"/>
      <c r="F77" s="23"/>
      <c r="G77" s="24"/>
      <c r="H77" s="24"/>
      <c r="I77" s="23"/>
      <c r="J77" s="93" t="s">
        <v>87</v>
      </c>
      <c r="K77" s="93"/>
      <c r="L77" s="93"/>
      <c r="M77" s="37"/>
      <c r="N77" s="38"/>
      <c r="O77" s="27"/>
      <c r="P77" s="85"/>
    </row>
    <row r="78" spans="1:16" s="69" customFormat="1" ht="18.75" customHeight="1">
      <c r="A78" s="56">
        <v>1</v>
      </c>
      <c r="B78" s="56">
        <v>2</v>
      </c>
      <c r="C78" s="56">
        <v>3</v>
      </c>
      <c r="D78" s="56">
        <v>4</v>
      </c>
      <c r="E78" s="56">
        <v>5</v>
      </c>
      <c r="F78" s="56">
        <v>6</v>
      </c>
      <c r="G78" s="56">
        <v>7</v>
      </c>
      <c r="H78" s="56">
        <v>8</v>
      </c>
      <c r="I78" s="56">
        <v>9</v>
      </c>
      <c r="J78" s="57">
        <v>10</v>
      </c>
      <c r="K78" s="57">
        <v>11</v>
      </c>
      <c r="L78" s="57">
        <v>12</v>
      </c>
      <c r="M78" s="37"/>
      <c r="N78" s="38"/>
      <c r="O78" s="27"/>
      <c r="P78" s="85"/>
    </row>
    <row r="79" spans="1:15" s="16" customFormat="1" ht="57.75" customHeight="1">
      <c r="A79" s="59" t="s">
        <v>98</v>
      </c>
      <c r="B79" s="18" t="s">
        <v>20</v>
      </c>
      <c r="C79" s="1">
        <f>D79+E79</f>
        <v>291</v>
      </c>
      <c r="D79" s="19">
        <v>291</v>
      </c>
      <c r="E79" s="83">
        <v>0</v>
      </c>
      <c r="F79" s="4">
        <f>G79+H79</f>
        <v>0</v>
      </c>
      <c r="G79" s="20">
        <v>0</v>
      </c>
      <c r="H79" s="20">
        <v>0</v>
      </c>
      <c r="I79" s="1">
        <f>J79+K79</f>
        <v>0</v>
      </c>
      <c r="J79" s="20">
        <v>0</v>
      </c>
      <c r="K79" s="19">
        <v>0</v>
      </c>
      <c r="L79" s="55" t="s">
        <v>56</v>
      </c>
      <c r="M79" s="66"/>
      <c r="O79" s="27"/>
    </row>
    <row r="80" spans="1:15" s="16" customFormat="1" ht="66" customHeight="1">
      <c r="A80" s="59" t="s">
        <v>99</v>
      </c>
      <c r="B80" s="18" t="s">
        <v>20</v>
      </c>
      <c r="C80" s="1">
        <f>D80+E80</f>
        <v>792</v>
      </c>
      <c r="D80" s="19">
        <v>792</v>
      </c>
      <c r="E80" s="83">
        <v>0</v>
      </c>
      <c r="F80" s="4">
        <f>G80+H80</f>
        <v>0</v>
      </c>
      <c r="G80" s="20">
        <v>0</v>
      </c>
      <c r="H80" s="20">
        <v>0</v>
      </c>
      <c r="I80" s="1">
        <f>J80+K80</f>
        <v>0</v>
      </c>
      <c r="J80" s="20">
        <v>0</v>
      </c>
      <c r="K80" s="19">
        <v>0</v>
      </c>
      <c r="L80" s="55" t="s">
        <v>56</v>
      </c>
      <c r="M80" s="66"/>
      <c r="O80" s="27"/>
    </row>
    <row r="81" spans="1:14" ht="34.5" customHeight="1">
      <c r="A81" s="97" t="s">
        <v>86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60"/>
      <c r="N81" s="61"/>
    </row>
    <row r="82" spans="1:14" ht="27.75" customHeight="1">
      <c r="A82" s="98" t="s">
        <v>100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N82" s="61"/>
    </row>
    <row r="83" spans="1:14" s="11" customFormat="1" ht="20.25" customHeight="1">
      <c r="A83" s="87" t="s">
        <v>93</v>
      </c>
      <c r="B83" s="55"/>
      <c r="C83" s="4">
        <f>+C85+C86+87500</f>
        <v>901320</v>
      </c>
      <c r="D83" s="4">
        <f>+D85+D86+87500</f>
        <v>901320</v>
      </c>
      <c r="E83" s="4">
        <v>0</v>
      </c>
      <c r="F83" s="1">
        <v>0</v>
      </c>
      <c r="G83" s="1">
        <v>0</v>
      </c>
      <c r="H83" s="4">
        <v>0</v>
      </c>
      <c r="I83" s="1">
        <v>0</v>
      </c>
      <c r="J83" s="1">
        <v>0</v>
      </c>
      <c r="K83" s="4">
        <v>0</v>
      </c>
      <c r="L83" s="72"/>
      <c r="N83" s="27"/>
    </row>
    <row r="84" spans="1:14" s="11" customFormat="1" ht="20.25" customHeight="1">
      <c r="A84" s="96" t="s">
        <v>55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N84" s="27"/>
    </row>
    <row r="85" spans="1:14" ht="72.75" customHeight="1">
      <c r="A85" s="59" t="s">
        <v>101</v>
      </c>
      <c r="B85" s="18" t="s">
        <v>20</v>
      </c>
      <c r="C85" s="1">
        <f>D85+E85</f>
        <v>808500</v>
      </c>
      <c r="D85" s="19">
        <f>808500</f>
        <v>808500</v>
      </c>
      <c r="E85" s="19">
        <v>0</v>
      </c>
      <c r="F85" s="4">
        <f>G85+H85</f>
        <v>0</v>
      </c>
      <c r="G85" s="20">
        <v>0</v>
      </c>
      <c r="H85" s="20">
        <v>0</v>
      </c>
      <c r="I85" s="1">
        <f>J85+K85</f>
        <v>0</v>
      </c>
      <c r="J85" s="20">
        <v>0</v>
      </c>
      <c r="K85" s="19">
        <v>0</v>
      </c>
      <c r="L85" s="55" t="s">
        <v>56</v>
      </c>
      <c r="N85" s="61"/>
    </row>
    <row r="86" spans="1:14" ht="62.25" customHeight="1">
      <c r="A86" s="59" t="s">
        <v>102</v>
      </c>
      <c r="B86" s="18" t="s">
        <v>20</v>
      </c>
      <c r="C86" s="1">
        <f>D86+E86</f>
        <v>5320</v>
      </c>
      <c r="D86" s="19">
        <v>5320</v>
      </c>
      <c r="E86" s="19">
        <v>0</v>
      </c>
      <c r="F86" s="4">
        <f>G86+H86</f>
        <v>0</v>
      </c>
      <c r="G86" s="20">
        <v>0</v>
      </c>
      <c r="H86" s="20">
        <v>0</v>
      </c>
      <c r="I86" s="1">
        <f>J86+K86</f>
        <v>0</v>
      </c>
      <c r="J86" s="20">
        <v>0</v>
      </c>
      <c r="K86" s="19">
        <v>0</v>
      </c>
      <c r="L86" s="55" t="s">
        <v>56</v>
      </c>
      <c r="N86" s="61"/>
    </row>
    <row r="87" spans="1:15" s="16" customFormat="1" ht="22.5" customHeight="1">
      <c r="A87" s="96" t="s">
        <v>58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33"/>
      <c r="O87" s="27"/>
    </row>
    <row r="88" spans="1:15" s="16" customFormat="1" ht="27" customHeight="1">
      <c r="A88" s="97" t="s">
        <v>59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35"/>
      <c r="O88" s="27"/>
    </row>
    <row r="89" spans="1:15" s="16" customFormat="1" ht="29.25" customHeight="1">
      <c r="A89" s="92" t="s">
        <v>60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35"/>
      <c r="O89" s="27"/>
    </row>
    <row r="90" spans="1:15" s="16" customFormat="1" ht="43.5" customHeight="1">
      <c r="A90" s="58" t="s">
        <v>61</v>
      </c>
      <c r="B90" s="18" t="s">
        <v>20</v>
      </c>
      <c r="C90" s="1">
        <f>D90+E90</f>
        <v>57157</v>
      </c>
      <c r="D90" s="19">
        <f>54417+81360-81360+2740</f>
        <v>57157</v>
      </c>
      <c r="E90" s="19">
        <v>0</v>
      </c>
      <c r="F90" s="1">
        <f>G90+H90</f>
        <v>0</v>
      </c>
      <c r="G90" s="19">
        <v>0</v>
      </c>
      <c r="H90" s="19">
        <v>0</v>
      </c>
      <c r="I90" s="1">
        <f>J90+K90</f>
        <v>0</v>
      </c>
      <c r="J90" s="19">
        <v>0</v>
      </c>
      <c r="K90" s="19">
        <v>0</v>
      </c>
      <c r="L90" s="29" t="s">
        <v>23</v>
      </c>
      <c r="M90" s="35"/>
      <c r="O90" s="27"/>
    </row>
    <row r="91" spans="1:12" s="16" customFormat="1" ht="18" customHeight="1">
      <c r="A91" s="99" t="s">
        <v>62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1:12" s="16" customFormat="1" ht="26.25" customHeight="1">
      <c r="A92" s="100" t="s">
        <v>63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1:12" s="16" customFormat="1" ht="16.5">
      <c r="A93" s="86" t="s">
        <v>93</v>
      </c>
      <c r="B93" s="55"/>
      <c r="C93" s="4">
        <f>D93+E93</f>
        <v>14374247</v>
      </c>
      <c r="D93" s="4">
        <f>3009742+9557658+D95+D97+D102</f>
        <v>14374247</v>
      </c>
      <c r="E93" s="4">
        <v>0</v>
      </c>
      <c r="F93" s="1">
        <v>0</v>
      </c>
      <c r="G93" s="4">
        <f>G95+G97+G102</f>
        <v>0</v>
      </c>
      <c r="H93" s="4">
        <v>0</v>
      </c>
      <c r="I93" s="1">
        <v>0</v>
      </c>
      <c r="J93" s="4">
        <f>+J95+J97+J102</f>
        <v>0</v>
      </c>
      <c r="K93" s="4">
        <v>0</v>
      </c>
      <c r="L93" s="72"/>
    </row>
    <row r="94" spans="1:12" s="16" customFormat="1" ht="21" customHeight="1">
      <c r="A94" s="96" t="s">
        <v>64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1:12" s="16" customFormat="1" ht="45.75" customHeight="1">
      <c r="A95" s="59" t="s">
        <v>65</v>
      </c>
      <c r="B95" s="18"/>
      <c r="C95" s="1">
        <f>D95+E95</f>
        <v>94003</v>
      </c>
      <c r="D95" s="19">
        <f>23603+70400</f>
        <v>94003</v>
      </c>
      <c r="E95" s="19">
        <v>0</v>
      </c>
      <c r="F95" s="4">
        <v>0</v>
      </c>
      <c r="G95" s="20">
        <v>0</v>
      </c>
      <c r="H95" s="20">
        <v>0</v>
      </c>
      <c r="I95" s="1">
        <v>0</v>
      </c>
      <c r="J95" s="20">
        <v>0</v>
      </c>
      <c r="K95" s="19">
        <v>0</v>
      </c>
      <c r="L95" s="29" t="s">
        <v>23</v>
      </c>
    </row>
    <row r="96" spans="1:12" s="16" customFormat="1" ht="21" customHeight="1">
      <c r="A96" s="96" t="s">
        <v>66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1:12" s="16" customFormat="1" ht="39" customHeight="1">
      <c r="A97" s="59" t="s">
        <v>67</v>
      </c>
      <c r="B97" s="18"/>
      <c r="C97" s="1">
        <f>D97+E97</f>
        <v>1439932</v>
      </c>
      <c r="D97" s="19">
        <f>45300+1394632</f>
        <v>1439932</v>
      </c>
      <c r="E97" s="19">
        <v>0</v>
      </c>
      <c r="F97" s="4">
        <v>0</v>
      </c>
      <c r="G97" s="20">
        <v>0</v>
      </c>
      <c r="H97" s="20">
        <v>0</v>
      </c>
      <c r="I97" s="1">
        <v>0</v>
      </c>
      <c r="J97" s="20">
        <v>0</v>
      </c>
      <c r="K97" s="19">
        <v>0</v>
      </c>
      <c r="L97" s="29" t="s">
        <v>23</v>
      </c>
    </row>
    <row r="98" spans="1:15" s="16" customFormat="1" ht="6.75" customHeight="1">
      <c r="A98" s="90"/>
      <c r="B98" s="22"/>
      <c r="C98" s="44"/>
      <c r="D98" s="45"/>
      <c r="E98" s="45"/>
      <c r="F98" s="23"/>
      <c r="G98" s="24"/>
      <c r="H98" s="45"/>
      <c r="I98" s="44"/>
      <c r="J98" s="24"/>
      <c r="K98" s="45"/>
      <c r="L98" s="84"/>
      <c r="M98" s="33"/>
      <c r="O98" s="27"/>
    </row>
    <row r="99" spans="1:16" s="69" customFormat="1" ht="26.25" customHeight="1">
      <c r="A99" s="21"/>
      <c r="B99" s="22"/>
      <c r="C99" s="23"/>
      <c r="D99" s="24"/>
      <c r="E99" s="24"/>
      <c r="F99" s="23"/>
      <c r="G99" s="24"/>
      <c r="H99" s="24"/>
      <c r="I99" s="23"/>
      <c r="J99" s="93" t="s">
        <v>87</v>
      </c>
      <c r="K99" s="93"/>
      <c r="L99" s="93"/>
      <c r="M99" s="37"/>
      <c r="N99" s="38"/>
      <c r="O99" s="27"/>
      <c r="P99" s="85"/>
    </row>
    <row r="100" spans="1:16" s="69" customFormat="1" ht="18.75" customHeight="1">
      <c r="A100" s="56">
        <v>1</v>
      </c>
      <c r="B100" s="56">
        <v>2</v>
      </c>
      <c r="C100" s="56">
        <v>3</v>
      </c>
      <c r="D100" s="56">
        <v>4</v>
      </c>
      <c r="E100" s="56">
        <v>5</v>
      </c>
      <c r="F100" s="56">
        <v>6</v>
      </c>
      <c r="G100" s="56">
        <v>7</v>
      </c>
      <c r="H100" s="56">
        <v>8</v>
      </c>
      <c r="I100" s="56">
        <v>9</v>
      </c>
      <c r="J100" s="57">
        <v>10</v>
      </c>
      <c r="K100" s="57">
        <v>11</v>
      </c>
      <c r="L100" s="57">
        <v>12</v>
      </c>
      <c r="M100" s="37"/>
      <c r="N100" s="38"/>
      <c r="O100" s="27"/>
      <c r="P100" s="85"/>
    </row>
    <row r="101" spans="1:12" s="16" customFormat="1" ht="21" customHeight="1">
      <c r="A101" s="96" t="s">
        <v>68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1:12" s="16" customFormat="1" ht="72.75" customHeight="1">
      <c r="A102" s="59" t="s">
        <v>69</v>
      </c>
      <c r="B102" s="18"/>
      <c r="C102" s="1">
        <f>D102+E102</f>
        <v>272912</v>
      </c>
      <c r="D102" s="19">
        <f>+D103+D104++D105</f>
        <v>272912</v>
      </c>
      <c r="E102" s="19">
        <v>0</v>
      </c>
      <c r="F102" s="4">
        <v>0</v>
      </c>
      <c r="G102" s="20">
        <v>0</v>
      </c>
      <c r="H102" s="20">
        <v>0</v>
      </c>
      <c r="I102" s="1">
        <v>0</v>
      </c>
      <c r="J102" s="20">
        <v>0</v>
      </c>
      <c r="K102" s="19">
        <v>0</v>
      </c>
      <c r="L102" s="29" t="s">
        <v>23</v>
      </c>
    </row>
    <row r="103" spans="1:12" s="16" customFormat="1" ht="40.5" customHeight="1">
      <c r="A103" s="74" t="s">
        <v>70</v>
      </c>
      <c r="B103" s="18"/>
      <c r="C103" s="1">
        <f>D103+E103</f>
        <v>28775</v>
      </c>
      <c r="D103" s="19">
        <f>3793+24982</f>
        <v>28775</v>
      </c>
      <c r="E103" s="19">
        <v>0</v>
      </c>
      <c r="F103" s="4">
        <f>+G103+H103</f>
        <v>0</v>
      </c>
      <c r="G103" s="20">
        <v>0</v>
      </c>
      <c r="H103" s="20">
        <f>ROUND(E103*1.104,0)</f>
        <v>0</v>
      </c>
      <c r="I103" s="1">
        <f>J103+K103</f>
        <v>0</v>
      </c>
      <c r="J103" s="20">
        <v>0</v>
      </c>
      <c r="K103" s="19">
        <v>0</v>
      </c>
      <c r="L103" s="29" t="s">
        <v>23</v>
      </c>
    </row>
    <row r="104" spans="1:12" s="16" customFormat="1" ht="44.25" customHeight="1">
      <c r="A104" s="74" t="s">
        <v>71</v>
      </c>
      <c r="B104" s="18"/>
      <c r="C104" s="1">
        <f>D104+E104</f>
        <v>18566</v>
      </c>
      <c r="D104" s="19">
        <v>18566</v>
      </c>
      <c r="E104" s="19">
        <v>0</v>
      </c>
      <c r="F104" s="4">
        <v>0</v>
      </c>
      <c r="G104" s="20">
        <v>0</v>
      </c>
      <c r="H104" s="4">
        <v>0</v>
      </c>
      <c r="I104" s="1">
        <v>0</v>
      </c>
      <c r="J104" s="20">
        <v>0</v>
      </c>
      <c r="K104" s="19">
        <v>0</v>
      </c>
      <c r="L104" s="29" t="s">
        <v>23</v>
      </c>
    </row>
    <row r="105" spans="1:12" s="16" customFormat="1" ht="45" customHeight="1">
      <c r="A105" s="74" t="s">
        <v>72</v>
      </c>
      <c r="B105" s="18"/>
      <c r="C105" s="1">
        <f>D105+E105</f>
        <v>225571</v>
      </c>
      <c r="D105" s="19">
        <v>225571</v>
      </c>
      <c r="E105" s="19">
        <v>0</v>
      </c>
      <c r="F105" s="4">
        <v>0</v>
      </c>
      <c r="G105" s="20">
        <v>0</v>
      </c>
      <c r="H105" s="4">
        <v>0</v>
      </c>
      <c r="I105" s="1">
        <v>0</v>
      </c>
      <c r="J105" s="20">
        <v>0</v>
      </c>
      <c r="K105" s="19">
        <v>0</v>
      </c>
      <c r="L105" s="29" t="s">
        <v>23</v>
      </c>
    </row>
    <row r="106" spans="1:12" s="16" customFormat="1" ht="21.75" customHeight="1">
      <c r="A106" s="96" t="s">
        <v>49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1:12" s="16" customFormat="1" ht="42.75" customHeight="1">
      <c r="A107" s="97" t="s">
        <v>50</v>
      </c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</row>
    <row r="108" spans="1:12" s="16" customFormat="1" ht="35.25" customHeight="1">
      <c r="A108" s="102" t="s">
        <v>51</v>
      </c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spans="1:12" s="16" customFormat="1" ht="30.75" customHeight="1">
      <c r="A109" s="87" t="s">
        <v>93</v>
      </c>
      <c r="B109" s="56"/>
      <c r="C109" s="1">
        <f>C110+C111</f>
        <v>1445456</v>
      </c>
      <c r="D109" s="1">
        <f>D110+D111</f>
        <v>1445456</v>
      </c>
      <c r="E109" s="1">
        <f>E110+E111</f>
        <v>0</v>
      </c>
      <c r="F109" s="1">
        <f aca="true" t="shared" si="6" ref="F109:K109">F110+F111</f>
        <v>0</v>
      </c>
      <c r="G109" s="1">
        <f t="shared" si="6"/>
        <v>0</v>
      </c>
      <c r="H109" s="1">
        <f t="shared" si="6"/>
        <v>0</v>
      </c>
      <c r="I109" s="1">
        <f t="shared" si="6"/>
        <v>0</v>
      </c>
      <c r="J109" s="1">
        <f t="shared" si="6"/>
        <v>0</v>
      </c>
      <c r="K109" s="1">
        <f t="shared" si="6"/>
        <v>0</v>
      </c>
      <c r="L109" s="57"/>
    </row>
    <row r="110" spans="1:12" s="16" customFormat="1" ht="70.5" customHeight="1">
      <c r="A110" s="58" t="s">
        <v>52</v>
      </c>
      <c r="B110" s="18" t="s">
        <v>20</v>
      </c>
      <c r="C110" s="1">
        <f>D110+E110</f>
        <v>220430</v>
      </c>
      <c r="D110" s="19">
        <f>-940226+1160656</f>
        <v>220430</v>
      </c>
      <c r="E110" s="19">
        <v>0</v>
      </c>
      <c r="F110" s="1">
        <f>G110+H110</f>
        <v>0</v>
      </c>
      <c r="G110" s="19">
        <v>0</v>
      </c>
      <c r="H110" s="19">
        <v>0</v>
      </c>
      <c r="I110" s="1">
        <f>J110+K110</f>
        <v>0</v>
      </c>
      <c r="J110" s="19">
        <v>0</v>
      </c>
      <c r="K110" s="19">
        <v>0</v>
      </c>
      <c r="L110" s="29" t="s">
        <v>23</v>
      </c>
    </row>
    <row r="111" spans="1:12" ht="72.75" customHeight="1">
      <c r="A111" s="59" t="s">
        <v>53</v>
      </c>
      <c r="B111" s="18" t="s">
        <v>20</v>
      </c>
      <c r="C111" s="1">
        <f>D111+E111</f>
        <v>1225026</v>
      </c>
      <c r="D111" s="19">
        <f>225026+1000000</f>
        <v>1225026</v>
      </c>
      <c r="E111" s="19">
        <v>0</v>
      </c>
      <c r="F111" s="4">
        <v>0</v>
      </c>
      <c r="G111" s="20">
        <v>0</v>
      </c>
      <c r="H111" s="20">
        <v>0</v>
      </c>
      <c r="I111" s="4">
        <v>0</v>
      </c>
      <c r="J111" s="20">
        <v>0</v>
      </c>
      <c r="K111" s="20">
        <v>0</v>
      </c>
      <c r="L111" s="29" t="s">
        <v>54</v>
      </c>
    </row>
    <row r="116" spans="1:25" ht="19.5" customHeight="1">
      <c r="A116" s="94" t="s">
        <v>12</v>
      </c>
      <c r="B116" s="94"/>
      <c r="C116" s="94"/>
      <c r="D116" s="46"/>
      <c r="E116" s="16"/>
      <c r="F116" s="16"/>
      <c r="G116" s="47"/>
      <c r="H116" s="95" t="s">
        <v>13</v>
      </c>
      <c r="I116" s="95"/>
      <c r="J116" s="16"/>
      <c r="K116" s="16"/>
      <c r="L116" s="16"/>
      <c r="M116" s="11"/>
      <c r="N116" s="16"/>
      <c r="O116" s="27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 ht="12.75">
      <c r="A117" s="48"/>
      <c r="B117" s="48"/>
      <c r="C117" s="49"/>
      <c r="D117" s="50"/>
      <c r="E117" s="50"/>
      <c r="F117" s="50"/>
      <c r="G117" s="16"/>
      <c r="H117" s="16"/>
      <c r="I117" s="16"/>
      <c r="J117" s="16"/>
      <c r="K117" s="16"/>
      <c r="L117" s="16"/>
      <c r="M117" s="11"/>
      <c r="N117" s="16"/>
      <c r="O117" s="27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" ht="16.5">
      <c r="A118" s="51" t="s">
        <v>14</v>
      </c>
      <c r="B118" s="49"/>
      <c r="C118" s="49"/>
      <c r="D118" s="50"/>
      <c r="E118" s="50"/>
      <c r="F118" s="50"/>
      <c r="G118" s="16"/>
      <c r="H118" s="16"/>
      <c r="I118" s="52"/>
      <c r="J118" s="16"/>
      <c r="K118" s="16"/>
      <c r="L118" s="16"/>
      <c r="M118" s="11"/>
      <c r="N118" s="16"/>
      <c r="O118" s="27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:25" ht="15">
      <c r="A119" s="53" t="s">
        <v>28</v>
      </c>
      <c r="B119" s="49"/>
      <c r="C119" s="49"/>
      <c r="D119" s="50"/>
      <c r="E119" s="50"/>
      <c r="F119" s="50"/>
      <c r="G119" s="16"/>
      <c r="H119" s="16"/>
      <c r="I119" s="16"/>
      <c r="J119" s="16"/>
      <c r="K119" s="16"/>
      <c r="L119" s="16"/>
      <c r="M119" s="11"/>
      <c r="N119" s="16"/>
      <c r="O119" s="27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6:15" s="16" customFormat="1" ht="12.75">
      <c r="F120" s="54"/>
      <c r="G120" s="54"/>
      <c r="H120" s="54"/>
      <c r="I120" s="54"/>
      <c r="J120" s="54"/>
      <c r="K120" s="54"/>
      <c r="M120" s="11"/>
      <c r="O120" s="27"/>
    </row>
  </sheetData>
  <sheetProtection/>
  <mergeCells count="48">
    <mergeCell ref="I1:K1"/>
    <mergeCell ref="I2:L2"/>
    <mergeCell ref="A6:L6"/>
    <mergeCell ref="L8:L10"/>
    <mergeCell ref="B8:B10"/>
    <mergeCell ref="C8:E8"/>
    <mergeCell ref="A8:A10"/>
    <mergeCell ref="D9:E9"/>
    <mergeCell ref="F8:H8"/>
    <mergeCell ref="I8:K8"/>
    <mergeCell ref="C9:C10"/>
    <mergeCell ref="J38:L38"/>
    <mergeCell ref="F9:F10"/>
    <mergeCell ref="G9:H9"/>
    <mergeCell ref="I9:I10"/>
    <mergeCell ref="A13:L13"/>
    <mergeCell ref="A14:L14"/>
    <mergeCell ref="A15:L15"/>
    <mergeCell ref="A108:L108"/>
    <mergeCell ref="J24:L24"/>
    <mergeCell ref="A101:L101"/>
    <mergeCell ref="A91:L91"/>
    <mergeCell ref="A92:L92"/>
    <mergeCell ref="A94:L94"/>
    <mergeCell ref="A96:L96"/>
    <mergeCell ref="A88:L88"/>
    <mergeCell ref="A63:L63"/>
    <mergeCell ref="A64:L64"/>
    <mergeCell ref="A70:L70"/>
    <mergeCell ref="A71:L71"/>
    <mergeCell ref="A72:L72"/>
    <mergeCell ref="J9:K9"/>
    <mergeCell ref="A84:L84"/>
    <mergeCell ref="A87:L87"/>
    <mergeCell ref="J57:L57"/>
    <mergeCell ref="A81:L81"/>
    <mergeCell ref="A82:L82"/>
    <mergeCell ref="A62:L62"/>
    <mergeCell ref="A89:L89"/>
    <mergeCell ref="J77:L77"/>
    <mergeCell ref="J99:L99"/>
    <mergeCell ref="A116:C116"/>
    <mergeCell ref="H116:I116"/>
    <mergeCell ref="A48:L48"/>
    <mergeCell ref="A49:L49"/>
    <mergeCell ref="A50:L50"/>
    <mergeCell ref="A106:L106"/>
    <mergeCell ref="A107:L107"/>
  </mergeCells>
  <printOptions/>
  <pageMargins left="0.7874015748031497" right="0.5905511811023623" top="1.1811023622047245" bottom="0.3937007874015748" header="0.5118110236220472" footer="0.4"/>
  <pageSetup horizontalDpi="600" verticalDpi="600" orientation="landscape" paperSize="9" scale="62" r:id="rId1"/>
  <rowBreaks count="4" manualBreakCount="4">
    <brk id="22" max="11" man="1"/>
    <brk id="36" max="11" man="1"/>
    <brk id="55" max="11" man="1"/>
    <brk id="9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2016-10-31T09:27:19Z</cp:lastPrinted>
  <dcterms:created xsi:type="dcterms:W3CDTF">1996-10-08T23:32:33Z</dcterms:created>
  <dcterms:modified xsi:type="dcterms:W3CDTF">2016-10-31T09:27:36Z</dcterms:modified>
  <cp:category/>
  <cp:version/>
  <cp:contentType/>
  <cp:contentStatus/>
</cp:coreProperties>
</file>